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1.xml.rels" ContentType="application/vnd.openxmlformats-package.relationships+xml"/>
  <Override PartName="/xl/worksheets/_rels/sheet6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media/image5.jpeg" ContentType="image/jpeg"/>
  <Override PartName="/xl/media/image6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ccueil" sheetId="1" state="visible" r:id="rId2"/>
    <sheet name="Données projet" sheetId="2" state="visible" r:id="rId3"/>
    <sheet name="Scénario référence" sheetId="3" state="visible" r:id="rId4"/>
    <sheet name="Calculateur" sheetId="4" state="hidden" r:id="rId5"/>
    <sheet name="Paramètres" sheetId="5" state="hidden" r:id="rId6"/>
    <sheet name="REE" sheetId="6" state="visible" r:id="rId7"/>
    <sheet name="VAN" sheetId="7" state="visible" r:id="rId8"/>
  </sheets>
  <definedNames>
    <definedName function="false" hidden="false" name="Essence" vbProcedure="false">Paramètres!$A$2:$A$86</definedName>
    <definedName function="false" hidden="false" name="Essences" vbProcedure="false">Paramètres!$A$2:$A$89</definedName>
    <definedName function="false" hidden="false" name="Fertilité" vbProcedure="false">Paramètres!$P$10:$P$11</definedName>
    <definedName function="false" hidden="false" name="Incendie" vbProcedure="false">Paramètres!$P$5:$P$8</definedName>
    <definedName function="false" hidden="false" name="VAN" vbProcedure="false">Paramètres!$P$2:$P$3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<sst xmlns="http://schemas.openxmlformats.org/spreadsheetml/2006/main" count="1175" uniqueCount="324">
  <si>
    <r>
      <rPr>
        <sz val="14"/>
        <color rgb="FF000000"/>
        <rFont val="Calibri"/>
        <family val="2"/>
        <charset val="1"/>
      </rPr>
      <t xml:space="preserve">Ce calculateur a été développé par le </t>
    </r>
    <r>
      <rPr>
        <b val="true"/>
        <sz val="14"/>
        <color rgb="FF000000"/>
        <rFont val="Calibri"/>
        <family val="2"/>
        <charset val="1"/>
      </rPr>
      <t xml:space="preserve">Centre national de la propriété forestière (CNPF)</t>
    </r>
    <r>
      <rPr>
        <sz val="14"/>
        <color rgb="FF000000"/>
        <rFont val="Calibri"/>
        <family val="2"/>
        <charset val="1"/>
      </rPr>
      <t xml:space="preserve"> dans le cadre d'un financement de l'interprofession </t>
    </r>
    <r>
      <rPr>
        <b val="true"/>
        <sz val="14"/>
        <color rgb="FF000000"/>
        <rFont val="Calibri"/>
        <family val="2"/>
        <charset val="1"/>
      </rPr>
      <t xml:space="preserve">France Bois Forêt</t>
    </r>
    <r>
      <rPr>
        <sz val="14"/>
        <color rgb="FF000000"/>
        <rFont val="Calibri"/>
        <family val="2"/>
        <charset val="1"/>
      </rPr>
      <t xml:space="preserve"> pour l'accompagnement du label Bas-Carbone en 2020 et 2021.
Il s'agit du calculateur pour les méthodes "</t>
    </r>
    <r>
      <rPr>
        <b val="true"/>
        <sz val="14"/>
        <color rgb="FF000000"/>
        <rFont val="Calibri"/>
        <family val="2"/>
        <charset val="1"/>
      </rPr>
      <t xml:space="preserve">boisement"</t>
    </r>
    <r>
      <rPr>
        <sz val="14"/>
        <color rgb="FF000000"/>
        <rFont val="Calibri"/>
        <family val="2"/>
        <charset val="1"/>
      </rPr>
      <t xml:space="preserve"> et "</t>
    </r>
    <r>
      <rPr>
        <b val="true"/>
        <sz val="14"/>
        <color rgb="FF000000"/>
        <rFont val="Calibri"/>
        <family val="2"/>
        <charset val="1"/>
      </rPr>
      <t xml:space="preserve">reconstitution de peuplements forestiers dégradés</t>
    </r>
    <r>
      <rPr>
        <sz val="14"/>
        <color rgb="FF000000"/>
        <rFont val="Calibri"/>
        <family val="2"/>
        <charset val="1"/>
      </rPr>
      <t xml:space="preserve">" rédigées par le CNPF, dans leur version 2.</t>
    </r>
  </si>
  <si>
    <r>
      <rPr>
        <sz val="14"/>
        <color rgb="FF000000"/>
        <rFont val="Calibri"/>
        <family val="2"/>
        <charset val="1"/>
      </rPr>
      <t xml:space="preserve">Tout projet demandant le label Bas-Carbone au titre des deux méthodes susmentionnées devra utiliser ce calculateur. Il se compose de 6 onglets :
→ un onglet "</t>
    </r>
    <r>
      <rPr>
        <b val="true"/>
        <sz val="14"/>
        <color rgb="FF000000"/>
        <rFont val="Calibri"/>
        <family val="2"/>
        <charset val="1"/>
      </rPr>
      <t xml:space="preserve">Données </t>
    </r>
    <r>
      <rPr>
        <b val="true"/>
        <sz val="14"/>
        <rFont val="Calibri"/>
        <family val="2"/>
        <charset val="1"/>
      </rPr>
      <t xml:space="preserve">projet</t>
    </r>
    <r>
      <rPr>
        <sz val="14"/>
        <color rgb="FF000000"/>
        <rFont val="Calibri"/>
        <family val="2"/>
        <charset val="1"/>
      </rPr>
      <t xml:space="preserve">" qui est le seul onglet dans lequel le Porteur de projet doit renseigner les données inhérentes à son projet.
→ un onglet "</t>
    </r>
    <r>
      <rPr>
        <b val="true"/>
        <sz val="14"/>
        <color rgb="FF000000"/>
        <rFont val="Calibri"/>
        <family val="2"/>
        <charset val="1"/>
      </rPr>
      <t xml:space="preserve">Scénario référence</t>
    </r>
    <r>
      <rPr>
        <sz val="14"/>
        <color rgb="FF000000"/>
        <rFont val="Calibri"/>
        <family val="2"/>
        <charset val="1"/>
      </rPr>
      <t xml:space="preserve">" dans lequel le Porteur de projet choisit la méthode et le scénario de référence utilisés.
→ un onglet "</t>
    </r>
    <r>
      <rPr>
        <b val="true"/>
        <sz val="14"/>
        <color rgb="FF000000"/>
        <rFont val="Calibri"/>
        <family val="2"/>
        <charset val="1"/>
      </rPr>
      <t xml:space="preserve">Calculateur</t>
    </r>
    <r>
      <rPr>
        <sz val="14"/>
        <color rgb="FF000000"/>
        <rFont val="Calibri"/>
        <family val="2"/>
        <charset val="1"/>
      </rPr>
      <t xml:space="preserve">" que le Porteur de projet n'a pas à modifier.
→ un onglet "</t>
    </r>
    <r>
      <rPr>
        <b val="true"/>
        <sz val="14"/>
        <color rgb="FF000000"/>
        <rFont val="Calibri"/>
        <family val="2"/>
        <charset val="1"/>
      </rPr>
      <t xml:space="preserve">Paramètres</t>
    </r>
    <r>
      <rPr>
        <sz val="14"/>
        <color rgb="FF000000"/>
        <rFont val="Calibri"/>
        <family val="2"/>
        <charset val="1"/>
      </rPr>
      <t xml:space="preserve">" que le Porteur de projet n'a pas à modifier (cet onglet sera actualisé au fur et à mesure  que des données sourcées permettront de l'améliorer).
→ un onglet "</t>
    </r>
    <r>
      <rPr>
        <b val="true"/>
        <sz val="14"/>
        <color rgb="FF000000"/>
        <rFont val="Calibri"/>
        <family val="2"/>
        <charset val="1"/>
      </rPr>
      <t xml:space="preserve">REE</t>
    </r>
    <r>
      <rPr>
        <sz val="14"/>
        <color rgb="FF000000"/>
        <rFont val="Calibri"/>
        <family val="2"/>
        <charset val="1"/>
      </rPr>
      <t xml:space="preserve">" dans lequel le Porteur de projet doit puiser les résultats des calculs pour les renseigner au Document descriptif de projet.
→ un onglet "</t>
    </r>
    <r>
      <rPr>
        <b val="true"/>
        <sz val="14"/>
        <color rgb="FF000000"/>
        <rFont val="Calibri"/>
        <family val="2"/>
        <charset val="1"/>
      </rPr>
      <t xml:space="preserve">VAN</t>
    </r>
    <r>
      <rPr>
        <sz val="14"/>
        <color rgb="FF000000"/>
        <rFont val="Calibri"/>
        <family val="2"/>
        <charset val="1"/>
      </rPr>
      <t xml:space="preserve">" servant à faire le calcul économique et dont les résultats peuvent être renseignés dans le Document descriptif de projet si le Porteur de projet choisit de démontrer l'additionnalité économique de son projet.</t>
    </r>
  </si>
  <si>
    <t xml:space="preserve">Seules les cellules en jaune pâle sont à remplir</t>
  </si>
  <si>
    <t xml:space="preserve">V15/10/2021</t>
  </si>
  <si>
    <t xml:space="preserve">SCÉNARIO DE PROJET</t>
  </si>
  <si>
    <t xml:space="preserve">* Des corrections ont été apportées pour répondre aux problèmes soulevés pour les essences à durée de révolution courte, ou à première éclaircie tardive, </t>
  </si>
  <si>
    <t xml:space="preserve">à la VAN, ainsi que pour laisser la possibilité de noter des commentaires dans les cellules non verrouillées.</t>
  </si>
  <si>
    <t xml:space="preserve">La surface du projet</t>
  </si>
  <si>
    <t xml:space="preserve">Entrer une surface en hectares</t>
  </si>
  <si>
    <t xml:space="preserve">Les essences du projet</t>
  </si>
  <si>
    <t xml:space="preserve">Choisir dans le menu déroulant</t>
  </si>
  <si>
    <t xml:space="preserve">Proportion</t>
  </si>
  <si>
    <t xml:space="preserve">Surface de l'essence</t>
  </si>
  <si>
    <t xml:space="preserve">Durée de révolution</t>
  </si>
  <si>
    <t xml:space="preserve">Vérification</t>
  </si>
  <si>
    <t xml:space="preserve">Essence 1</t>
  </si>
  <si>
    <t xml:space="preserve">Cèdre de l'Atlas</t>
  </si>
  <si>
    <t xml:space="preserve">NB : La durée de révolution doit être identique à la dernière année indiquée dans la table de production renseignée en dessous</t>
  </si>
  <si>
    <t xml:space="preserve">Essence 2</t>
  </si>
  <si>
    <t xml:space="preserve">Douglas</t>
  </si>
  <si>
    <t xml:space="preserve">Essence 3</t>
  </si>
  <si>
    <t xml:space="preserve">Chêne rouge d'Amérique</t>
  </si>
  <si>
    <t xml:space="preserve">Essence 4</t>
  </si>
  <si>
    <t xml:space="preserve">Mélèze d'Europe</t>
  </si>
  <si>
    <t xml:space="preserve">Essence 5</t>
  </si>
  <si>
    <t xml:space="preserve">Mélèze hybride</t>
  </si>
  <si>
    <t xml:space="preserve">Essence 6</t>
  </si>
  <si>
    <t xml:space="preserve">Pin maritime</t>
  </si>
  <si>
    <t xml:space="preserve">Essence 7</t>
  </si>
  <si>
    <t xml:space="preserve">Essence 8</t>
  </si>
  <si>
    <t xml:space="preserve">Essence 9</t>
  </si>
  <si>
    <t xml:space="preserve">Essence 10</t>
  </si>
  <si>
    <t xml:space="preserve">TOTAL</t>
  </si>
  <si>
    <t xml:space="preserve">Les rabais à appliquer</t>
  </si>
  <si>
    <t xml:space="preserve">Rabais 1</t>
  </si>
  <si>
    <t xml:space="preserve">Analyse économique (VAN)</t>
  </si>
  <si>
    <t xml:space="preserve">Indiquer 20 % si absence de calcul de VAN, 0 % sinon</t>
  </si>
  <si>
    <t xml:space="preserve">Rabais 2</t>
  </si>
  <si>
    <t xml:space="preserve">Risque de non permanence</t>
  </si>
  <si>
    <t xml:space="preserve">Rabais 3</t>
  </si>
  <si>
    <t xml:space="preserve">Risque d'incendie</t>
  </si>
  <si>
    <t xml:space="preserve">Indiquer 5 %, 10 %, 15 % selon le risque (cf. méthodes), 0 % sinon</t>
  </si>
  <si>
    <t xml:space="preserve">Rabais 4</t>
  </si>
  <si>
    <t xml:space="preserve">Classe de fertilité</t>
  </si>
  <si>
    <t xml:space="preserve">Indiquer 10 % si absence de justification de la classe de fertilité, 0 % sinon</t>
  </si>
  <si>
    <t xml:space="preserve">Les tables de production</t>
  </si>
  <si>
    <t xml:space="preserve">NB : Ne remplir qu'avec les années d'éclaircies de la table de production utilisée, ne pas simuler les premières années</t>
  </si>
  <si>
    <t xml:space="preserve">AVANT ECLAIRCIE</t>
  </si>
  <si>
    <t xml:space="preserve">ECLAIRCIE</t>
  </si>
  <si>
    <t xml:space="preserve">VENTILATION PRODUITS BOIS</t>
  </si>
  <si>
    <t xml:space="preserve">Age</t>
  </si>
  <si>
    <t xml:space="preserve">Volume bois fort (m³/ha)</t>
  </si>
  <si>
    <t xml:space="preserve">Numéro d'éclaircie</t>
  </si>
  <si>
    <t xml:space="preserve">Volume bois fort 
prélevé (m³/ha)</t>
  </si>
  <si>
    <t xml:space="preserve">% sciages</t>
  </si>
  <si>
    <t xml:space="preserve">% panneaux</t>
  </si>
  <si>
    <t xml:space="preserve">% papier</t>
  </si>
  <si>
    <t xml:space="preserve">% BE</t>
  </si>
  <si>
    <t xml:space="preserve">Accroissement courant (m³/ha/an)</t>
  </si>
  <si>
    <t xml:space="preserve">SCÉNARIO DE RÉFÉRENCE</t>
  </si>
  <si>
    <t xml:space="preserve">Renseignez les surfaces concernées par le ou les scénarios puis choisissez la nature de culture et/ou l'essence de colonisation</t>
  </si>
  <si>
    <t xml:space="preserve">% de surface</t>
  </si>
  <si>
    <t xml:space="preserve">Méthode boisement</t>
  </si>
  <si>
    <t xml:space="preserve">Méthode reconstitution</t>
  </si>
  <si>
    <t xml:space="preserve">Poursuite de la culture agricole</t>
  </si>
  <si>
    <t xml:space="preserve">Récolte d'une forêt dégradée et colonisation par des accrus (hors Méditerranée)</t>
  </si>
  <si>
    <t xml:space="preserve">Embroussaillement par colonisation naturelle (hors Méditerranée)</t>
  </si>
  <si>
    <t xml:space="preserve">Récolte d'une forêt dégradée et colonisation par des accrus en Méditerranée</t>
  </si>
  <si>
    <t xml:space="preserve">Embroussaillement par colonisation naturelle en Méditerranée</t>
  </si>
  <si>
    <t xml:space="preserve">→ Si scénario 1 :</t>
  </si>
  <si>
    <t xml:space="preserve">→ Si scénarios 2, 3, 4 ou 5 :</t>
  </si>
  <si>
    <t xml:space="preserve">Renseignez les % de surfaces de culture à l'année 0 (en % de la surface totale du projet)</t>
  </si>
  <si>
    <t xml:space="preserve">Choisir l'essence de colonisation</t>
  </si>
  <si>
    <t xml:space="preserve">Conifères (moyenne)</t>
  </si>
  <si>
    <t xml:space="preserve">Culture agricole</t>
  </si>
  <si>
    <t xml:space="preserve">Prairie</t>
  </si>
  <si>
    <t xml:space="preserve">Verger ou vigne</t>
  </si>
  <si>
    <t xml:space="preserve">Scénario de référence</t>
  </si>
  <si>
    <t xml:space="preserve">Année</t>
  </si>
  <si>
    <t xml:space="preserve">Biomasse culture
(tC/ha)</t>
  </si>
  <si>
    <t xml:space="preserve">Biomasse aérienne accrus 
(tMS/ha)</t>
  </si>
  <si>
    <t xml:space="preserve">Biomasse 
racinaire accrus
(tMS/ha)</t>
  </si>
  <si>
    <t xml:space="preserve">Sol (tC/ha)</t>
  </si>
  <si>
    <t xml:space="preserve">Litière (tC/ha)</t>
  </si>
  <si>
    <t xml:space="preserve">Biomasse totale (tCO₂/ha)</t>
  </si>
  <si>
    <t xml:space="preserve">Biomasse 
totale + sol + litière
(tCO₂/ha)</t>
  </si>
  <si>
    <t xml:space="preserve">Volume BF (m³/ha)</t>
  </si>
  <si>
    <t xml:space="preserve">Accroissement 
courant 
(m³/ha/an)</t>
  </si>
  <si>
    <t xml:space="preserve">Volume BF 
linéarisé (m³/ha)</t>
  </si>
  <si>
    <t xml:space="preserve">Biomasse 
aérienne 
(tMS/ha)</t>
  </si>
  <si>
    <t xml:space="preserve">Biomasse 
racinaire (tMS/ha)</t>
  </si>
  <si>
    <t xml:space="preserve">Biomasse totale + sol + litière (tCO₂/ha)</t>
  </si>
  <si>
    <t xml:space="preserve">ΔStock moyen de long terme (tCO₂/ha)</t>
  </si>
  <si>
    <t xml:space="preserve">Δstock CO₂ 30 ans (tCO₂/ha)</t>
  </si>
  <si>
    <t xml:space="preserve">N° coupe</t>
  </si>
  <si>
    <t xml:space="preserve">Volume BF
éclairci 
(m³/ha)</t>
  </si>
  <si>
    <t xml:space="preserve">% pâte à papier</t>
  </si>
  <si>
    <t xml:space="preserve">Stock sciages 
(tCO₂/ha)</t>
  </si>
  <si>
    <t xml:space="preserve">Stock panneaux 
(tCO₂/ha)</t>
  </si>
  <si>
    <t xml:space="preserve">Stocks pâte à papier 
(tCO₂/ha)</t>
  </si>
  <si>
    <t xml:space="preserve">Stock produits 
bois (tCO₂/ha)</t>
  </si>
  <si>
    <t xml:space="preserve">% pâte à 
papier</t>
  </si>
  <si>
    <t xml:space="preserve">% pâte 
à papier</t>
  </si>
  <si>
    <t xml:space="preserve">a</t>
  </si>
  <si>
    <t xml:space="preserve">Essence</t>
  </si>
  <si>
    <t xml:space="preserve">Nom scientifique</t>
  </si>
  <si>
    <t xml:space="preserve">Infradensité 
(tMS/m³)</t>
  </si>
  <si>
    <t xml:space="preserve">Source</t>
  </si>
  <si>
    <t xml:space="preserve">Facteur 
d'expansion 
branches</t>
  </si>
  <si>
    <t xml:space="preserve">Rendement 
sciages</t>
  </si>
  <si>
    <t xml:space="preserve">Coefficient 
de substitution 
(tCO₂/m³)</t>
  </si>
  <si>
    <t xml:space="preserve">Alisier torminal</t>
  </si>
  <si>
    <t xml:space="preserve">Sorbus torminalis</t>
  </si>
  <si>
    <t xml:space="preserve">IGN, d'après Dupouey 2002</t>
  </si>
  <si>
    <t xml:space="preserve">Inra, 2016</t>
  </si>
  <si>
    <t xml:space="preserve">Assimilation au chêne</t>
  </si>
  <si>
    <t xml:space="preserve">Rabais analyse écomique</t>
  </si>
  <si>
    <t xml:space="preserve">Arbousier</t>
  </si>
  <si>
    <t xml:space="preserve">Arbutus unedo</t>
  </si>
  <si>
    <t xml:space="preserve">Aulne à feuilles en cœur</t>
  </si>
  <si>
    <t xml:space="preserve">Alnus cordata</t>
  </si>
  <si>
    <t xml:space="preserve">Aulne glutineux</t>
  </si>
  <si>
    <t xml:space="preserve">Alnus glutinosa</t>
  </si>
  <si>
    <t xml:space="preserve">Rabais incendie</t>
  </si>
  <si>
    <t xml:space="preserve">Aulne vert</t>
  </si>
  <si>
    <t xml:space="preserve">Alnus viridis</t>
  </si>
  <si>
    <t xml:space="preserve">Bouleau verruqueux</t>
  </si>
  <si>
    <t xml:space="preserve">Betula pendula</t>
  </si>
  <si>
    <t xml:space="preserve">Cedrus atlantica</t>
  </si>
  <si>
    <t xml:space="preserve">Assimilation à épicéa</t>
  </si>
  <si>
    <t xml:space="preserve">Charme</t>
  </si>
  <si>
    <t xml:space="preserve">Carpinus betulus</t>
  </si>
  <si>
    <t xml:space="preserve">Charme-houblon</t>
  </si>
  <si>
    <t xml:space="preserve">Ostrya carpinifolia</t>
  </si>
  <si>
    <t xml:space="preserve">Rabais Fertilité</t>
  </si>
  <si>
    <t xml:space="preserve">Châtaignier</t>
  </si>
  <si>
    <t xml:space="preserve">Castanea sativa</t>
  </si>
  <si>
    <t xml:space="preserve">Chêne chevelu</t>
  </si>
  <si>
    <t xml:space="preserve">Quercus cerris</t>
  </si>
  <si>
    <t xml:space="preserve">FCBA, 2020</t>
  </si>
  <si>
    <t xml:space="preserve">Chêne-liège</t>
  </si>
  <si>
    <t xml:space="preserve">Quercus suber</t>
  </si>
  <si>
    <t xml:space="preserve">Chêne pédonculé</t>
  </si>
  <si>
    <t xml:space="preserve">Quercus robur</t>
  </si>
  <si>
    <t xml:space="preserve">Chêne pubescent</t>
  </si>
  <si>
    <t xml:space="preserve">Quercus pubescens</t>
  </si>
  <si>
    <t xml:space="preserve">Quercus rubra</t>
  </si>
  <si>
    <t xml:space="preserve">Chêne sessile</t>
  </si>
  <si>
    <t xml:space="preserve">Quercus petraea</t>
  </si>
  <si>
    <t xml:space="preserve">Chêne tauzin</t>
  </si>
  <si>
    <t xml:space="preserve">Quercus pyrenaica</t>
  </si>
  <si>
    <t xml:space="preserve">Chêne vert</t>
  </si>
  <si>
    <t xml:space="preserve">Quercus ilex</t>
  </si>
  <si>
    <t xml:space="preserve">Cormier</t>
  </si>
  <si>
    <t xml:space="preserve">Sorbus domestica</t>
  </si>
  <si>
    <t xml:space="preserve">Leban, Xylodensmap, 2021</t>
  </si>
  <si>
    <t xml:space="preserve">Assimilation à chêne</t>
  </si>
  <si>
    <t xml:space="preserve">Cryptomère du Japon</t>
  </si>
  <si>
    <t xml:space="preserve">Cryptomeria japonica</t>
  </si>
  <si>
    <t xml:space="preserve">Cyprès de Provence</t>
  </si>
  <si>
    <t xml:space="preserve">Cupressus sempervirens</t>
  </si>
  <si>
    <t xml:space="preserve">Pseudotsuga menziesii</t>
  </si>
  <si>
    <t xml:space="preserve">Epicéa commun</t>
  </si>
  <si>
    <t xml:space="preserve">Picea abies</t>
  </si>
  <si>
    <t xml:space="preserve">Epicéa de Sitka</t>
  </si>
  <si>
    <t xml:space="preserve">Picea sitchensis</t>
  </si>
  <si>
    <t xml:space="preserve">Erable champêtre</t>
  </si>
  <si>
    <t xml:space="preserve">Acer campestre</t>
  </si>
  <si>
    <t xml:space="preserve">Assimilation au hêtre</t>
  </si>
  <si>
    <t xml:space="preserve">Erable plane</t>
  </si>
  <si>
    <t xml:space="preserve">Acer platanoides</t>
  </si>
  <si>
    <t xml:space="preserve">Erable sycomore</t>
  </si>
  <si>
    <t xml:space="preserve">Acer pseudoplatanus</t>
  </si>
  <si>
    <t xml:space="preserve">Eucalyptus</t>
  </si>
  <si>
    <t xml:space="preserve">Hêtre</t>
  </si>
  <si>
    <t xml:space="preserve">Fagus sylvatica</t>
  </si>
  <si>
    <t xml:space="preserve">Frêne</t>
  </si>
  <si>
    <t xml:space="preserve">Fraxinus excelsior</t>
  </si>
  <si>
    <t xml:space="preserve">Larix decidua</t>
  </si>
  <si>
    <r>
      <rPr>
        <sz val="11"/>
        <color rgb="FF000000"/>
        <rFont val="Calibri"/>
        <family val="2"/>
        <charset val="1"/>
      </rPr>
      <t xml:space="preserve">Bourgeois, 2001 in </t>
    </r>
    <r>
      <rPr>
        <i val="true"/>
        <sz val="11"/>
        <color rgb="FF000000"/>
        <rFont val="Calibri"/>
        <family val="2"/>
        <charset val="1"/>
      </rPr>
      <t xml:space="preserve">Forêt méditerranéenne</t>
    </r>
  </si>
  <si>
    <t xml:space="preserve">Mélèze du Japon</t>
  </si>
  <si>
    <t xml:space="preserve">Larix kaempferi</t>
  </si>
  <si>
    <t xml:space="preserve">Larix eurolepsis</t>
  </si>
  <si>
    <t xml:space="preserve">Mémoire de Léopold Baquet, 2014</t>
  </si>
  <si>
    <t xml:space="preserve">Bourgeois, 2001 in Forêt méditerranéenne</t>
  </si>
  <si>
    <t xml:space="preserve">Merisier</t>
  </si>
  <si>
    <t xml:space="preserve">Prunus avium</t>
  </si>
  <si>
    <t xml:space="preserve">Micocoulier de Provence</t>
  </si>
  <si>
    <t xml:space="preserve">Celtis australis</t>
  </si>
  <si>
    <t xml:space="preserve">Noyer</t>
  </si>
  <si>
    <t xml:space="preserve">Juglans sp.</t>
  </si>
  <si>
    <t xml:space="preserve">Orme</t>
  </si>
  <si>
    <t xml:space="preserve">Ulmus sp.</t>
  </si>
  <si>
    <t xml:space="preserve">Peuplier A4A</t>
  </si>
  <si>
    <t xml:space="preserve">-</t>
  </si>
  <si>
    <t xml:space="preserve">CNPF, FCBA, Arts et Métiers ParisTech, 2013</t>
  </si>
  <si>
    <t xml:space="preserve">Thèse El Haouzali, 2010</t>
  </si>
  <si>
    <t xml:space="preserve">Peuplier Alcinde</t>
  </si>
  <si>
    <t xml:space="preserve">Peuplier Beaupré</t>
  </si>
  <si>
    <t xml:space="preserve">Peuplier Blanc du Poitou</t>
  </si>
  <si>
    <t xml:space="preserve">Peuplier Brenta</t>
  </si>
  <si>
    <t xml:space="preserve">Peuplier Dorskamp</t>
  </si>
  <si>
    <t xml:space="preserve">Peuplier Dvena</t>
  </si>
  <si>
    <t xml:space="preserve">Peuplier Flevo</t>
  </si>
  <si>
    <t xml:space="preserve">Peuplier Fritzi Pauley</t>
  </si>
  <si>
    <t xml:space="preserve">Peuplier Ghoy</t>
  </si>
  <si>
    <t xml:space="preserve">Peuplier I-214</t>
  </si>
  <si>
    <t xml:space="preserve">Peuplier I-45/51</t>
  </si>
  <si>
    <t xml:space="preserve">Peuplier Koster</t>
  </si>
  <si>
    <t xml:space="preserve">Peuplier Lambro</t>
  </si>
  <si>
    <t xml:space="preserve">Peuplier Lena</t>
  </si>
  <si>
    <t xml:space="preserve">Peuplier Mella</t>
  </si>
  <si>
    <t xml:space="preserve">Peuplier Polargo</t>
  </si>
  <si>
    <t xml:space="preserve">Peuplier Raspalje</t>
  </si>
  <si>
    <t xml:space="preserve">Peuplier Robusta</t>
  </si>
  <si>
    <t xml:space="preserve">Peuplier Soligo</t>
  </si>
  <si>
    <t xml:space="preserve">Peuplier Taro</t>
  </si>
  <si>
    <t xml:space="preserve">Peuplier Trichobel</t>
  </si>
  <si>
    <t xml:space="preserve">Peuplier Triplo</t>
  </si>
  <si>
    <t xml:space="preserve">Peuplier non cultivé</t>
  </si>
  <si>
    <t xml:space="preserve">Populus sp.</t>
  </si>
  <si>
    <t xml:space="preserve">Pin d'Alep</t>
  </si>
  <si>
    <t xml:space="preserve">Pinus halepensis</t>
  </si>
  <si>
    <t xml:space="preserve">Assimilation au pin maritime</t>
  </si>
  <si>
    <t xml:space="preserve">Pin cembro</t>
  </si>
  <si>
    <t xml:space="preserve">Pinus cembra</t>
  </si>
  <si>
    <t xml:space="preserve">Pin à crochets</t>
  </si>
  <si>
    <t xml:space="preserve">Pinus uncinata</t>
  </si>
  <si>
    <t xml:space="preserve">Pin laricio</t>
  </si>
  <si>
    <t xml:space="preserve">Pinus laricio</t>
  </si>
  <si>
    <t xml:space="preserve">Pinus pinaster</t>
  </si>
  <si>
    <t xml:space="preserve">Pin mugho</t>
  </si>
  <si>
    <t xml:space="preserve">Pinus mugo</t>
  </si>
  <si>
    <t xml:space="preserve">Pin noir d'Autriche</t>
  </si>
  <si>
    <t xml:space="preserve">Pinus nigra</t>
  </si>
  <si>
    <t xml:space="preserve">Pin pignon</t>
  </si>
  <si>
    <t xml:space="preserve">Pinus pinea</t>
  </si>
  <si>
    <t xml:space="preserve">Correia, 2010</t>
  </si>
  <si>
    <t xml:space="preserve">Pin de Salzmann</t>
  </si>
  <si>
    <t xml:space="preserve">Pinus nigra subsp. Salzmannii</t>
  </si>
  <si>
    <t xml:space="preserve">Assimilation à pin noir</t>
  </si>
  <si>
    <t xml:space="preserve">Pin sylvestre</t>
  </si>
  <si>
    <t xml:space="preserve">Pinus sylvestris</t>
  </si>
  <si>
    <t xml:space="preserve">Pin taeda</t>
  </si>
  <si>
    <t xml:space="preserve">Pinus taeda</t>
  </si>
  <si>
    <t xml:space="preserve">Assimilation à pin maritime</t>
  </si>
  <si>
    <t xml:space="preserve">Pin de Weymouth</t>
  </si>
  <si>
    <t xml:space="preserve">Pinus strobus</t>
  </si>
  <si>
    <t xml:space="preserve">Platane</t>
  </si>
  <si>
    <t xml:space="preserve">Platanus sp.</t>
  </si>
  <si>
    <t xml:space="preserve">Robinier faux-acacia</t>
  </si>
  <si>
    <t xml:space="preserve">Robinia pseudacacia</t>
  </si>
  <si>
    <t xml:space="preserve">Dire d'expert</t>
  </si>
  <si>
    <t xml:space="preserve">Sapin méditerranéen</t>
  </si>
  <si>
    <t xml:space="preserve">Abies sp.</t>
  </si>
  <si>
    <t xml:space="preserve">Sapin de Nordmann</t>
  </si>
  <si>
    <t xml:space="preserve">Abies nordmanniana</t>
  </si>
  <si>
    <t xml:space="preserve">Sapin pectiné</t>
  </si>
  <si>
    <t xml:space="preserve">Abies alba</t>
  </si>
  <si>
    <t xml:space="preserve">Sapin de Vancouver</t>
  </si>
  <si>
    <t xml:space="preserve">Abies grandis</t>
  </si>
  <si>
    <t xml:space="preserve">Saule</t>
  </si>
  <si>
    <t xml:space="preserve">Salix sp.</t>
  </si>
  <si>
    <t xml:space="preserve">Séquoia géant</t>
  </si>
  <si>
    <t xml:space="preserve">Sequoiadendron giganteum</t>
  </si>
  <si>
    <t xml:space="preserve">FCBA, 2013</t>
  </si>
  <si>
    <t xml:space="preserve">Séquoia toujours vert</t>
  </si>
  <si>
    <t xml:space="preserve">Sequoia sempervirens</t>
  </si>
  <si>
    <t xml:space="preserve">Thuya géant</t>
  </si>
  <si>
    <t xml:space="preserve">Thuja plicata</t>
  </si>
  <si>
    <t xml:space="preserve">Tilleul</t>
  </si>
  <si>
    <t xml:space="preserve">Tilia sp.</t>
  </si>
  <si>
    <t xml:space="preserve">Tremble</t>
  </si>
  <si>
    <t xml:space="preserve">Populus tremula</t>
  </si>
  <si>
    <t xml:space="preserve">Assimilation au peuplier</t>
  </si>
  <si>
    <t xml:space="preserve">Tulipier de Virginie</t>
  </si>
  <si>
    <t xml:space="preserve">Liriodendron tulipifera</t>
  </si>
  <si>
    <t xml:space="preserve">Xinhao Feng et al., 2021</t>
  </si>
  <si>
    <t xml:space="preserve">Feuillus (moyenne)</t>
  </si>
  <si>
    <t xml:space="preserve">CALCUL DES REA, REI et REE GÉNÉRABLES PAR LE PROJET</t>
  </si>
  <si>
    <t xml:space="preserve">Essences</t>
  </si>
  <si>
    <t xml:space="preserve">Surface 
(ha)</t>
  </si>
  <si>
    <t xml:space="preserve">Stock biomasse 
(tCO₂/ha)</t>
  </si>
  <si>
    <t xml:space="preserve">REA forêt avant rabais (tCO₂)</t>
  </si>
  <si>
    <t xml:space="preserve">REA forêt après rabais (tCO₂)</t>
  </si>
  <si>
    <t xml:space="preserve">REA produits 
bois avant rabais (tCO₂)</t>
  </si>
  <si>
    <t xml:space="preserve">REA produits 
bois après rabais (tCO₂)</t>
  </si>
  <si>
    <t xml:space="preserve">REI substitution avant rabais 
(tCO₂)</t>
  </si>
  <si>
    <t xml:space="preserve">REI substitution après rabais 
(tCO₂)</t>
  </si>
  <si>
    <t xml:space="preserve">REE après 
rabais (tCO₂)</t>
  </si>
  <si>
    <t xml:space="preserve">Prendre les valeurs avant et après rabais dans la dernière ligne du tableau et les reporter 
dans le Document descriptif de projet</t>
  </si>
  <si>
    <t xml:space="preserve">ANALYSE ÉCONOMIQUE</t>
  </si>
  <si>
    <t xml:space="preserve">Seules les cellules en jaune doivent être remplies</t>
  </si>
  <si>
    <t xml:space="preserve">Taux d'actualisation</t>
  </si>
  <si>
    <t xml:space="preserve"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</si>
  <si>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</si>
  <si>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</si>
  <si>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 xml:space="preserve">VAN (€/ha)</t>
  </si>
  <si>
    <t xml:space="preserve">Surface (ha)</t>
  </si>
  <si>
    <t xml:space="preserve">VAN (€)</t>
  </si>
  <si>
    <t xml:space="preserve">pour les différentes années.</t>
  </si>
  <si>
    <t xml:space="preserve">aux essences, pour les différentes années.</t>
  </si>
  <si>
    <t xml:space="preserve">NB : coûts imputables à l'essence = achats des plants, opération de plantation, éclaircies, etc.</t>
  </si>
  <si>
    <t xml:space="preserve">NB : coûts non imputables aux essences = préparation de la parcelle, protections, assurance, etc.</t>
  </si>
  <si>
    <t xml:space="preserve">Si scénarios 2, 3, 4 ou 5, remplir les cases jaunes</t>
  </si>
  <si>
    <t xml:space="preserve">Aide publique (€/ha)</t>
  </si>
  <si>
    <t xml:space="preserve">NB : Indiquer le numéro de l'année à partir du début du projet et non l'année réelle (ex: année 1 et non année 2022)</t>
  </si>
  <si>
    <t xml:space="preserve">Volume bois fort prélevé (m³/ha)</t>
  </si>
  <si>
    <t xml:space="preserve">Prix unitaire (€/m³)</t>
  </si>
  <si>
    <t xml:space="preserve">Recettes</t>
  </si>
  <si>
    <t xml:space="preserve">Coûts (€/ha)</t>
  </si>
  <si>
    <t xml:space="preserve">Âge de récolte des accrus</t>
  </si>
  <si>
    <t xml:space="preserve">Volume (m³/ha)</t>
  </si>
  <si>
    <t xml:space="preserve">Coût du boisement/reboisement (€/ha)</t>
  </si>
  <si>
    <t xml:space="preserve">Recettes (€/ha)</t>
  </si>
  <si>
    <t xml:space="preserve">Si scénario 1, remplir la case jaune</t>
  </si>
  <si>
    <t xml:space="preserve">VAN scénario de projet</t>
  </si>
  <si>
    <t xml:space="preserve">VAN scénario de référence</t>
  </si>
  <si>
    <t xml:space="preserve">Recettes nettes déclarées par le Porteur de projet (€/ha)</t>
  </si>
  <si>
    <t xml:space="preserve">ΔVAN</t>
  </si>
  <si>
    <t xml:space="preserve">Par défaut le calcul économique des recettes nettes du Porteur de projet sera établi sur la durée de révolution la plus courte parmi les essences de projet</t>
  </si>
  <si>
    <t xml:space="preserve">Additionnalité économique</t>
  </si>
  <si>
    <t xml:space="preserve">Reprendre les valeurs du tableau dans le Document descriptif de projet</t>
  </si>
  <si>
    <t xml:space="preserve">VAN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</si>
</sst>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0\ %"/>
    <numFmt numFmtId="166" formatCode="0.00"/>
    <numFmt numFmtId="167" formatCode="0"/>
    <numFmt numFmtId="168" formatCode="General"/>
    <numFmt numFmtId="169" formatCode="0.0"/>
    <numFmt numFmtId="170" formatCode="0.0%"/>
    <numFmt numFmtId="171" formatCode="#,##0&quot; €&quot;"/>
    <numFmt numFmtId="172" formatCode="#,##0.0&quot; €&quot;"/>
    <numFmt numFmtId="173" formatCode="#,##0.00&quot; €&quot;"/>
  </numFmts>
  <fonts count="3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u val="single"/>
      <sz val="11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i val="true"/>
      <u val="single"/>
      <sz val="16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i val="true"/>
      <sz val="11"/>
      <color rgb="FF2F5597"/>
      <name val="Calibri"/>
      <family val="2"/>
      <charset val="1"/>
    </font>
    <font>
      <b val="true"/>
      <i val="true"/>
      <u val="singl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u val="single"/>
      <sz val="16"/>
      <name val="Calibri"/>
      <family val="2"/>
      <charset val="1"/>
    </font>
    <font>
      <b val="true"/>
      <i val="true"/>
      <sz val="11"/>
      <color rgb="FF0070C0"/>
      <name val="Calibri"/>
      <family val="2"/>
      <charset val="1"/>
    </font>
    <font>
      <b val="true"/>
      <sz val="11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b val="true"/>
      <i val="true"/>
      <sz val="10"/>
      <color rgb="FF2F5597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2F5597"/>
      <name val="Calibri"/>
      <family val="2"/>
      <charset val="1"/>
    </font>
    <font>
      <b val="true"/>
      <u val="single"/>
      <sz val="11"/>
      <color rgb="FF2F5597"/>
      <name val="Calibri"/>
      <family val="2"/>
      <charset val="1"/>
    </font>
    <font>
      <b val="true"/>
      <sz val="10"/>
      <color rgb="FFFF0000"/>
      <name val="Calibri"/>
      <family val="2"/>
      <charset val="1"/>
    </font>
    <font>
      <b val="true"/>
      <i val="true"/>
      <sz val="11"/>
      <color rgb="FFFF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1"/>
      <color rgb="FF2E75B6"/>
      <name val="Calibri"/>
      <family val="2"/>
      <charset val="1"/>
    </font>
    <font>
      <b val="true"/>
      <sz val="16"/>
      <color rgb="FF000000"/>
      <name val="Calibri"/>
      <family val="2"/>
    </font>
    <font>
      <sz val="9"/>
      <color rgb="FF000000"/>
      <name val="Calibri"/>
      <family val="2"/>
    </font>
    <font>
      <b val="true"/>
      <sz val="9"/>
      <color rgb="FF000000"/>
      <name val="Calibri"/>
      <family val="2"/>
    </font>
    <font>
      <b val="true"/>
      <sz val="11"/>
      <color rgb="FF2F5597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A9D18E"/>
        <bgColor rgb="FFC5E0B4"/>
      </patternFill>
    </fill>
    <fill>
      <patternFill patternType="solid">
        <fgColor rgb="FFFFFF99"/>
        <bgColor rgb="FFE2F0D9"/>
      </patternFill>
    </fill>
    <fill>
      <patternFill patternType="solid">
        <fgColor rgb="FFFFC000"/>
        <bgColor rgb="FFFFD966"/>
      </patternFill>
    </fill>
    <fill>
      <patternFill patternType="solid">
        <fgColor rgb="FFFF0000"/>
        <bgColor rgb="FF993300"/>
      </patternFill>
    </fill>
    <fill>
      <patternFill patternType="solid">
        <fgColor rgb="FFFFD966"/>
        <bgColor rgb="FFF8CBAD"/>
      </patternFill>
    </fill>
    <fill>
      <patternFill patternType="solid">
        <fgColor rgb="FFC5E0B4"/>
        <bgColor rgb="FFBDD7EE"/>
      </patternFill>
    </fill>
    <fill>
      <patternFill patternType="solid">
        <fgColor rgb="FFF4B183"/>
        <bgColor rgb="FFF8CBAD"/>
      </patternFill>
    </fill>
    <fill>
      <patternFill patternType="solid">
        <fgColor rgb="FFE2F0D9"/>
        <bgColor rgb="FFE7E6E6"/>
      </patternFill>
    </fill>
    <fill>
      <patternFill patternType="solid">
        <fgColor rgb="FFBDD7EE"/>
        <bgColor rgb="FFC5E0B4"/>
      </patternFill>
    </fill>
    <fill>
      <patternFill patternType="solid">
        <fgColor rgb="FF9DC3E6"/>
        <bgColor rgb="FFADB9CA"/>
      </patternFill>
    </fill>
    <fill>
      <patternFill patternType="solid">
        <fgColor rgb="FF92D050"/>
        <bgColor rgb="FFA9D18E"/>
      </patternFill>
    </fill>
    <fill>
      <patternFill patternType="solid">
        <fgColor rgb="FFFFFF00"/>
        <bgColor rgb="FFFFD966"/>
      </patternFill>
    </fill>
    <fill>
      <patternFill patternType="solid">
        <fgColor rgb="FFBF9000"/>
        <bgColor rgb="FF808000"/>
      </patternFill>
    </fill>
    <fill>
      <patternFill patternType="solid">
        <fgColor rgb="FF385724"/>
        <bgColor rgb="FF333300"/>
      </patternFill>
    </fill>
    <fill>
      <patternFill patternType="solid">
        <fgColor rgb="FFF8CBAD"/>
        <bgColor rgb="FFF4B183"/>
      </patternFill>
    </fill>
    <fill>
      <patternFill patternType="solid">
        <fgColor rgb="FF00B050"/>
        <bgColor rgb="FF008080"/>
      </patternFill>
    </fill>
    <fill>
      <patternFill patternType="solid">
        <fgColor rgb="FF8FAADC"/>
        <bgColor rgb="FF9DC3E6"/>
      </patternFill>
    </fill>
    <fill>
      <patternFill patternType="solid">
        <fgColor rgb="FFF2F2F2"/>
        <bgColor rgb="FFE7E6E6"/>
      </patternFill>
    </fill>
    <fill>
      <patternFill patternType="solid">
        <fgColor rgb="FFE7E6E6"/>
        <bgColor rgb="FFE0E5EB"/>
      </patternFill>
    </fill>
  </fills>
  <borders count="5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Dashed"/>
      <right/>
      <top/>
      <bottom/>
      <diagonal/>
    </border>
    <border diagonalUp="false" diagonalDown="false">
      <left/>
      <right style="mediumDashed"/>
      <top/>
      <bottom/>
      <diagonal/>
    </border>
    <border diagonalUp="false" diagonalDown="false">
      <left/>
      <right style="dashed"/>
      <top/>
      <bottom/>
      <diagonal/>
    </border>
    <border diagonalUp="false" diagonalDown="false">
      <left style="dashed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7" fillId="3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9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0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1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2" fillId="0" borderId="3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3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5" fillId="0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7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4" fontId="1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8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9" fillId="2" borderId="2" xfId="2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5" fontId="0" fillId="3" borderId="2" xfId="19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6" fontId="0" fillId="2" borderId="2" xfId="19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3" borderId="2" xfId="19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7" fontId="20" fillId="4" borderId="2" xfId="19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1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0" fillId="0" borderId="0" xfId="19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6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4" fillId="4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20" fillId="4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5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10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4" fontId="22" fillId="5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3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12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2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5" fontId="1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4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true"/>
    </xf>
    <xf numFmtId="164" fontId="2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8" fontId="12" fillId="2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21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1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4" fillId="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3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20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20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3" borderId="2" xfId="19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8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9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8" fontId="12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6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0" fillId="3" borderId="2" xfId="19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20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9" fontId="23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20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7" fontId="20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7" fontId="20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5" fontId="20" fillId="3" borderId="2" xfId="19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5" fontId="20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26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2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4" fontId="9" fillId="2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false" hidden="tru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tru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false" hidden="false"/>
    </xf>
    <xf numFmtId="164" fontId="29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0" fillId="3" borderId="2" xfId="19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6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7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8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7" fillId="4" borderId="2" xfId="19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7" fillId="4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4" fontId="0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9" fillId="11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9" fillId="12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9" fillId="12" borderId="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11" borderId="1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1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1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2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2" borderId="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2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1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7" borderId="1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7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8" fontId="0" fillId="11" borderId="13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9" fontId="0" fillId="11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9" fontId="0" fillId="11" borderId="1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9" fontId="0" fillId="12" borderId="13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9" fontId="0" fillId="12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12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8" fontId="0" fillId="12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7" fontId="0" fillId="12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8" fontId="0" fillId="7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0" fillId="7" borderId="0" xfId="19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0" fillId="7" borderId="1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12" borderId="13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12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8" fontId="0" fillId="12" borderId="13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9" fontId="0" fillId="11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9" fontId="0" fillId="12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9" fontId="0" fillId="7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9" fontId="0" fillId="7" borderId="1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9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9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4" fillId="13" borderId="1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0" fillId="0" borderId="0" xfId="19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13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0" fillId="13" borderId="7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8" fontId="0" fillId="13" borderId="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1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2" borderId="1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2" borderId="1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0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8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19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5" fontId="0" fillId="0" borderId="20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14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0" fillId="6" borderId="21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5" fontId="0" fillId="6" borderId="25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5" fontId="0" fillId="6" borderId="24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0" fillId="0" borderId="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2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26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7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27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25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15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16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4" fillId="16" borderId="2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14" fillId="17" borderId="16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4" borderId="1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4" borderId="1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8" borderId="29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18" borderId="2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8" fontId="14" fillId="16" borderId="3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14" fillId="16" borderId="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2" borderId="23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3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31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0" borderId="3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0" borderId="5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3" borderId="33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8" fontId="14" fillId="16" borderId="2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14" fillId="16" borderId="3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2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4" fillId="16" borderId="2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14" fillId="16" borderId="3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2" borderId="27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2" borderId="36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37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4" borderId="38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0" borderId="39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0" borderId="4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7" fontId="0" fillId="13" borderId="40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6" fontId="14" fillId="0" borderId="0" xfId="0" applyFont="true" applyBorder="false" applyAlignment="true" applyProtection="true">
      <alignment horizontal="center" vertical="bottom" textRotation="0" wrapText="false" indent="0" shrinkToFit="false"/>
      <protection locked="false" hidden="true"/>
    </xf>
    <xf numFmtId="167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true"/>
    </xf>
    <xf numFmtId="167" fontId="14" fillId="17" borderId="15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4" fillId="17" borderId="1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4" fillId="14" borderId="1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4" fillId="18" borderId="1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14" fillId="13" borderId="1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41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8" fontId="14" fillId="16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70" fontId="14" fillId="2" borderId="4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0" fillId="19" borderId="1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19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1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19" borderId="9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0" fillId="19" borderId="43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0" fillId="20" borderId="12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0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0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20" borderId="9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20" borderId="43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19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0" fontId="1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44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0" fillId="0" borderId="45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0" fillId="0" borderId="46" xfId="0" applyFont="false" applyBorder="true" applyAlignment="false" applyProtection="true">
      <alignment horizontal="general" vertical="bottom" textRotation="0" wrapText="false" indent="0" shrinkToFit="false"/>
      <protection locked="false" hidden="true"/>
    </xf>
    <xf numFmtId="171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2" fontId="0" fillId="9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6" fontId="0" fillId="9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72" fontId="23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8" fontId="33" fillId="2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3" xfId="0" applyFont="true" applyBorder="true" applyAlignment="false" applyProtection="true">
      <alignment horizontal="general" vertical="bottom" textRotation="0" wrapText="false" indent="0" shrinkToFit="false"/>
      <protection locked="false" hidden="true"/>
    </xf>
    <xf numFmtId="164" fontId="0" fillId="0" borderId="44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0" fillId="0" borderId="45" xfId="0" applyFont="fals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21" fillId="0" borderId="47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7" fontId="0" fillId="3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0" fillId="3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1" fontId="0" fillId="3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71" fontId="0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3" borderId="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8" fontId="23" fillId="2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8" fontId="0" fillId="2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72" fontId="23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0" fillId="0" borderId="46" xfId="0" applyFont="false" applyBorder="true" applyAlignment="true" applyProtection="true">
      <alignment horizontal="center" vertical="center" textRotation="0" wrapText="false" indent="0" shrinkToFit="false"/>
      <protection locked="false" hidden="true"/>
    </xf>
    <xf numFmtId="173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72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2" xfId="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4" fontId="1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48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1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true"/>
    </xf>
    <xf numFmtId="164" fontId="12" fillId="0" borderId="44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3" fontId="14" fillId="2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0" fillId="0" borderId="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0" fillId="0" borderId="2" xfId="0" applyFont="fals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2" fillId="0" borderId="4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tru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4" fontId="12" fillId="0" borderId="4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true"/>
    </xf>
    <xf numFmtId="171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true"/>
    </xf>
    <xf numFmtId="164" fontId="14" fillId="0" borderId="46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0" fillId="0" borderId="44" xfId="0" applyFont="false" applyBorder="true" applyAlignment="true" applyProtection="true">
      <alignment horizontal="general" vertical="bottom" textRotation="0" wrapText="true" indent="0" shrinkToFit="false"/>
      <protection locked="false" hidden="true"/>
    </xf>
    <xf numFmtId="164" fontId="0" fillId="0" borderId="45" xfId="0" applyFont="false" applyBorder="true" applyAlignment="true" applyProtection="true">
      <alignment horizontal="general" vertical="bottom" textRotation="0" wrapText="tru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false" hidden="false"/>
    </xf>
    <xf numFmtId="171" fontId="0" fillId="0" borderId="46" xfId="0" applyFont="false" applyBorder="true" applyAlignment="true" applyProtection="true">
      <alignment horizontal="center" vertical="bottom" textRotation="0" wrapText="false" indent="0" shrinkToFit="false"/>
      <protection locked="false" hidden="true"/>
    </xf>
    <xf numFmtId="171" fontId="0" fillId="0" borderId="0" xfId="0" applyFont="false" applyBorder="false" applyAlignment="true" applyProtection="true">
      <alignment horizontal="center" vertical="bottom" textRotation="0" wrapText="false" indent="0" shrinkToFit="false"/>
      <protection locked="false" hidden="true"/>
    </xf>
    <xf numFmtId="172" fontId="0" fillId="0" borderId="0" xfId="0" applyFont="false" applyBorder="false" applyAlignment="true" applyProtection="true">
      <alignment horizontal="center" vertical="center" textRotation="0" wrapText="false" indent="0" shrinkToFit="false"/>
      <protection locked="false" hidden="true"/>
    </xf>
    <xf numFmtId="172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true"/>
    </xf>
    <xf numFmtId="164" fontId="0" fillId="3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70C0"/>
      <rgbColor rgb="FFADB9CA"/>
      <rgbColor rgb="FF808080"/>
      <rgbColor rgb="FF8FAADC"/>
      <rgbColor rgb="FF993366"/>
      <rgbColor rgb="FFF2F2F2"/>
      <rgbColor rgb="FFE0E5EB"/>
      <rgbColor rgb="FF660066"/>
      <rgbColor rgb="FFFF8080"/>
      <rgbColor rgb="FF0563C1"/>
      <rgbColor rgb="FFBDD7EE"/>
      <rgbColor rgb="FF000080"/>
      <rgbColor rgb="FFFF00FF"/>
      <rgbColor rgb="FFFFD966"/>
      <rgbColor rgb="FF00FFFF"/>
      <rgbColor rgb="FF800080"/>
      <rgbColor rgb="FF800000"/>
      <rgbColor rgb="FF008080"/>
      <rgbColor rgb="FF0000FF"/>
      <rgbColor rgb="FF00CCFF"/>
      <rgbColor rgb="FFE7E6E6"/>
      <rgbColor rgb="FFE2F0D9"/>
      <rgbColor rgb="FFFFFF99"/>
      <rgbColor rgb="FF9DC3E6"/>
      <rgbColor rgb="FFF4B183"/>
      <rgbColor rgb="FFC5E0B4"/>
      <rgbColor rgb="FFF8CBAD"/>
      <rgbColor rgb="FF2E75B6"/>
      <rgbColor rgb="FF33CCCC"/>
      <rgbColor rgb="FF92D050"/>
      <rgbColor rgb="FFFFC000"/>
      <rgbColor rgb="FFBF9000"/>
      <rgbColor rgb="FFFF6600"/>
      <rgbColor rgb="FF666699"/>
      <rgbColor rgb="FFA9D18E"/>
      <rgbColor rgb="FF003366"/>
      <rgbColor rgb="FF00B050"/>
      <rgbColor rgb="FF003300"/>
      <rgbColor rgb="FF333300"/>
      <rgbColor rgb="FF993300"/>
      <rgbColor rgb="FF993366"/>
      <rgbColor rgb="FF2F5597"/>
      <rgbColor rgb="FF38572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1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General</c:formatCode>
                <c:ptCount val="201"/>
                <c:pt idx="0">
                  <c:v>0</c:v>
                </c:pt>
                <c:pt idx="1">
                  <c:v>1.56308557740684</c:v>
                </c:pt>
                <c:pt idx="2">
                  <c:v>1.99414057541043</c:v>
                </c:pt>
                <c:pt idx="3">
                  <c:v>2.54455050691021</c:v>
                </c:pt>
                <c:pt idx="4">
                  <c:v>3.24748981124555</c:v>
                </c:pt>
                <c:pt idx="5">
                  <c:v>4.14538660217133</c:v>
                </c:pt>
                <c:pt idx="6">
                  <c:v>5.29251243621978</c:v>
                </c:pt>
                <c:pt idx="7">
                  <c:v>6.7582990763749</c:v>
                </c:pt>
                <c:pt idx="8">
                  <c:v>8.63158690283382</c:v>
                </c:pt>
                <c:pt idx="9">
                  <c:v>11.0260673796697</c:v>
                </c:pt>
                <c:pt idx="10">
                  <c:v>14.0872560811654</c:v>
                </c:pt>
                <c:pt idx="11">
                  <c:v>18.0014278456454</c:v>
                </c:pt>
                <c:pt idx="12">
                  <c:v>23.0070676042205</c:v>
                </c:pt>
                <c:pt idx="13">
                  <c:v>29.4095469627643</c:v>
                </c:pt>
                <c:pt idx="14">
                  <c:v>37.5999375035705</c:v>
                </c:pt>
                <c:pt idx="15">
                  <c:v>48.079129612238</c:v>
                </c:pt>
                <c:pt idx="16">
                  <c:v>61.4887566008221</c:v>
                </c:pt>
                <c:pt idx="17">
                  <c:v>78.6508487674356</c:v>
                </c:pt>
                <c:pt idx="18">
                  <c:v>100.618687495581</c:v>
                </c:pt>
                <c:pt idx="19">
                  <c:v>128.742029842045</c:v>
                </c:pt>
                <c:pt idx="20">
                  <c:v>164.750773343122</c:v>
                </c:pt>
                <c:pt idx="21">
                  <c:v>133.885549695771</c:v>
                </c:pt>
                <c:pt idx="22">
                  <c:v>143.273555501685</c:v>
                </c:pt>
                <c:pt idx="23">
                  <c:v>152.646830158388</c:v>
                </c:pt>
                <c:pt idx="24">
                  <c:v>162.006406892728</c:v>
                </c:pt>
                <c:pt idx="25">
                  <c:v>171.35318959873</c:v>
                </c:pt>
                <c:pt idx="26">
                  <c:v>180.687975355836</c:v>
                </c:pt>
                <c:pt idx="27">
                  <c:v>190.011472040267</c:v>
                </c:pt>
                <c:pt idx="28">
                  <c:v>199.324312292194</c:v>
                </c:pt>
                <c:pt idx="29">
                  <c:v>208.627064731426</c:v>
                </c:pt>
                <c:pt idx="30">
                  <c:v>217.920243064762</c:v>
                </c:pt>
                <c:pt idx="31">
                  <c:v>160.176218783068</c:v>
                </c:pt>
                <c:pt idx="32">
                  <c:v>170.337829552805</c:v>
                </c:pt>
                <c:pt idx="33">
                  <c:v>180.485167690238</c:v>
                </c:pt>
                <c:pt idx="34">
                  <c:v>190.619149549101</c:v>
                </c:pt>
                <c:pt idx="35">
                  <c:v>200.74058596732</c:v>
                </c:pt>
                <c:pt idx="36">
                  <c:v>210.850199241639</c:v>
                </c:pt>
                <c:pt idx="37">
                  <c:v>220.94863667101</c:v>
                </c:pt>
                <c:pt idx="38">
                  <c:v>231.036481490741</c:v>
                </c:pt>
                <c:pt idx="39">
                  <c:v>241.114261794476</c:v>
                </c:pt>
                <c:pt idx="40">
                  <c:v>251.182457884678</c:v>
                </c:pt>
                <c:pt idx="41">
                  <c:v>192.138146204578</c:v>
                </c:pt>
                <c:pt idx="42">
                  <c:v>203.774680583771</c:v>
                </c:pt>
                <c:pt idx="43">
                  <c:v>215.395842835934</c:v>
                </c:pt>
                <c:pt idx="44">
                  <c:v>227.002579734894</c:v>
                </c:pt>
                <c:pt idx="45">
                  <c:v>238.595733244905</c:v>
                </c:pt>
                <c:pt idx="46">
                  <c:v>250.176056762559</c:v>
                </c:pt>
                <c:pt idx="47">
                  <c:v>261.744228190484</c:v>
                </c:pt>
                <c:pt idx="48">
                  <c:v>273.300860576445</c:v>
                </c:pt>
                <c:pt idx="49">
                  <c:v>284.846510857131</c:v>
                </c:pt>
                <c:pt idx="50">
                  <c:v>296.381687108995</c:v>
                </c:pt>
                <c:pt idx="51">
                  <c:v>234.564823906634</c:v>
                </c:pt>
                <c:pt idx="52">
                  <c:v>248.162978553063</c:v>
                </c:pt>
                <c:pt idx="53">
                  <c:v>261.744228190484</c:v>
                </c:pt>
                <c:pt idx="54">
                  <c:v>275.309573768599</c:v>
                </c:pt>
                <c:pt idx="55">
                  <c:v>288.859909499752</c:v>
                </c:pt>
                <c:pt idx="56">
                  <c:v>302.396038820809</c:v>
                </c:pt>
                <c:pt idx="57">
                  <c:v>315.918687345483</c:v>
                </c:pt>
                <c:pt idx="58">
                  <c:v>329.428513481692</c:v>
                </c:pt>
                <c:pt idx="59">
                  <c:v>342.926117215339</c:v>
                </c:pt>
                <c:pt idx="60">
                  <c:v>356.412047438338</c:v>
                </c:pt>
                <c:pt idx="61">
                  <c:v>291.86913926751</c:v>
                </c:pt>
                <c:pt idx="62">
                  <c:v>307.405962570296</c:v>
                </c:pt>
                <c:pt idx="63">
                  <c:v>322.925343794518</c:v>
                </c:pt>
                <c:pt idx="64">
                  <c:v>338.428239154024</c:v>
                </c:pt>
                <c:pt idx="65">
                  <c:v>353.915510103844</c:v>
                </c:pt>
                <c:pt idx="66">
                  <c:v>369.387936553218</c:v>
                </c:pt>
                <c:pt idx="67">
                  <c:v>384.84622774858</c:v>
                </c:pt>
                <c:pt idx="68">
                  <c:v>400.291031316349</c:v>
                </c:pt>
                <c:pt idx="69">
                  <c:v>415.722940837115</c:v>
                </c:pt>
                <c:pt idx="70">
                  <c:v>431.14250223647</c:v>
                </c:pt>
                <c:pt idx="71">
                  <c:v>361.403976348167</c:v>
                </c:pt>
                <c:pt idx="72">
                  <c:v>378.365396628426</c:v>
                </c:pt>
                <c:pt idx="73">
                  <c:v>395.310273009897</c:v>
                </c:pt>
                <c:pt idx="74">
                  <c:v>412.239414236522</c:v>
                </c:pt>
                <c:pt idx="75">
                  <c:v>429.153557228189</c:v>
                </c:pt>
                <c:pt idx="76">
                  <c:v>446.053376097333</c:v>
                </c:pt>
                <c:pt idx="77">
                  <c:v>462.939489727955</c:v>
                </c:pt>
                <c:pt idx="78">
                  <c:v>479.81246819139</c:v>
                </c:pt>
                <c:pt idx="79">
                  <c:v>496.672838212796</c:v>
                </c:pt>
                <c:pt idx="80">
                  <c:v>513.521087856922</c:v>
                </c:pt>
                <c:pt idx="81">
                  <c:v>438.599298553646</c:v>
                </c:pt>
                <c:pt idx="82">
                  <c:v>455.988006332319</c:v>
                </c:pt>
                <c:pt idx="83">
                  <c:v>473.362551811218</c:v>
                </c:pt>
                <c:pt idx="84">
                  <c:v>490.723527730981</c:v>
                </c:pt>
                <c:pt idx="85">
                  <c:v>508.071481492529</c:v>
                </c:pt>
                <c:pt idx="86">
                  <c:v>525.406920086671</c:v>
                </c:pt>
                <c:pt idx="87">
                  <c:v>542.730314339481</c:v>
                </c:pt>
                <c:pt idx="88">
                  <c:v>560.042102587686</c:v>
                </c:pt>
                <c:pt idx="89">
                  <c:v>577.342693876158</c:v>
                </c:pt>
                <c:pt idx="90">
                  <c:v>594.632470752423</c:v>
                </c:pt>
                <c:pt idx="91">
                  <c:v>515.997777151643</c:v>
                </c:pt>
                <c:pt idx="92">
                  <c:v>534.317570232103</c:v>
                </c:pt>
                <c:pt idx="93">
                  <c:v>552.624159038023</c:v>
                </c:pt>
                <c:pt idx="94">
                  <c:v>570.918042254266</c:v>
                </c:pt>
                <c:pt idx="95">
                  <c:v>589.199684024292</c:v>
                </c:pt>
                <c:pt idx="96">
                  <c:v>607.469517362025</c:v>
                </c:pt>
                <c:pt idx="97">
                  <c:v>625.727947132178</c:v>
                </c:pt>
                <c:pt idx="98">
                  <c:v>643.975352664863</c:v>
                </c:pt>
                <c:pt idx="99">
                  <c:v>662.21209005867</c:v>
                </c:pt>
                <c:pt idx="100">
                  <c:v>680.438494217038</c:v>
                </c:pt>
              </c:numCache>
            </c:numRef>
          </c:yVal>
          <c:smooth val="0"/>
        </c:ser>
        <c:axId val="93796070"/>
        <c:axId val="61976645"/>
      </c:scatterChart>
      <c:valAx>
        <c:axId val="93796070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1976645"/>
        <c:crosses val="autoZero"/>
        <c:crossBetween val="midCat"/>
      </c:valAx>
      <c:valAx>
        <c:axId val="61976645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3796070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2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General</c:formatCode>
                <c:ptCount val="201"/>
                <c:pt idx="0">
                  <c:v>0</c:v>
                </c:pt>
                <c:pt idx="1">
                  <c:v>1.7983590495427</c:v>
                </c:pt>
                <c:pt idx="2">
                  <c:v>2.22507232169269</c:v>
                </c:pt>
                <c:pt idx="3">
                  <c:v>2.7534322831542</c:v>
                </c:pt>
                <c:pt idx="4">
                  <c:v>3.40774132887631</c:v>
                </c:pt>
                <c:pt idx="5">
                  <c:v>4.21813227270995</c:v>
                </c:pt>
                <c:pt idx="6">
                  <c:v>5.22197160873936</c:v>
                </c:pt>
                <c:pt idx="7">
                  <c:v>6.4656015061108</c:v>
                </c:pt>
                <c:pt idx="8">
                  <c:v>8.00650252578378</c:v>
                </c:pt>
                <c:pt idx="9">
                  <c:v>9.91597894147469</c:v>
                </c:pt>
                <c:pt idx="10">
                  <c:v>12.2824932788188</c:v>
                </c:pt>
                <c:pt idx="11">
                  <c:v>15.2158074353416</c:v>
                </c:pt>
                <c:pt idx="12">
                  <c:v>18.8521259759008</c:v>
                </c:pt>
                <c:pt idx="13">
                  <c:v>23.3604847386991</c:v>
                </c:pt>
                <c:pt idx="14">
                  <c:v>28.9506870064214</c:v>
                </c:pt>
                <c:pt idx="15">
                  <c:v>35.8831630209912</c:v>
                </c:pt>
                <c:pt idx="16">
                  <c:v>44.4812200649878</c:v>
                </c:pt>
                <c:pt idx="17">
                  <c:v>55.1462640737083</c:v>
                </c:pt>
                <c:pt idx="18">
                  <c:v>68.3767152251811</c:v>
                </c:pt>
                <c:pt idx="19">
                  <c:v>84.7915159594447</c:v>
                </c:pt>
                <c:pt idx="20">
                  <c:v>105.159348840076</c:v>
                </c:pt>
                <c:pt idx="21">
                  <c:v>130.43495409245</c:v>
                </c:pt>
                <c:pt idx="22">
                  <c:v>161.804275608031</c:v>
                </c:pt>
                <c:pt idx="23">
                  <c:v>200.74058596732</c:v>
                </c:pt>
                <c:pt idx="24">
                  <c:v>234.508827987348</c:v>
                </c:pt>
                <c:pt idx="25">
                  <c:v>268.165967231942</c:v>
                </c:pt>
                <c:pt idx="26">
                  <c:v>281.121836357815</c:v>
                </c:pt>
                <c:pt idx="27">
                  <c:v>310.822800845804</c:v>
                </c:pt>
                <c:pt idx="28">
                  <c:v>340.460775516032</c:v>
                </c:pt>
                <c:pt idx="29">
                  <c:v>370.042009598071</c:v>
                </c:pt>
                <c:pt idx="30">
                  <c:v>399.571671782959</c:v>
                </c:pt>
                <c:pt idx="31">
                  <c:v>379.096687439894</c:v>
                </c:pt>
                <c:pt idx="32">
                  <c:v>408.611447546029</c:v>
                </c:pt>
                <c:pt idx="33">
                  <c:v>438.080173261145</c:v>
                </c:pt>
                <c:pt idx="34">
                  <c:v>467.50639268288</c:v>
                </c:pt>
                <c:pt idx="35">
                  <c:v>496.893153929303</c:v>
                </c:pt>
                <c:pt idx="36">
                  <c:v>467.269246099045</c:v>
                </c:pt>
                <c:pt idx="37">
                  <c:v>495.708932593799</c:v>
                </c:pt>
                <c:pt idx="38">
                  <c:v>524.114062710043</c:v>
                </c:pt>
                <c:pt idx="39">
                  <c:v>552.486770122225</c:v>
                </c:pt>
                <c:pt idx="40">
                  <c:v>580.828951741447</c:v>
                </c:pt>
                <c:pt idx="41">
                  <c:v>536.64922208459</c:v>
                </c:pt>
                <c:pt idx="42">
                  <c:v>560.992549027368</c:v>
                </c:pt>
                <c:pt idx="43">
                  <c:v>585.31377902676</c:v>
                </c:pt>
                <c:pt idx="44">
                  <c:v>609.613958367296</c:v>
                </c:pt>
                <c:pt idx="45">
                  <c:v>633.89404321408</c:v>
                </c:pt>
                <c:pt idx="46">
                  <c:v>584.369664578075</c:v>
                </c:pt>
                <c:pt idx="47">
                  <c:v>602.066582858162</c:v>
                </c:pt>
                <c:pt idx="48">
                  <c:v>619.75269577861</c:v>
                </c:pt>
                <c:pt idx="49">
                  <c:v>637.42835487942</c:v>
                </c:pt>
                <c:pt idx="50">
                  <c:v>655.093890630446</c:v>
                </c:pt>
                <c:pt idx="51">
                  <c:v>620.459920590201</c:v>
                </c:pt>
                <c:pt idx="52">
                  <c:v>635.307816629258</c:v>
                </c:pt>
                <c:pt idx="53">
                  <c:v>650.148542729148</c:v>
                </c:pt>
                <c:pt idx="54">
                  <c:v>664.982285511868</c:v>
                </c:pt>
                <c:pt idx="55">
                  <c:v>679.809222599999</c:v>
                </c:pt>
                <c:pt idx="56">
                  <c:v>645.43796637299</c:v>
                </c:pt>
                <c:pt idx="57">
                  <c:v>654.622938359016</c:v>
                </c:pt>
                <c:pt idx="58">
                  <c:v>663.80525525226</c:v>
                </c:pt>
                <c:pt idx="59">
                  <c:v>672.984958951273</c:v>
                </c:pt>
                <c:pt idx="60">
                  <c:v>682.162090118623</c:v>
                </c:pt>
                <c:pt idx="61">
                  <c:v>1.86357873801686E-012</c:v>
                </c:pt>
                <c:pt idx="62">
                  <c:v>1.86357873801686E-012</c:v>
                </c:pt>
                <c:pt idx="63">
                  <c:v>1.86357873801686E-012</c:v>
                </c:pt>
                <c:pt idx="64">
                  <c:v>1.86357873801686E-012</c:v>
                </c:pt>
                <c:pt idx="65">
                  <c:v>1.86357873801686E-012</c:v>
                </c:pt>
                <c:pt idx="66">
                  <c:v>1.86357873801686E-012</c:v>
                </c:pt>
                <c:pt idx="67">
                  <c:v>1.86357873801686E-012</c:v>
                </c:pt>
                <c:pt idx="68">
                  <c:v>1.86357873801686E-012</c:v>
                </c:pt>
                <c:pt idx="69">
                  <c:v>1.86357873801686E-012</c:v>
                </c:pt>
                <c:pt idx="70">
                  <c:v>1.86357873801686E-012</c:v>
                </c:pt>
                <c:pt idx="71">
                  <c:v>1.86357873801686E-012</c:v>
                </c:pt>
                <c:pt idx="72">
                  <c:v>1.86357873801686E-012</c:v>
                </c:pt>
                <c:pt idx="73">
                  <c:v>1.86357873801686E-012</c:v>
                </c:pt>
                <c:pt idx="74">
                  <c:v>1.86357873801686E-012</c:v>
                </c:pt>
                <c:pt idx="75">
                  <c:v>1.86357873801686E-012</c:v>
                </c:pt>
                <c:pt idx="76">
                  <c:v>1.86357873801686E-012</c:v>
                </c:pt>
                <c:pt idx="77">
                  <c:v>1.86357873801686E-012</c:v>
                </c:pt>
                <c:pt idx="78">
                  <c:v>1.86357873801686E-012</c:v>
                </c:pt>
                <c:pt idx="79">
                  <c:v>1.86357873801686E-012</c:v>
                </c:pt>
                <c:pt idx="80">
                  <c:v>1.86357873801686E-012</c:v>
                </c:pt>
                <c:pt idx="81">
                  <c:v>1.86357873801686E-012</c:v>
                </c:pt>
                <c:pt idx="82">
                  <c:v>1.86357873801686E-012</c:v>
                </c:pt>
                <c:pt idx="83">
                  <c:v>1.86357873801686E-012</c:v>
                </c:pt>
                <c:pt idx="84">
                  <c:v>1.86357873801686E-012</c:v>
                </c:pt>
                <c:pt idx="85">
                  <c:v>1.86357873801686E-012</c:v>
                </c:pt>
                <c:pt idx="86">
                  <c:v>1.86357873801686E-012</c:v>
                </c:pt>
                <c:pt idx="87">
                  <c:v>1.86357873801686E-012</c:v>
                </c:pt>
                <c:pt idx="88">
                  <c:v>1.86357873801686E-012</c:v>
                </c:pt>
                <c:pt idx="89">
                  <c:v>1.86357873801686E-012</c:v>
                </c:pt>
                <c:pt idx="90">
                  <c:v>1.86357873801686E-012</c:v>
                </c:pt>
                <c:pt idx="91">
                  <c:v>1.86357873801686E-012</c:v>
                </c:pt>
                <c:pt idx="92">
                  <c:v>1.86357873801686E-012</c:v>
                </c:pt>
                <c:pt idx="93">
                  <c:v>1.86357873801686E-012</c:v>
                </c:pt>
                <c:pt idx="94">
                  <c:v>1.86357873801686E-012</c:v>
                </c:pt>
                <c:pt idx="95">
                  <c:v>1.86357873801686E-012</c:v>
                </c:pt>
                <c:pt idx="96">
                  <c:v>1.86357873801686E-012</c:v>
                </c:pt>
                <c:pt idx="97">
                  <c:v>1.86357873801686E-012</c:v>
                </c:pt>
                <c:pt idx="98">
                  <c:v>1.86357873801686E-012</c:v>
                </c:pt>
                <c:pt idx="99">
                  <c:v>1.86357873801686E-012</c:v>
                </c:pt>
                <c:pt idx="100">
                  <c:v>1.86357873801686E-012</c:v>
                </c:pt>
                <c:pt idx="101">
                  <c:v>1.86357873801686E-012</c:v>
                </c:pt>
                <c:pt idx="102">
                  <c:v>1.86357873801686E-012</c:v>
                </c:pt>
                <c:pt idx="103">
                  <c:v>1.86357873801686E-012</c:v>
                </c:pt>
                <c:pt idx="104">
                  <c:v>1.86357873801686E-012</c:v>
                </c:pt>
                <c:pt idx="105">
                  <c:v>1.86357873801686E-012</c:v>
                </c:pt>
                <c:pt idx="106">
                  <c:v>1.86357873801686E-012</c:v>
                </c:pt>
                <c:pt idx="107">
                  <c:v>1.86357873801686E-012</c:v>
                </c:pt>
                <c:pt idx="108">
                  <c:v>1.86357873801686E-012</c:v>
                </c:pt>
                <c:pt idx="109">
                  <c:v>1.86357873801686E-012</c:v>
                </c:pt>
                <c:pt idx="110">
                  <c:v>1.86357873801686E-012</c:v>
                </c:pt>
                <c:pt idx="111">
                  <c:v>1.86357873801686E-012</c:v>
                </c:pt>
                <c:pt idx="112">
                  <c:v>1.86357873801686E-012</c:v>
                </c:pt>
                <c:pt idx="113">
                  <c:v>1.86357873801686E-012</c:v>
                </c:pt>
                <c:pt idx="114">
                  <c:v>1.86357873801686E-012</c:v>
                </c:pt>
                <c:pt idx="115">
                  <c:v>1.86357873801686E-012</c:v>
                </c:pt>
                <c:pt idx="116">
                  <c:v>1.86357873801686E-012</c:v>
                </c:pt>
                <c:pt idx="117">
                  <c:v>1.86357873801686E-012</c:v>
                </c:pt>
                <c:pt idx="118">
                  <c:v>1.86357873801686E-012</c:v>
                </c:pt>
                <c:pt idx="119">
                  <c:v>1.86357873801686E-012</c:v>
                </c:pt>
                <c:pt idx="120">
                  <c:v>1.86357873801686E-012</c:v>
                </c:pt>
                <c:pt idx="121">
                  <c:v>1.86357873801686E-012</c:v>
                </c:pt>
                <c:pt idx="122">
                  <c:v>1.86357873801686E-012</c:v>
                </c:pt>
                <c:pt idx="123">
                  <c:v>1.86357873801686E-012</c:v>
                </c:pt>
                <c:pt idx="124">
                  <c:v>1.86357873801686E-012</c:v>
                </c:pt>
                <c:pt idx="125">
                  <c:v>1.86357873801686E-012</c:v>
                </c:pt>
                <c:pt idx="126">
                  <c:v>1.86357873801686E-012</c:v>
                </c:pt>
                <c:pt idx="127">
                  <c:v>1.86357873801686E-012</c:v>
                </c:pt>
                <c:pt idx="128">
                  <c:v>1.86357873801686E-012</c:v>
                </c:pt>
                <c:pt idx="129">
                  <c:v>1.86357873801686E-012</c:v>
                </c:pt>
                <c:pt idx="130">
                  <c:v>1.86357873801686E-012</c:v>
                </c:pt>
                <c:pt idx="131">
                  <c:v>1.86357873801686E-012</c:v>
                </c:pt>
                <c:pt idx="132">
                  <c:v>1.86357873801686E-012</c:v>
                </c:pt>
                <c:pt idx="133">
                  <c:v>1.86357873801686E-012</c:v>
                </c:pt>
                <c:pt idx="134">
                  <c:v>1.86357873801686E-012</c:v>
                </c:pt>
                <c:pt idx="135">
                  <c:v>1.86357873801686E-012</c:v>
                </c:pt>
                <c:pt idx="136">
                  <c:v>1.86357873801686E-012</c:v>
                </c:pt>
                <c:pt idx="137">
                  <c:v>1.86357873801686E-012</c:v>
                </c:pt>
                <c:pt idx="138">
                  <c:v>1.86357873801686E-012</c:v>
                </c:pt>
                <c:pt idx="139">
                  <c:v>1.86357873801686E-012</c:v>
                </c:pt>
                <c:pt idx="140">
                  <c:v>1.86357873801686E-012</c:v>
                </c:pt>
                <c:pt idx="141">
                  <c:v>1.86357873801686E-012</c:v>
                </c:pt>
                <c:pt idx="142">
                  <c:v>1.86357873801686E-012</c:v>
                </c:pt>
                <c:pt idx="143">
                  <c:v>1.86357873801686E-012</c:v>
                </c:pt>
                <c:pt idx="144">
                  <c:v>1.86357873801686E-012</c:v>
                </c:pt>
                <c:pt idx="145">
                  <c:v>1.86357873801686E-012</c:v>
                </c:pt>
                <c:pt idx="146">
                  <c:v>1.86357873801686E-012</c:v>
                </c:pt>
                <c:pt idx="147">
                  <c:v>1.86357873801686E-012</c:v>
                </c:pt>
                <c:pt idx="148">
                  <c:v>1.86357873801686E-012</c:v>
                </c:pt>
                <c:pt idx="149">
                  <c:v>1.86357873801686E-012</c:v>
                </c:pt>
                <c:pt idx="150">
                  <c:v>1.86357873801686E-012</c:v>
                </c:pt>
                <c:pt idx="151">
                  <c:v>1.86357873801686E-012</c:v>
                </c:pt>
                <c:pt idx="152">
                  <c:v>1.86357873801686E-012</c:v>
                </c:pt>
                <c:pt idx="153">
                  <c:v>1.86357873801686E-012</c:v>
                </c:pt>
                <c:pt idx="154">
                  <c:v>1.86357873801686E-012</c:v>
                </c:pt>
                <c:pt idx="155">
                  <c:v>1.86357873801686E-012</c:v>
                </c:pt>
                <c:pt idx="156">
                  <c:v>1.86357873801686E-012</c:v>
                </c:pt>
                <c:pt idx="157">
                  <c:v>1.86357873801686E-012</c:v>
                </c:pt>
                <c:pt idx="158">
                  <c:v>1.86357873801686E-012</c:v>
                </c:pt>
                <c:pt idx="159">
                  <c:v>1.86357873801686E-012</c:v>
                </c:pt>
                <c:pt idx="160">
                  <c:v>1.86357873801686E-012</c:v>
                </c:pt>
                <c:pt idx="161">
                  <c:v>1.86357873801686E-012</c:v>
                </c:pt>
                <c:pt idx="162">
                  <c:v>1.86357873801686E-012</c:v>
                </c:pt>
                <c:pt idx="163">
                  <c:v>1.86357873801686E-012</c:v>
                </c:pt>
                <c:pt idx="164">
                  <c:v>1.86357873801686E-012</c:v>
                </c:pt>
                <c:pt idx="165">
                  <c:v>1.86357873801686E-012</c:v>
                </c:pt>
                <c:pt idx="166">
                  <c:v>1.86357873801686E-012</c:v>
                </c:pt>
                <c:pt idx="167">
                  <c:v>1.86357873801686E-012</c:v>
                </c:pt>
                <c:pt idx="168">
                  <c:v>1.86357873801686E-012</c:v>
                </c:pt>
                <c:pt idx="169">
                  <c:v>1.86357873801686E-012</c:v>
                </c:pt>
                <c:pt idx="170">
                  <c:v>1.86357873801686E-012</c:v>
                </c:pt>
                <c:pt idx="171">
                  <c:v>1.86357873801686E-012</c:v>
                </c:pt>
                <c:pt idx="172">
                  <c:v>1.86357873801686E-012</c:v>
                </c:pt>
                <c:pt idx="173">
                  <c:v>1.86357873801686E-012</c:v>
                </c:pt>
                <c:pt idx="174">
                  <c:v>1.86357873801686E-012</c:v>
                </c:pt>
                <c:pt idx="175">
                  <c:v>1.86357873801686E-012</c:v>
                </c:pt>
                <c:pt idx="176">
                  <c:v>1.86357873801686E-012</c:v>
                </c:pt>
                <c:pt idx="177">
                  <c:v>1.86357873801686E-012</c:v>
                </c:pt>
                <c:pt idx="178">
                  <c:v>1.86357873801686E-012</c:v>
                </c:pt>
                <c:pt idx="179">
                  <c:v>1.86357873801686E-012</c:v>
                </c:pt>
                <c:pt idx="180">
                  <c:v>1.86357873801686E-012</c:v>
                </c:pt>
                <c:pt idx="181">
                  <c:v>1.86357873801686E-012</c:v>
                </c:pt>
                <c:pt idx="182">
                  <c:v>1.86357873801686E-012</c:v>
                </c:pt>
                <c:pt idx="183">
                  <c:v>1.86357873801686E-012</c:v>
                </c:pt>
                <c:pt idx="184">
                  <c:v>1.86357873801686E-012</c:v>
                </c:pt>
                <c:pt idx="185">
                  <c:v>1.86357873801686E-012</c:v>
                </c:pt>
                <c:pt idx="186">
                  <c:v>1.86357873801686E-012</c:v>
                </c:pt>
                <c:pt idx="187">
                  <c:v>1.86357873801686E-012</c:v>
                </c:pt>
                <c:pt idx="188">
                  <c:v>1.86357873801686E-012</c:v>
                </c:pt>
                <c:pt idx="189">
                  <c:v>1.86357873801686E-012</c:v>
                </c:pt>
                <c:pt idx="190">
                  <c:v>1.86357873801686E-012</c:v>
                </c:pt>
                <c:pt idx="191">
                  <c:v>1.86357873801686E-012</c:v>
                </c:pt>
                <c:pt idx="192">
                  <c:v>1.86357873801686E-012</c:v>
                </c:pt>
                <c:pt idx="193">
                  <c:v>1.86357873801686E-012</c:v>
                </c:pt>
                <c:pt idx="194">
                  <c:v>1.86357873801686E-012</c:v>
                </c:pt>
                <c:pt idx="195">
                  <c:v>1.86357873801686E-012</c:v>
                </c:pt>
                <c:pt idx="196">
                  <c:v>1.86357873801686E-012</c:v>
                </c:pt>
                <c:pt idx="197">
                  <c:v>1.86357873801686E-012</c:v>
                </c:pt>
                <c:pt idx="198">
                  <c:v>1.86357873801686E-012</c:v>
                </c:pt>
                <c:pt idx="199">
                  <c:v>1.86357873801686E-012</c:v>
                </c:pt>
                <c:pt idx="200">
                  <c:v>1.86357873801686E-012</c:v>
                </c:pt>
              </c:numCache>
            </c:numRef>
          </c:yVal>
          <c:smooth val="0"/>
        </c:ser>
        <c:axId val="42837425"/>
        <c:axId val="57575370"/>
      </c:scatterChart>
      <c:valAx>
        <c:axId val="42837425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575370"/>
        <c:crosses val="autoZero"/>
        <c:crossBetween val="midCat"/>
      </c:valAx>
      <c:valAx>
        <c:axId val="57575370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2837425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3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General</c:formatCode>
                <c:ptCount val="201"/>
                <c:pt idx="0">
                  <c:v>0</c:v>
                </c:pt>
                <c:pt idx="1">
                  <c:v>2.97581561995575</c:v>
                </c:pt>
                <c:pt idx="2">
                  <c:v>3.96530265695903</c:v>
                </c:pt>
                <c:pt idx="3">
                  <c:v>5.28514639383991</c:v>
                </c:pt>
                <c:pt idx="4">
                  <c:v>7.04606335380913</c:v>
                </c:pt>
                <c:pt idx="5">
                  <c:v>9.3960075889199</c:v>
                </c:pt>
                <c:pt idx="6">
                  <c:v>12.5327358781419</c:v>
                </c:pt>
                <c:pt idx="7">
                  <c:v>16.7206255744579</c:v>
                </c:pt>
                <c:pt idx="8">
                  <c:v>22.3131883319226</c:v>
                </c:pt>
                <c:pt idx="9">
                  <c:v>29.7832139498048</c:v>
                </c:pt>
                <c:pt idx="10">
                  <c:v>39.7631369970953</c:v>
                </c:pt>
                <c:pt idx="11">
                  <c:v>53.0991019270277</c:v>
                </c:pt>
                <c:pt idx="12">
                  <c:v>70.9233868359387</c:v>
                </c:pt>
                <c:pt idx="13">
                  <c:v>94.7514349314171</c:v>
                </c:pt>
                <c:pt idx="14">
                  <c:v>126.611874524142</c:v>
                </c:pt>
                <c:pt idx="15">
                  <c:v>169.220768736067</c:v>
                </c:pt>
                <c:pt idx="16">
                  <c:v>156.317635335875</c:v>
                </c:pt>
                <c:pt idx="17">
                  <c:v>183.236139388988</c:v>
                </c:pt>
                <c:pt idx="18">
                  <c:v>210.062059207823</c:v>
                </c:pt>
                <c:pt idx="19">
                  <c:v>236.808890011544</c:v>
                </c:pt>
                <c:pt idx="20">
                  <c:v>263.486821685938</c:v>
                </c:pt>
                <c:pt idx="21">
                  <c:v>208.552950859658</c:v>
                </c:pt>
                <c:pt idx="22">
                  <c:v>234.55138491384</c:v>
                </c:pt>
                <c:pt idx="23">
                  <c:v>260.484035922937</c:v>
                </c:pt>
                <c:pt idx="24">
                  <c:v>286.358371964207</c:v>
                </c:pt>
                <c:pt idx="25">
                  <c:v>312.180400272131</c:v>
                </c:pt>
                <c:pt idx="26">
                  <c:v>254.100505617489</c:v>
                </c:pt>
                <c:pt idx="27">
                  <c:v>278.489364000913</c:v>
                </c:pt>
                <c:pt idx="28">
                  <c:v>302.830304872283</c:v>
                </c:pt>
                <c:pt idx="29">
                  <c:v>327.127719043711</c:v>
                </c:pt>
                <c:pt idx="30">
                  <c:v>351.385291811338</c:v>
                </c:pt>
                <c:pt idx="31">
                  <c:v>291.97612129761</c:v>
                </c:pt>
                <c:pt idx="32">
                  <c:v>314.797304755946</c:v>
                </c:pt>
                <c:pt idx="33">
                  <c:v>337.58182519139</c:v>
                </c:pt>
                <c:pt idx="34">
                  <c:v>360.332503503152</c:v>
                </c:pt>
                <c:pt idx="35">
                  <c:v>383.051775410712</c:v>
                </c:pt>
                <c:pt idx="36">
                  <c:v>324.886601719207</c:v>
                </c:pt>
                <c:pt idx="37">
                  <c:v>345.04466702323</c:v>
                </c:pt>
                <c:pt idx="38">
                  <c:v>365.176872619958</c:v>
                </c:pt>
                <c:pt idx="39">
                  <c:v>385.284843959598</c:v>
                </c:pt>
                <c:pt idx="40">
                  <c:v>405.370023046912</c:v>
                </c:pt>
                <c:pt idx="41">
                  <c:v>351.012383827956</c:v>
                </c:pt>
                <c:pt idx="42">
                  <c:v>369.274856957214</c:v>
                </c:pt>
                <c:pt idx="43">
                  <c:v>387.517631278867</c:v>
                </c:pt>
                <c:pt idx="44">
                  <c:v>405.741764247231</c:v>
                </c:pt>
                <c:pt idx="45">
                  <c:v>423.948210607609</c:v>
                </c:pt>
                <c:pt idx="46">
                  <c:v>373.371849035813</c:v>
                </c:pt>
                <c:pt idx="47">
                  <c:v>389.750139220204</c:v>
                </c:pt>
                <c:pt idx="48">
                  <c:v>406.113498084264</c:v>
                </c:pt>
                <c:pt idx="49">
                  <c:v>422.462611772305</c:v>
                </c:pt>
                <c:pt idx="50">
                  <c:v>438.798109003921</c:v>
                </c:pt>
                <c:pt idx="51">
                  <c:v>391.982369612317</c:v>
                </c:pt>
                <c:pt idx="52">
                  <c:v>406.485224565715</c:v>
                </c:pt>
                <c:pt idx="53">
                  <c:v>420.976900438782</c:v>
                </c:pt>
                <c:pt idx="54">
                  <c:v>435.457836202085</c:v>
                </c:pt>
                <c:pt idx="55">
                  <c:v>449.92843925373</c:v>
                </c:pt>
                <c:pt idx="56">
                  <c:v>408.715429416689</c:v>
                </c:pt>
                <c:pt idx="57">
                  <c:v>421.348338843635</c:v>
                </c:pt>
                <c:pt idx="58">
                  <c:v>433.97309421022</c:v>
                </c:pt>
                <c:pt idx="59">
                  <c:v>446.589966151698</c:v>
                </c:pt>
                <c:pt idx="60">
                  <c:v>459.199208764433</c:v>
                </c:pt>
                <c:pt idx="61">
                  <c:v>422.091194503305</c:v>
                </c:pt>
                <c:pt idx="62">
                  <c:v>433.230682330588</c:v>
                </c:pt>
                <c:pt idx="63">
                  <c:v>444.364020755694</c:v>
                </c:pt>
                <c:pt idx="64">
                  <c:v>455.491385585756</c:v>
                </c:pt>
                <c:pt idx="65">
                  <c:v>466.612943336555</c:v>
                </c:pt>
                <c:pt idx="66">
                  <c:v>433.601891682931</c:v>
                </c:pt>
                <c:pt idx="67">
                  <c:v>443.250958550508</c:v>
                </c:pt>
                <c:pt idx="68">
                  <c:v>452.895525848458</c:v>
                </c:pt>
                <c:pt idx="69">
                  <c:v>462.535702932732</c:v>
                </c:pt>
                <c:pt idx="70">
                  <c:v>472.171594227885</c:v>
                </c:pt>
                <c:pt idx="71">
                  <c:v>4.56688303657421E-012</c:v>
                </c:pt>
                <c:pt idx="72">
                  <c:v>4.56688303657421E-012</c:v>
                </c:pt>
                <c:pt idx="73">
                  <c:v>4.56688303657421E-012</c:v>
                </c:pt>
                <c:pt idx="74">
                  <c:v>4.56688303657421E-012</c:v>
                </c:pt>
                <c:pt idx="75">
                  <c:v>4.56688303657421E-012</c:v>
                </c:pt>
                <c:pt idx="76">
                  <c:v>4.56688303657421E-012</c:v>
                </c:pt>
                <c:pt idx="77">
                  <c:v>4.56688303657421E-012</c:v>
                </c:pt>
                <c:pt idx="78">
                  <c:v>4.56688303657421E-012</c:v>
                </c:pt>
                <c:pt idx="79">
                  <c:v>4.56688303657421E-012</c:v>
                </c:pt>
                <c:pt idx="80">
                  <c:v>4.56688303657421E-012</c:v>
                </c:pt>
                <c:pt idx="81">
                  <c:v>4.56688303657421E-012</c:v>
                </c:pt>
                <c:pt idx="82">
                  <c:v>4.56688303657421E-012</c:v>
                </c:pt>
                <c:pt idx="83">
                  <c:v>4.56688303657421E-012</c:v>
                </c:pt>
                <c:pt idx="84">
                  <c:v>4.56688303657421E-012</c:v>
                </c:pt>
                <c:pt idx="85">
                  <c:v>4.56688303657421E-012</c:v>
                </c:pt>
                <c:pt idx="86">
                  <c:v>4.56688303657421E-012</c:v>
                </c:pt>
                <c:pt idx="87">
                  <c:v>4.56688303657421E-012</c:v>
                </c:pt>
                <c:pt idx="88">
                  <c:v>4.56688303657421E-012</c:v>
                </c:pt>
                <c:pt idx="89">
                  <c:v>4.56688303657421E-012</c:v>
                </c:pt>
                <c:pt idx="90">
                  <c:v>4.56688303657421E-012</c:v>
                </c:pt>
                <c:pt idx="91">
                  <c:v>4.56688303657421E-012</c:v>
                </c:pt>
                <c:pt idx="92">
                  <c:v>4.56688303657421E-012</c:v>
                </c:pt>
                <c:pt idx="93">
                  <c:v>4.56688303657421E-012</c:v>
                </c:pt>
                <c:pt idx="94">
                  <c:v>4.56688303657421E-012</c:v>
                </c:pt>
                <c:pt idx="95">
                  <c:v>4.56688303657421E-012</c:v>
                </c:pt>
                <c:pt idx="96">
                  <c:v>4.56688303657421E-012</c:v>
                </c:pt>
                <c:pt idx="97">
                  <c:v>4.56688303657421E-012</c:v>
                </c:pt>
                <c:pt idx="98">
                  <c:v>4.56688303657421E-012</c:v>
                </c:pt>
                <c:pt idx="99">
                  <c:v>4.56688303657421E-012</c:v>
                </c:pt>
                <c:pt idx="100">
                  <c:v>4.56688303657421E-012</c:v>
                </c:pt>
                <c:pt idx="101">
                  <c:v>4.56688303657421E-012</c:v>
                </c:pt>
                <c:pt idx="102">
                  <c:v>4.56688303657421E-012</c:v>
                </c:pt>
                <c:pt idx="103">
                  <c:v>4.56688303657421E-012</c:v>
                </c:pt>
                <c:pt idx="104">
                  <c:v>4.56688303657421E-012</c:v>
                </c:pt>
                <c:pt idx="105">
                  <c:v>4.56688303657421E-012</c:v>
                </c:pt>
                <c:pt idx="106">
                  <c:v>4.56688303657421E-012</c:v>
                </c:pt>
                <c:pt idx="107">
                  <c:v>4.56688303657421E-012</c:v>
                </c:pt>
                <c:pt idx="108">
                  <c:v>4.56688303657421E-012</c:v>
                </c:pt>
                <c:pt idx="109">
                  <c:v>4.56688303657421E-012</c:v>
                </c:pt>
                <c:pt idx="110">
                  <c:v>4.56688303657421E-012</c:v>
                </c:pt>
                <c:pt idx="111">
                  <c:v>4.56688303657421E-012</c:v>
                </c:pt>
                <c:pt idx="112">
                  <c:v>4.56688303657421E-012</c:v>
                </c:pt>
                <c:pt idx="113">
                  <c:v>4.56688303657421E-012</c:v>
                </c:pt>
                <c:pt idx="114">
                  <c:v>4.56688303657421E-012</c:v>
                </c:pt>
                <c:pt idx="115">
                  <c:v>4.56688303657421E-012</c:v>
                </c:pt>
                <c:pt idx="116">
                  <c:v>4.56688303657421E-012</c:v>
                </c:pt>
                <c:pt idx="117">
                  <c:v>4.56688303657421E-012</c:v>
                </c:pt>
                <c:pt idx="118">
                  <c:v>4.56688303657421E-012</c:v>
                </c:pt>
                <c:pt idx="119">
                  <c:v>4.56688303657421E-012</c:v>
                </c:pt>
                <c:pt idx="120">
                  <c:v>4.56688303657421E-012</c:v>
                </c:pt>
                <c:pt idx="121">
                  <c:v>4.56688303657421E-012</c:v>
                </c:pt>
                <c:pt idx="122">
                  <c:v>4.56688303657421E-012</c:v>
                </c:pt>
                <c:pt idx="123">
                  <c:v>4.56688303657421E-012</c:v>
                </c:pt>
                <c:pt idx="124">
                  <c:v>4.56688303657421E-012</c:v>
                </c:pt>
                <c:pt idx="125">
                  <c:v>4.56688303657421E-012</c:v>
                </c:pt>
                <c:pt idx="126">
                  <c:v>4.56688303657421E-012</c:v>
                </c:pt>
                <c:pt idx="127">
                  <c:v>4.56688303657421E-012</c:v>
                </c:pt>
                <c:pt idx="128">
                  <c:v>4.56688303657421E-012</c:v>
                </c:pt>
                <c:pt idx="129">
                  <c:v>4.56688303657421E-012</c:v>
                </c:pt>
                <c:pt idx="130">
                  <c:v>4.56688303657421E-012</c:v>
                </c:pt>
                <c:pt idx="131">
                  <c:v>4.56688303657421E-012</c:v>
                </c:pt>
                <c:pt idx="132">
                  <c:v>4.56688303657421E-012</c:v>
                </c:pt>
                <c:pt idx="133">
                  <c:v>4.56688303657421E-012</c:v>
                </c:pt>
                <c:pt idx="134">
                  <c:v>4.56688303657421E-012</c:v>
                </c:pt>
                <c:pt idx="135">
                  <c:v>4.56688303657421E-012</c:v>
                </c:pt>
                <c:pt idx="136">
                  <c:v>4.56688303657421E-012</c:v>
                </c:pt>
                <c:pt idx="137">
                  <c:v>4.56688303657421E-012</c:v>
                </c:pt>
                <c:pt idx="138">
                  <c:v>4.56688303657421E-012</c:v>
                </c:pt>
                <c:pt idx="139">
                  <c:v>4.56688303657421E-012</c:v>
                </c:pt>
                <c:pt idx="140">
                  <c:v>4.56688303657421E-012</c:v>
                </c:pt>
                <c:pt idx="141">
                  <c:v>4.56688303657421E-012</c:v>
                </c:pt>
                <c:pt idx="142">
                  <c:v>4.56688303657421E-012</c:v>
                </c:pt>
                <c:pt idx="143">
                  <c:v>4.56688303657421E-012</c:v>
                </c:pt>
                <c:pt idx="144">
                  <c:v>4.56688303657421E-012</c:v>
                </c:pt>
                <c:pt idx="145">
                  <c:v>4.56688303657421E-012</c:v>
                </c:pt>
                <c:pt idx="146">
                  <c:v>4.56688303657421E-012</c:v>
                </c:pt>
                <c:pt idx="147">
                  <c:v>4.56688303657421E-012</c:v>
                </c:pt>
                <c:pt idx="148">
                  <c:v>4.56688303657421E-012</c:v>
                </c:pt>
                <c:pt idx="149">
                  <c:v>4.56688303657421E-012</c:v>
                </c:pt>
                <c:pt idx="150">
                  <c:v>4.56688303657421E-012</c:v>
                </c:pt>
                <c:pt idx="151">
                  <c:v>4.56688303657421E-012</c:v>
                </c:pt>
                <c:pt idx="152">
                  <c:v>4.56688303657421E-012</c:v>
                </c:pt>
                <c:pt idx="153">
                  <c:v>4.56688303657421E-012</c:v>
                </c:pt>
                <c:pt idx="154">
                  <c:v>4.56688303657421E-012</c:v>
                </c:pt>
                <c:pt idx="155">
                  <c:v>4.56688303657421E-012</c:v>
                </c:pt>
                <c:pt idx="156">
                  <c:v>4.56688303657421E-012</c:v>
                </c:pt>
                <c:pt idx="157">
                  <c:v>4.56688303657421E-012</c:v>
                </c:pt>
                <c:pt idx="158">
                  <c:v>4.56688303657421E-012</c:v>
                </c:pt>
                <c:pt idx="159">
                  <c:v>4.56688303657421E-012</c:v>
                </c:pt>
                <c:pt idx="160">
                  <c:v>4.56688303657421E-012</c:v>
                </c:pt>
                <c:pt idx="161">
                  <c:v>4.56688303657421E-012</c:v>
                </c:pt>
                <c:pt idx="162">
                  <c:v>4.56688303657421E-012</c:v>
                </c:pt>
                <c:pt idx="163">
                  <c:v>4.56688303657421E-012</c:v>
                </c:pt>
                <c:pt idx="164">
                  <c:v>4.56688303657421E-012</c:v>
                </c:pt>
                <c:pt idx="165">
                  <c:v>4.56688303657421E-012</c:v>
                </c:pt>
                <c:pt idx="166">
                  <c:v>4.56688303657421E-012</c:v>
                </c:pt>
                <c:pt idx="167">
                  <c:v>4.56688303657421E-012</c:v>
                </c:pt>
                <c:pt idx="168">
                  <c:v>4.56688303657421E-012</c:v>
                </c:pt>
                <c:pt idx="169">
                  <c:v>4.56688303657421E-012</c:v>
                </c:pt>
                <c:pt idx="170">
                  <c:v>4.56688303657421E-012</c:v>
                </c:pt>
                <c:pt idx="171">
                  <c:v>4.56688303657421E-012</c:v>
                </c:pt>
                <c:pt idx="172">
                  <c:v>4.56688303657421E-012</c:v>
                </c:pt>
                <c:pt idx="173">
                  <c:v>4.56688303657421E-012</c:v>
                </c:pt>
                <c:pt idx="174">
                  <c:v>4.56688303657421E-012</c:v>
                </c:pt>
                <c:pt idx="175">
                  <c:v>4.56688303657421E-012</c:v>
                </c:pt>
                <c:pt idx="176">
                  <c:v>4.56688303657421E-012</c:v>
                </c:pt>
                <c:pt idx="177">
                  <c:v>4.56688303657421E-012</c:v>
                </c:pt>
                <c:pt idx="178">
                  <c:v>4.56688303657421E-012</c:v>
                </c:pt>
                <c:pt idx="179">
                  <c:v>4.56688303657421E-012</c:v>
                </c:pt>
                <c:pt idx="180">
                  <c:v>4.56688303657421E-012</c:v>
                </c:pt>
                <c:pt idx="181">
                  <c:v>4.56688303657421E-012</c:v>
                </c:pt>
                <c:pt idx="182">
                  <c:v>4.56688303657421E-012</c:v>
                </c:pt>
                <c:pt idx="183">
                  <c:v>4.56688303657421E-012</c:v>
                </c:pt>
                <c:pt idx="184">
                  <c:v>4.56688303657421E-012</c:v>
                </c:pt>
                <c:pt idx="185">
                  <c:v>4.56688303657421E-012</c:v>
                </c:pt>
                <c:pt idx="186">
                  <c:v>4.56688303657421E-012</c:v>
                </c:pt>
                <c:pt idx="187">
                  <c:v>4.56688303657421E-012</c:v>
                </c:pt>
                <c:pt idx="188">
                  <c:v>4.56688303657421E-012</c:v>
                </c:pt>
                <c:pt idx="189">
                  <c:v>4.56688303657421E-012</c:v>
                </c:pt>
                <c:pt idx="190">
                  <c:v>4.56688303657421E-012</c:v>
                </c:pt>
                <c:pt idx="191">
                  <c:v>4.56688303657421E-012</c:v>
                </c:pt>
                <c:pt idx="192">
                  <c:v>4.56688303657421E-012</c:v>
                </c:pt>
                <c:pt idx="193">
                  <c:v>4.56688303657421E-012</c:v>
                </c:pt>
                <c:pt idx="194">
                  <c:v>4.56688303657421E-012</c:v>
                </c:pt>
                <c:pt idx="195">
                  <c:v>4.56688303657421E-012</c:v>
                </c:pt>
                <c:pt idx="196">
                  <c:v>4.56688303657421E-012</c:v>
                </c:pt>
                <c:pt idx="197">
                  <c:v>4.56688303657421E-012</c:v>
                </c:pt>
                <c:pt idx="198">
                  <c:v>4.56688303657421E-012</c:v>
                </c:pt>
                <c:pt idx="199">
                  <c:v>4.56688303657421E-012</c:v>
                </c:pt>
                <c:pt idx="200">
                  <c:v>4.56688303657421E-012</c:v>
                </c:pt>
              </c:numCache>
            </c:numRef>
          </c:yVal>
          <c:smooth val="0"/>
        </c:ser>
        <c:axId val="97648551"/>
        <c:axId val="14104477"/>
      </c:scatterChart>
      <c:valAx>
        <c:axId val="97648551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104477"/>
        <c:crosses val="autoZero"/>
        <c:crossBetween val="midCat"/>
      </c:valAx>
      <c:valAx>
        <c:axId val="14104477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648551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4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General</c:formatCode>
                <c:ptCount val="201"/>
                <c:pt idx="0">
                  <c:v>0</c:v>
                </c:pt>
                <c:pt idx="1">
                  <c:v>2.07953720905935</c:v>
                </c:pt>
                <c:pt idx="2">
                  <c:v>2.67673604353951</c:v>
                </c:pt>
                <c:pt idx="3">
                  <c:v>3.44612887877337</c:v>
                </c:pt>
                <c:pt idx="4">
                  <c:v>4.43755348696229</c:v>
                </c:pt>
                <c:pt idx="5">
                  <c:v>5.71532302884444</c:v>
                </c:pt>
                <c:pt idx="6">
                  <c:v>7.36244418139751</c:v>
                </c:pt>
                <c:pt idx="7">
                  <c:v>9.4860681256371</c:v>
                </c:pt>
                <c:pt idx="8">
                  <c:v>12.2245357219982</c:v>
                </c:pt>
                <c:pt idx="9">
                  <c:v>15.7564843638476</c:v>
                </c:pt>
                <c:pt idx="10">
                  <c:v>20.312621425546</c:v>
                </c:pt>
                <c:pt idx="11">
                  <c:v>26.1909471351813</c:v>
                </c:pt>
                <c:pt idx="12">
                  <c:v>33.7764400557508</c:v>
                </c:pt>
                <c:pt idx="13">
                  <c:v>43.5665166389016</c:v>
                </c:pt>
                <c:pt idx="14">
                  <c:v>56.2039625906233</c:v>
                </c:pt>
                <c:pt idx="15">
                  <c:v>72.5195340658638</c:v>
                </c:pt>
                <c:pt idx="16">
                  <c:v>93.587074695598</c:v>
                </c:pt>
                <c:pt idx="17">
                  <c:v>120.794833834191</c:v>
                </c:pt>
                <c:pt idx="18">
                  <c:v>155.937758828205</c:v>
                </c:pt>
                <c:pt idx="19">
                  <c:v>153.223711866148</c:v>
                </c:pt>
                <c:pt idx="20">
                  <c:v>177.611482252945</c:v>
                </c:pt>
                <c:pt idx="21">
                  <c:v>201.920637023366</c:v>
                </c:pt>
                <c:pt idx="22">
                  <c:v>188.424544543634</c:v>
                </c:pt>
                <c:pt idx="23">
                  <c:v>210.008166801294</c:v>
                </c:pt>
                <c:pt idx="24">
                  <c:v>231.540605363065</c:v>
                </c:pt>
                <c:pt idx="25">
                  <c:v>211.579897928975</c:v>
                </c:pt>
                <c:pt idx="26">
                  <c:v>230.644367760203</c:v>
                </c:pt>
                <c:pt idx="27">
                  <c:v>249.672821785385</c:v>
                </c:pt>
                <c:pt idx="28">
                  <c:v>268.668390769881</c:v>
                </c:pt>
                <c:pt idx="29">
                  <c:v>287.633726432576</c:v>
                </c:pt>
                <c:pt idx="30">
                  <c:v>306.571102174765</c:v>
                </c:pt>
                <c:pt idx="31">
                  <c:v>252.803689789045</c:v>
                </c:pt>
                <c:pt idx="32">
                  <c:v>270.00808353322</c:v>
                </c:pt>
                <c:pt idx="33">
                  <c:v>287.187812712729</c:v>
                </c:pt>
                <c:pt idx="34">
                  <c:v>304.344560239062</c:v>
                </c:pt>
                <c:pt idx="35">
                  <c:v>321.479803770667</c:v>
                </c:pt>
                <c:pt idx="36">
                  <c:v>338.594850582216</c:v>
                </c:pt>
                <c:pt idx="37">
                  <c:v>271.124379829143</c:v>
                </c:pt>
                <c:pt idx="38">
                  <c:v>286.518913074755</c:v>
                </c:pt>
                <c:pt idx="39">
                  <c:v>301.894945353889</c:v>
                </c:pt>
                <c:pt idx="40">
                  <c:v>317.253551620358</c:v>
                </c:pt>
                <c:pt idx="41">
                  <c:v>332.595694239008</c:v>
                </c:pt>
                <c:pt idx="42">
                  <c:v>347.922239536975</c:v>
                </c:pt>
                <c:pt idx="43">
                  <c:v>272.68702100091</c:v>
                </c:pt>
                <c:pt idx="44">
                  <c:v>286.964850044607</c:v>
                </c:pt>
                <c:pt idx="45">
                  <c:v>301.22679191693</c:v>
                </c:pt>
                <c:pt idx="46">
                  <c:v>315.473704832492</c:v>
                </c:pt>
                <c:pt idx="47">
                  <c:v>329.706363147481</c:v>
                </c:pt>
                <c:pt idx="48">
                  <c:v>343.925468896407</c:v>
                </c:pt>
                <c:pt idx="49">
                  <c:v>270.119717830778</c:v>
                </c:pt>
                <c:pt idx="50">
                  <c:v>283.173888716224</c:v>
                </c:pt>
                <c:pt idx="51">
                  <c:v>296.214583193814</c:v>
                </c:pt>
                <c:pt idx="52">
                  <c:v>309.242478287579</c:v>
                </c:pt>
                <c:pt idx="53">
                  <c:v>322.258189302076</c:v>
                </c:pt>
                <c:pt idx="54">
                  <c:v>335.262277767447</c:v>
                </c:pt>
                <c:pt idx="55">
                  <c:v>348.255258086792</c:v>
                </c:pt>
                <c:pt idx="56">
                  <c:v>361.237603139325</c:v>
                </c:pt>
                <c:pt idx="57">
                  <c:v>374.209749035734</c:v>
                </c:pt>
                <c:pt idx="58">
                  <c:v>387.172099179563</c:v>
                </c:pt>
                <c:pt idx="59">
                  <c:v>400.125027756204</c:v>
                </c:pt>
                <c:pt idx="60">
                  <c:v>413.068882746474</c:v>
                </c:pt>
              </c:numCache>
            </c:numRef>
          </c:yVal>
          <c:smooth val="0"/>
        </c:ser>
        <c:axId val="97961592"/>
        <c:axId val="30354185"/>
      </c:scatterChart>
      <c:valAx>
        <c:axId val="97961592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354185"/>
        <c:crosses val="autoZero"/>
        <c:crossBetween val="midCat"/>
      </c:valAx>
      <c:valAx>
        <c:axId val="30354185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961592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5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General</c:formatCode>
                <c:ptCount val="201"/>
                <c:pt idx="0">
                  <c:v>0</c:v>
                </c:pt>
                <c:pt idx="1">
                  <c:v>2.08046288670168</c:v>
                </c:pt>
                <c:pt idx="2">
                  <c:v>3.0470196987307</c:v>
                </c:pt>
                <c:pt idx="3">
                  <c:v>4.46465927041903</c:v>
                </c:pt>
                <c:pt idx="4">
                  <c:v>6.54478885430098</c:v>
                </c:pt>
                <c:pt idx="5">
                  <c:v>9.59828418069099</c:v>
                </c:pt>
                <c:pt idx="6">
                  <c:v>14.0824591186815</c:v>
                </c:pt>
                <c:pt idx="7">
                  <c:v>20.6702879293485</c:v>
                </c:pt>
                <c:pt idx="8">
                  <c:v>30.3524541999017</c:v>
                </c:pt>
                <c:pt idx="9">
                  <c:v>44.5878387721135</c:v>
                </c:pt>
                <c:pt idx="10">
                  <c:v>65.5255035823607</c:v>
                </c:pt>
                <c:pt idx="11">
                  <c:v>96.3322311488595</c:v>
                </c:pt>
                <c:pt idx="12">
                  <c:v>141.675944706631</c:v>
                </c:pt>
                <c:pt idx="13">
                  <c:v>145.640861652075</c:v>
                </c:pt>
                <c:pt idx="14">
                  <c:v>174.511185913257</c:v>
                </c:pt>
                <c:pt idx="15">
                  <c:v>203.26907123099</c:v>
                </c:pt>
                <c:pt idx="16">
                  <c:v>172.932357350852</c:v>
                </c:pt>
                <c:pt idx="17">
                  <c:v>198.15514867639</c:v>
                </c:pt>
                <c:pt idx="18">
                  <c:v>223.303394322637</c:v>
                </c:pt>
                <c:pt idx="19">
                  <c:v>173.919164726674</c:v>
                </c:pt>
                <c:pt idx="20">
                  <c:v>196.58102147577</c:v>
                </c:pt>
                <c:pt idx="21">
                  <c:v>219.182190508173</c:v>
                </c:pt>
                <c:pt idx="22">
                  <c:v>241.72981075446</c:v>
                </c:pt>
                <c:pt idx="23">
                  <c:v>264.229578844232</c:v>
                </c:pt>
                <c:pt idx="24">
                  <c:v>286.686141257414</c:v>
                </c:pt>
                <c:pt idx="25">
                  <c:v>207.593907328003</c:v>
                </c:pt>
                <c:pt idx="26">
                  <c:v>227.226728171999</c:v>
                </c:pt>
                <c:pt idx="27">
                  <c:v>246.820720624474</c:v>
                </c:pt>
                <c:pt idx="28">
                  <c:v>266.379400359054</c:v>
                </c:pt>
                <c:pt idx="29">
                  <c:v>285.90572437063</c:v>
                </c:pt>
                <c:pt idx="30">
                  <c:v>305.402212666851</c:v>
                </c:pt>
                <c:pt idx="31">
                  <c:v>233.892852710051</c:v>
                </c:pt>
                <c:pt idx="32">
                  <c:v>251.517904587843</c:v>
                </c:pt>
                <c:pt idx="33">
                  <c:v>269.114971702924</c:v>
                </c:pt>
                <c:pt idx="34">
                  <c:v>286.686141257414</c:v>
                </c:pt>
                <c:pt idx="35">
                  <c:v>304.233223652983</c:v>
                </c:pt>
                <c:pt idx="36">
                  <c:v>321.757803384805</c:v>
                </c:pt>
                <c:pt idx="37">
                  <c:v>250.343796649751</c:v>
                </c:pt>
                <c:pt idx="38">
                  <c:v>266.770234876266</c:v>
                </c:pt>
                <c:pt idx="39">
                  <c:v>283.173888716224</c:v>
                </c:pt>
                <c:pt idx="40">
                  <c:v>299.556263733619</c:v>
                </c:pt>
                <c:pt idx="41">
                  <c:v>315.918687345483</c:v>
                </c:pt>
                <c:pt idx="42">
                  <c:v>332.262338230705</c:v>
                </c:pt>
              </c:numCache>
            </c:numRef>
          </c:yVal>
          <c:smooth val="0"/>
        </c:ser>
        <c:axId val="30547685"/>
        <c:axId val="92325997"/>
      </c:scatterChart>
      <c:valAx>
        <c:axId val="30547685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325997"/>
        <c:crosses val="autoZero"/>
        <c:crossBetween val="midCat"/>
      </c:valAx>
      <c:valAx>
        <c:axId val="92325997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547685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General</c:formatCode>
                <c:ptCount val="201"/>
                <c:pt idx="0">
                  <c:v>0</c:v>
                </c:pt>
                <c:pt idx="1">
                  <c:v>2.06741753656297</c:v>
                </c:pt>
                <c:pt idx="2">
                  <c:v>2.75633861531721</c:v>
                </c:pt>
                <c:pt idx="3">
                  <c:v>3.67578287540881</c:v>
                </c:pt>
                <c:pt idx="4">
                  <c:v>4.90318809489755</c:v>
                </c:pt>
                <c:pt idx="5">
                  <c:v>6.54209971874639</c:v>
                </c:pt>
                <c:pt idx="6">
                  <c:v>8.7310024967746</c:v>
                </c:pt>
                <c:pt idx="7">
                  <c:v>11.6551488923557</c:v>
                </c:pt>
                <c:pt idx="8">
                  <c:v>15.5624039985557</c:v>
                </c:pt>
                <c:pt idx="9">
                  <c:v>20.784474580404</c:v>
                </c:pt>
                <c:pt idx="10">
                  <c:v>27.7653566976062</c:v>
                </c:pt>
                <c:pt idx="11">
                  <c:v>37.0994629102608</c:v>
                </c:pt>
                <c:pt idx="12">
                  <c:v>49.5827310819469</c:v>
                </c:pt>
                <c:pt idx="13">
                  <c:v>64.5830019360579</c:v>
                </c:pt>
                <c:pt idx="14">
                  <c:v>79.4926238920161</c:v>
                </c:pt>
                <c:pt idx="15">
                  <c:v>94.3311125716333</c:v>
                </c:pt>
                <c:pt idx="16">
                  <c:v>109.111278893109</c:v>
                </c:pt>
                <c:pt idx="17">
                  <c:v>106.815575269113</c:v>
                </c:pt>
                <c:pt idx="18">
                  <c:v>124.169003657937</c:v>
                </c:pt>
                <c:pt idx="19">
                  <c:v>141.463464016187</c:v>
                </c:pt>
                <c:pt idx="20">
                  <c:v>158.70719102607</c:v>
                </c:pt>
                <c:pt idx="21">
                  <c:v>149.60319730872</c:v>
                </c:pt>
                <c:pt idx="22">
                  <c:v>169.096640158353</c:v>
                </c:pt>
                <c:pt idx="23">
                  <c:v>188.537102832</c:v>
                </c:pt>
                <c:pt idx="24">
                  <c:v>207.930819504504</c:v>
                </c:pt>
                <c:pt idx="25">
                  <c:v>188.537102832</c:v>
                </c:pt>
                <c:pt idx="26">
                  <c:v>209.222199554383</c:v>
                </c:pt>
                <c:pt idx="27">
                  <c:v>229.860094535475</c:v>
                </c:pt>
                <c:pt idx="28">
                  <c:v>250.455621824794</c:v>
                </c:pt>
                <c:pt idx="29">
                  <c:v>224.48990116103</c:v>
                </c:pt>
                <c:pt idx="30">
                  <c:v>243.594893206343</c:v>
                </c:pt>
                <c:pt idx="31">
                  <c:v>262.665824577686</c:v>
                </c:pt>
                <c:pt idx="32">
                  <c:v>281.705515748758</c:v>
                </c:pt>
                <c:pt idx="33">
                  <c:v>300.716374697506</c:v>
                </c:pt>
                <c:pt idx="34">
                  <c:v>319.700480051312</c:v>
                </c:pt>
                <c:pt idx="35">
                  <c:v>277.215686791774</c:v>
                </c:pt>
                <c:pt idx="36">
                  <c:v>293.670629817057</c:v>
                </c:pt>
                <c:pt idx="37">
                  <c:v>310.105000446453</c:v>
                </c:pt>
                <c:pt idx="38">
                  <c:v>326.520042277664</c:v>
                </c:pt>
                <c:pt idx="39">
                  <c:v>342.916863660174</c:v>
                </c:pt>
                <c:pt idx="40">
                  <c:v>359.296458303389</c:v>
                </c:pt>
                <c:pt idx="41">
                  <c:v>762.373892830993</c:v>
                </c:pt>
                <c:pt idx="42">
                  <c:v>1211.93773601225</c:v>
                </c:pt>
                <c:pt idx="43">
                  <c:v>1658.2038638201</c:v>
                </c:pt>
                <c:pt idx="44">
                  <c:v>2102.19600056356</c:v>
                </c:pt>
                <c:pt idx="45">
                  <c:v>2544.46297433731</c:v>
                </c:pt>
                <c:pt idx="46">
                  <c:v>2985.34611440812</c:v>
                </c:pt>
                <c:pt idx="47">
                  <c:v>2635.49058901004</c:v>
                </c:pt>
                <c:pt idx="48">
                  <c:v>2320.44781917298</c:v>
                </c:pt>
                <c:pt idx="49">
                  <c:v>2004.62521126228</c:v>
                </c:pt>
                <c:pt idx="50">
                  <c:v>1687.88012520994</c:v>
                </c:pt>
                <c:pt idx="51">
                  <c:v>1370.01040997999</c:v>
                </c:pt>
                <c:pt idx="52">
                  <c:v>1050.7084333927</c:v>
                </c:pt>
                <c:pt idx="53">
                  <c:v>729.45168525398</c:v>
                </c:pt>
                <c:pt idx="54">
                  <c:v>405.159808987056</c:v>
                </c:pt>
                <c:pt idx="55">
                  <c:v>388.134201185946</c:v>
                </c:pt>
                <c:pt idx="56">
                  <c:v>391.476930942847</c:v>
                </c:pt>
                <c:pt idx="57">
                  <c:v>394.819041512403</c:v>
                </c:pt>
                <c:pt idx="58">
                  <c:v>398.160538882862</c:v>
                </c:pt>
                <c:pt idx="59">
                  <c:v>401.501428933622</c:v>
                </c:pt>
                <c:pt idx="60">
                  <c:v>404.841717438126</c:v>
                </c:pt>
                <c:pt idx="61">
                  <c:v>408.181410066645</c:v>
                </c:pt>
                <c:pt idx="62">
                  <c:v>411.520512388975</c:v>
                </c:pt>
              </c:numCache>
            </c:numRef>
          </c:yVal>
          <c:smooth val="0"/>
        </c:ser>
        <c:axId val="97005594"/>
        <c:axId val="73343185"/>
      </c:scatterChart>
      <c:valAx>
        <c:axId val="97005594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343185"/>
        <c:crosses val="autoZero"/>
        <c:crossBetween val="midCat"/>
      </c:valAx>
      <c:valAx>
        <c:axId val="73343185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005594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7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General</c:formatCode>
                <c:ptCount val="201"/>
              </c:numCache>
            </c:numRef>
          </c:yVal>
          <c:smooth val="0"/>
        </c:ser>
        <c:axId val="64510277"/>
        <c:axId val="14802023"/>
      </c:scatterChart>
      <c:valAx>
        <c:axId val="64510277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4802023"/>
        <c:crosses val="autoZero"/>
        <c:crossBetween val="midCat"/>
      </c:valAx>
      <c:valAx>
        <c:axId val="14802023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510277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8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General</c:formatCode>
                <c:ptCount val="201"/>
              </c:numCache>
            </c:numRef>
          </c:yVal>
          <c:smooth val="0"/>
        </c:ser>
        <c:axId val="95226903"/>
        <c:axId val="26293472"/>
      </c:scatterChart>
      <c:valAx>
        <c:axId val="95226903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293472"/>
        <c:crosses val="autoZero"/>
        <c:crossBetween val="midCat"/>
      </c:valAx>
      <c:valAx>
        <c:axId val="26293472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226903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9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General</c:formatCode>
                <c:ptCount val="201"/>
              </c:numCache>
            </c:numRef>
          </c:yVal>
          <c:smooth val="0"/>
        </c:ser>
        <c:axId val="94167187"/>
        <c:axId val="18233792"/>
      </c:scatterChart>
      <c:valAx>
        <c:axId val="94167187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18233792"/>
        <c:crosses val="autoZero"/>
        <c:crossBetween val="midCat"/>
      </c:valAx>
      <c:valAx>
        <c:axId val="18233792"/>
        <c:scaling>
          <c:orientation val="minMax"/>
        </c:scaling>
        <c:delete val="0"/>
        <c:axPos val="l"/>
        <c:majorGridlines>
          <c:spPr>
            <a:ln w="1908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4167187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lang="fr-FR" sz="1600" spc="-1" strike="noStrike">
                <a:solidFill>
                  <a:srgbClr val="000000"/>
                </a:solidFill>
                <a:latin typeface="Calibri"/>
              </a:defRPr>
            </a:pPr>
            <a:r>
              <a:rPr b="1" lang="fr-FR" sz="1600" spc="-1" strike="noStrike">
                <a:solidFill>
                  <a:srgbClr val="000000"/>
                </a:solidFill>
                <a:latin typeface="Calibri"/>
              </a:rPr>
              <a:t>Evolution du stockage du CO₂ pour l'essence 10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scatterChart>
        <c:scatterStyle val="line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solidFill>
              <a:srgbClr val="00b050"/>
            </a:solidFill>
            <a:ln cap="rnd" w="19080">
              <a:solidFill>
                <a:srgbClr val="00b050"/>
              </a:solidFill>
              <a:round/>
            </a:ln>
          </c:spPr>
          <c:marker>
            <c:symbol val="none"/>
          </c:marker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r"/>
            <c:showLegendKey val="0"/>
            <c:showVal val="0"/>
            <c:showCatName val="0"/>
            <c:showSerName val="0"/>
            <c:showPercent val="0"/>
            <c:separator>;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General</c:formatCode>
                <c:ptCount val="201"/>
              </c:numCache>
            </c:numRef>
          </c:yVal>
          <c:smooth val="0"/>
        </c:ser>
        <c:axId val="2649196"/>
        <c:axId val="58899902"/>
      </c:scatterChart>
      <c:valAx>
        <c:axId val="2649196"/>
        <c:scaling>
          <c:orientation val="minMax"/>
          <c:max val="160"/>
          <c:min val="0"/>
        </c:scaling>
        <c:delete val="0"/>
        <c:axPos val="b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Age (années)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899902"/>
        <c:crosses val="autoZero"/>
        <c:crossBetween val="midCat"/>
      </c:valAx>
      <c:valAx>
        <c:axId val="58899902"/>
        <c:scaling>
          <c:orientation val="minMax"/>
        </c:scaling>
        <c:delete val="0"/>
        <c:axPos val="l"/>
        <c:majorGridlines>
          <c:spPr>
            <a:ln w="9360">
              <a:solidFill>
                <a:srgbClr val="e0e5eb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lang="fr-FR" sz="9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lang="fr-FR" sz="900" spc="-1" strike="noStrike">
                    <a:solidFill>
                      <a:srgbClr val="000000"/>
                    </a:solidFill>
                    <a:latin typeface="Calibri"/>
                  </a:rPr>
                  <a:t>Stockage de CO₂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6480">
            <a:solidFill>
              <a:srgbClr val="adb9ca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649196"/>
        <c:crosses val="autoZero"/>
        <c:crossBetween val="midCat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e0e5eb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jpeg"/><Relationship Id="rId3" Type="http://schemas.openxmlformats.org/officeDocument/2006/relationships/image" Target="../media/image6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Relationship Id="rId3" Type="http://schemas.openxmlformats.org/officeDocument/2006/relationships/chart" Target="../charts/chart13.xml"/><Relationship Id="rId4" Type="http://schemas.openxmlformats.org/officeDocument/2006/relationships/chart" Target="../charts/chart14.xml"/><Relationship Id="rId5" Type="http://schemas.openxmlformats.org/officeDocument/2006/relationships/chart" Target="../charts/chart15.xml"/><Relationship Id="rId6" Type="http://schemas.openxmlformats.org/officeDocument/2006/relationships/chart" Target="../charts/chart16.xml"/><Relationship Id="rId7" Type="http://schemas.openxmlformats.org/officeDocument/2006/relationships/chart" Target="../charts/chart17.xml"/><Relationship Id="rId8" Type="http://schemas.openxmlformats.org/officeDocument/2006/relationships/chart" Target="../charts/chart18.xml"/><Relationship Id="rId9" Type="http://schemas.openxmlformats.org/officeDocument/2006/relationships/chart" Target="../charts/chart19.xml"/><Relationship Id="rId10" Type="http://schemas.openxmlformats.org/officeDocument/2006/relationships/chart" Target="../charts/chart20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560520</xdr:colOff>
      <xdr:row>0</xdr:row>
      <xdr:rowOff>114480</xdr:rowOff>
    </xdr:from>
    <xdr:to>
      <xdr:col>12</xdr:col>
      <xdr:colOff>984240</xdr:colOff>
      <xdr:row>10</xdr:row>
      <xdr:rowOff>46800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8875800" y="114480"/>
          <a:ext cx="4906800" cy="1742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328680</xdr:colOff>
      <xdr:row>0</xdr:row>
      <xdr:rowOff>125640</xdr:rowOff>
    </xdr:from>
    <xdr:to>
      <xdr:col>3</xdr:col>
      <xdr:colOff>304560</xdr:colOff>
      <xdr:row>10</xdr:row>
      <xdr:rowOff>64080</xdr:rowOff>
    </xdr:to>
    <xdr:pic>
      <xdr:nvPicPr>
        <xdr:cNvPr id="1" name="Image 2" descr=""/>
        <xdr:cNvPicPr/>
      </xdr:nvPicPr>
      <xdr:blipFill>
        <a:blip r:embed="rId2"/>
        <a:stretch/>
      </xdr:blipFill>
      <xdr:spPr>
        <a:xfrm>
          <a:off x="798480" y="125640"/>
          <a:ext cx="2217600" cy="174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629640</xdr:colOff>
      <xdr:row>0</xdr:row>
      <xdr:rowOff>126720</xdr:rowOff>
    </xdr:from>
    <xdr:to>
      <xdr:col>7</xdr:col>
      <xdr:colOff>223560</xdr:colOff>
      <xdr:row>10</xdr:row>
      <xdr:rowOff>87120</xdr:rowOff>
    </xdr:to>
    <xdr:pic>
      <xdr:nvPicPr>
        <xdr:cNvPr id="2" name="Image 4" descr=""/>
        <xdr:cNvPicPr/>
      </xdr:nvPicPr>
      <xdr:blipFill>
        <a:blip r:embed="rId3"/>
        <a:srcRect l="9021" t="16353" r="11258" b="14060"/>
        <a:stretch/>
      </xdr:blipFill>
      <xdr:spPr>
        <a:xfrm>
          <a:off x="4461840" y="126720"/>
          <a:ext cx="2956320" cy="17701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12600</xdr:colOff>
      <xdr:row>20</xdr:row>
      <xdr:rowOff>0</xdr:rowOff>
    </xdr:from>
    <xdr:to>
      <xdr:col>7</xdr:col>
      <xdr:colOff>590040</xdr:colOff>
      <xdr:row>37</xdr:row>
      <xdr:rowOff>114120</xdr:rowOff>
    </xdr:to>
    <xdr:graphicFrame>
      <xdr:nvGraphicFramePr>
        <xdr:cNvPr id="3" name="Graphique 3"/>
        <xdr:cNvGraphicFramePr/>
      </xdr:nvGraphicFramePr>
      <xdr:xfrm>
        <a:off x="1627560" y="4552920"/>
        <a:ext cx="579204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12600</xdr:colOff>
      <xdr:row>38</xdr:row>
      <xdr:rowOff>12600</xdr:rowOff>
    </xdr:from>
    <xdr:to>
      <xdr:col>7</xdr:col>
      <xdr:colOff>590040</xdr:colOff>
      <xdr:row>55</xdr:row>
      <xdr:rowOff>126720</xdr:rowOff>
    </xdr:to>
    <xdr:graphicFrame>
      <xdr:nvGraphicFramePr>
        <xdr:cNvPr id="4" name="Graphique 2"/>
        <xdr:cNvGraphicFramePr/>
      </xdr:nvGraphicFramePr>
      <xdr:xfrm>
        <a:off x="1627560" y="7842240"/>
        <a:ext cx="5792040" cy="3200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6480</xdr:colOff>
      <xdr:row>56</xdr:row>
      <xdr:rowOff>12600</xdr:rowOff>
    </xdr:from>
    <xdr:to>
      <xdr:col>7</xdr:col>
      <xdr:colOff>583920</xdr:colOff>
      <xdr:row>73</xdr:row>
      <xdr:rowOff>126720</xdr:rowOff>
    </xdr:to>
    <xdr:graphicFrame>
      <xdr:nvGraphicFramePr>
        <xdr:cNvPr id="5" name="Graphique 4"/>
        <xdr:cNvGraphicFramePr/>
      </xdr:nvGraphicFramePr>
      <xdr:xfrm>
        <a:off x="1621440" y="11118600"/>
        <a:ext cx="579204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75</xdr:row>
      <xdr:rowOff>0</xdr:rowOff>
    </xdr:from>
    <xdr:to>
      <xdr:col>7</xdr:col>
      <xdr:colOff>577440</xdr:colOff>
      <xdr:row>92</xdr:row>
      <xdr:rowOff>114120</xdr:rowOff>
    </xdr:to>
    <xdr:graphicFrame>
      <xdr:nvGraphicFramePr>
        <xdr:cNvPr id="6" name="Graphique 5"/>
        <xdr:cNvGraphicFramePr/>
      </xdr:nvGraphicFramePr>
      <xdr:xfrm>
        <a:off x="1614960" y="14563800"/>
        <a:ext cx="5792040" cy="3200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93</xdr:row>
      <xdr:rowOff>0</xdr:rowOff>
    </xdr:from>
    <xdr:to>
      <xdr:col>7</xdr:col>
      <xdr:colOff>577440</xdr:colOff>
      <xdr:row>110</xdr:row>
      <xdr:rowOff>114120</xdr:rowOff>
    </xdr:to>
    <xdr:graphicFrame>
      <xdr:nvGraphicFramePr>
        <xdr:cNvPr id="7" name="Graphique 6"/>
        <xdr:cNvGraphicFramePr/>
      </xdr:nvGraphicFramePr>
      <xdr:xfrm>
        <a:off x="1614960" y="17840160"/>
        <a:ext cx="579204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0</xdr:colOff>
      <xdr:row>111</xdr:row>
      <xdr:rowOff>0</xdr:rowOff>
    </xdr:from>
    <xdr:to>
      <xdr:col>7</xdr:col>
      <xdr:colOff>577440</xdr:colOff>
      <xdr:row>128</xdr:row>
      <xdr:rowOff>114120</xdr:rowOff>
    </xdr:to>
    <xdr:graphicFrame>
      <xdr:nvGraphicFramePr>
        <xdr:cNvPr id="8" name="Graphique 7"/>
        <xdr:cNvGraphicFramePr/>
      </xdr:nvGraphicFramePr>
      <xdr:xfrm>
        <a:off x="1614960" y="21116880"/>
        <a:ext cx="579204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0</xdr:colOff>
      <xdr:row>129</xdr:row>
      <xdr:rowOff>0</xdr:rowOff>
    </xdr:from>
    <xdr:to>
      <xdr:col>7</xdr:col>
      <xdr:colOff>577440</xdr:colOff>
      <xdr:row>146</xdr:row>
      <xdr:rowOff>114120</xdr:rowOff>
    </xdr:to>
    <xdr:graphicFrame>
      <xdr:nvGraphicFramePr>
        <xdr:cNvPr id="9" name="Graphique 8"/>
        <xdr:cNvGraphicFramePr/>
      </xdr:nvGraphicFramePr>
      <xdr:xfrm>
        <a:off x="1614960" y="24393600"/>
        <a:ext cx="5792040" cy="3200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0</xdr:colOff>
      <xdr:row>147</xdr:row>
      <xdr:rowOff>0</xdr:rowOff>
    </xdr:from>
    <xdr:to>
      <xdr:col>7</xdr:col>
      <xdr:colOff>577440</xdr:colOff>
      <xdr:row>164</xdr:row>
      <xdr:rowOff>114120</xdr:rowOff>
    </xdr:to>
    <xdr:graphicFrame>
      <xdr:nvGraphicFramePr>
        <xdr:cNvPr id="10" name="Graphique 9"/>
        <xdr:cNvGraphicFramePr/>
      </xdr:nvGraphicFramePr>
      <xdr:xfrm>
        <a:off x="1614960" y="27669960"/>
        <a:ext cx="579204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0</xdr:colOff>
      <xdr:row>165</xdr:row>
      <xdr:rowOff>0</xdr:rowOff>
    </xdr:from>
    <xdr:to>
      <xdr:col>7</xdr:col>
      <xdr:colOff>577440</xdr:colOff>
      <xdr:row>182</xdr:row>
      <xdr:rowOff>114120</xdr:rowOff>
    </xdr:to>
    <xdr:graphicFrame>
      <xdr:nvGraphicFramePr>
        <xdr:cNvPr id="11" name="Graphique 10"/>
        <xdr:cNvGraphicFramePr/>
      </xdr:nvGraphicFramePr>
      <xdr:xfrm>
        <a:off x="1614960" y="30946680"/>
        <a:ext cx="5792040" cy="32004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183</xdr:row>
      <xdr:rowOff>0</xdr:rowOff>
    </xdr:from>
    <xdr:to>
      <xdr:col>7</xdr:col>
      <xdr:colOff>577440</xdr:colOff>
      <xdr:row>200</xdr:row>
      <xdr:rowOff>114120</xdr:rowOff>
    </xdr:to>
    <xdr:graphicFrame>
      <xdr:nvGraphicFramePr>
        <xdr:cNvPr id="12" name="Graphique 11"/>
        <xdr:cNvGraphicFramePr/>
      </xdr:nvGraphicFramePr>
      <xdr:xfrm>
        <a:off x="1614960" y="34223400"/>
        <a:ext cx="5792040" cy="32000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2:M31"/>
  <sheetViews>
    <sheetView showFormulas="false" showGridLines="fals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B12" activeCellId="0" sqref="B12"/>
    </sheetView>
  </sheetViews>
  <sheetFormatPr defaultColWidth="10.6875" defaultRowHeight="14.25" zeroHeight="false" outlineLevelRow="0" outlineLevelCol="0"/>
  <cols>
    <col collapsed="false" customWidth="true" hidden="false" outlineLevel="0" max="1" min="1" style="0" width="6.66"/>
    <col collapsed="false" customWidth="true" hidden="false" outlineLevel="0" max="13" min="2" style="0" width="15.88"/>
  </cols>
  <sheetData>
    <row r="12" customFormat="false" ht="15" hidden="false" customHeight="true" outlineLevel="0" collapsed="false">
      <c r="B12" s="1" t="s">
        <v>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customFormat="false" ht="15" hidden="false" customHeight="true" outlineLevel="0" collapsed="false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customFormat="false" ht="15" hidden="false" customHeight="true" outlineLevel="0" collapsed="false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customFormat="false" ht="18.75" hidden="false" customHeight="true" outlineLevel="0" collapsed="false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customFormat="false" ht="18.75" hidden="false" customHeight="true" outlineLevel="0" collapsed="false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8" customFormat="false" ht="12" hidden="false" customHeight="true" outlineLevel="0" collapsed="false">
      <c r="B18" s="1" t="s">
        <v>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customFormat="false" ht="12" hidden="false" customHeight="true" outlineLevel="0" collapsed="false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2" hidden="false" customHeight="true" outlineLevel="0" collapsed="false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customFormat="false" ht="12" hidden="false" customHeight="true" outlineLevel="0" collapsed="false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customFormat="false" ht="12" hidden="false" customHeight="true" outlineLevel="0" collapsed="false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customFormat="false" ht="12" hidden="false" customHeight="true" outlineLevel="0" collapsed="false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customFormat="false" ht="12" hidden="false" customHeight="true" outlineLevel="0" collapsed="false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customFormat="false" ht="12" hidden="false" customHeight="true" outlineLevel="0" collapsed="false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customFormat="false" ht="12" hidden="false" customHeight="true" outlineLevel="0" collapsed="false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customFormat="false" ht="12" hidden="false" customHeight="true" outlineLevel="0" collapsed="false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customFormat="false" ht="12" hidden="false" customHeight="true" outlineLevel="0" collapsed="false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customFormat="false" ht="12" hidden="false" customHeight="true" outlineLevel="0" collapsed="false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customFormat="false" ht="12" hidden="false" customHeight="true" outlineLevel="0" collapsed="false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customFormat="false" ht="12" hidden="false" customHeight="true" outlineLevel="0" collapsed="false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sheetProtection algorithmName="SHA-512" hashValue="rv/mgFCDiodwcl0knWLrg7loCzgGEygNNmKEdCWpMqN2bXcz9xpOtTcPqDdaaYLcZIcH/pXkKS+Trz0iKeeMdg==" saltValue="tAUGi0gCBtJPKAExQ7EHoA==" spinCount="100000" sheet="true" objects="true" scenarios="true"/>
  <mergeCells count="2">
    <mergeCell ref="B12:M16"/>
    <mergeCell ref="B18:M3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S427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74" activeCellId="0" sqref="F174"/>
    </sheetView>
  </sheetViews>
  <sheetFormatPr defaultColWidth="11.4609375" defaultRowHeight="14.25" zeroHeight="false" outlineLevelRow="0" outlineLevelCol="0"/>
  <cols>
    <col collapsed="false" customWidth="true" hidden="false" outlineLevel="0" max="1" min="1" style="2" width="13.66"/>
    <col collapsed="false" customWidth="true" hidden="false" outlineLevel="0" max="2" min="2" style="2" width="36.11"/>
    <col collapsed="false" customWidth="true" hidden="false" outlineLevel="0" max="3" min="3" style="2" width="14.88"/>
    <col collapsed="false" customWidth="true" hidden="false" outlineLevel="0" max="4" min="4" style="2" width="16.44"/>
    <col collapsed="false" customWidth="true" hidden="false" outlineLevel="0" max="5" min="5" style="2" width="23.34"/>
    <col collapsed="false" customWidth="true" hidden="false" outlineLevel="0" max="6" min="6" style="2" width="28.89"/>
    <col collapsed="false" customWidth="true" hidden="false" outlineLevel="0" max="8" min="7" style="2" width="14.66"/>
    <col collapsed="false" customWidth="true" hidden="false" outlineLevel="0" max="9" min="9" style="2" width="17"/>
    <col collapsed="false" customWidth="true" hidden="false" outlineLevel="0" max="10" min="10" style="2" width="13.89"/>
    <col collapsed="false" customWidth="false" hidden="false" outlineLevel="0" max="1024" min="11" style="2" width="11.45"/>
  </cols>
  <sheetData>
    <row r="1" customFormat="false" ht="14.25" hidden="false" customHeight="false" outlineLevel="0" collapsed="false">
      <c r="A1" s="3"/>
      <c r="B1" s="3"/>
      <c r="C1" s="4" t="s">
        <v>2</v>
      </c>
      <c r="D1" s="4"/>
      <c r="E1" s="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customFormat="false" ht="1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5" t="s">
        <v>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customFormat="false" ht="26.25" hidden="false" customHeight="false" outlineLevel="0" collapsed="false">
      <c r="A3" s="3"/>
      <c r="B3" s="6" t="s">
        <v>4</v>
      </c>
      <c r="C3" s="6"/>
      <c r="D3" s="6"/>
      <c r="E3" s="6"/>
      <c r="F3" s="6"/>
      <c r="G3" s="7"/>
      <c r="I3" s="5" t="s">
        <v>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customFormat="false" ht="25.5" hidden="false" customHeight="false" outlineLevel="0" collapsed="false">
      <c r="A4" s="8"/>
      <c r="B4" s="8"/>
      <c r="C4" s="8"/>
      <c r="D4" s="8"/>
      <c r="E4" s="8"/>
      <c r="F4" s="8"/>
      <c r="G4" s="9"/>
      <c r="I4" s="5" t="s">
        <v>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customFormat="false" ht="25.5" hidden="false" customHeight="false" outlineLevel="0" collapsed="false">
      <c r="A5" s="10" t="s">
        <v>7</v>
      </c>
      <c r="B5" s="10"/>
      <c r="C5" s="11" t="n">
        <v>4.75</v>
      </c>
      <c r="D5" s="12" t="s">
        <v>8</v>
      </c>
      <c r="E5" s="12"/>
      <c r="F5" s="8"/>
      <c r="G5" s="9"/>
      <c r="H5" s="9"/>
      <c r="I5" s="9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customFormat="false" ht="14.25" hidden="false" customHeight="false" outlineLevel="0" collapsed="false">
      <c r="A6" s="13"/>
      <c r="B6" s="13"/>
      <c r="C6" s="3"/>
      <c r="D6" s="14"/>
      <c r="E6" s="14"/>
      <c r="F6" s="15"/>
      <c r="G6" s="16"/>
      <c r="H6" s="16"/>
      <c r="I6" s="16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25.5" hidden="false" customHeight="false" outlineLevel="0" collapsed="false">
      <c r="A7" s="17" t="s">
        <v>9</v>
      </c>
      <c r="B7" s="17"/>
      <c r="C7" s="8"/>
      <c r="D7" s="8"/>
      <c r="E7" s="3"/>
      <c r="F7" s="8"/>
      <c r="G7" s="9"/>
      <c r="H7" s="9"/>
      <c r="I7" s="9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28.5" hidden="false" customHeight="true" outlineLevel="0" collapsed="false">
      <c r="A8" s="3"/>
      <c r="B8" s="18" t="s">
        <v>10</v>
      </c>
      <c r="C8" s="15" t="s">
        <v>11</v>
      </c>
      <c r="D8" s="19" t="s">
        <v>12</v>
      </c>
      <c r="E8" s="20" t="s">
        <v>13</v>
      </c>
      <c r="F8" s="21" t="s">
        <v>14</v>
      </c>
      <c r="I8" s="22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14.25" hidden="false" customHeight="false" outlineLevel="0" collapsed="false">
      <c r="A9" s="23" t="s">
        <v>15</v>
      </c>
      <c r="B9" s="24" t="s">
        <v>16</v>
      </c>
      <c r="C9" s="25" t="n">
        <v>0.13</v>
      </c>
      <c r="D9" s="26" t="n">
        <f aca="false">C9*$C$5</f>
        <v>0.6175</v>
      </c>
      <c r="E9" s="27" t="n">
        <v>100</v>
      </c>
      <c r="F9" s="28" t="str">
        <f aca="false" t="array" ref="F9:F9">IF(E9="","",IF(INDEX(A:A,MAX(IF(ISNUMBER($A$36:$A$55),ROW($A$36:$A$55),"")))&lt;&gt;E9,"Corrigez : révolution incorrecte","OK"))</f>
        <v>OK</v>
      </c>
      <c r="G9" s="29" t="s">
        <v>17</v>
      </c>
      <c r="I9" s="30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customFormat="false" ht="14.25" hidden="false" customHeight="false" outlineLevel="0" collapsed="false">
      <c r="A10" s="23" t="s">
        <v>18</v>
      </c>
      <c r="B10" s="24" t="s">
        <v>19</v>
      </c>
      <c r="C10" s="25" t="n">
        <v>0.5</v>
      </c>
      <c r="D10" s="26" t="n">
        <f aca="false">C10*$C$5</f>
        <v>2.375</v>
      </c>
      <c r="E10" s="27" t="n">
        <v>60</v>
      </c>
      <c r="F10" s="28" t="str">
        <f aca="false" t="array" ref="F10:F10">IF(E10="","",IF(INDEX(A:A,MAX(IF(ISNUMBER($A$62:$A$81),ROW($A$62:$A$81),"")))&lt;&gt;E10,"Corrigez : révolution incorrecte","OK"))</f>
        <v>OK</v>
      </c>
      <c r="I10" s="30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customFormat="false" ht="14.25" hidden="false" customHeight="false" outlineLevel="0" collapsed="false">
      <c r="A11" s="23" t="s">
        <v>20</v>
      </c>
      <c r="B11" s="24" t="s">
        <v>21</v>
      </c>
      <c r="C11" s="25" t="n">
        <v>0.13</v>
      </c>
      <c r="D11" s="26" t="n">
        <f aca="false">C11*$C$5</f>
        <v>0.6175</v>
      </c>
      <c r="E11" s="27" t="n">
        <v>70</v>
      </c>
      <c r="F11" s="28" t="str">
        <f aca="false" t="array" ref="F11:F11">IF(E11="","",IF(INDEX(A:A,MAX(IF(ISNUMBER($A$88:$A$107),ROW($A$88:$A$107),"")))&lt;&gt;E11,"Corrigez : révolution incorrecte","OK"))</f>
        <v>OK</v>
      </c>
      <c r="I11" s="30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customFormat="false" ht="14.25" hidden="false" customHeight="false" outlineLevel="0" collapsed="false">
      <c r="A12" s="23" t="s">
        <v>22</v>
      </c>
      <c r="B12" s="24" t="s">
        <v>23</v>
      </c>
      <c r="C12" s="25" t="n">
        <v>0.04</v>
      </c>
      <c r="D12" s="26" t="n">
        <f aca="false">C12*$C$5</f>
        <v>0.19</v>
      </c>
      <c r="E12" s="27" t="n">
        <v>60</v>
      </c>
      <c r="F12" s="28" t="str">
        <f aca="false" t="array" ref="F12:F12">IF(E12="","",IF(INDEX(A:A,MAX(IF(ISNUMBER($A$114:$A$133),ROW($A$114:$A$133),"")))&lt;&gt;E12,"Corrigez : révolution incorrecte","OK"))</f>
        <v>OK</v>
      </c>
      <c r="I12" s="30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</row>
    <row r="13" customFormat="false" ht="14.25" hidden="false" customHeight="false" outlineLevel="0" collapsed="false">
      <c r="A13" s="23" t="s">
        <v>24</v>
      </c>
      <c r="B13" s="24" t="s">
        <v>25</v>
      </c>
      <c r="C13" s="25" t="n">
        <v>0.04</v>
      </c>
      <c r="D13" s="26" t="n">
        <f aca="false">C13*$C$5</f>
        <v>0.19</v>
      </c>
      <c r="E13" s="27" t="n">
        <v>42</v>
      </c>
      <c r="F13" s="28" t="str">
        <f aca="false" t="array" ref="F13:F13">IF(E13="","",IF(INDEX(A:A,MAX(IF(ISNUMBER($A$140:$A$159),ROW($A$140:$A$159),"")))&lt;&gt;E13,"Corrigez : révolution incorrecte","OK"))</f>
        <v>OK</v>
      </c>
      <c r="I13" s="30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  <row r="14" customFormat="false" ht="14.25" hidden="false" customHeight="false" outlineLevel="0" collapsed="false">
      <c r="A14" s="23" t="s">
        <v>26</v>
      </c>
      <c r="B14" s="24" t="s">
        <v>27</v>
      </c>
      <c r="C14" s="25" t="n">
        <v>0.16</v>
      </c>
      <c r="D14" s="26" t="n">
        <f aca="false">C14*$C$5</f>
        <v>0.76</v>
      </c>
      <c r="E14" s="27" t="n">
        <v>62</v>
      </c>
      <c r="F14" s="28" t="str">
        <f aca="false" t="array" ref="F14:F14">IF(E14="","",IF(INDEX(A:A,MAX(IF(ISNUMBER($A$166:$A$185),ROW($A$166:$A$185),"")))&lt;&gt;E14,"Corrigez : révolution incorrecte","OK"))</f>
        <v>OK</v>
      </c>
      <c r="I14" s="30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</row>
    <row r="15" customFormat="false" ht="14.25" hidden="false" customHeight="false" outlineLevel="0" collapsed="false">
      <c r="A15" s="23" t="s">
        <v>28</v>
      </c>
      <c r="B15" s="24"/>
      <c r="C15" s="25"/>
      <c r="D15" s="26" t="n">
        <f aca="false">C15*$C$5</f>
        <v>0</v>
      </c>
      <c r="E15" s="27"/>
      <c r="F15" s="28" t="str">
        <f aca="false" t="array" ref="F15:F15">IF(E15="","",IF(INDEX(A:A,MAX(IF(ISNUMBER($A$192:$A$211),ROW($A$192:$A$211),"")))&lt;&gt;E15,"Corrigez : révolution incorrecte","OK"))</f>
        <v/>
      </c>
      <c r="I15" s="30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customFormat="false" ht="14.25" hidden="false" customHeight="false" outlineLevel="0" collapsed="false">
      <c r="A16" s="23" t="s">
        <v>29</v>
      </c>
      <c r="B16" s="24"/>
      <c r="C16" s="25"/>
      <c r="D16" s="26" t="n">
        <f aca="false">C16*$C$5</f>
        <v>0</v>
      </c>
      <c r="E16" s="27"/>
      <c r="F16" s="28" t="str">
        <f aca="false" t="array" ref="F16:F16">IF(E16="","",IF(INDEX(A:A,MAX(IF(ISNUMBER($A$218:$A$237),ROW($A$218:$A$237),"")))&lt;&gt;E16,"Corrigez : révolution incorrecte","OK"))</f>
        <v/>
      </c>
      <c r="I16" s="30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customFormat="false" ht="14.25" hidden="false" customHeight="false" outlineLevel="0" collapsed="false">
      <c r="A17" s="23" t="s">
        <v>30</v>
      </c>
      <c r="B17" s="24"/>
      <c r="C17" s="25"/>
      <c r="D17" s="26" t="n">
        <f aca="false">C17*$C$5</f>
        <v>0</v>
      </c>
      <c r="E17" s="27"/>
      <c r="F17" s="28" t="str">
        <f aca="false" t="array" ref="F17:F17">IF(E17="","",IF(INDEX(A:A,MAX(IF(ISNUMBER($A$244:$A$263),ROW($A$244:$A$263),"")))&lt;&gt;E17,"Corrigez : révolution incorrecte","OK"))</f>
        <v/>
      </c>
      <c r="I17" s="30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customFormat="false" ht="14.25" hidden="false" customHeight="false" outlineLevel="0" collapsed="false">
      <c r="A18" s="23" t="s">
        <v>31</v>
      </c>
      <c r="B18" s="24"/>
      <c r="C18" s="25"/>
      <c r="D18" s="26" t="n">
        <f aca="false">C18*$C$5</f>
        <v>0</v>
      </c>
      <c r="E18" s="27"/>
      <c r="F18" s="28" t="str">
        <f aca="false" t="array" ref="F18:F18">IF(E18="","",IF(INDEX(A:A,MAX(IF(ISNUMBER($A$270:$A$289),ROW($A$270:$A$289),"")))&lt;&gt;E18,"Corrigez : révolution incorrecte","OK"))</f>
        <v/>
      </c>
      <c r="I18" s="30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customFormat="false" ht="14.25" hidden="false" customHeight="false" outlineLevel="0" collapsed="false">
      <c r="A19" s="31"/>
      <c r="B19" s="32" t="s">
        <v>32</v>
      </c>
      <c r="C19" s="33" t="n">
        <f aca="false">SUM(C9:C18)</f>
        <v>1</v>
      </c>
      <c r="D19" s="34" t="n">
        <f aca="false">SUM(D9:D18)</f>
        <v>4.75</v>
      </c>
      <c r="E19" s="3"/>
      <c r="F19" s="35"/>
      <c r="G19" s="36"/>
      <c r="H19" s="36"/>
      <c r="I19" s="3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</row>
    <row r="20" customFormat="false" ht="14.25" hidden="false" customHeight="false" outlineLevel="0" collapsed="false">
      <c r="A20" s="31"/>
      <c r="B20" s="37" t="s">
        <v>14</v>
      </c>
      <c r="C20" s="38" t="str">
        <f aca="false">IF(C19&gt;100%,"Erreur : corrigez","OK")</f>
        <v>OK</v>
      </c>
      <c r="D20" s="39"/>
      <c r="F20" s="16"/>
      <c r="G20" s="16"/>
      <c r="H20" s="36"/>
      <c r="I20" s="3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</row>
    <row r="21" customFormat="false" ht="14.25" hidden="false" customHeight="false" outlineLevel="0" collapsed="false">
      <c r="A21" s="3"/>
      <c r="B21" s="3"/>
      <c r="C21" s="3"/>
      <c r="H21" s="40"/>
      <c r="I21" s="40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</row>
    <row r="22" customFormat="false" ht="21" hidden="false" customHeight="false" outlineLevel="0" collapsed="false">
      <c r="A22" s="41" t="s">
        <v>33</v>
      </c>
      <c r="B22" s="41"/>
      <c r="C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customFormat="false" ht="14.25" hidden="false" customHeight="false" outlineLevel="0" collapsed="false">
      <c r="A23" s="3"/>
      <c r="B23" s="3"/>
      <c r="C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customFormat="false" ht="14.25" hidden="false" customHeight="false" outlineLevel="0" collapsed="false">
      <c r="A24" s="42" t="s">
        <v>34</v>
      </c>
      <c r="B24" s="43" t="s">
        <v>35</v>
      </c>
      <c r="C24" s="44" t="n">
        <v>0</v>
      </c>
      <c r="D24" s="45" t="s">
        <v>36</v>
      </c>
      <c r="E24" s="46"/>
      <c r="F24" s="46"/>
      <c r="G24" s="47"/>
      <c r="I24" s="47"/>
      <c r="J24" s="48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customFormat="false" ht="14.25" hidden="false" customHeight="false" outlineLevel="0" collapsed="false">
      <c r="A25" s="42" t="s">
        <v>37</v>
      </c>
      <c r="B25" s="43" t="s">
        <v>38</v>
      </c>
      <c r="C25" s="49" t="n">
        <v>0.1</v>
      </c>
      <c r="D25" s="50"/>
      <c r="E25" s="3"/>
      <c r="F25" s="50"/>
      <c r="G25" s="48"/>
      <c r="I25" s="48"/>
      <c r="J25" s="48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customFormat="false" ht="14.25" hidden="false" customHeight="false" outlineLevel="0" collapsed="false">
      <c r="A26" s="42" t="s">
        <v>39</v>
      </c>
      <c r="B26" s="43" t="s">
        <v>40</v>
      </c>
      <c r="C26" s="44" t="n">
        <v>0</v>
      </c>
      <c r="D26" s="45" t="s">
        <v>41</v>
      </c>
      <c r="E26" s="46"/>
      <c r="F26" s="46"/>
      <c r="G26" s="47"/>
      <c r="I26" s="47"/>
      <c r="J26" s="47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customFormat="false" ht="14.25" hidden="false" customHeight="false" outlineLevel="0" collapsed="false">
      <c r="A27" s="42" t="s">
        <v>42</v>
      </c>
      <c r="B27" s="43" t="s">
        <v>43</v>
      </c>
      <c r="C27" s="44" t="n">
        <v>0</v>
      </c>
      <c r="D27" s="45" t="s">
        <v>44</v>
      </c>
      <c r="E27" s="46"/>
      <c r="F27" s="46"/>
      <c r="G27" s="47"/>
      <c r="I27" s="47"/>
      <c r="J27" s="47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customFormat="false" ht="14.25" hidden="false" customHeight="false" outlineLevel="0" collapsed="false">
      <c r="A28" s="3"/>
      <c r="B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customFormat="false" ht="14.25" hidden="false" customHeight="false" outlineLevel="0" collapsed="false">
      <c r="A29" s="3"/>
      <c r="B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customFormat="false" ht="21" hidden="false" customHeight="false" outlineLevel="0" collapsed="false">
      <c r="A30" s="17" t="s">
        <v>45</v>
      </c>
      <c r="B30" s="17"/>
      <c r="D30" s="51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customFormat="false" ht="14.25" hidden="false" customHeight="false" outlineLevel="0" collapsed="false">
      <c r="A31" s="3"/>
      <c r="B31" s="3"/>
      <c r="K31" s="51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</row>
    <row r="32" customFormat="false" ht="14.25" hidden="false" customHeight="false" outlineLevel="0" collapsed="false">
      <c r="A32" s="52" t="s">
        <v>15</v>
      </c>
      <c r="B32" s="53" t="str">
        <f aca="false">IF(B9="","",B9)</f>
        <v>Cèdre de l'Atlas</v>
      </c>
      <c r="D32" s="54" t="s">
        <v>46</v>
      </c>
      <c r="K32" s="51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customFormat="false" ht="14.25" hidden="false" customHeight="false" outlineLevel="0" collapsed="false">
      <c r="A33" s="52"/>
      <c r="B33" s="3"/>
      <c r="K33" s="51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customFormat="false" ht="14.25" hidden="false" customHeight="false" outlineLevel="0" collapsed="false">
      <c r="A34" s="3"/>
      <c r="B34" s="55" t="s">
        <v>47</v>
      </c>
      <c r="C34" s="55" t="s">
        <v>48</v>
      </c>
      <c r="D34" s="55"/>
      <c r="E34" s="55" t="s">
        <v>49</v>
      </c>
      <c r="F34" s="55"/>
      <c r="G34" s="55"/>
      <c r="H34" s="55"/>
      <c r="I34" s="56"/>
      <c r="J34" s="51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customFormat="false" ht="42.75" hidden="false" customHeight="false" outlineLevel="0" collapsed="false">
      <c r="A35" s="32" t="s">
        <v>50</v>
      </c>
      <c r="B35" s="32" t="s">
        <v>51</v>
      </c>
      <c r="C35" s="57" t="s">
        <v>52</v>
      </c>
      <c r="D35" s="57" t="s">
        <v>53</v>
      </c>
      <c r="E35" s="32" t="s">
        <v>54</v>
      </c>
      <c r="F35" s="32" t="s">
        <v>55</v>
      </c>
      <c r="G35" s="32" t="s">
        <v>56</v>
      </c>
      <c r="H35" s="32" t="s">
        <v>57</v>
      </c>
      <c r="I35" s="57" t="s">
        <v>58</v>
      </c>
      <c r="J35" s="58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customFormat="false" ht="14.25" hidden="false" customHeight="false" outlineLevel="0" collapsed="false">
      <c r="A36" s="59" t="n">
        <v>20</v>
      </c>
      <c r="B36" s="60" t="n">
        <v>158</v>
      </c>
      <c r="C36" s="60" t="n">
        <v>1</v>
      </c>
      <c r="D36" s="60" t="n">
        <v>39.5</v>
      </c>
      <c r="E36" s="61" t="n">
        <v>0.2</v>
      </c>
      <c r="F36" s="61" t="n">
        <v>0.2</v>
      </c>
      <c r="G36" s="61" t="n">
        <v>0.6</v>
      </c>
      <c r="H36" s="61"/>
      <c r="I36" s="62" t="n">
        <f aca="false">IFERROR(B36/A36,"")</f>
        <v>7.9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customFormat="false" ht="14.25" hidden="false" customHeight="false" outlineLevel="0" collapsed="false">
      <c r="A37" s="59" t="n">
        <v>30</v>
      </c>
      <c r="B37" s="60" t="n">
        <v>210.5</v>
      </c>
      <c r="C37" s="60" t="n">
        <v>2</v>
      </c>
      <c r="D37" s="60" t="n">
        <v>67</v>
      </c>
      <c r="E37" s="61" t="n">
        <v>0.3</v>
      </c>
      <c r="F37" s="61" t="n">
        <v>0.4</v>
      </c>
      <c r="G37" s="61" t="n">
        <v>0.3</v>
      </c>
      <c r="H37" s="61"/>
      <c r="I37" s="63" t="n">
        <f aca="false">IF(A37&lt;&gt;0,(B37-(B36-D36))/(A37-A36),"")</f>
        <v>9.2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customFormat="false" ht="14.25" hidden="false" customHeight="false" outlineLevel="0" collapsed="false">
      <c r="A38" s="59" t="n">
        <v>40</v>
      </c>
      <c r="B38" s="60" t="n">
        <v>243.5</v>
      </c>
      <c r="C38" s="60" t="n">
        <v>3</v>
      </c>
      <c r="D38" s="60" t="n">
        <v>70</v>
      </c>
      <c r="E38" s="61"/>
      <c r="F38" s="61"/>
      <c r="G38" s="61"/>
      <c r="H38" s="61"/>
      <c r="I38" s="63" t="n">
        <f aca="false">IF(A38&lt;&gt;0,(B38-(B37-D37))/(A38-A37),"")</f>
        <v>10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customFormat="false" ht="14.25" hidden="false" customHeight="false" outlineLevel="0" collapsed="false">
      <c r="A39" s="59" t="n">
        <v>50</v>
      </c>
      <c r="B39" s="60" t="n">
        <v>288.5</v>
      </c>
      <c r="C39" s="60" t="n">
        <v>4</v>
      </c>
      <c r="D39" s="60" t="n">
        <v>75</v>
      </c>
      <c r="E39" s="61"/>
      <c r="F39" s="61"/>
      <c r="G39" s="61"/>
      <c r="H39" s="61"/>
      <c r="I39" s="62" t="n">
        <f aca="false">IF(A39&lt;&gt;0,(B39-(B38-D38))/(A39-A38),"")</f>
        <v>11.5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customFormat="false" ht="14.25" hidden="false" customHeight="false" outlineLevel="0" collapsed="false">
      <c r="A40" s="59" t="n">
        <v>60</v>
      </c>
      <c r="B40" s="60" t="n">
        <v>348.5</v>
      </c>
      <c r="C40" s="60" t="n">
        <v>5</v>
      </c>
      <c r="D40" s="60" t="n">
        <v>80</v>
      </c>
      <c r="E40" s="61"/>
      <c r="F40" s="61"/>
      <c r="G40" s="61"/>
      <c r="H40" s="61"/>
      <c r="I40" s="62" t="n">
        <f aca="false">IF(A40&lt;&gt;0,(B40-(B39-D39))/(A40-A39),"")</f>
        <v>13.5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customFormat="false" ht="14.25" hidden="false" customHeight="false" outlineLevel="0" collapsed="false">
      <c r="A41" s="59" t="n">
        <v>70</v>
      </c>
      <c r="B41" s="60" t="n">
        <v>423.5</v>
      </c>
      <c r="C41" s="60" t="n">
        <v>6</v>
      </c>
      <c r="D41" s="60" t="n">
        <v>87</v>
      </c>
      <c r="E41" s="61"/>
      <c r="F41" s="61"/>
      <c r="G41" s="61"/>
      <c r="H41" s="61"/>
      <c r="I41" s="63" t="n">
        <f aca="false">IF(A41&lt;&gt;0,(B41-(B40-D40))/(A41-A40),"")</f>
        <v>15.5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customFormat="false" ht="14.25" hidden="false" customHeight="false" outlineLevel="0" collapsed="false">
      <c r="A42" s="59" t="n">
        <v>80</v>
      </c>
      <c r="B42" s="60" t="n">
        <v>506.5</v>
      </c>
      <c r="C42" s="60" t="n">
        <v>7</v>
      </c>
      <c r="D42" s="60" t="n">
        <v>93</v>
      </c>
      <c r="E42" s="61"/>
      <c r="F42" s="61"/>
      <c r="G42" s="61"/>
      <c r="H42" s="61"/>
      <c r="I42" s="63" t="n">
        <f aca="false">IF(A42&lt;&gt;0,(B42-(B41-D41))/(A42-A41),"")</f>
        <v>17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customFormat="false" ht="14.25" hidden="false" customHeight="false" outlineLevel="0" collapsed="false">
      <c r="A43" s="59" t="n">
        <v>90</v>
      </c>
      <c r="B43" s="60" t="n">
        <v>588.5</v>
      </c>
      <c r="C43" s="60" t="n">
        <v>8</v>
      </c>
      <c r="D43" s="60" t="n">
        <v>98</v>
      </c>
      <c r="E43" s="61"/>
      <c r="F43" s="61"/>
      <c r="G43" s="61"/>
      <c r="H43" s="61"/>
      <c r="I43" s="62" t="n">
        <f aca="false">IF(A43&lt;&gt;0,(B43-(B42-D42))/(A43-A42),"")</f>
        <v>17.5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customFormat="false" ht="14.25" hidden="false" customHeight="false" outlineLevel="0" collapsed="false">
      <c r="A44" s="59" t="n">
        <v>100</v>
      </c>
      <c r="B44" s="60" t="n">
        <v>675.5</v>
      </c>
      <c r="C44" s="60" t="n">
        <v>9</v>
      </c>
      <c r="D44" s="60" t="n">
        <v>675.5</v>
      </c>
      <c r="E44" s="61"/>
      <c r="F44" s="61"/>
      <c r="G44" s="61"/>
      <c r="H44" s="61"/>
      <c r="I44" s="62" t="n">
        <f aca="false">IF(A44&lt;&gt;0,(B44-(B43-D43))/(A44-A43),"")</f>
        <v>18.5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customFormat="false" ht="14.25" hidden="false" customHeight="false" outlineLevel="0" collapsed="false">
      <c r="A45" s="59"/>
      <c r="B45" s="60"/>
      <c r="C45" s="60"/>
      <c r="D45" s="60"/>
      <c r="E45" s="61"/>
      <c r="F45" s="61"/>
      <c r="G45" s="61"/>
      <c r="H45" s="61"/>
      <c r="I45" s="62" t="str">
        <f aca="false">IF(A45&lt;&gt;0,(B45-(B44-D44))/(A45-A44),"")</f>
        <v/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customFormat="false" ht="14.25" hidden="false" customHeight="false" outlineLevel="0" collapsed="false">
      <c r="A46" s="59"/>
      <c r="B46" s="60"/>
      <c r="C46" s="60"/>
      <c r="D46" s="60"/>
      <c r="E46" s="61"/>
      <c r="F46" s="61"/>
      <c r="G46" s="61"/>
      <c r="H46" s="61"/>
      <c r="I46" s="62" t="str">
        <f aca="false">IF(A46&lt;&gt;0,(B46-(B45-D45))/(A46-A45),"")</f>
        <v/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customFormat="false" ht="14.25" hidden="false" customHeight="false" outlineLevel="0" collapsed="false">
      <c r="A47" s="59"/>
      <c r="B47" s="60"/>
      <c r="C47" s="60"/>
      <c r="D47" s="60"/>
      <c r="E47" s="61"/>
      <c r="F47" s="61"/>
      <c r="G47" s="61"/>
      <c r="H47" s="61"/>
      <c r="I47" s="62" t="str">
        <f aca="false">IF(A47&lt;&gt;0,(B47-(B46-D46))/(A47-A46),"")</f>
        <v/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customFormat="false" ht="14.25" hidden="false" customHeight="false" outlineLevel="0" collapsed="false">
      <c r="A48" s="59"/>
      <c r="B48" s="60"/>
      <c r="C48" s="60"/>
      <c r="D48" s="60"/>
      <c r="E48" s="61"/>
      <c r="F48" s="61"/>
      <c r="G48" s="61"/>
      <c r="H48" s="61"/>
      <c r="I48" s="62" t="str">
        <f aca="false">IF(A48&lt;&gt;0,(B48-(B47-D47))/(A48-A47),"")</f>
        <v/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customFormat="false" ht="14.25" hidden="false" customHeight="false" outlineLevel="0" collapsed="false">
      <c r="A49" s="59"/>
      <c r="B49" s="60"/>
      <c r="C49" s="60"/>
      <c r="D49" s="60"/>
      <c r="E49" s="61"/>
      <c r="F49" s="61"/>
      <c r="G49" s="61"/>
      <c r="H49" s="61"/>
      <c r="I49" s="62" t="str">
        <f aca="false">IF(A49&lt;&gt;0,(B49-(B48-D48))/(A49-A48),"")</f>
        <v/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customFormat="false" ht="14.25" hidden="false" customHeight="false" outlineLevel="0" collapsed="false">
      <c r="A50" s="59"/>
      <c r="B50" s="59"/>
      <c r="C50" s="59"/>
      <c r="D50" s="59"/>
      <c r="E50" s="61"/>
      <c r="F50" s="61"/>
      <c r="G50" s="61"/>
      <c r="H50" s="61"/>
      <c r="I50" s="62" t="str">
        <f aca="false">IF(A50&lt;&gt;0,(B50-(B49-D49))/(A50-A49),"")</f>
        <v/>
      </c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customFormat="false" ht="14.25" hidden="false" customHeight="false" outlineLevel="0" collapsed="false">
      <c r="A51" s="59"/>
      <c r="B51" s="59"/>
      <c r="C51" s="59"/>
      <c r="D51" s="59"/>
      <c r="E51" s="61"/>
      <c r="F51" s="61"/>
      <c r="G51" s="61"/>
      <c r="H51" s="61"/>
      <c r="I51" s="62" t="str">
        <f aca="false">IF(A51&lt;&gt;0,(B51-(B50-D50))/(A51-A50),"")</f>
        <v/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customFormat="false" ht="14.25" hidden="false" customHeight="false" outlineLevel="0" collapsed="false">
      <c r="A52" s="59"/>
      <c r="B52" s="59"/>
      <c r="C52" s="59"/>
      <c r="D52" s="59"/>
      <c r="E52" s="61"/>
      <c r="F52" s="61"/>
      <c r="G52" s="61"/>
      <c r="H52" s="61"/>
      <c r="I52" s="62" t="str">
        <f aca="false">IF(A52&lt;&gt;0,(B52-(B51-D51))/(A52-A51),"")</f>
        <v/>
      </c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customFormat="false" ht="14.25" hidden="false" customHeight="false" outlineLevel="0" collapsed="false">
      <c r="A53" s="59"/>
      <c r="B53" s="59"/>
      <c r="C53" s="59"/>
      <c r="D53" s="59"/>
      <c r="E53" s="61"/>
      <c r="F53" s="61"/>
      <c r="G53" s="61"/>
      <c r="H53" s="61"/>
      <c r="I53" s="62" t="str">
        <f aca="false">IF(A53&lt;&gt;0,(B53-(B52-D52))/(A53-A52),"")</f>
        <v/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customFormat="false" ht="14.25" hidden="false" customHeight="false" outlineLevel="0" collapsed="false">
      <c r="A54" s="59"/>
      <c r="B54" s="59"/>
      <c r="C54" s="59"/>
      <c r="D54" s="59"/>
      <c r="E54" s="61"/>
      <c r="F54" s="61"/>
      <c r="G54" s="61"/>
      <c r="H54" s="61"/>
      <c r="I54" s="62" t="str">
        <f aca="false">IF(A54&lt;&gt;0,(B54-(B53-D53))/(A54-A53),"")</f>
        <v/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customFormat="false" ht="14.25" hidden="false" customHeight="false" outlineLevel="0" collapsed="false">
      <c r="A55" s="59"/>
      <c r="B55" s="59"/>
      <c r="C55" s="59"/>
      <c r="D55" s="59"/>
      <c r="E55" s="61"/>
      <c r="F55" s="61"/>
      <c r="G55" s="61"/>
      <c r="H55" s="61"/>
      <c r="I55" s="62" t="str">
        <f aca="false">IF(A55&lt;&gt;0,(B55-(B54-D54))/(A55-A54),"")</f>
        <v/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customFormat="false" ht="14.25" hidden="false" customHeight="false" outlineLevel="0" collapsed="false">
      <c r="A56" s="3"/>
      <c r="B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customFormat="false" ht="14.25" hidden="false" customHeight="false" outlineLevel="0" collapsed="false">
      <c r="A57" s="3"/>
      <c r="B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customFormat="false" ht="14.25" hidden="false" customHeight="false" outlineLevel="0" collapsed="false">
      <c r="A58" s="52" t="s">
        <v>18</v>
      </c>
      <c r="B58" s="64" t="str">
        <f aca="false">IF(B10="","",B10)</f>
        <v>Douglas</v>
      </c>
      <c r="D58" s="54" t="s">
        <v>46</v>
      </c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customFormat="false" ht="14.25" hidden="false" customHeight="false" outlineLevel="0" collapsed="false">
      <c r="A59" s="52"/>
      <c r="B59" s="6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customFormat="false" ht="14.25" hidden="false" customHeight="false" outlineLevel="0" collapsed="false">
      <c r="A60" s="3"/>
      <c r="B60" s="55" t="s">
        <v>47</v>
      </c>
      <c r="C60" s="55" t="s">
        <v>48</v>
      </c>
      <c r="D60" s="55"/>
      <c r="E60" s="55" t="s">
        <v>49</v>
      </c>
      <c r="F60" s="55"/>
      <c r="G60" s="55"/>
      <c r="H60" s="55"/>
      <c r="I60" s="56"/>
      <c r="J60" s="51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customFormat="false" ht="42.75" hidden="false" customHeight="false" outlineLevel="0" collapsed="false">
      <c r="A61" s="32" t="s">
        <v>50</v>
      </c>
      <c r="B61" s="32" t="s">
        <v>51</v>
      </c>
      <c r="C61" s="57" t="s">
        <v>52</v>
      </c>
      <c r="D61" s="57" t="s">
        <v>53</v>
      </c>
      <c r="E61" s="32" t="s">
        <v>54</v>
      </c>
      <c r="F61" s="32" t="s">
        <v>55</v>
      </c>
      <c r="G61" s="32" t="s">
        <v>56</v>
      </c>
      <c r="H61" s="32" t="s">
        <v>57</v>
      </c>
      <c r="I61" s="57" t="s">
        <v>58</v>
      </c>
      <c r="J61" s="58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customFormat="false" ht="14.25" hidden="false" customHeight="false" outlineLevel="0" collapsed="false">
      <c r="A62" s="59" t="n">
        <v>23</v>
      </c>
      <c r="B62" s="60" t="n">
        <v>162</v>
      </c>
      <c r="C62" s="60" t="n">
        <v>1</v>
      </c>
      <c r="D62" s="60" t="n">
        <v>0</v>
      </c>
      <c r="E62" s="61"/>
      <c r="F62" s="61" t="n">
        <v>0.4</v>
      </c>
      <c r="G62" s="61" t="n">
        <v>0.6</v>
      </c>
      <c r="H62" s="61"/>
      <c r="I62" s="63" t="n">
        <f aca="false">IFERROR(B62/A62,"")</f>
        <v>7.04347826086957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customFormat="false" ht="14.25" hidden="false" customHeight="false" outlineLevel="0" collapsed="false">
      <c r="A63" s="59" t="n">
        <v>25</v>
      </c>
      <c r="B63" s="60" t="n">
        <v>218</v>
      </c>
      <c r="C63" s="60" t="n">
        <v>2</v>
      </c>
      <c r="D63" s="60" t="n">
        <v>14</v>
      </c>
      <c r="E63" s="61"/>
      <c r="F63" s="61" t="n">
        <v>0.6</v>
      </c>
      <c r="G63" s="61" t="n">
        <v>0.4</v>
      </c>
      <c r="H63" s="61"/>
      <c r="I63" s="62" t="n">
        <f aca="false">IF(A63&lt;&gt;0,(B63-(B62-D62))/(A63-A62),"")</f>
        <v>28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customFormat="false" ht="14.25" hidden="false" customHeight="false" outlineLevel="0" collapsed="false">
      <c r="A64" s="59" t="n">
        <v>30</v>
      </c>
      <c r="B64" s="60" t="n">
        <v>328</v>
      </c>
      <c r="C64" s="60" t="n">
        <v>3</v>
      </c>
      <c r="D64" s="60" t="n">
        <v>42</v>
      </c>
      <c r="E64" s="61" t="n">
        <v>0.2</v>
      </c>
      <c r="F64" s="61" t="n">
        <v>0.6</v>
      </c>
      <c r="G64" s="61" t="n">
        <v>0.2</v>
      </c>
      <c r="H64" s="61"/>
      <c r="I64" s="62" t="n">
        <f aca="false">IF(A64&lt;&gt;0,(B64-(B63-D63))/(A64-A63),"")</f>
        <v>24.8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customFormat="false" ht="14.25" hidden="false" customHeight="false" outlineLevel="0" collapsed="false">
      <c r="A65" s="59" t="n">
        <v>35</v>
      </c>
      <c r="B65" s="60" t="n">
        <v>410</v>
      </c>
      <c r="C65" s="60" t="n">
        <v>4</v>
      </c>
      <c r="D65" s="60" t="n">
        <v>49</v>
      </c>
      <c r="E65" s="61"/>
      <c r="F65" s="61"/>
      <c r="G65" s="61"/>
      <c r="H65" s="61"/>
      <c r="I65" s="62" t="n">
        <f aca="false">IF(A65&lt;&gt;0,(B65-(B64-D64))/(A65-A64),"")</f>
        <v>24.8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customFormat="false" ht="14.25" hidden="false" customHeight="false" outlineLevel="0" collapsed="false">
      <c r="A66" s="59" t="n">
        <v>40</v>
      </c>
      <c r="B66" s="60" t="n">
        <v>481</v>
      </c>
      <c r="C66" s="60" t="n">
        <v>5</v>
      </c>
      <c r="D66" s="60" t="n">
        <v>58</v>
      </c>
      <c r="E66" s="61"/>
      <c r="F66" s="61"/>
      <c r="G66" s="61"/>
      <c r="H66" s="61"/>
      <c r="I66" s="62" t="n">
        <f aca="false">IF(A66&lt;&gt;0,(B66-(B65-D65))/(A66-A65),"")</f>
        <v>24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customFormat="false" ht="14.25" hidden="false" customHeight="false" outlineLevel="0" collapsed="false">
      <c r="A67" s="59" t="n">
        <v>45</v>
      </c>
      <c r="B67" s="60" t="n">
        <v>526</v>
      </c>
      <c r="C67" s="60" t="n">
        <v>6</v>
      </c>
      <c r="D67" s="60" t="n">
        <v>57</v>
      </c>
      <c r="E67" s="61"/>
      <c r="F67" s="61"/>
      <c r="G67" s="61"/>
      <c r="H67" s="61"/>
      <c r="I67" s="62" t="n">
        <f aca="false">IF(A67&lt;&gt;0,(B67-(B66-D66))/(A67-A66),"")</f>
        <v>20.6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customFormat="false" ht="14.25" hidden="false" customHeight="false" outlineLevel="0" collapsed="false">
      <c r="A68" s="59" t="n">
        <v>50</v>
      </c>
      <c r="B68" s="60" t="n">
        <v>544</v>
      </c>
      <c r="C68" s="60" t="n">
        <v>7</v>
      </c>
      <c r="D68" s="60" t="n">
        <v>42</v>
      </c>
      <c r="E68" s="61"/>
      <c r="F68" s="61"/>
      <c r="G68" s="61"/>
      <c r="H68" s="61"/>
      <c r="I68" s="62" t="n">
        <f aca="false">IF(A68&lt;&gt;0,(B68-(B67-D67))/(A68-A67),"")</f>
        <v>15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customFormat="false" ht="14.25" hidden="false" customHeight="false" outlineLevel="0" collapsed="false">
      <c r="A69" s="59" t="n">
        <v>55</v>
      </c>
      <c r="B69" s="59" t="n">
        <v>565</v>
      </c>
      <c r="C69" s="59" t="n">
        <v>8</v>
      </c>
      <c r="D69" s="59" t="n">
        <v>37</v>
      </c>
      <c r="E69" s="61"/>
      <c r="F69" s="61"/>
      <c r="G69" s="61"/>
      <c r="H69" s="61"/>
      <c r="I69" s="62" t="n">
        <f aca="false">IF(A69&lt;&gt;0,(B69-(B68-D68))/(A69-A68),"")</f>
        <v>12.6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customFormat="false" ht="14.25" hidden="false" customHeight="false" outlineLevel="0" collapsed="false">
      <c r="A70" s="59" t="n">
        <v>60</v>
      </c>
      <c r="B70" s="59" t="n">
        <v>567</v>
      </c>
      <c r="C70" s="59" t="n">
        <v>9</v>
      </c>
      <c r="D70" s="59" t="n">
        <v>567</v>
      </c>
      <c r="E70" s="61"/>
      <c r="F70" s="61"/>
      <c r="G70" s="61"/>
      <c r="H70" s="61"/>
      <c r="I70" s="62" t="n">
        <f aca="false">IF(A70&lt;&gt;0,(B70-(B69-D69))/(A70-A69),"")</f>
        <v>7.8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customFormat="false" ht="14.25" hidden="false" customHeight="false" outlineLevel="0" collapsed="false">
      <c r="A71" s="59"/>
      <c r="B71" s="59"/>
      <c r="C71" s="59"/>
      <c r="D71" s="59"/>
      <c r="E71" s="61"/>
      <c r="F71" s="61"/>
      <c r="G71" s="61"/>
      <c r="H71" s="61"/>
      <c r="I71" s="62" t="str">
        <f aca="false">IF(A71&lt;&gt;0,(B71-(B70-D70))/(A71-A70),"")</f>
        <v/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customFormat="false" ht="14.25" hidden="false" customHeight="false" outlineLevel="0" collapsed="false">
      <c r="A72" s="59"/>
      <c r="B72" s="59"/>
      <c r="C72" s="59"/>
      <c r="D72" s="59"/>
      <c r="E72" s="61"/>
      <c r="F72" s="61"/>
      <c r="G72" s="61"/>
      <c r="H72" s="61"/>
      <c r="I72" s="62" t="str">
        <f aca="false">IF(A72&lt;&gt;0,(B72-(B71-D71))/(A72-A71),"")</f>
        <v/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customFormat="false" ht="14.25" hidden="false" customHeight="false" outlineLevel="0" collapsed="false">
      <c r="A73" s="59"/>
      <c r="B73" s="59"/>
      <c r="C73" s="59"/>
      <c r="D73" s="59"/>
      <c r="E73" s="61"/>
      <c r="F73" s="61"/>
      <c r="G73" s="61"/>
      <c r="H73" s="61"/>
      <c r="I73" s="62" t="str">
        <f aca="false">IF(A73&lt;&gt;0,(B73-(B72-D72))/(A73-A72),"")</f>
        <v/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customFormat="false" ht="14.25" hidden="false" customHeight="false" outlineLevel="0" collapsed="false">
      <c r="A74" s="59"/>
      <c r="B74" s="59"/>
      <c r="C74" s="59"/>
      <c r="D74" s="59"/>
      <c r="E74" s="61"/>
      <c r="F74" s="61"/>
      <c r="G74" s="61"/>
      <c r="H74" s="61"/>
      <c r="I74" s="62" t="str">
        <f aca="false">IF(A74&lt;&gt;0,(B74-(B73-D73))/(A74-A73),"")</f>
        <v/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customFormat="false" ht="14.25" hidden="false" customHeight="false" outlineLevel="0" collapsed="false">
      <c r="A75" s="59"/>
      <c r="B75" s="59"/>
      <c r="C75" s="59"/>
      <c r="D75" s="59"/>
      <c r="E75" s="61"/>
      <c r="F75" s="61"/>
      <c r="G75" s="61"/>
      <c r="H75" s="61"/>
      <c r="I75" s="62" t="str">
        <f aca="false">IF(A75&lt;&gt;0,(B75-(B74-D74))/(A75-A74),"")</f>
        <v/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customFormat="false" ht="14.25" hidden="false" customHeight="false" outlineLevel="0" collapsed="false">
      <c r="A76" s="59"/>
      <c r="B76" s="59"/>
      <c r="C76" s="59"/>
      <c r="D76" s="59"/>
      <c r="E76" s="61"/>
      <c r="F76" s="61"/>
      <c r="G76" s="61"/>
      <c r="H76" s="61"/>
      <c r="I76" s="62" t="str">
        <f aca="false">IF(A76&lt;&gt;0,(B76-(B75-D75))/(A76-A75),"")</f>
        <v/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customFormat="false" ht="14.25" hidden="false" customHeight="false" outlineLevel="0" collapsed="false">
      <c r="A77" s="59"/>
      <c r="B77" s="59"/>
      <c r="C77" s="59"/>
      <c r="D77" s="59"/>
      <c r="E77" s="61"/>
      <c r="F77" s="61"/>
      <c r="G77" s="61"/>
      <c r="H77" s="61"/>
      <c r="I77" s="62" t="str">
        <f aca="false">IF(A77&lt;&gt;0,(B77-(B76-D76))/(A77-A76),"")</f>
        <v/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customFormat="false" ht="14.25" hidden="false" customHeight="false" outlineLevel="0" collapsed="false">
      <c r="A78" s="59"/>
      <c r="B78" s="59"/>
      <c r="C78" s="59"/>
      <c r="D78" s="59"/>
      <c r="E78" s="61"/>
      <c r="F78" s="61"/>
      <c r="G78" s="61"/>
      <c r="H78" s="61"/>
      <c r="I78" s="62" t="str">
        <f aca="false">IF(A78&lt;&gt;0,(B78-(B77-D77))/(A78-A77),"")</f>
        <v/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customFormat="false" ht="14.25" hidden="false" customHeight="false" outlineLevel="0" collapsed="false">
      <c r="A79" s="59"/>
      <c r="B79" s="59"/>
      <c r="C79" s="59"/>
      <c r="D79" s="59"/>
      <c r="E79" s="61"/>
      <c r="F79" s="61"/>
      <c r="G79" s="61"/>
      <c r="H79" s="61"/>
      <c r="I79" s="62" t="str">
        <f aca="false">IF(A79&lt;&gt;0,(B79-(B78-D78))/(A79-A78),"")</f>
        <v/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customFormat="false" ht="14.25" hidden="false" customHeight="false" outlineLevel="0" collapsed="false">
      <c r="A80" s="59"/>
      <c r="B80" s="59"/>
      <c r="C80" s="59"/>
      <c r="D80" s="59"/>
      <c r="E80" s="61"/>
      <c r="F80" s="61"/>
      <c r="G80" s="61"/>
      <c r="H80" s="61"/>
      <c r="I80" s="62" t="str">
        <f aca="false">IF(A80&lt;&gt;0,(B80-(B79-D79))/(A80-A79),"")</f>
        <v/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customFormat="false" ht="14.25" hidden="false" customHeight="false" outlineLevel="0" collapsed="false">
      <c r="A81" s="59"/>
      <c r="B81" s="59"/>
      <c r="C81" s="59"/>
      <c r="D81" s="59"/>
      <c r="E81" s="61"/>
      <c r="F81" s="61"/>
      <c r="G81" s="61"/>
      <c r="H81" s="61"/>
      <c r="I81" s="62" t="str">
        <f aca="false">IF(A81&lt;&gt;0,(B81-(B80-D80))/(A81-A80),"")</f>
        <v/>
      </c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customFormat="false" ht="14.25" hidden="false" customHeight="false" outlineLevel="0" collapsed="false">
      <c r="A82" s="3"/>
      <c r="B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customFormat="false" ht="14.25" hidden="false" customHeight="false" outlineLevel="0" collapsed="false">
      <c r="A83" s="3"/>
      <c r="B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customFormat="false" ht="14.25" hidden="false" customHeight="false" outlineLevel="0" collapsed="false">
      <c r="A84" s="52" t="s">
        <v>20</v>
      </c>
      <c r="B84" s="64" t="str">
        <f aca="false">IF(B11="","",B11)</f>
        <v>Chêne rouge d'Amérique</v>
      </c>
      <c r="D84" s="54" t="s">
        <v>46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customFormat="false" ht="14.25" hidden="false" customHeight="false" outlineLevel="0" collapsed="false">
      <c r="A85" s="52"/>
      <c r="B85" s="6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customFormat="false" ht="14.25" hidden="false" customHeight="false" outlineLevel="0" collapsed="false">
      <c r="A86" s="3"/>
      <c r="B86" s="55" t="s">
        <v>47</v>
      </c>
      <c r="C86" s="55" t="s">
        <v>48</v>
      </c>
      <c r="D86" s="55"/>
      <c r="E86" s="55" t="s">
        <v>49</v>
      </c>
      <c r="F86" s="55"/>
      <c r="G86" s="55"/>
      <c r="H86" s="55"/>
      <c r="I86" s="56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customFormat="false" ht="42.75" hidden="false" customHeight="false" outlineLevel="0" collapsed="false">
      <c r="A87" s="32" t="s">
        <v>50</v>
      </c>
      <c r="B87" s="32" t="s">
        <v>51</v>
      </c>
      <c r="C87" s="57" t="s">
        <v>52</v>
      </c>
      <c r="D87" s="57" t="s">
        <v>53</v>
      </c>
      <c r="E87" s="32" t="s">
        <v>54</v>
      </c>
      <c r="F87" s="32" t="s">
        <v>55</v>
      </c>
      <c r="G87" s="32" t="s">
        <v>56</v>
      </c>
      <c r="H87" s="32" t="s">
        <v>57</v>
      </c>
      <c r="I87" s="57" t="s">
        <v>58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customFormat="false" ht="14.25" hidden="false" customHeight="false" outlineLevel="0" collapsed="false">
      <c r="A88" s="59" t="n">
        <v>15</v>
      </c>
      <c r="B88" s="60" t="n">
        <v>87</v>
      </c>
      <c r="C88" s="60" t="n">
        <v>1</v>
      </c>
      <c r="D88" s="60" t="n">
        <v>21</v>
      </c>
      <c r="E88" s="61"/>
      <c r="F88" s="61" t="n">
        <v>0.1</v>
      </c>
      <c r="G88" s="61" t="n">
        <v>0.5</v>
      </c>
      <c r="H88" s="66" t="n">
        <v>0.4</v>
      </c>
      <c r="I88" s="63" t="n">
        <f aca="false">IFERROR(B88/A88,"")</f>
        <v>5.8</v>
      </c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customFormat="false" ht="14.25" hidden="false" customHeight="false" outlineLevel="0" collapsed="false">
      <c r="A89" s="59" t="n">
        <v>20</v>
      </c>
      <c r="B89" s="60" t="n">
        <v>137</v>
      </c>
      <c r="C89" s="60" t="n">
        <v>2</v>
      </c>
      <c r="D89" s="60" t="n">
        <v>43</v>
      </c>
      <c r="E89" s="61" t="n">
        <v>0.1</v>
      </c>
      <c r="F89" s="61" t="n">
        <v>0.2</v>
      </c>
      <c r="G89" s="61" t="n">
        <v>0.4</v>
      </c>
      <c r="H89" s="66" t="n">
        <v>0.3</v>
      </c>
      <c r="I89" s="63" t="n">
        <f aca="false">IF(A89&lt;&gt;0,(B89-(B88-D88))/(A89-A88),"")</f>
        <v>14.2</v>
      </c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customFormat="false" ht="14.25" hidden="false" customHeight="false" outlineLevel="0" collapsed="false">
      <c r="A90" s="59" t="n">
        <v>25</v>
      </c>
      <c r="B90" s="60" t="n">
        <v>163</v>
      </c>
      <c r="C90" s="60" t="n">
        <v>3</v>
      </c>
      <c r="D90" s="60" t="n">
        <v>44</v>
      </c>
      <c r="E90" s="66" t="n">
        <v>0.1</v>
      </c>
      <c r="F90" s="66" t="n">
        <v>0.3</v>
      </c>
      <c r="G90" s="66" t="n">
        <v>0.3</v>
      </c>
      <c r="H90" s="66" t="n">
        <v>0.3</v>
      </c>
      <c r="I90" s="63" t="n">
        <f aca="false">IF(A90&lt;&gt;0,(B90-(B89-D89))/(A90-A89),"")</f>
        <v>13.8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customFormat="false" ht="14.25" hidden="false" customHeight="false" outlineLevel="0" collapsed="false">
      <c r="A91" s="59" t="n">
        <v>30</v>
      </c>
      <c r="B91" s="60" t="n">
        <v>184</v>
      </c>
      <c r="C91" s="60" t="n">
        <v>4</v>
      </c>
      <c r="D91" s="60" t="n">
        <v>44</v>
      </c>
      <c r="E91" s="66" t="n">
        <v>0.3</v>
      </c>
      <c r="F91" s="66" t="n">
        <v>0.3</v>
      </c>
      <c r="G91" s="66" t="n">
        <v>0.1</v>
      </c>
      <c r="H91" s="66" t="n">
        <v>0.3</v>
      </c>
      <c r="I91" s="63" t="n">
        <f aca="false">IF(A91&lt;&gt;0,(B91-(B90-D90))/(A91-A90),"")</f>
        <v>13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customFormat="false" ht="14.25" hidden="false" customHeight="false" outlineLevel="0" collapsed="false">
      <c r="A92" s="59" t="n">
        <v>35</v>
      </c>
      <c r="B92" s="60" t="n">
        <v>201</v>
      </c>
      <c r="C92" s="60" t="n">
        <v>5</v>
      </c>
      <c r="D92" s="60" t="n">
        <v>42</v>
      </c>
      <c r="E92" s="66"/>
      <c r="F92" s="66"/>
      <c r="G92" s="66"/>
      <c r="H92" s="66"/>
      <c r="I92" s="63" t="n">
        <f aca="false">IF(A92&lt;&gt;0,(B92-(B91-D91))/(A92-A91),"")</f>
        <v>12.2</v>
      </c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customFormat="false" ht="14.25" hidden="false" customHeight="false" outlineLevel="0" collapsed="false">
      <c r="A93" s="59" t="n">
        <v>40</v>
      </c>
      <c r="B93" s="60" t="n">
        <v>213</v>
      </c>
      <c r="C93" s="60" t="n">
        <v>6</v>
      </c>
      <c r="D93" s="60" t="n">
        <v>39</v>
      </c>
      <c r="E93" s="66"/>
      <c r="F93" s="66"/>
      <c r="G93" s="66"/>
      <c r="H93" s="66"/>
      <c r="I93" s="63" t="n">
        <f aca="false">IF(A93&lt;&gt;0,(B93-(B92-D92))/(A93-A92),"")</f>
        <v>10.8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customFormat="false" ht="14.25" hidden="false" customHeight="false" outlineLevel="0" collapsed="false">
      <c r="A94" s="59" t="n">
        <v>45</v>
      </c>
      <c r="B94" s="60" t="n">
        <v>223</v>
      </c>
      <c r="C94" s="60" t="n">
        <v>7</v>
      </c>
      <c r="D94" s="60" t="n">
        <v>36</v>
      </c>
      <c r="E94" s="66"/>
      <c r="F94" s="66"/>
      <c r="G94" s="66"/>
      <c r="H94" s="66"/>
      <c r="I94" s="63" t="n">
        <f aca="false">IF(A94&lt;&gt;0,(B94-(B93-D93))/(A94-A93),"")</f>
        <v>9.8</v>
      </c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customFormat="false" ht="14.25" hidden="false" customHeight="false" outlineLevel="0" collapsed="false">
      <c r="A95" s="60" t="n">
        <v>50</v>
      </c>
      <c r="B95" s="60" t="n">
        <v>231</v>
      </c>
      <c r="C95" s="60" t="n">
        <v>8</v>
      </c>
      <c r="D95" s="60" t="n">
        <v>33</v>
      </c>
      <c r="E95" s="66"/>
      <c r="F95" s="66"/>
      <c r="G95" s="66"/>
      <c r="H95" s="66"/>
      <c r="I95" s="63" t="n">
        <f aca="false">IF(A95&lt;&gt;0,(B95-(B94-D94))/(A95-A94),"")</f>
        <v>8.8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customFormat="false" ht="14.25" hidden="false" customHeight="false" outlineLevel="0" collapsed="false">
      <c r="A96" s="60" t="n">
        <v>55</v>
      </c>
      <c r="B96" s="60" t="n">
        <v>237</v>
      </c>
      <c r="C96" s="60" t="n">
        <v>9</v>
      </c>
      <c r="D96" s="60" t="n">
        <v>29</v>
      </c>
      <c r="E96" s="66"/>
      <c r="F96" s="66"/>
      <c r="G96" s="66"/>
      <c r="H96" s="66"/>
      <c r="I96" s="63" t="n">
        <f aca="false">IF(A96&lt;&gt;0,(B96-(B95-D95))/(A96-A95),"")</f>
        <v>7.8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customFormat="false" ht="14.25" hidden="false" customHeight="false" outlineLevel="0" collapsed="false">
      <c r="A97" s="60" t="n">
        <v>60</v>
      </c>
      <c r="B97" s="60" t="n">
        <v>242</v>
      </c>
      <c r="C97" s="60" t="n">
        <v>10</v>
      </c>
      <c r="D97" s="60" t="n">
        <v>26</v>
      </c>
      <c r="E97" s="66"/>
      <c r="F97" s="66"/>
      <c r="G97" s="66"/>
      <c r="H97" s="66"/>
      <c r="I97" s="63" t="n">
        <f aca="false">IF(A97&lt;&gt;0,(B97-(B96-D96))/(A97-A96),"")</f>
        <v>6.8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customFormat="false" ht="14.25" hidden="false" customHeight="false" outlineLevel="0" collapsed="false">
      <c r="A98" s="60" t="n">
        <v>65</v>
      </c>
      <c r="B98" s="60" t="n">
        <v>246</v>
      </c>
      <c r="C98" s="60" t="n">
        <v>11</v>
      </c>
      <c r="D98" s="60" t="n">
        <v>23</v>
      </c>
      <c r="E98" s="66"/>
      <c r="F98" s="66"/>
      <c r="G98" s="66"/>
      <c r="H98" s="66"/>
      <c r="I98" s="63" t="n">
        <f aca="false">IF(A98&lt;&gt;0,(B98-(B97-D97))/(A98-A97),"")</f>
        <v>6</v>
      </c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customFormat="false" ht="14.25" hidden="false" customHeight="false" outlineLevel="0" collapsed="false">
      <c r="A99" s="60" t="n">
        <v>70</v>
      </c>
      <c r="B99" s="60" t="n">
        <v>249</v>
      </c>
      <c r="C99" s="60" t="n">
        <v>12</v>
      </c>
      <c r="D99" s="60" t="n">
        <v>249</v>
      </c>
      <c r="E99" s="66"/>
      <c r="F99" s="66"/>
      <c r="G99" s="66"/>
      <c r="H99" s="66"/>
      <c r="I99" s="63" t="n">
        <f aca="false">IF(A99&lt;&gt;0,(B99-(B98-D98))/(A99-A98),"")</f>
        <v>5.2</v>
      </c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customFormat="false" ht="14.25" hidden="false" customHeight="false" outlineLevel="0" collapsed="false">
      <c r="A100" s="60"/>
      <c r="B100" s="60"/>
      <c r="C100" s="60"/>
      <c r="D100" s="60"/>
      <c r="E100" s="67"/>
      <c r="F100" s="67"/>
      <c r="G100" s="67"/>
      <c r="H100" s="67"/>
      <c r="I100" s="63" t="str">
        <f aca="false">IF(A100&lt;&gt;0,(B100-(B99-D99))/(A100-A99),"")</f>
        <v/>
      </c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customFormat="false" ht="14.25" hidden="false" customHeight="false" outlineLevel="0" collapsed="false">
      <c r="A101" s="60"/>
      <c r="B101" s="60"/>
      <c r="C101" s="60"/>
      <c r="D101" s="60"/>
      <c r="E101" s="67"/>
      <c r="F101" s="67"/>
      <c r="G101" s="67"/>
      <c r="H101" s="67"/>
      <c r="I101" s="63" t="str">
        <f aca="false">IF(A101&lt;&gt;0,(B101-(B100-D100))/(A101-A100),"")</f>
        <v/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customFormat="false" ht="14.25" hidden="false" customHeight="false" outlineLevel="0" collapsed="false">
      <c r="A102" s="60"/>
      <c r="B102" s="59"/>
      <c r="C102" s="60"/>
      <c r="D102" s="59"/>
      <c r="E102" s="68"/>
      <c r="F102" s="68"/>
      <c r="G102" s="68"/>
      <c r="H102" s="68"/>
      <c r="I102" s="63" t="str">
        <f aca="false">IF(A102&lt;&gt;0,(B102-(B101-D101))/(A102-A101),"")</f>
        <v/>
      </c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customFormat="false" ht="14.25" hidden="false" customHeight="false" outlineLevel="0" collapsed="false">
      <c r="A103" s="60"/>
      <c r="B103" s="59"/>
      <c r="C103" s="60"/>
      <c r="D103" s="59"/>
      <c r="E103" s="68"/>
      <c r="F103" s="68"/>
      <c r="G103" s="68"/>
      <c r="H103" s="68"/>
      <c r="I103" s="63" t="str">
        <f aca="false">IF(A103&lt;&gt;0,(B103-(B102-D102))/(A103-A102),"")</f>
        <v/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customFormat="false" ht="14.25" hidden="false" customHeight="false" outlineLevel="0" collapsed="false">
      <c r="A104" s="60"/>
      <c r="B104" s="59"/>
      <c r="C104" s="60"/>
      <c r="D104" s="59"/>
      <c r="E104" s="68"/>
      <c r="F104" s="68"/>
      <c r="G104" s="68"/>
      <c r="H104" s="68"/>
      <c r="I104" s="63" t="str">
        <f aca="false">IF(A104&lt;&gt;0,(B104-(B103-D103))/(A104-A103),"")</f>
        <v/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customFormat="false" ht="14.25" hidden="false" customHeight="false" outlineLevel="0" collapsed="false">
      <c r="A105" s="59"/>
      <c r="B105" s="59"/>
      <c r="C105" s="59"/>
      <c r="D105" s="59"/>
      <c r="E105" s="68"/>
      <c r="F105" s="68"/>
      <c r="G105" s="68"/>
      <c r="H105" s="68"/>
      <c r="I105" s="63" t="str">
        <f aca="false">IF(A105&lt;&gt;0,(B105-(B104-D104))/(A105-A104),"")</f>
        <v/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customFormat="false" ht="14.25" hidden="false" customHeight="false" outlineLevel="0" collapsed="false">
      <c r="A106" s="59"/>
      <c r="B106" s="59"/>
      <c r="C106" s="59"/>
      <c r="D106" s="59"/>
      <c r="E106" s="68"/>
      <c r="F106" s="68"/>
      <c r="G106" s="68"/>
      <c r="H106" s="68"/>
      <c r="I106" s="63" t="str">
        <f aca="false">IF(A106&lt;&gt;0,(B106-(B105-D105))/(A106-A105),"")</f>
        <v/>
      </c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customFormat="false" ht="14.25" hidden="false" customHeight="false" outlineLevel="0" collapsed="false">
      <c r="A107" s="59"/>
      <c r="B107" s="59"/>
      <c r="C107" s="59"/>
      <c r="D107" s="59"/>
      <c r="E107" s="68"/>
      <c r="F107" s="68"/>
      <c r="G107" s="68"/>
      <c r="H107" s="68"/>
      <c r="I107" s="63" t="str">
        <f aca="false">IF(A107&lt;&gt;0,(B107-(B106-D106))/(A107-A106),"")</f>
        <v/>
      </c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customFormat="false" ht="14.25" hidden="false" customHeight="false" outlineLevel="0" collapsed="false">
      <c r="A108" s="3"/>
      <c r="B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customFormat="false" ht="14.25" hidden="false" customHeight="false" outlineLevel="0" collapsed="false">
      <c r="A109" s="3"/>
      <c r="B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customFormat="false" ht="14.25" hidden="false" customHeight="false" outlineLevel="0" collapsed="false">
      <c r="A110" s="52" t="s">
        <v>22</v>
      </c>
      <c r="B110" s="64" t="str">
        <f aca="false">IF(B12="","",B12)</f>
        <v>Mélèze d'Europe</v>
      </c>
      <c r="D110" s="54" t="s">
        <v>46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customFormat="false" ht="14.25" hidden="false" customHeight="false" outlineLevel="0" collapsed="false">
      <c r="A111" s="52"/>
      <c r="B111" s="6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customFormat="false" ht="14.25" hidden="false" customHeight="false" outlineLevel="0" collapsed="false">
      <c r="A112" s="3"/>
      <c r="B112" s="55" t="s">
        <v>47</v>
      </c>
      <c r="C112" s="55" t="s">
        <v>48</v>
      </c>
      <c r="D112" s="55"/>
      <c r="E112" s="55" t="s">
        <v>49</v>
      </c>
      <c r="F112" s="55"/>
      <c r="G112" s="55"/>
      <c r="H112" s="55"/>
      <c r="I112" s="56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customFormat="false" ht="42.75" hidden="false" customHeight="false" outlineLevel="0" collapsed="false">
      <c r="A113" s="32" t="s">
        <v>50</v>
      </c>
      <c r="B113" s="32" t="s">
        <v>51</v>
      </c>
      <c r="C113" s="57" t="s">
        <v>52</v>
      </c>
      <c r="D113" s="57" t="s">
        <v>53</v>
      </c>
      <c r="E113" s="32" t="s">
        <v>54</v>
      </c>
      <c r="F113" s="32" t="s">
        <v>55</v>
      </c>
      <c r="G113" s="32" t="s">
        <v>56</v>
      </c>
      <c r="H113" s="32" t="s">
        <v>57</v>
      </c>
      <c r="I113" s="57" t="s">
        <v>58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customFormat="false" ht="14.25" hidden="false" customHeight="false" outlineLevel="0" collapsed="false">
      <c r="A114" s="59" t="n">
        <v>18</v>
      </c>
      <c r="B114" s="60" t="n">
        <v>112</v>
      </c>
      <c r="C114" s="59" t="n">
        <v>1</v>
      </c>
      <c r="D114" s="60" t="n">
        <v>20</v>
      </c>
      <c r="E114" s="61"/>
      <c r="F114" s="61"/>
      <c r="G114" s="61" t="n">
        <v>1</v>
      </c>
      <c r="H114" s="61"/>
      <c r="I114" s="63" t="n">
        <f aca="false">IFERROR(B114/A114,"")</f>
        <v>6.22222222222222</v>
      </c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customFormat="false" ht="14.25" hidden="false" customHeight="false" outlineLevel="0" collapsed="false">
      <c r="A115" s="59" t="n">
        <v>21</v>
      </c>
      <c r="B115" s="60" t="n">
        <v>146</v>
      </c>
      <c r="C115" s="59" t="n">
        <v>2</v>
      </c>
      <c r="D115" s="60" t="n">
        <v>26</v>
      </c>
      <c r="E115" s="61"/>
      <c r="F115" s="61" t="n">
        <v>0.2</v>
      </c>
      <c r="G115" s="61" t="n">
        <v>0.8</v>
      </c>
      <c r="H115" s="61"/>
      <c r="I115" s="63" t="n">
        <f aca="false">IF(A115&lt;&gt;0,(B115-(B114-D114))/(A115-A114),"")</f>
        <v>18</v>
      </c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customFormat="false" ht="14.25" hidden="false" customHeight="false" outlineLevel="0" collapsed="false">
      <c r="A116" s="59" t="n">
        <v>24</v>
      </c>
      <c r="B116" s="60" t="n">
        <v>168</v>
      </c>
      <c r="C116" s="59" t="n">
        <v>3</v>
      </c>
      <c r="D116" s="60" t="n">
        <v>29</v>
      </c>
      <c r="E116" s="61"/>
      <c r="F116" s="61" t="n">
        <v>0.5</v>
      </c>
      <c r="G116" s="61" t="n">
        <v>0.5</v>
      </c>
      <c r="H116" s="61"/>
      <c r="I116" s="63" t="n">
        <f aca="false">IF(A116&lt;&gt;0,(B116-(B115-D115))/(A116-A115),"")</f>
        <v>16</v>
      </c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customFormat="false" ht="14.25" hidden="false" customHeight="false" outlineLevel="0" collapsed="false">
      <c r="A117" s="59" t="n">
        <v>30</v>
      </c>
      <c r="B117" s="60" t="n">
        <v>224</v>
      </c>
      <c r="C117" s="59" t="n">
        <v>4</v>
      </c>
      <c r="D117" s="60" t="n">
        <v>53</v>
      </c>
      <c r="E117" s="61" t="n">
        <v>0.2</v>
      </c>
      <c r="F117" s="61" t="n">
        <v>0.6</v>
      </c>
      <c r="G117" s="61" t="n">
        <v>0.2</v>
      </c>
      <c r="H117" s="61"/>
      <c r="I117" s="63" t="n">
        <f aca="false">IF(A117&lt;&gt;0,(B117-(B116-D116))/(A117-A116),"")</f>
        <v>14.1666666666667</v>
      </c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customFormat="false" ht="14.25" hidden="false" customHeight="false" outlineLevel="0" collapsed="false">
      <c r="A118" s="59" t="n">
        <v>36</v>
      </c>
      <c r="B118" s="60" t="n">
        <v>248</v>
      </c>
      <c r="C118" s="59" t="n">
        <v>5</v>
      </c>
      <c r="D118" s="60" t="n">
        <v>62</v>
      </c>
      <c r="E118" s="61"/>
      <c r="F118" s="61"/>
      <c r="G118" s="61"/>
      <c r="H118" s="61"/>
      <c r="I118" s="63" t="n">
        <f aca="false">IF(A118&lt;&gt;0,(B118-(B117-D117))/(A118-A117),"")</f>
        <v>12.8333333333333</v>
      </c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customFormat="false" ht="14.25" hidden="false" customHeight="false" outlineLevel="0" collapsed="false">
      <c r="A119" s="59" t="n">
        <v>42</v>
      </c>
      <c r="B119" s="60" t="n">
        <v>255</v>
      </c>
      <c r="C119" s="59" t="n">
        <v>6</v>
      </c>
      <c r="D119" s="60" t="n">
        <v>67</v>
      </c>
      <c r="E119" s="61"/>
      <c r="F119" s="61"/>
      <c r="G119" s="61"/>
      <c r="H119" s="61"/>
      <c r="I119" s="63" t="n">
        <f aca="false">IF(A119&lt;&gt;0,(B119-(B118-D118))/(A119-A118),"")</f>
        <v>11.5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customFormat="false" ht="14.25" hidden="false" customHeight="false" outlineLevel="0" collapsed="false">
      <c r="A120" s="60" t="n">
        <v>48</v>
      </c>
      <c r="B120" s="60" t="n">
        <v>252</v>
      </c>
      <c r="C120" s="60" t="n">
        <v>7</v>
      </c>
      <c r="D120" s="60" t="n">
        <v>65</v>
      </c>
      <c r="E120" s="66"/>
      <c r="F120" s="66"/>
      <c r="G120" s="66"/>
      <c r="H120" s="66"/>
      <c r="I120" s="63" t="n">
        <f aca="false">IF(A120&lt;&gt;0,(B120-(B119-D119))/(A120-A119),"")</f>
        <v>10.6666666666667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customFormat="false" ht="14.25" hidden="false" customHeight="false" outlineLevel="0" collapsed="false">
      <c r="A121" s="60" t="n">
        <v>60</v>
      </c>
      <c r="B121" s="60" t="n">
        <v>304</v>
      </c>
      <c r="C121" s="60" t="n">
        <v>8</v>
      </c>
      <c r="D121" s="60" t="n">
        <v>304</v>
      </c>
      <c r="E121" s="66"/>
      <c r="F121" s="66"/>
      <c r="G121" s="66"/>
      <c r="H121" s="66"/>
      <c r="I121" s="63" t="n">
        <f aca="false">IF(A121&lt;&gt;0,(B121-(B120-D120))/(A121-A120),"")</f>
        <v>9.75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customFormat="false" ht="14.25" hidden="false" customHeight="false" outlineLevel="0" collapsed="false">
      <c r="A122" s="60"/>
      <c r="B122" s="60"/>
      <c r="C122" s="60"/>
      <c r="D122" s="60"/>
      <c r="E122" s="66"/>
      <c r="F122" s="66"/>
      <c r="G122" s="66"/>
      <c r="H122" s="66"/>
      <c r="I122" s="63" t="str">
        <f aca="false">IF(A122&lt;&gt;0,(B122-(B121-D121))/(A122-A121),"")</f>
        <v/>
      </c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customFormat="false" ht="14.25" hidden="false" customHeight="false" outlineLevel="0" collapsed="false">
      <c r="A123" s="60"/>
      <c r="B123" s="60"/>
      <c r="C123" s="60"/>
      <c r="D123" s="60"/>
      <c r="E123" s="66"/>
      <c r="F123" s="66"/>
      <c r="G123" s="66"/>
      <c r="H123" s="66"/>
      <c r="I123" s="63" t="str">
        <f aca="false">IF(A123&lt;&gt;0,(B123-(B122-D122))/(A123-A122),"")</f>
        <v/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customFormat="false" ht="14.25" hidden="false" customHeight="false" outlineLevel="0" collapsed="false">
      <c r="A124" s="60"/>
      <c r="B124" s="60"/>
      <c r="C124" s="60"/>
      <c r="D124" s="60"/>
      <c r="E124" s="66"/>
      <c r="F124" s="66"/>
      <c r="G124" s="66"/>
      <c r="H124" s="66"/>
      <c r="I124" s="63" t="str">
        <f aca="false">IF(A124&lt;&gt;0,(B124-(B123-D123))/(A124-A123),"")</f>
        <v/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customFormat="false" ht="14.25" hidden="false" customHeight="false" outlineLevel="0" collapsed="false">
      <c r="A125" s="60"/>
      <c r="B125" s="60"/>
      <c r="C125" s="60"/>
      <c r="D125" s="60"/>
      <c r="E125" s="66"/>
      <c r="F125" s="66"/>
      <c r="G125" s="66"/>
      <c r="H125" s="66"/>
      <c r="I125" s="63" t="str">
        <f aca="false">IF(A125&lt;&gt;0,(B125-(B124-D124))/(A125-A124),"")</f>
        <v/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customFormat="false" ht="14.25" hidden="false" customHeight="false" outlineLevel="0" collapsed="false">
      <c r="A126" s="60"/>
      <c r="B126" s="60"/>
      <c r="C126" s="60"/>
      <c r="D126" s="60"/>
      <c r="E126" s="67"/>
      <c r="F126" s="67"/>
      <c r="G126" s="67"/>
      <c r="H126" s="67"/>
      <c r="I126" s="63" t="str">
        <f aca="false">IF(A126&lt;&gt;0,(B126-(B125-D125))/(A126-A125),"")</f>
        <v/>
      </c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customFormat="false" ht="14.25" hidden="false" customHeight="false" outlineLevel="0" collapsed="false">
      <c r="A127" s="60"/>
      <c r="B127" s="60"/>
      <c r="C127" s="60"/>
      <c r="D127" s="60"/>
      <c r="E127" s="67"/>
      <c r="F127" s="67"/>
      <c r="G127" s="67"/>
      <c r="H127" s="67"/>
      <c r="I127" s="63" t="str">
        <f aca="false">IF(A127&lt;&gt;0,(B127-(B126-D126))/(A127-A126),"")</f>
        <v/>
      </c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customFormat="false" ht="14.25" hidden="false" customHeight="false" outlineLevel="0" collapsed="false">
      <c r="A128" s="59"/>
      <c r="B128" s="59"/>
      <c r="C128" s="59"/>
      <c r="D128" s="59"/>
      <c r="E128" s="68"/>
      <c r="F128" s="68"/>
      <c r="G128" s="68"/>
      <c r="H128" s="68"/>
      <c r="I128" s="63" t="str">
        <f aca="false">IF(A128&lt;&gt;0,(B128-(B127-D127))/(A128-A127),"")</f>
        <v/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customFormat="false" ht="14.25" hidden="false" customHeight="false" outlineLevel="0" collapsed="false">
      <c r="A129" s="59"/>
      <c r="B129" s="59"/>
      <c r="C129" s="59"/>
      <c r="D129" s="59"/>
      <c r="E129" s="68"/>
      <c r="F129" s="68"/>
      <c r="G129" s="68"/>
      <c r="H129" s="68"/>
      <c r="I129" s="63" t="str">
        <f aca="false">IF(A129&lt;&gt;0,(B129-(B128-D128))/(A129-A128),"")</f>
        <v/>
      </c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customFormat="false" ht="14.25" hidden="false" customHeight="false" outlineLevel="0" collapsed="false">
      <c r="A130" s="59"/>
      <c r="B130" s="59"/>
      <c r="C130" s="59"/>
      <c r="D130" s="59"/>
      <c r="E130" s="68"/>
      <c r="F130" s="68"/>
      <c r="G130" s="68"/>
      <c r="H130" s="68"/>
      <c r="I130" s="63" t="str">
        <f aca="false">IF(A130&lt;&gt;0,(B130-(B129-D129))/(A130-A129),"")</f>
        <v/>
      </c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customFormat="false" ht="14.25" hidden="false" customHeight="false" outlineLevel="0" collapsed="false">
      <c r="A131" s="59"/>
      <c r="B131" s="59"/>
      <c r="C131" s="59"/>
      <c r="D131" s="59"/>
      <c r="E131" s="68"/>
      <c r="F131" s="68"/>
      <c r="G131" s="68"/>
      <c r="H131" s="68"/>
      <c r="I131" s="63" t="str">
        <f aca="false">IF(A131&lt;&gt;0,(B131-(B130-D130))/(A131-A130),"")</f>
        <v/>
      </c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customFormat="false" ht="14.25" hidden="false" customHeight="false" outlineLevel="0" collapsed="false">
      <c r="A132" s="59"/>
      <c r="B132" s="59"/>
      <c r="C132" s="59"/>
      <c r="D132" s="59"/>
      <c r="E132" s="68"/>
      <c r="F132" s="68"/>
      <c r="G132" s="68"/>
      <c r="H132" s="68"/>
      <c r="I132" s="63" t="str">
        <f aca="false">IF(A132&lt;&gt;0,(B132-(B131-D131))/(A132-A131),"")</f>
        <v/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customFormat="false" ht="14.25" hidden="false" customHeight="false" outlineLevel="0" collapsed="false">
      <c r="A133" s="59"/>
      <c r="B133" s="59"/>
      <c r="C133" s="59"/>
      <c r="D133" s="59"/>
      <c r="E133" s="68"/>
      <c r="F133" s="68"/>
      <c r="G133" s="68"/>
      <c r="H133" s="68"/>
      <c r="I133" s="63" t="str">
        <f aca="false">IF(A133&lt;&gt;0,(B133-(B132-D132))/(A133-A132),"")</f>
        <v/>
      </c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customFormat="false" ht="14.25" hidden="false" customHeight="false" outlineLevel="0" collapsed="false">
      <c r="A134" s="3"/>
      <c r="B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customFormat="false" ht="14.25" hidden="false" customHeight="false" outlineLevel="0" collapsed="false">
      <c r="A135" s="3"/>
      <c r="B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customFormat="false" ht="14.25" hidden="false" customHeight="false" outlineLevel="0" collapsed="false">
      <c r="A136" s="52" t="s">
        <v>24</v>
      </c>
      <c r="B136" s="64" t="str">
        <f aca="false">IF(B13="","",B13)</f>
        <v>Mélèze hybride</v>
      </c>
      <c r="D136" s="54" t="s">
        <v>46</v>
      </c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customFormat="false" ht="14.25" hidden="false" customHeight="false" outlineLevel="0" collapsed="false">
      <c r="A137" s="52"/>
      <c r="B137" s="6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customFormat="false" ht="14.25" hidden="false" customHeight="false" outlineLevel="0" collapsed="false">
      <c r="A138" s="3"/>
      <c r="B138" s="55" t="s">
        <v>47</v>
      </c>
      <c r="C138" s="55" t="s">
        <v>48</v>
      </c>
      <c r="D138" s="55"/>
      <c r="E138" s="55" t="s">
        <v>49</v>
      </c>
      <c r="F138" s="55"/>
      <c r="G138" s="55"/>
      <c r="H138" s="55"/>
      <c r="I138" s="5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customFormat="false" ht="42.75" hidden="false" customHeight="false" outlineLevel="0" collapsed="false">
      <c r="A139" s="32" t="s">
        <v>50</v>
      </c>
      <c r="B139" s="32" t="s">
        <v>51</v>
      </c>
      <c r="C139" s="57" t="s">
        <v>52</v>
      </c>
      <c r="D139" s="57" t="s">
        <v>53</v>
      </c>
      <c r="E139" s="32" t="s">
        <v>54</v>
      </c>
      <c r="F139" s="32" t="s">
        <v>55</v>
      </c>
      <c r="G139" s="32" t="s">
        <v>56</v>
      </c>
      <c r="H139" s="32" t="s">
        <v>57</v>
      </c>
      <c r="I139" s="57" t="s">
        <v>58</v>
      </c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customFormat="false" ht="14.25" hidden="false" customHeight="false" outlineLevel="0" collapsed="false">
      <c r="A140" s="59" t="n">
        <v>12</v>
      </c>
      <c r="B140" s="60" t="n">
        <v>116</v>
      </c>
      <c r="C140" s="59" t="n">
        <v>1</v>
      </c>
      <c r="D140" s="60" t="n">
        <v>21</v>
      </c>
      <c r="E140" s="61"/>
      <c r="F140" s="61"/>
      <c r="G140" s="61"/>
      <c r="H140" s="61" t="n">
        <v>1</v>
      </c>
      <c r="I140" s="69" t="n">
        <f aca="false">IFERROR(B140/A140,"")</f>
        <v>9.66666666666667</v>
      </c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customFormat="false" ht="14.25" hidden="false" customHeight="false" outlineLevel="0" collapsed="false">
      <c r="A141" s="59" t="n">
        <v>15</v>
      </c>
      <c r="B141" s="60" t="n">
        <v>168</v>
      </c>
      <c r="C141" s="59" t="n">
        <v>2</v>
      </c>
      <c r="D141" s="60" t="n">
        <v>47</v>
      </c>
      <c r="E141" s="61"/>
      <c r="F141" s="61"/>
      <c r="G141" s="61" t="n">
        <v>1</v>
      </c>
      <c r="H141" s="61"/>
      <c r="I141" s="69" t="n">
        <f aca="false">IF(A141&lt;&gt;0,(B141-(B140-D140))/(A141-A140),"")</f>
        <v>24.3333333333333</v>
      </c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customFormat="false" ht="14.25" hidden="false" customHeight="false" outlineLevel="0" collapsed="false">
      <c r="A142" s="59" t="n">
        <v>18</v>
      </c>
      <c r="B142" s="60" t="n">
        <v>185</v>
      </c>
      <c r="C142" s="59" t="n">
        <v>3</v>
      </c>
      <c r="D142" s="60" t="n">
        <v>61</v>
      </c>
      <c r="E142" s="61"/>
      <c r="F142" s="61" t="n">
        <v>0.2</v>
      </c>
      <c r="G142" s="61" t="n">
        <v>0.8</v>
      </c>
      <c r="H142" s="61"/>
      <c r="I142" s="69" t="n">
        <f aca="false">IF(A142&lt;&gt;0,(B142-(B141-D141))/(A142-A141),"")</f>
        <v>21.3333333333333</v>
      </c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customFormat="false" ht="14.25" hidden="false" customHeight="false" outlineLevel="0" collapsed="false">
      <c r="A143" s="59" t="n">
        <v>24</v>
      </c>
      <c r="B143" s="60" t="n">
        <v>239</v>
      </c>
      <c r="C143" s="59" t="n">
        <v>4</v>
      </c>
      <c r="D143" s="60" t="n">
        <v>84</v>
      </c>
      <c r="E143" s="61"/>
      <c r="F143" s="61" t="n">
        <v>0.5</v>
      </c>
      <c r="G143" s="61" t="n">
        <v>0.5</v>
      </c>
      <c r="H143" s="61"/>
      <c r="I143" s="69" t="n">
        <f aca="false">IF(A143&lt;&gt;0,(B143-(B142-D142))/(A143-A142),"")</f>
        <v>19.1666666666667</v>
      </c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customFormat="false" ht="14.25" hidden="false" customHeight="false" outlineLevel="0" collapsed="false">
      <c r="A144" s="59" t="n">
        <v>30</v>
      </c>
      <c r="B144" s="60" t="n">
        <v>255</v>
      </c>
      <c r="C144" s="59" t="n">
        <v>5</v>
      </c>
      <c r="D144" s="60" t="n">
        <v>76</v>
      </c>
      <c r="E144" s="61" t="n">
        <v>0.2</v>
      </c>
      <c r="F144" s="61" t="n">
        <v>0.6</v>
      </c>
      <c r="G144" s="61" t="n">
        <v>0.2</v>
      </c>
      <c r="H144" s="61"/>
      <c r="I144" s="69" t="n">
        <f aca="false">IF(A144&lt;&gt;0,(B144-(B143-D143))/(A144-A143),"")</f>
        <v>16.6666666666667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customFormat="false" ht="14.25" hidden="false" customHeight="false" outlineLevel="0" collapsed="false">
      <c r="A145" s="59" t="n">
        <v>36</v>
      </c>
      <c r="B145" s="60" t="n">
        <v>269</v>
      </c>
      <c r="C145" s="59" t="n">
        <v>6</v>
      </c>
      <c r="D145" s="60" t="n">
        <v>75</v>
      </c>
      <c r="E145" s="61"/>
      <c r="F145" s="61"/>
      <c r="G145" s="61"/>
      <c r="H145" s="61"/>
      <c r="I145" s="69" t="n">
        <f aca="false">IF(A145&lt;&gt;0,(B145-(B144-D144))/(A145-A144),"")</f>
        <v>15</v>
      </c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customFormat="false" ht="14.25" hidden="false" customHeight="false" outlineLevel="0" collapsed="false">
      <c r="A146" s="59" t="n">
        <v>42</v>
      </c>
      <c r="B146" s="60" t="n">
        <v>278</v>
      </c>
      <c r="C146" s="59" t="n">
        <v>7</v>
      </c>
      <c r="D146" s="60" t="n">
        <v>278</v>
      </c>
      <c r="E146" s="61"/>
      <c r="F146" s="61"/>
      <c r="G146" s="61"/>
      <c r="H146" s="61"/>
      <c r="I146" s="69" t="n">
        <f aca="false">IF(A146&lt;&gt;0,(B146-(B145-D145))/(A146-A145),"")</f>
        <v>14</v>
      </c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customFormat="false" ht="14.25" hidden="false" customHeight="false" outlineLevel="0" collapsed="false">
      <c r="A147" s="59"/>
      <c r="B147" s="60"/>
      <c r="C147" s="59"/>
      <c r="D147" s="60"/>
      <c r="E147" s="61"/>
      <c r="F147" s="61"/>
      <c r="G147" s="61"/>
      <c r="H147" s="61"/>
      <c r="I147" s="69" t="str">
        <f aca="false">IF(A147&lt;&gt;0,(B147-(B146-D146))/(A147-A146),"")</f>
        <v/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customFormat="false" ht="14.25" hidden="false" customHeight="false" outlineLevel="0" collapsed="false">
      <c r="A148" s="59"/>
      <c r="B148" s="60"/>
      <c r="C148" s="59"/>
      <c r="D148" s="60"/>
      <c r="E148" s="61"/>
      <c r="F148" s="61"/>
      <c r="G148" s="61"/>
      <c r="H148" s="61"/>
      <c r="I148" s="69" t="str">
        <f aca="false">IF(A148&lt;&gt;0,(B148-(B147-D147))/(A148-A147),"")</f>
        <v/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customFormat="false" ht="14.25" hidden="false" customHeight="false" outlineLevel="0" collapsed="false">
      <c r="A149" s="59"/>
      <c r="B149" s="60"/>
      <c r="C149" s="59"/>
      <c r="D149" s="60"/>
      <c r="E149" s="61"/>
      <c r="F149" s="61"/>
      <c r="G149" s="61"/>
      <c r="H149" s="61"/>
      <c r="I149" s="69" t="str">
        <f aca="false">IF(A149&lt;&gt;0,(B149-(B148-D148))/(A149-A148),"")</f>
        <v/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customFormat="false" ht="14.25" hidden="false" customHeight="false" outlineLevel="0" collapsed="false">
      <c r="A150" s="59"/>
      <c r="B150" s="60"/>
      <c r="C150" s="59"/>
      <c r="D150" s="60"/>
      <c r="E150" s="61"/>
      <c r="F150" s="61"/>
      <c r="G150" s="61"/>
      <c r="H150" s="61"/>
      <c r="I150" s="69" t="str">
        <f aca="false">IF(A150&lt;&gt;0,(B150-(B149-D149))/(A150-A149),"")</f>
        <v/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customFormat="false" ht="14.25" hidden="false" customHeight="false" outlineLevel="0" collapsed="false">
      <c r="A151" s="59"/>
      <c r="B151" s="60"/>
      <c r="C151" s="59"/>
      <c r="D151" s="60"/>
      <c r="E151" s="61"/>
      <c r="F151" s="61"/>
      <c r="G151" s="61"/>
      <c r="H151" s="61"/>
      <c r="I151" s="69" t="str">
        <f aca="false">IF(A151&lt;&gt;0,(B151-(B150-D150))/(A151-A150),"")</f>
        <v/>
      </c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customFormat="false" ht="14.25" hidden="false" customHeight="false" outlineLevel="0" collapsed="false">
      <c r="A152" s="59"/>
      <c r="B152" s="60"/>
      <c r="C152" s="59"/>
      <c r="D152" s="60"/>
      <c r="E152" s="68"/>
      <c r="F152" s="68"/>
      <c r="G152" s="68"/>
      <c r="H152" s="68"/>
      <c r="I152" s="69" t="str">
        <f aca="false">IF(A152&lt;&gt;0,(B152-(B151-D151))/(A152-A151),"")</f>
        <v/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customFormat="false" ht="14.25" hidden="false" customHeight="false" outlineLevel="0" collapsed="false">
      <c r="A153" s="59"/>
      <c r="B153" s="60"/>
      <c r="C153" s="59"/>
      <c r="D153" s="60"/>
      <c r="E153" s="68"/>
      <c r="F153" s="68"/>
      <c r="G153" s="68"/>
      <c r="H153" s="68"/>
      <c r="I153" s="69" t="str">
        <f aca="false">IF(A153&lt;&gt;0,(B153-(B152-D152))/(A153-A152),"")</f>
        <v/>
      </c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customFormat="false" ht="14.25" hidden="false" customHeight="false" outlineLevel="0" collapsed="false">
      <c r="A154" s="70"/>
      <c r="B154" s="71"/>
      <c r="C154" s="59"/>
      <c r="D154" s="59"/>
      <c r="E154" s="68"/>
      <c r="F154" s="68"/>
      <c r="G154" s="68"/>
      <c r="H154" s="68"/>
      <c r="I154" s="69" t="str">
        <f aca="false">IF(A154&lt;&gt;0,(B154-(B153-D153))/(A154-A153),"")</f>
        <v/>
      </c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customFormat="false" ht="14.25" hidden="false" customHeight="false" outlineLevel="0" collapsed="false">
      <c r="A155" s="70"/>
      <c r="B155" s="71"/>
      <c r="C155" s="59"/>
      <c r="D155" s="59"/>
      <c r="E155" s="68"/>
      <c r="F155" s="68"/>
      <c r="G155" s="68"/>
      <c r="H155" s="68"/>
      <c r="I155" s="69" t="str">
        <f aca="false">IF(A155&lt;&gt;0,(B155-(B154-D154))/(A155-A154),"")</f>
        <v/>
      </c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customFormat="false" ht="14.25" hidden="false" customHeight="false" outlineLevel="0" collapsed="false">
      <c r="A156" s="70"/>
      <c r="B156" s="71"/>
      <c r="C156" s="59"/>
      <c r="D156" s="59"/>
      <c r="E156" s="68"/>
      <c r="F156" s="68"/>
      <c r="G156" s="68"/>
      <c r="H156" s="68"/>
      <c r="I156" s="69" t="str">
        <f aca="false">IF(A156&lt;&gt;0,(B156-(B155-D155))/(A156-A155),"")</f>
        <v/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customFormat="false" ht="14.25" hidden="false" customHeight="false" outlineLevel="0" collapsed="false">
      <c r="A157" s="70"/>
      <c r="B157" s="71"/>
      <c r="C157" s="59"/>
      <c r="D157" s="59"/>
      <c r="E157" s="68"/>
      <c r="F157" s="68"/>
      <c r="G157" s="68"/>
      <c r="H157" s="68"/>
      <c r="I157" s="69" t="str">
        <f aca="false">IF(A157&lt;&gt;0,(B157-(B156-D156))/(A157-A156),"")</f>
        <v/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customFormat="false" ht="14.25" hidden="false" customHeight="false" outlineLevel="0" collapsed="false">
      <c r="A158" s="70"/>
      <c r="B158" s="71"/>
      <c r="C158" s="59"/>
      <c r="D158" s="59"/>
      <c r="E158" s="68"/>
      <c r="F158" s="68"/>
      <c r="G158" s="68"/>
      <c r="H158" s="68"/>
      <c r="I158" s="69" t="str">
        <f aca="false">IF(A158&lt;&gt;0,(B158-(B157-D157))/(A158-A157),"")</f>
        <v/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customFormat="false" ht="14.25" hidden="false" customHeight="false" outlineLevel="0" collapsed="false">
      <c r="A159" s="70"/>
      <c r="B159" s="71"/>
      <c r="C159" s="59"/>
      <c r="D159" s="72"/>
      <c r="E159" s="68"/>
      <c r="F159" s="68"/>
      <c r="G159" s="68"/>
      <c r="H159" s="68"/>
      <c r="I159" s="69" t="str">
        <f aca="false">IF(A159&lt;&gt;0,(B159-(B158-D158))/(A159-A158),"")</f>
        <v/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customFormat="false" ht="14.25" hidden="false" customHeight="false" outlineLevel="0" collapsed="false">
      <c r="A160" s="3"/>
      <c r="B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customFormat="false" ht="14.25" hidden="false" customHeight="false" outlineLevel="0" collapsed="false">
      <c r="A161" s="3"/>
      <c r="B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customFormat="false" ht="14.25" hidden="false" customHeight="false" outlineLevel="0" collapsed="false">
      <c r="A162" s="52" t="s">
        <v>26</v>
      </c>
      <c r="B162" s="64" t="str">
        <f aca="false">IF(B14="","",B14)</f>
        <v>Pin maritime</v>
      </c>
      <c r="D162" s="54" t="s">
        <v>46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customFormat="false" ht="14.25" hidden="false" customHeight="false" outlineLevel="0" collapsed="false">
      <c r="A163" s="52"/>
      <c r="B163" s="6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customFormat="false" ht="14.25" hidden="false" customHeight="false" outlineLevel="0" collapsed="false">
      <c r="A164" s="3"/>
      <c r="B164" s="55" t="s">
        <v>47</v>
      </c>
      <c r="C164" s="55" t="s">
        <v>48</v>
      </c>
      <c r="D164" s="55"/>
      <c r="E164" s="55" t="s">
        <v>49</v>
      </c>
      <c r="F164" s="55"/>
      <c r="G164" s="55"/>
      <c r="H164" s="55"/>
      <c r="I164" s="56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customFormat="false" ht="42.75" hidden="false" customHeight="false" outlineLevel="0" collapsed="false">
      <c r="A165" s="32" t="s">
        <v>50</v>
      </c>
      <c r="B165" s="32" t="s">
        <v>51</v>
      </c>
      <c r="C165" s="57" t="s">
        <v>52</v>
      </c>
      <c r="D165" s="57" t="s">
        <v>53</v>
      </c>
      <c r="E165" s="32" t="s">
        <v>54</v>
      </c>
      <c r="F165" s="32" t="s">
        <v>55</v>
      </c>
      <c r="G165" s="32" t="s">
        <v>56</v>
      </c>
      <c r="H165" s="32" t="s">
        <v>57</v>
      </c>
      <c r="I165" s="57" t="s">
        <v>58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customFormat="false" ht="14.25" hidden="false" customHeight="false" outlineLevel="0" collapsed="false">
      <c r="A166" s="59" t="n">
        <v>12</v>
      </c>
      <c r="B166" s="60" t="n">
        <v>36</v>
      </c>
      <c r="C166" s="60" t="n">
        <v>1</v>
      </c>
      <c r="D166" s="60" t="n">
        <v>0</v>
      </c>
      <c r="E166" s="61"/>
      <c r="F166" s="61"/>
      <c r="G166" s="61"/>
      <c r="H166" s="61"/>
      <c r="I166" s="62" t="n">
        <f aca="false">IFERROR(B166/A166,"")</f>
        <v>3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customFormat="false" ht="14.25" hidden="false" customHeight="false" outlineLevel="0" collapsed="false">
      <c r="A167" s="59" t="n">
        <v>16</v>
      </c>
      <c r="B167" s="60" t="n">
        <v>81</v>
      </c>
      <c r="C167" s="60" t="n">
        <v>2</v>
      </c>
      <c r="D167" s="60" t="n">
        <v>15</v>
      </c>
      <c r="E167" s="61"/>
      <c r="F167" s="61"/>
      <c r="G167" s="61"/>
      <c r="H167" s="61" t="n">
        <v>1</v>
      </c>
      <c r="I167" s="62" t="n">
        <f aca="false">IF(A167&lt;&gt;0,(B167-(B166-D166))/(A167-A166),"")</f>
        <v>11.25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customFormat="false" ht="14.25" hidden="false" customHeight="false" outlineLevel="0" collapsed="false">
      <c r="A168" s="59" t="n">
        <v>20</v>
      </c>
      <c r="B168" s="60" t="n">
        <v>119</v>
      </c>
      <c r="C168" s="60" t="n">
        <v>3</v>
      </c>
      <c r="D168" s="60" t="n">
        <v>22</v>
      </c>
      <c r="E168" s="61"/>
      <c r="F168" s="61"/>
      <c r="G168" s="61" t="n">
        <v>1</v>
      </c>
      <c r="H168" s="61"/>
      <c r="I168" s="62" t="n">
        <f aca="false">IF(A168&lt;&gt;0,(B168-(B167-D167))/(A168-A167),"")</f>
        <v>13.25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customFormat="false" ht="14.25" hidden="false" customHeight="false" outlineLevel="0" collapsed="false">
      <c r="A169" s="59" t="n">
        <v>24</v>
      </c>
      <c r="B169" s="60" t="n">
        <v>157</v>
      </c>
      <c r="C169" s="60" t="n">
        <v>4</v>
      </c>
      <c r="D169" s="60" t="n">
        <v>31</v>
      </c>
      <c r="E169" s="61"/>
      <c r="F169" s="61" t="n">
        <v>0.2</v>
      </c>
      <c r="G169" s="61" t="n">
        <v>0.8</v>
      </c>
      <c r="H169" s="61"/>
      <c r="I169" s="62" t="n">
        <f aca="false">IF(A169&lt;&gt;0,(B169-(B168-D168))/(A169-A168),"")</f>
        <v>15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customFormat="false" ht="14.25" hidden="false" customHeight="false" outlineLevel="0" collapsed="false">
      <c r="A170" s="59" t="n">
        <v>28</v>
      </c>
      <c r="B170" s="60" t="n">
        <v>190</v>
      </c>
      <c r="C170" s="60" t="n">
        <v>5</v>
      </c>
      <c r="D170" s="60" t="n">
        <v>35</v>
      </c>
      <c r="E170" s="61" t="n">
        <v>0.2</v>
      </c>
      <c r="F170" s="61" t="n">
        <v>0.5</v>
      </c>
      <c r="G170" s="61" t="n">
        <v>0.3</v>
      </c>
      <c r="H170" s="61"/>
      <c r="I170" s="62" t="n">
        <f aca="false">IF(A170&lt;&gt;0,(B170-(B169-D169))/(A170-A169),"")</f>
        <v>16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customFormat="false" ht="14.25" hidden="false" customHeight="false" outlineLevel="0" collapsed="false">
      <c r="A171" s="59" t="n">
        <v>34</v>
      </c>
      <c r="B171" s="60" t="n">
        <v>244</v>
      </c>
      <c r="C171" s="60" t="n">
        <v>6</v>
      </c>
      <c r="D171" s="60" t="n">
        <v>46</v>
      </c>
      <c r="E171" s="61"/>
      <c r="F171" s="61"/>
      <c r="G171" s="61"/>
      <c r="H171" s="61"/>
      <c r="I171" s="62" t="n">
        <f aca="false">IF(A171&lt;&gt;0,(B171-(B170-D170))/(A171-A170),"")</f>
        <v>14.8333333333333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customFormat="false" ht="14.25" hidden="false" customHeight="false" outlineLevel="0" collapsed="false">
      <c r="A172" s="59" t="n">
        <v>40</v>
      </c>
      <c r="B172" s="60" t="n">
        <v>275</v>
      </c>
      <c r="C172" s="60" t="n">
        <v>7</v>
      </c>
      <c r="D172" s="60" t="n">
        <v>41</v>
      </c>
      <c r="E172" s="61"/>
      <c r="F172" s="61"/>
      <c r="G172" s="61"/>
      <c r="H172" s="61"/>
      <c r="I172" s="62" t="n">
        <f aca="false">IF(A172&lt;&gt;0,(B172-(B171-D171))/(A172-A171),"")</f>
        <v>12.8333333333333</v>
      </c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customFormat="false" ht="14.25" hidden="false" customHeight="false" outlineLevel="0" collapsed="false">
      <c r="A173" s="59" t="n">
        <v>46</v>
      </c>
      <c r="B173" s="59" t="n">
        <v>2393</v>
      </c>
      <c r="C173" s="59" t="n">
        <v>8</v>
      </c>
      <c r="D173" s="59" t="n">
        <v>29</v>
      </c>
      <c r="E173" s="61"/>
      <c r="F173" s="61"/>
      <c r="G173" s="61"/>
      <c r="H173" s="61"/>
      <c r="I173" s="62" t="n">
        <f aca="false">IF(A173&lt;&gt;0,(B173-(B172-D172))/(A173-A172),"")</f>
        <v>359.833333333333</v>
      </c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customFormat="false" ht="14.25" hidden="false" customHeight="false" outlineLevel="0" collapsed="false">
      <c r="A174" s="59" t="n">
        <v>54</v>
      </c>
      <c r="B174" s="59" t="n">
        <v>311</v>
      </c>
      <c r="C174" s="59" t="n">
        <v>9</v>
      </c>
      <c r="D174" s="59" t="n">
        <v>16</v>
      </c>
      <c r="E174" s="61"/>
      <c r="F174" s="61"/>
      <c r="G174" s="61"/>
      <c r="H174" s="61"/>
      <c r="I174" s="62" t="n">
        <f aca="false">IF(A174&lt;&gt;0,(B174-(B173-D173))/(A174-A173),"")</f>
        <v>-256.625</v>
      </c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customFormat="false" ht="14.25" hidden="false" customHeight="false" outlineLevel="0" collapsed="false">
      <c r="A175" s="59" t="n">
        <v>62</v>
      </c>
      <c r="B175" s="59" t="n">
        <v>316</v>
      </c>
      <c r="C175" s="59" t="n">
        <v>10</v>
      </c>
      <c r="D175" s="59" t="n">
        <v>316</v>
      </c>
      <c r="E175" s="61"/>
      <c r="F175" s="61"/>
      <c r="G175" s="61"/>
      <c r="H175" s="61"/>
      <c r="I175" s="62" t="n">
        <f aca="false">IF(A175&lt;&gt;0,(B175-(B174-D174))/(A175-A174),"")</f>
        <v>2.625</v>
      </c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customFormat="false" ht="14.25" hidden="false" customHeight="false" outlineLevel="0" collapsed="false">
      <c r="A176" s="59"/>
      <c r="B176" s="59"/>
      <c r="C176" s="59"/>
      <c r="D176" s="59"/>
      <c r="E176" s="61"/>
      <c r="F176" s="61"/>
      <c r="G176" s="61"/>
      <c r="H176" s="61"/>
      <c r="I176" s="62" t="str">
        <f aca="false">IF(A176&lt;&gt;0,(B176-(B175-D175))/(A176-A175),"")</f>
        <v/>
      </c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customFormat="false" ht="14.25" hidden="false" customHeight="false" outlineLevel="0" collapsed="false">
      <c r="A177" s="59"/>
      <c r="B177" s="59"/>
      <c r="C177" s="59"/>
      <c r="D177" s="59"/>
      <c r="E177" s="61"/>
      <c r="F177" s="61"/>
      <c r="G177" s="61"/>
      <c r="H177" s="61"/>
      <c r="I177" s="62" t="str">
        <f aca="false">IF(A177&lt;&gt;0,(B177-(B176-D176))/(A177-A176),"")</f>
        <v/>
      </c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customFormat="false" ht="14.25" hidden="false" customHeight="false" outlineLevel="0" collapsed="false">
      <c r="A178" s="59"/>
      <c r="B178" s="59"/>
      <c r="C178" s="59"/>
      <c r="D178" s="59"/>
      <c r="E178" s="61"/>
      <c r="F178" s="61"/>
      <c r="G178" s="61"/>
      <c r="H178" s="61"/>
      <c r="I178" s="62" t="str">
        <f aca="false">IF(A178&lt;&gt;0,(B178-(B177-D177))/(A178-A177),"")</f>
        <v/>
      </c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customFormat="false" ht="14.25" hidden="false" customHeight="false" outlineLevel="0" collapsed="false">
      <c r="A179" s="59"/>
      <c r="B179" s="59"/>
      <c r="C179" s="59"/>
      <c r="D179" s="59"/>
      <c r="E179" s="61"/>
      <c r="F179" s="61"/>
      <c r="G179" s="61"/>
      <c r="H179" s="61"/>
      <c r="I179" s="62" t="str">
        <f aca="false">IF(A179&lt;&gt;0,(B179-(B178-D178))/(A179-A178),"")</f>
        <v/>
      </c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customFormat="false" ht="14.25" hidden="false" customHeight="false" outlineLevel="0" collapsed="false">
      <c r="A180" s="59"/>
      <c r="B180" s="59"/>
      <c r="C180" s="59"/>
      <c r="D180" s="59"/>
      <c r="E180" s="61"/>
      <c r="F180" s="61"/>
      <c r="G180" s="61"/>
      <c r="H180" s="61"/>
      <c r="I180" s="62" t="str">
        <f aca="false">IF(A180&lt;&gt;0,(B180-(B179-D179))/(A180-A179),"")</f>
        <v/>
      </c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customFormat="false" ht="14.25" hidden="false" customHeight="false" outlineLevel="0" collapsed="false">
      <c r="A181" s="59"/>
      <c r="B181" s="59"/>
      <c r="C181" s="59"/>
      <c r="D181" s="59"/>
      <c r="E181" s="61"/>
      <c r="F181" s="61"/>
      <c r="G181" s="61"/>
      <c r="H181" s="61"/>
      <c r="I181" s="62" t="str">
        <f aca="false">IF(A181&lt;&gt;0,(B181-(B180-D180))/(A181-A180),"")</f>
        <v/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customFormat="false" ht="14.25" hidden="false" customHeight="false" outlineLevel="0" collapsed="false">
      <c r="A182" s="59"/>
      <c r="B182" s="59"/>
      <c r="C182" s="59"/>
      <c r="D182" s="59"/>
      <c r="E182" s="61"/>
      <c r="F182" s="61"/>
      <c r="G182" s="61"/>
      <c r="H182" s="61"/>
      <c r="I182" s="62" t="str">
        <f aca="false">IF(A182&lt;&gt;0,(B182-(B181-D181))/(A182-A181),"")</f>
        <v/>
      </c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customFormat="false" ht="14.25" hidden="false" customHeight="false" outlineLevel="0" collapsed="false">
      <c r="A183" s="59"/>
      <c r="B183" s="59"/>
      <c r="C183" s="59"/>
      <c r="D183" s="59"/>
      <c r="E183" s="61"/>
      <c r="F183" s="61"/>
      <c r="G183" s="61"/>
      <c r="H183" s="61"/>
      <c r="I183" s="62" t="str">
        <f aca="false">IF(A183&lt;&gt;0,(B183-(B182-D182))/(A183-A182),"")</f>
        <v/>
      </c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customFormat="false" ht="14.25" hidden="false" customHeight="false" outlineLevel="0" collapsed="false">
      <c r="A184" s="59"/>
      <c r="B184" s="59"/>
      <c r="C184" s="59"/>
      <c r="D184" s="59"/>
      <c r="E184" s="61"/>
      <c r="F184" s="61"/>
      <c r="G184" s="61"/>
      <c r="H184" s="61"/>
      <c r="I184" s="62" t="str">
        <f aca="false">IF(A184&lt;&gt;0,(B184-(B183-D183))/(A184-A183),"")</f>
        <v/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customFormat="false" ht="14.25" hidden="false" customHeight="false" outlineLevel="0" collapsed="false">
      <c r="A185" s="59"/>
      <c r="B185" s="59"/>
      <c r="C185" s="59"/>
      <c r="D185" s="59"/>
      <c r="E185" s="61"/>
      <c r="F185" s="61"/>
      <c r="G185" s="61"/>
      <c r="H185" s="61"/>
      <c r="I185" s="62" t="str">
        <f aca="false">IF(A185&lt;&gt;0,(B185-(B184-D184))/(A185-A184),"")</f>
        <v/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customFormat="false" ht="14.25" hidden="false" customHeight="false" outlineLevel="0" collapsed="false">
      <c r="A186" s="3"/>
      <c r="B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customFormat="false" ht="14.25" hidden="false" customHeight="false" outlineLevel="0" collapsed="false">
      <c r="A187" s="3"/>
      <c r="B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customFormat="false" ht="14.25" hidden="false" customHeight="false" outlineLevel="0" collapsed="false">
      <c r="A188" s="52" t="s">
        <v>28</v>
      </c>
      <c r="B188" s="64" t="str">
        <f aca="false">IF(B15="","",B15)</f>
        <v/>
      </c>
      <c r="D188" s="54" t="s">
        <v>46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customFormat="false" ht="14.25" hidden="false" customHeight="false" outlineLevel="0" collapsed="false">
      <c r="A189" s="52"/>
      <c r="B189" s="6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customFormat="false" ht="14.25" hidden="false" customHeight="false" outlineLevel="0" collapsed="false">
      <c r="A190" s="3"/>
      <c r="B190" s="55" t="s">
        <v>47</v>
      </c>
      <c r="C190" s="55" t="s">
        <v>48</v>
      </c>
      <c r="D190" s="55"/>
      <c r="E190" s="55" t="s">
        <v>49</v>
      </c>
      <c r="F190" s="55"/>
      <c r="G190" s="55"/>
      <c r="H190" s="55"/>
      <c r="I190" s="56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customFormat="false" ht="42.75" hidden="false" customHeight="false" outlineLevel="0" collapsed="false">
      <c r="A191" s="32" t="s">
        <v>50</v>
      </c>
      <c r="B191" s="32" t="s">
        <v>51</v>
      </c>
      <c r="C191" s="57" t="s">
        <v>52</v>
      </c>
      <c r="D191" s="57" t="s">
        <v>53</v>
      </c>
      <c r="E191" s="32" t="s">
        <v>54</v>
      </c>
      <c r="F191" s="32" t="s">
        <v>55</v>
      </c>
      <c r="G191" s="32" t="s">
        <v>56</v>
      </c>
      <c r="H191" s="32" t="s">
        <v>57</v>
      </c>
      <c r="I191" s="57" t="s">
        <v>58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customFormat="false" ht="14.25" hidden="false" customHeight="false" outlineLevel="0" collapsed="false">
      <c r="A192" s="59"/>
      <c r="B192" s="60"/>
      <c r="C192" s="60"/>
      <c r="D192" s="60"/>
      <c r="E192" s="61"/>
      <c r="F192" s="61"/>
      <c r="G192" s="61"/>
      <c r="H192" s="61"/>
      <c r="I192" s="62" t="str">
        <f aca="false">IFERROR(B192/A192,"")</f>
        <v/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customFormat="false" ht="14.25" hidden="false" customHeight="false" outlineLevel="0" collapsed="false">
      <c r="A193" s="59"/>
      <c r="B193" s="60"/>
      <c r="C193" s="60"/>
      <c r="D193" s="60"/>
      <c r="E193" s="61"/>
      <c r="F193" s="61"/>
      <c r="G193" s="61"/>
      <c r="H193" s="61"/>
      <c r="I193" s="62" t="str">
        <f aca="false">IF(A193&lt;&gt;0,(B193-(B192-D192))/(A193-A192),"")</f>
        <v/>
      </c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customFormat="false" ht="14.25" hidden="false" customHeight="false" outlineLevel="0" collapsed="false">
      <c r="A194" s="59"/>
      <c r="B194" s="60"/>
      <c r="C194" s="60"/>
      <c r="D194" s="60"/>
      <c r="E194" s="61"/>
      <c r="F194" s="61"/>
      <c r="G194" s="61"/>
      <c r="H194" s="61"/>
      <c r="I194" s="62" t="str">
        <f aca="false">IF(A194&lt;&gt;0,(B194-(B193-D193))/(A194-A193),"")</f>
        <v/>
      </c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customFormat="false" ht="14.25" hidden="false" customHeight="false" outlineLevel="0" collapsed="false">
      <c r="A195" s="59"/>
      <c r="B195" s="60"/>
      <c r="C195" s="60"/>
      <c r="D195" s="60"/>
      <c r="E195" s="61"/>
      <c r="F195" s="61"/>
      <c r="G195" s="61"/>
      <c r="H195" s="61"/>
      <c r="I195" s="62" t="str">
        <f aca="false">IF(A195&lt;&gt;0,(B195-(B194-D194))/(A195-A194),"")</f>
        <v/>
      </c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customFormat="false" ht="14.25" hidden="false" customHeight="false" outlineLevel="0" collapsed="false">
      <c r="A196" s="59"/>
      <c r="B196" s="60"/>
      <c r="C196" s="60"/>
      <c r="D196" s="60"/>
      <c r="E196" s="61"/>
      <c r="F196" s="61"/>
      <c r="G196" s="61"/>
      <c r="H196" s="61"/>
      <c r="I196" s="62" t="str">
        <f aca="false">IF(A196&lt;&gt;0,(B196-(B195-D195))/(A196-A195),"")</f>
        <v/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customFormat="false" ht="14.25" hidden="false" customHeight="false" outlineLevel="0" collapsed="false">
      <c r="A197" s="59"/>
      <c r="B197" s="60"/>
      <c r="C197" s="60"/>
      <c r="D197" s="60"/>
      <c r="E197" s="61"/>
      <c r="F197" s="61"/>
      <c r="G197" s="61"/>
      <c r="H197" s="61"/>
      <c r="I197" s="62" t="str">
        <f aca="false">IF(A197&lt;&gt;0,(B197-(B196-D196))/(A197-A196),"")</f>
        <v/>
      </c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customFormat="false" ht="14.25" hidden="false" customHeight="false" outlineLevel="0" collapsed="false">
      <c r="A198" s="59"/>
      <c r="B198" s="60"/>
      <c r="C198" s="60"/>
      <c r="D198" s="60"/>
      <c r="E198" s="61"/>
      <c r="F198" s="61"/>
      <c r="G198" s="61"/>
      <c r="H198" s="61"/>
      <c r="I198" s="62" t="str">
        <f aca="false">IF(A198&lt;&gt;0,(B198-(B197-D197))/(A198-A197),"")</f>
        <v/>
      </c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customFormat="false" ht="14.25" hidden="false" customHeight="false" outlineLevel="0" collapsed="false">
      <c r="A199" s="59"/>
      <c r="B199" s="59"/>
      <c r="C199" s="59"/>
      <c r="D199" s="59"/>
      <c r="E199" s="61"/>
      <c r="F199" s="61"/>
      <c r="G199" s="61"/>
      <c r="H199" s="61"/>
      <c r="I199" s="62" t="str">
        <f aca="false">IF(A199&lt;&gt;0,(B199-(B198-D198))/(A199-A198),"")</f>
        <v/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customFormat="false" ht="14.25" hidden="false" customHeight="false" outlineLevel="0" collapsed="false">
      <c r="A200" s="59"/>
      <c r="B200" s="59"/>
      <c r="C200" s="59"/>
      <c r="D200" s="59"/>
      <c r="E200" s="61"/>
      <c r="F200" s="61"/>
      <c r="G200" s="61"/>
      <c r="H200" s="61"/>
      <c r="I200" s="62" t="str">
        <f aca="false">IF(A200&lt;&gt;0,(B200-(B199-D199))/(A200-A199),"")</f>
        <v/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customFormat="false" ht="14.25" hidden="false" customHeight="false" outlineLevel="0" collapsed="false">
      <c r="A201" s="59"/>
      <c r="B201" s="59"/>
      <c r="C201" s="59"/>
      <c r="D201" s="59"/>
      <c r="E201" s="61"/>
      <c r="F201" s="61"/>
      <c r="G201" s="61"/>
      <c r="H201" s="61"/>
      <c r="I201" s="62" t="str">
        <f aca="false">IF(A201&lt;&gt;0,(B201-(B200-D200))/(A201-A200),"")</f>
        <v/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customFormat="false" ht="14.25" hidden="false" customHeight="false" outlineLevel="0" collapsed="false">
      <c r="A202" s="59"/>
      <c r="B202" s="59"/>
      <c r="C202" s="59"/>
      <c r="D202" s="59"/>
      <c r="E202" s="61"/>
      <c r="F202" s="61"/>
      <c r="G202" s="61"/>
      <c r="H202" s="61"/>
      <c r="I202" s="62" t="str">
        <f aca="false">IF(A202&lt;&gt;0,(B202-(B201-D201))/(A202-A201),"")</f>
        <v/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customFormat="false" ht="14.25" hidden="false" customHeight="false" outlineLevel="0" collapsed="false">
      <c r="A203" s="59"/>
      <c r="B203" s="59"/>
      <c r="C203" s="59"/>
      <c r="D203" s="59"/>
      <c r="E203" s="61"/>
      <c r="F203" s="61"/>
      <c r="G203" s="61"/>
      <c r="H203" s="61"/>
      <c r="I203" s="62" t="str">
        <f aca="false">IF(A203&lt;&gt;0,(B203-(B202-D202))/(A203-A202),"")</f>
        <v/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customFormat="false" ht="14.25" hidden="false" customHeight="false" outlineLevel="0" collapsed="false">
      <c r="A204" s="59"/>
      <c r="B204" s="59"/>
      <c r="C204" s="59"/>
      <c r="D204" s="59"/>
      <c r="E204" s="61"/>
      <c r="F204" s="61"/>
      <c r="G204" s="61"/>
      <c r="H204" s="61"/>
      <c r="I204" s="62" t="str">
        <f aca="false">IF(A204&lt;&gt;0,(B204-(B203-D203))/(A204-A203),"")</f>
        <v/>
      </c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customFormat="false" ht="14.25" hidden="false" customHeight="false" outlineLevel="0" collapsed="false">
      <c r="A205" s="59"/>
      <c r="B205" s="59"/>
      <c r="C205" s="59"/>
      <c r="D205" s="59"/>
      <c r="E205" s="61"/>
      <c r="F205" s="61"/>
      <c r="G205" s="61"/>
      <c r="H205" s="61"/>
      <c r="I205" s="62" t="str">
        <f aca="false">IF(A205&lt;&gt;0,(B205-(B204-D204))/(A205-A204),"")</f>
        <v/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customFormat="false" ht="14.25" hidden="false" customHeight="false" outlineLevel="0" collapsed="false">
      <c r="A206" s="59"/>
      <c r="B206" s="59"/>
      <c r="C206" s="59"/>
      <c r="D206" s="59"/>
      <c r="E206" s="61"/>
      <c r="F206" s="61"/>
      <c r="G206" s="61"/>
      <c r="H206" s="61"/>
      <c r="I206" s="62" t="str">
        <f aca="false">IF(A206&lt;&gt;0,(B206-(B205-D205))/(A206-A205),"")</f>
        <v/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customFormat="false" ht="14.25" hidden="false" customHeight="false" outlineLevel="0" collapsed="false">
      <c r="A207" s="59"/>
      <c r="B207" s="59"/>
      <c r="C207" s="59"/>
      <c r="D207" s="59"/>
      <c r="E207" s="61"/>
      <c r="F207" s="61"/>
      <c r="G207" s="61"/>
      <c r="H207" s="61"/>
      <c r="I207" s="62" t="str">
        <f aca="false">IF(A207&lt;&gt;0,(B207-(B206-D206))/(A207-A206),"")</f>
        <v/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customFormat="false" ht="14.25" hidden="false" customHeight="false" outlineLevel="0" collapsed="false">
      <c r="A208" s="59"/>
      <c r="B208" s="59"/>
      <c r="C208" s="59"/>
      <c r="D208" s="59"/>
      <c r="E208" s="61"/>
      <c r="F208" s="61"/>
      <c r="G208" s="61"/>
      <c r="H208" s="61"/>
      <c r="I208" s="62" t="str">
        <f aca="false">IF(A208&lt;&gt;0,(B208-(B207-D207))/(A208-A207),"")</f>
        <v/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customFormat="false" ht="14.25" hidden="false" customHeight="false" outlineLevel="0" collapsed="false">
      <c r="A209" s="59"/>
      <c r="B209" s="59"/>
      <c r="C209" s="59"/>
      <c r="D209" s="59"/>
      <c r="E209" s="61"/>
      <c r="F209" s="61"/>
      <c r="G209" s="61"/>
      <c r="H209" s="61"/>
      <c r="I209" s="62" t="str">
        <f aca="false">IF(A209&lt;&gt;0,(B209-(B208-D208))/(A209-A208),"")</f>
        <v/>
      </c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customFormat="false" ht="14.25" hidden="false" customHeight="false" outlineLevel="0" collapsed="false">
      <c r="A210" s="59"/>
      <c r="B210" s="59"/>
      <c r="C210" s="59"/>
      <c r="D210" s="59"/>
      <c r="E210" s="61"/>
      <c r="F210" s="61"/>
      <c r="G210" s="61"/>
      <c r="H210" s="61"/>
      <c r="I210" s="62" t="str">
        <f aca="false">IF(A210&lt;&gt;0,(B210-(B209-D209))/(A210-A209),"")</f>
        <v/>
      </c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customFormat="false" ht="14.25" hidden="false" customHeight="false" outlineLevel="0" collapsed="false">
      <c r="A211" s="59"/>
      <c r="B211" s="59"/>
      <c r="C211" s="59"/>
      <c r="D211" s="59"/>
      <c r="E211" s="61"/>
      <c r="F211" s="61"/>
      <c r="G211" s="61"/>
      <c r="H211" s="61"/>
      <c r="I211" s="62" t="str">
        <f aca="false">IF(A211&lt;&gt;0,(B211-(B210-D210))/(A211-A210),"")</f>
        <v/>
      </c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customFormat="false" ht="14.25" hidden="false" customHeight="false" outlineLevel="0" collapsed="false">
      <c r="A212" s="3"/>
      <c r="B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customFormat="false" ht="14.25" hidden="false" customHeight="false" outlineLevel="0" collapsed="false">
      <c r="A213" s="3"/>
      <c r="B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customFormat="false" ht="14.25" hidden="false" customHeight="false" outlineLevel="0" collapsed="false">
      <c r="A214" s="52" t="s">
        <v>29</v>
      </c>
      <c r="B214" s="64" t="str">
        <f aca="false">IF(B16="","",B16)</f>
        <v/>
      </c>
      <c r="D214" s="54" t="s">
        <v>46</v>
      </c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customFormat="false" ht="14.25" hidden="false" customHeight="false" outlineLevel="0" collapsed="false">
      <c r="A215" s="52"/>
      <c r="B215" s="6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customFormat="false" ht="14.25" hidden="false" customHeight="false" outlineLevel="0" collapsed="false">
      <c r="A216" s="3"/>
      <c r="B216" s="55" t="s">
        <v>47</v>
      </c>
      <c r="C216" s="55" t="s">
        <v>48</v>
      </c>
      <c r="D216" s="55"/>
      <c r="E216" s="55" t="s">
        <v>49</v>
      </c>
      <c r="F216" s="55"/>
      <c r="G216" s="55"/>
      <c r="H216" s="55"/>
      <c r="I216" s="56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customFormat="false" ht="42.75" hidden="false" customHeight="false" outlineLevel="0" collapsed="false">
      <c r="A217" s="32" t="s">
        <v>50</v>
      </c>
      <c r="B217" s="32" t="s">
        <v>51</v>
      </c>
      <c r="C217" s="57" t="s">
        <v>52</v>
      </c>
      <c r="D217" s="57" t="s">
        <v>53</v>
      </c>
      <c r="E217" s="32" t="s">
        <v>54</v>
      </c>
      <c r="F217" s="32" t="s">
        <v>55</v>
      </c>
      <c r="G217" s="32" t="s">
        <v>56</v>
      </c>
      <c r="H217" s="32" t="s">
        <v>57</v>
      </c>
      <c r="I217" s="57" t="s">
        <v>58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customFormat="false" ht="14.25" hidden="false" customHeight="false" outlineLevel="0" collapsed="false">
      <c r="A218" s="59"/>
      <c r="B218" s="60"/>
      <c r="C218" s="59"/>
      <c r="D218" s="60"/>
      <c r="E218" s="73"/>
      <c r="F218" s="73"/>
      <c r="G218" s="73"/>
      <c r="H218" s="73"/>
      <c r="I218" s="63" t="str">
        <f aca="false">IFERROR(B218/A218,"")</f>
        <v/>
      </c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customFormat="false" ht="14.25" hidden="false" customHeight="false" outlineLevel="0" collapsed="false">
      <c r="A219" s="59"/>
      <c r="B219" s="60"/>
      <c r="C219" s="59"/>
      <c r="D219" s="60"/>
      <c r="E219" s="73"/>
      <c r="F219" s="73"/>
      <c r="G219" s="73"/>
      <c r="H219" s="73"/>
      <c r="I219" s="63" t="str">
        <f aca="false">IF(A219&lt;&gt;0,(B219-(B218-D218))/(A219-A218),"")</f>
        <v/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customFormat="false" ht="14.25" hidden="false" customHeight="false" outlineLevel="0" collapsed="false">
      <c r="A220" s="59"/>
      <c r="B220" s="60"/>
      <c r="C220" s="59"/>
      <c r="D220" s="60"/>
      <c r="E220" s="73"/>
      <c r="F220" s="73"/>
      <c r="G220" s="73"/>
      <c r="H220" s="73"/>
      <c r="I220" s="63" t="str">
        <f aca="false">IF(A220&lt;&gt;0,(B220-(B219-D219))/(A220-A219),"")</f>
        <v/>
      </c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customFormat="false" ht="14.25" hidden="false" customHeight="false" outlineLevel="0" collapsed="false">
      <c r="A221" s="70"/>
      <c r="B221" s="70"/>
      <c r="C221" s="70"/>
      <c r="D221" s="70"/>
      <c r="E221" s="73"/>
      <c r="F221" s="73"/>
      <c r="G221" s="73"/>
      <c r="H221" s="73"/>
      <c r="I221" s="63" t="str">
        <f aca="false">IF(A221&lt;&gt;0,(B221-(B220-D220))/(A221-A220),"")</f>
        <v/>
      </c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customFormat="false" ht="14.25" hidden="false" customHeight="false" outlineLevel="0" collapsed="false">
      <c r="A222" s="70"/>
      <c r="B222" s="70"/>
      <c r="C222" s="70"/>
      <c r="D222" s="70"/>
      <c r="E222" s="73"/>
      <c r="F222" s="73"/>
      <c r="G222" s="73"/>
      <c r="H222" s="73"/>
      <c r="I222" s="63" t="str">
        <f aca="false">IF(A222&lt;&gt;0,(B222-(B221-D221))/(A222-A221),"")</f>
        <v/>
      </c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customFormat="false" ht="14.25" hidden="false" customHeight="false" outlineLevel="0" collapsed="false">
      <c r="A223" s="70"/>
      <c r="B223" s="70"/>
      <c r="C223" s="70"/>
      <c r="D223" s="70"/>
      <c r="E223" s="73"/>
      <c r="F223" s="73"/>
      <c r="G223" s="73"/>
      <c r="H223" s="73"/>
      <c r="I223" s="63" t="str">
        <f aca="false">IF(A223&lt;&gt;0,(B223-(B222-D222))/(A223-A222),"")</f>
        <v/>
      </c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customFormat="false" ht="14.25" hidden="false" customHeight="false" outlineLevel="0" collapsed="false">
      <c r="A224" s="70"/>
      <c r="B224" s="70"/>
      <c r="C224" s="70"/>
      <c r="D224" s="70"/>
      <c r="E224" s="73"/>
      <c r="F224" s="73"/>
      <c r="G224" s="73"/>
      <c r="H224" s="73"/>
      <c r="I224" s="63" t="str">
        <f aca="false">IF(A224&lt;&gt;0,(B224-(B223-D223))/(A224-A223),"")</f>
        <v/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customFormat="false" ht="14.25" hidden="false" customHeight="false" outlineLevel="0" collapsed="false">
      <c r="A225" s="70"/>
      <c r="B225" s="70"/>
      <c r="C225" s="70"/>
      <c r="D225" s="70"/>
      <c r="E225" s="73"/>
      <c r="F225" s="73"/>
      <c r="G225" s="73"/>
      <c r="H225" s="73"/>
      <c r="I225" s="63" t="str">
        <f aca="false">IF(A225&lt;&gt;0,(B225-(B224-D224))/(A225-A224),"")</f>
        <v/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customFormat="false" ht="14.25" hidden="false" customHeight="false" outlineLevel="0" collapsed="false">
      <c r="A226" s="70"/>
      <c r="B226" s="70"/>
      <c r="C226" s="70"/>
      <c r="D226" s="70"/>
      <c r="E226" s="73"/>
      <c r="F226" s="73"/>
      <c r="G226" s="73"/>
      <c r="H226" s="73"/>
      <c r="I226" s="63" t="str">
        <f aca="false">IF(A226&lt;&gt;0,(B226-(B225-D225))/(A226-A225),"")</f>
        <v/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customFormat="false" ht="14.25" hidden="false" customHeight="false" outlineLevel="0" collapsed="false">
      <c r="A227" s="70"/>
      <c r="B227" s="70"/>
      <c r="C227" s="70"/>
      <c r="D227" s="70"/>
      <c r="E227" s="73"/>
      <c r="F227" s="73"/>
      <c r="G227" s="73"/>
      <c r="H227" s="73"/>
      <c r="I227" s="63" t="str">
        <f aca="false">IF(A227&lt;&gt;0,(B227-(B226-D226))/(A227-A226),"")</f>
        <v/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customFormat="false" ht="14.25" hidden="false" customHeight="false" outlineLevel="0" collapsed="false">
      <c r="A228" s="70"/>
      <c r="B228" s="70"/>
      <c r="C228" s="70"/>
      <c r="D228" s="70"/>
      <c r="E228" s="73"/>
      <c r="F228" s="73"/>
      <c r="G228" s="73"/>
      <c r="H228" s="73"/>
      <c r="I228" s="63" t="str">
        <f aca="false">IF(A228&lt;&gt;0,(B228-(B227-D227))/(A228-A227),"")</f>
        <v/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customFormat="false" ht="14.25" hidden="false" customHeight="false" outlineLevel="0" collapsed="false">
      <c r="A229" s="70"/>
      <c r="B229" s="70"/>
      <c r="C229" s="70"/>
      <c r="D229" s="70"/>
      <c r="E229" s="73"/>
      <c r="F229" s="73"/>
      <c r="G229" s="73"/>
      <c r="H229" s="73"/>
      <c r="I229" s="63" t="str">
        <f aca="false">IF(A229&lt;&gt;0,(B229-(B228-D228))/(A229-A228),"")</f>
        <v/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customFormat="false" ht="14.25" hidden="false" customHeight="false" outlineLevel="0" collapsed="false">
      <c r="A230" s="70"/>
      <c r="B230" s="70"/>
      <c r="C230" s="70"/>
      <c r="D230" s="70"/>
      <c r="E230" s="74"/>
      <c r="F230" s="74"/>
      <c r="G230" s="74"/>
      <c r="H230" s="74"/>
      <c r="I230" s="63" t="str">
        <f aca="false">IF(A230&lt;&gt;0,(B230-(B229-D229))/(A230-A229),"")</f>
        <v/>
      </c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customFormat="false" ht="14.25" hidden="false" customHeight="false" outlineLevel="0" collapsed="false">
      <c r="A231" s="75"/>
      <c r="B231" s="60"/>
      <c r="C231" s="75"/>
      <c r="D231" s="60"/>
      <c r="E231" s="68"/>
      <c r="F231" s="68"/>
      <c r="G231" s="68"/>
      <c r="H231" s="68"/>
      <c r="I231" s="63" t="str">
        <f aca="false">IF(A231&lt;&gt;0,(B231-(B230-D230))/(A231-A230),"")</f>
        <v/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customFormat="false" ht="14.25" hidden="false" customHeight="false" outlineLevel="0" collapsed="false">
      <c r="A232" s="59"/>
      <c r="B232" s="59"/>
      <c r="C232" s="59"/>
      <c r="D232" s="59"/>
      <c r="E232" s="68"/>
      <c r="F232" s="68"/>
      <c r="G232" s="68"/>
      <c r="H232" s="68"/>
      <c r="I232" s="63" t="str">
        <f aca="false">IF(A232&lt;&gt;0,(B232-(B231-D231))/(A232-A231),"")</f>
        <v/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customFormat="false" ht="14.25" hidden="false" customHeight="false" outlineLevel="0" collapsed="false">
      <c r="A233" s="59"/>
      <c r="B233" s="59"/>
      <c r="C233" s="59"/>
      <c r="D233" s="59"/>
      <c r="E233" s="68"/>
      <c r="F233" s="68"/>
      <c r="G233" s="68"/>
      <c r="H233" s="68"/>
      <c r="I233" s="63" t="str">
        <f aca="false">IF(A233&lt;&gt;0,(B233-(B232-D232))/(A233-A232),"")</f>
        <v/>
      </c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customFormat="false" ht="14.25" hidden="false" customHeight="false" outlineLevel="0" collapsed="false">
      <c r="A234" s="59"/>
      <c r="B234" s="59"/>
      <c r="C234" s="59"/>
      <c r="D234" s="59"/>
      <c r="E234" s="68"/>
      <c r="F234" s="68"/>
      <c r="G234" s="68"/>
      <c r="H234" s="68"/>
      <c r="I234" s="63" t="str">
        <f aca="false">IF(A234&lt;&gt;0,(B234-(B233-D233))/(A234-A233),"")</f>
        <v/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customFormat="false" ht="14.25" hidden="false" customHeight="false" outlineLevel="0" collapsed="false">
      <c r="A235" s="59"/>
      <c r="B235" s="59"/>
      <c r="C235" s="59"/>
      <c r="D235" s="59"/>
      <c r="E235" s="68"/>
      <c r="F235" s="68"/>
      <c r="G235" s="68"/>
      <c r="H235" s="68"/>
      <c r="I235" s="63" t="str">
        <f aca="false">IF(A235&lt;&gt;0,(B235-(B234-D234))/(A235-A234),"")</f>
        <v/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customFormat="false" ht="14.25" hidden="false" customHeight="false" outlineLevel="0" collapsed="false">
      <c r="A236" s="59"/>
      <c r="B236" s="59"/>
      <c r="C236" s="59"/>
      <c r="D236" s="59"/>
      <c r="E236" s="68"/>
      <c r="F236" s="68"/>
      <c r="G236" s="68"/>
      <c r="H236" s="68"/>
      <c r="I236" s="63" t="str">
        <f aca="false">IF(A236&lt;&gt;0,(B236-(B235-D235))/(A236-A235),"")</f>
        <v/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customFormat="false" ht="14.25" hidden="false" customHeight="false" outlineLevel="0" collapsed="false">
      <c r="A237" s="59"/>
      <c r="B237" s="59"/>
      <c r="C237" s="59"/>
      <c r="D237" s="59"/>
      <c r="E237" s="68"/>
      <c r="F237" s="68"/>
      <c r="G237" s="68"/>
      <c r="H237" s="68"/>
      <c r="I237" s="63" t="str">
        <f aca="false">IF(A237&lt;&gt;0,(B237-(B236-D236))/(A237-A236),"")</f>
        <v/>
      </c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customFormat="false" ht="14.25" hidden="false" customHeight="false" outlineLevel="0" collapsed="false">
      <c r="A238" s="3"/>
      <c r="B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customFormat="false" ht="14.25" hidden="false" customHeight="false" outlineLevel="0" collapsed="false">
      <c r="A239" s="3"/>
      <c r="B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customFormat="false" ht="14.25" hidden="false" customHeight="false" outlineLevel="0" collapsed="false">
      <c r="A240" s="52" t="s">
        <v>30</v>
      </c>
      <c r="B240" s="64" t="str">
        <f aca="false">IF(B17="","",B17)</f>
        <v/>
      </c>
      <c r="D240" s="54" t="s">
        <v>46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customFormat="false" ht="14.25" hidden="false" customHeight="false" outlineLevel="0" collapsed="false">
      <c r="A241" s="52"/>
      <c r="B241" s="6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customFormat="false" ht="14.25" hidden="false" customHeight="false" outlineLevel="0" collapsed="false">
      <c r="A242" s="3"/>
      <c r="B242" s="55" t="s">
        <v>47</v>
      </c>
      <c r="C242" s="55" t="s">
        <v>48</v>
      </c>
      <c r="D242" s="55"/>
      <c r="E242" s="55" t="s">
        <v>49</v>
      </c>
      <c r="F242" s="55"/>
      <c r="G242" s="55"/>
      <c r="H242" s="55"/>
      <c r="I242" s="56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customFormat="false" ht="42.75" hidden="false" customHeight="false" outlineLevel="0" collapsed="false">
      <c r="A243" s="32" t="s">
        <v>50</v>
      </c>
      <c r="B243" s="32" t="s">
        <v>51</v>
      </c>
      <c r="C243" s="57" t="s">
        <v>52</v>
      </c>
      <c r="D243" s="57" t="s">
        <v>53</v>
      </c>
      <c r="E243" s="32" t="s">
        <v>54</v>
      </c>
      <c r="F243" s="32" t="s">
        <v>55</v>
      </c>
      <c r="G243" s="32" t="s">
        <v>56</v>
      </c>
      <c r="H243" s="32" t="s">
        <v>57</v>
      </c>
      <c r="I243" s="57" t="s">
        <v>58</v>
      </c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customFormat="false" ht="14.25" hidden="false" customHeight="false" outlineLevel="0" collapsed="false">
      <c r="A244" s="59"/>
      <c r="B244" s="60"/>
      <c r="C244" s="60"/>
      <c r="D244" s="60"/>
      <c r="E244" s="61"/>
      <c r="F244" s="61"/>
      <c r="G244" s="61"/>
      <c r="H244" s="73"/>
      <c r="I244" s="63" t="str">
        <f aca="false">IFERROR(B244/A244,"")</f>
        <v/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customFormat="false" ht="14.25" hidden="false" customHeight="false" outlineLevel="0" collapsed="false">
      <c r="A245" s="59"/>
      <c r="B245" s="60"/>
      <c r="C245" s="60"/>
      <c r="D245" s="60"/>
      <c r="E245" s="73"/>
      <c r="F245" s="73"/>
      <c r="G245" s="73"/>
      <c r="H245" s="73"/>
      <c r="I245" s="63" t="str">
        <f aca="false">IF(A245&lt;&gt;0,(B245-(B244-D244))/(A245-A244),"")</f>
        <v/>
      </c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customFormat="false" ht="14.25" hidden="false" customHeight="false" outlineLevel="0" collapsed="false">
      <c r="A246" s="59"/>
      <c r="B246" s="60"/>
      <c r="C246" s="60"/>
      <c r="D246" s="60"/>
      <c r="E246" s="73"/>
      <c r="F246" s="73"/>
      <c r="G246" s="73"/>
      <c r="H246" s="73"/>
      <c r="I246" s="63" t="str">
        <f aca="false">IF(A246&lt;&gt;0,(B246-(B245-D245))/(A246-A245),"")</f>
        <v/>
      </c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customFormat="false" ht="14.25" hidden="false" customHeight="false" outlineLevel="0" collapsed="false">
      <c r="A247" s="59"/>
      <c r="B247" s="60"/>
      <c r="C247" s="60"/>
      <c r="D247" s="60"/>
      <c r="E247" s="73"/>
      <c r="F247" s="73"/>
      <c r="G247" s="73"/>
      <c r="H247" s="73"/>
      <c r="I247" s="63" t="str">
        <f aca="false">IF(A247&lt;&gt;0,(B247-(B246-D246))/(A247-A246),"")</f>
        <v/>
      </c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customFormat="false" ht="14.25" hidden="false" customHeight="false" outlineLevel="0" collapsed="false">
      <c r="A248" s="59"/>
      <c r="B248" s="60"/>
      <c r="C248" s="60"/>
      <c r="D248" s="60"/>
      <c r="E248" s="73"/>
      <c r="F248" s="73"/>
      <c r="G248" s="73"/>
      <c r="H248" s="73"/>
      <c r="I248" s="63" t="str">
        <f aca="false">IF(A248&lt;&gt;0,(B248-(B247-D247))/(A248-A247),"")</f>
        <v/>
      </c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customFormat="false" ht="14.25" hidden="false" customHeight="false" outlineLevel="0" collapsed="false">
      <c r="A249" s="59"/>
      <c r="B249" s="60"/>
      <c r="C249" s="60"/>
      <c r="D249" s="60"/>
      <c r="E249" s="73"/>
      <c r="F249" s="73"/>
      <c r="G249" s="73"/>
      <c r="H249" s="73"/>
      <c r="I249" s="63" t="str">
        <f aca="false">IF(A249&lt;&gt;0,(B249-(B248-D248))/(A249-A248),"")</f>
        <v/>
      </c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customFormat="false" ht="14.25" hidden="false" customHeight="false" outlineLevel="0" collapsed="false">
      <c r="A250" s="59"/>
      <c r="B250" s="60"/>
      <c r="C250" s="60"/>
      <c r="D250" s="60"/>
      <c r="E250" s="73"/>
      <c r="F250" s="73"/>
      <c r="G250" s="73"/>
      <c r="H250" s="73"/>
      <c r="I250" s="63" t="str">
        <f aca="false">IF(A250&lt;&gt;0,(B250-(B249-D249))/(A250-A249),"")</f>
        <v/>
      </c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customFormat="false" ht="14.25" hidden="false" customHeight="false" outlineLevel="0" collapsed="false">
      <c r="A251" s="70"/>
      <c r="B251" s="70"/>
      <c r="C251" s="70"/>
      <c r="D251" s="70"/>
      <c r="E251" s="73"/>
      <c r="F251" s="73"/>
      <c r="G251" s="73"/>
      <c r="H251" s="73"/>
      <c r="I251" s="63" t="str">
        <f aca="false">IF(A251&lt;&gt;0,(B251-(B250-D250))/(A251-A250),"")</f>
        <v/>
      </c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customFormat="false" ht="14.25" hidden="false" customHeight="false" outlineLevel="0" collapsed="false">
      <c r="A252" s="70"/>
      <c r="B252" s="70"/>
      <c r="C252" s="70"/>
      <c r="D252" s="70"/>
      <c r="E252" s="73"/>
      <c r="F252" s="73"/>
      <c r="G252" s="73"/>
      <c r="H252" s="73"/>
      <c r="I252" s="63" t="str">
        <f aca="false">IF(A252&lt;&gt;0,(B252-(B251-D251))/(A252-A251),"")</f>
        <v/>
      </c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customFormat="false" ht="14.25" hidden="false" customHeight="false" outlineLevel="0" collapsed="false">
      <c r="A253" s="70"/>
      <c r="B253" s="70"/>
      <c r="C253" s="70"/>
      <c r="D253" s="70"/>
      <c r="E253" s="73"/>
      <c r="F253" s="73"/>
      <c r="G253" s="73"/>
      <c r="H253" s="73"/>
      <c r="I253" s="63" t="str">
        <f aca="false">IF(A253&lt;&gt;0,(B253-(B252-D252))/(A253-A252),"")</f>
        <v/>
      </c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customFormat="false" ht="14.25" hidden="false" customHeight="false" outlineLevel="0" collapsed="false">
      <c r="A254" s="70"/>
      <c r="B254" s="70"/>
      <c r="C254" s="70"/>
      <c r="D254" s="70"/>
      <c r="E254" s="73"/>
      <c r="F254" s="73"/>
      <c r="G254" s="73"/>
      <c r="H254" s="73"/>
      <c r="I254" s="63" t="str">
        <f aca="false">IF(A254&lt;&gt;0,(B254-(B253-D253))/(A254-A253),"")</f>
        <v/>
      </c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customFormat="false" ht="14.25" hidden="false" customHeight="false" outlineLevel="0" collapsed="false">
      <c r="A255" s="70"/>
      <c r="B255" s="70"/>
      <c r="C255" s="70"/>
      <c r="D255" s="70"/>
      <c r="E255" s="73"/>
      <c r="F255" s="73"/>
      <c r="G255" s="73"/>
      <c r="H255" s="73"/>
      <c r="I255" s="63" t="str">
        <f aca="false">IF(A255&lt;&gt;0,(B255-(B254-D254))/(A255-A254),"")</f>
        <v/>
      </c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customFormat="false" ht="14.25" hidden="false" customHeight="false" outlineLevel="0" collapsed="false">
      <c r="A256" s="70"/>
      <c r="B256" s="70"/>
      <c r="C256" s="70"/>
      <c r="D256" s="70"/>
      <c r="E256" s="74"/>
      <c r="F256" s="74"/>
      <c r="G256" s="74"/>
      <c r="H256" s="74"/>
      <c r="I256" s="63" t="str">
        <f aca="false">IF(A256&lt;&gt;0,(B256-(B255-D255))/(A256-A255),"")</f>
        <v/>
      </c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customFormat="false" ht="14.25" hidden="false" customHeight="false" outlineLevel="0" collapsed="false">
      <c r="A257" s="75"/>
      <c r="B257" s="60"/>
      <c r="C257" s="75"/>
      <c r="D257" s="60"/>
      <c r="E257" s="68"/>
      <c r="F257" s="68"/>
      <c r="G257" s="68"/>
      <c r="H257" s="68"/>
      <c r="I257" s="63" t="str">
        <f aca="false">IF(A257&lt;&gt;0,(B257-(B256-D256))/(A257-A256),"")</f>
        <v/>
      </c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customFormat="false" ht="14.25" hidden="false" customHeight="false" outlineLevel="0" collapsed="false">
      <c r="A258" s="59"/>
      <c r="B258" s="59"/>
      <c r="C258" s="59"/>
      <c r="D258" s="59"/>
      <c r="E258" s="68"/>
      <c r="F258" s="68"/>
      <c r="G258" s="68"/>
      <c r="H258" s="68"/>
      <c r="I258" s="63" t="str">
        <f aca="false">IF(A258&lt;&gt;0,(B258-(B257-D257))/(A258-A257),"")</f>
        <v/>
      </c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customFormat="false" ht="14.25" hidden="false" customHeight="false" outlineLevel="0" collapsed="false">
      <c r="A259" s="59"/>
      <c r="B259" s="59"/>
      <c r="C259" s="59"/>
      <c r="D259" s="59"/>
      <c r="E259" s="68"/>
      <c r="F259" s="68"/>
      <c r="G259" s="68"/>
      <c r="H259" s="68"/>
      <c r="I259" s="63" t="str">
        <f aca="false">IF(A259&lt;&gt;0,(B259-(B258-D258))/(A259-A258),"")</f>
        <v/>
      </c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customFormat="false" ht="14.25" hidden="false" customHeight="false" outlineLevel="0" collapsed="false">
      <c r="A260" s="59"/>
      <c r="B260" s="59"/>
      <c r="C260" s="59"/>
      <c r="D260" s="59"/>
      <c r="E260" s="68"/>
      <c r="F260" s="68"/>
      <c r="G260" s="68"/>
      <c r="H260" s="68"/>
      <c r="I260" s="63" t="str">
        <f aca="false">IF(A260&lt;&gt;0,(B260-(B259-D259))/(A260-A259),"")</f>
        <v/>
      </c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customFormat="false" ht="14.25" hidden="false" customHeight="false" outlineLevel="0" collapsed="false">
      <c r="A261" s="59"/>
      <c r="B261" s="59"/>
      <c r="C261" s="59"/>
      <c r="D261" s="59"/>
      <c r="E261" s="68"/>
      <c r="F261" s="68"/>
      <c r="G261" s="68"/>
      <c r="H261" s="68"/>
      <c r="I261" s="63" t="str">
        <f aca="false">IF(A261&lt;&gt;0,(B261-(B260-D260))/(A261-A260),"")</f>
        <v/>
      </c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customFormat="false" ht="14.25" hidden="false" customHeight="false" outlineLevel="0" collapsed="false">
      <c r="A262" s="59"/>
      <c r="B262" s="59"/>
      <c r="C262" s="59"/>
      <c r="D262" s="59"/>
      <c r="E262" s="68"/>
      <c r="F262" s="68"/>
      <c r="G262" s="68"/>
      <c r="H262" s="68"/>
      <c r="I262" s="63" t="str">
        <f aca="false">IF(A262&lt;&gt;0,(B262-(B261-D261))/(A262-A261),"")</f>
        <v/>
      </c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customFormat="false" ht="14.25" hidden="false" customHeight="false" outlineLevel="0" collapsed="false">
      <c r="A263" s="59"/>
      <c r="B263" s="59"/>
      <c r="C263" s="59"/>
      <c r="D263" s="59"/>
      <c r="E263" s="68"/>
      <c r="F263" s="68"/>
      <c r="G263" s="68"/>
      <c r="H263" s="68"/>
      <c r="I263" s="63" t="str">
        <f aca="false">IF(A263&lt;&gt;0,(B263-(B262-D262))/(A263-A262),"")</f>
        <v/>
      </c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customFormat="false" ht="14.25" hidden="false" customHeight="false" outlineLevel="0" collapsed="false">
      <c r="A264" s="3"/>
      <c r="B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customFormat="false" ht="14.25" hidden="false" customHeight="false" outlineLevel="0" collapsed="false">
      <c r="A265" s="3"/>
      <c r="B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customFormat="false" ht="14.25" hidden="false" customHeight="false" outlineLevel="0" collapsed="false">
      <c r="A266" s="52" t="s">
        <v>31</v>
      </c>
      <c r="B266" s="64" t="str">
        <f aca="false">IF(B18="","",B18)</f>
        <v/>
      </c>
      <c r="D266" s="54" t="s">
        <v>46</v>
      </c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customFormat="false" ht="14.25" hidden="false" customHeight="false" outlineLevel="0" collapsed="false">
      <c r="A267" s="52"/>
      <c r="B267" s="6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customFormat="false" ht="14.25" hidden="false" customHeight="false" outlineLevel="0" collapsed="false">
      <c r="A268" s="3"/>
      <c r="B268" s="55" t="s">
        <v>47</v>
      </c>
      <c r="C268" s="55" t="s">
        <v>48</v>
      </c>
      <c r="D268" s="55"/>
      <c r="E268" s="55" t="s">
        <v>49</v>
      </c>
      <c r="F268" s="55"/>
      <c r="G268" s="55"/>
      <c r="H268" s="55"/>
      <c r="I268" s="56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customFormat="false" ht="42.75" hidden="false" customHeight="false" outlineLevel="0" collapsed="false">
      <c r="A269" s="32" t="s">
        <v>50</v>
      </c>
      <c r="B269" s="32" t="s">
        <v>51</v>
      </c>
      <c r="C269" s="57" t="s">
        <v>52</v>
      </c>
      <c r="D269" s="57" t="s">
        <v>53</v>
      </c>
      <c r="E269" s="32" t="s">
        <v>54</v>
      </c>
      <c r="F269" s="32" t="s">
        <v>55</v>
      </c>
      <c r="G269" s="32" t="s">
        <v>56</v>
      </c>
      <c r="H269" s="32" t="s">
        <v>57</v>
      </c>
      <c r="I269" s="57" t="s">
        <v>58</v>
      </c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customFormat="false" ht="14.25" hidden="false" customHeight="false" outlineLevel="0" collapsed="false">
      <c r="A270" s="59"/>
      <c r="B270" s="60"/>
      <c r="C270" s="59"/>
      <c r="D270" s="60"/>
      <c r="E270" s="61"/>
      <c r="F270" s="61"/>
      <c r="G270" s="61"/>
      <c r="H270" s="61"/>
      <c r="I270" s="63" t="str">
        <f aca="false">IFERROR(B270/A270,"")</f>
        <v/>
      </c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customFormat="false" ht="14.25" hidden="false" customHeight="false" outlineLevel="0" collapsed="false">
      <c r="A271" s="59"/>
      <c r="B271" s="60"/>
      <c r="C271" s="59"/>
      <c r="D271" s="60"/>
      <c r="E271" s="61"/>
      <c r="F271" s="61"/>
      <c r="G271" s="61"/>
      <c r="H271" s="61"/>
      <c r="I271" s="63" t="str">
        <f aca="false">IF(A271&lt;&gt;0,(B271-(B270-D270))/(A271-A270),"")</f>
        <v/>
      </c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customFormat="false" ht="14.25" hidden="false" customHeight="false" outlineLevel="0" collapsed="false">
      <c r="A272" s="59"/>
      <c r="B272" s="60"/>
      <c r="C272" s="59"/>
      <c r="D272" s="60"/>
      <c r="E272" s="61"/>
      <c r="F272" s="61"/>
      <c r="G272" s="61"/>
      <c r="H272" s="61"/>
      <c r="I272" s="63" t="str">
        <f aca="false">IF(A272&lt;&gt;0,(B272-(B271-D271))/(A272-A271),"")</f>
        <v/>
      </c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customFormat="false" ht="14.25" hidden="false" customHeight="false" outlineLevel="0" collapsed="false">
      <c r="A273" s="59"/>
      <c r="B273" s="60"/>
      <c r="C273" s="59"/>
      <c r="D273" s="60"/>
      <c r="E273" s="61"/>
      <c r="F273" s="61"/>
      <c r="G273" s="61"/>
      <c r="H273" s="61"/>
      <c r="I273" s="63" t="str">
        <f aca="false">IF(A273&lt;&gt;0,(B273-(B272-D272))/(A273-A272),"")</f>
        <v/>
      </c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customFormat="false" ht="14.25" hidden="false" customHeight="false" outlineLevel="0" collapsed="false">
      <c r="A274" s="59"/>
      <c r="B274" s="60"/>
      <c r="C274" s="59"/>
      <c r="D274" s="60"/>
      <c r="E274" s="61"/>
      <c r="F274" s="61"/>
      <c r="G274" s="61"/>
      <c r="H274" s="61"/>
      <c r="I274" s="63" t="str">
        <f aca="false">IF(A274&lt;&gt;0,(B274-(B273-D273))/(A274-A273),"")</f>
        <v/>
      </c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customFormat="false" ht="14.25" hidden="false" customHeight="false" outlineLevel="0" collapsed="false">
      <c r="A275" s="59"/>
      <c r="B275" s="60"/>
      <c r="C275" s="59"/>
      <c r="D275" s="60"/>
      <c r="E275" s="73"/>
      <c r="F275" s="73"/>
      <c r="G275" s="73"/>
      <c r="H275" s="73"/>
      <c r="I275" s="63" t="str">
        <f aca="false">IF(A275&lt;&gt;0,(B275-(B274-D274))/(A275-A274),"")</f>
        <v/>
      </c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customFormat="false" ht="14.25" hidden="false" customHeight="false" outlineLevel="0" collapsed="false">
      <c r="A276" s="59"/>
      <c r="B276" s="60"/>
      <c r="C276" s="59"/>
      <c r="D276" s="60"/>
      <c r="E276" s="73"/>
      <c r="F276" s="73"/>
      <c r="G276" s="73"/>
      <c r="H276" s="73"/>
      <c r="I276" s="63" t="str">
        <f aca="false">IF(A276&lt;&gt;0,(B276-(B275-D275))/(A276-A275),"")</f>
        <v/>
      </c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customFormat="false" ht="14.25" hidden="false" customHeight="false" outlineLevel="0" collapsed="false">
      <c r="A277" s="70"/>
      <c r="B277" s="70"/>
      <c r="C277" s="70"/>
      <c r="D277" s="70"/>
      <c r="E277" s="73"/>
      <c r="F277" s="73"/>
      <c r="G277" s="73"/>
      <c r="H277" s="73"/>
      <c r="I277" s="63" t="str">
        <f aca="false">IF(A277&lt;&gt;0,(B277-(B276-D276))/(A277-A276),"")</f>
        <v/>
      </c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customFormat="false" ht="14.25" hidden="false" customHeight="false" outlineLevel="0" collapsed="false">
      <c r="A278" s="70"/>
      <c r="B278" s="70"/>
      <c r="C278" s="70"/>
      <c r="D278" s="70"/>
      <c r="E278" s="73"/>
      <c r="F278" s="73"/>
      <c r="G278" s="73"/>
      <c r="H278" s="73"/>
      <c r="I278" s="63" t="str">
        <f aca="false">IF(A278&lt;&gt;0,(B278-(B277-D277))/(A278-A277),"")</f>
        <v/>
      </c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customFormat="false" ht="14.25" hidden="false" customHeight="false" outlineLevel="0" collapsed="false">
      <c r="A279" s="70"/>
      <c r="B279" s="70"/>
      <c r="C279" s="70"/>
      <c r="D279" s="70"/>
      <c r="E279" s="73"/>
      <c r="F279" s="73"/>
      <c r="G279" s="73"/>
      <c r="H279" s="73"/>
      <c r="I279" s="63" t="str">
        <f aca="false">IF(A279&lt;&gt;0,(B279-(B278-D278))/(A279-A278),"")</f>
        <v/>
      </c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customFormat="false" ht="14.25" hidden="false" customHeight="false" outlineLevel="0" collapsed="false">
      <c r="A280" s="70"/>
      <c r="B280" s="70"/>
      <c r="C280" s="70"/>
      <c r="D280" s="70"/>
      <c r="E280" s="73"/>
      <c r="F280" s="73"/>
      <c r="G280" s="73"/>
      <c r="H280" s="73"/>
      <c r="I280" s="63" t="str">
        <f aca="false">IF(A280&lt;&gt;0,(B280-(B279-D279))/(A280-A279),"")</f>
        <v/>
      </c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customFormat="false" ht="14.25" hidden="false" customHeight="false" outlineLevel="0" collapsed="false">
      <c r="A281" s="70"/>
      <c r="B281" s="70"/>
      <c r="C281" s="70"/>
      <c r="D281" s="70"/>
      <c r="E281" s="73"/>
      <c r="F281" s="73"/>
      <c r="G281" s="73"/>
      <c r="H281" s="73"/>
      <c r="I281" s="63" t="str">
        <f aca="false">IF(A281&lt;&gt;0,(B281-(B280-D280))/(A281-A280),"")</f>
        <v/>
      </c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customFormat="false" ht="14.25" hidden="false" customHeight="false" outlineLevel="0" collapsed="false">
      <c r="A282" s="70"/>
      <c r="B282" s="70"/>
      <c r="C282" s="70"/>
      <c r="D282" s="70"/>
      <c r="E282" s="74"/>
      <c r="F282" s="74"/>
      <c r="G282" s="74"/>
      <c r="H282" s="74"/>
      <c r="I282" s="63" t="str">
        <f aca="false">IF(A282&lt;&gt;0,(B282-(B281-D281))/(A282-A281),"")</f>
        <v/>
      </c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customFormat="false" ht="14.25" hidden="false" customHeight="false" outlineLevel="0" collapsed="false">
      <c r="A283" s="75"/>
      <c r="B283" s="60"/>
      <c r="C283" s="75"/>
      <c r="D283" s="60"/>
      <c r="E283" s="68"/>
      <c r="F283" s="68"/>
      <c r="G283" s="68"/>
      <c r="H283" s="68"/>
      <c r="I283" s="63" t="str">
        <f aca="false">IF(A283&lt;&gt;0,(B283-(B282-D282))/(A283-A282),"")</f>
        <v/>
      </c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customFormat="false" ht="14.25" hidden="false" customHeight="false" outlineLevel="0" collapsed="false">
      <c r="A284" s="59"/>
      <c r="B284" s="59"/>
      <c r="C284" s="59"/>
      <c r="D284" s="59"/>
      <c r="E284" s="61"/>
      <c r="F284" s="61"/>
      <c r="G284" s="61"/>
      <c r="H284" s="61"/>
      <c r="I284" s="63" t="str">
        <f aca="false">IF(A284&lt;&gt;0,(B284-(B283-D283))/(A284-A283),"")</f>
        <v/>
      </c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customFormat="false" ht="14.25" hidden="false" customHeight="false" outlineLevel="0" collapsed="false">
      <c r="A285" s="59"/>
      <c r="B285" s="59"/>
      <c r="C285" s="59"/>
      <c r="D285" s="59"/>
      <c r="E285" s="61"/>
      <c r="F285" s="61"/>
      <c r="G285" s="61"/>
      <c r="H285" s="61"/>
      <c r="I285" s="63" t="str">
        <f aca="false">IF(A285&lt;&gt;0,(B285-(B284-D284))/(A285-A284),"")</f>
        <v/>
      </c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customFormat="false" ht="14.25" hidden="false" customHeight="false" outlineLevel="0" collapsed="false">
      <c r="A286" s="59"/>
      <c r="B286" s="59"/>
      <c r="C286" s="59"/>
      <c r="D286" s="59"/>
      <c r="E286" s="61"/>
      <c r="F286" s="61"/>
      <c r="G286" s="61"/>
      <c r="H286" s="61"/>
      <c r="I286" s="63" t="str">
        <f aca="false">IF(A286&lt;&gt;0,(B286-(B285-D285))/(A286-A285),"")</f>
        <v/>
      </c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customFormat="false" ht="14.25" hidden="false" customHeight="false" outlineLevel="0" collapsed="false">
      <c r="A287" s="59"/>
      <c r="B287" s="59"/>
      <c r="C287" s="59"/>
      <c r="D287" s="59"/>
      <c r="E287" s="61"/>
      <c r="F287" s="61"/>
      <c r="G287" s="61"/>
      <c r="H287" s="61"/>
      <c r="I287" s="63" t="str">
        <f aca="false">IF(A287&lt;&gt;0,(B287-(B286-D286))/(A287-A286),"")</f>
        <v/>
      </c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customFormat="false" ht="14.25" hidden="false" customHeight="false" outlineLevel="0" collapsed="false">
      <c r="A288" s="59"/>
      <c r="B288" s="59"/>
      <c r="C288" s="59"/>
      <c r="D288" s="59"/>
      <c r="E288" s="61"/>
      <c r="F288" s="61"/>
      <c r="G288" s="61"/>
      <c r="H288" s="61"/>
      <c r="I288" s="63" t="str">
        <f aca="false">IF(A288&lt;&gt;0,(B288-(B287-D287))/(A288-A287),"")</f>
        <v/>
      </c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customFormat="false" ht="14.25" hidden="false" customHeight="false" outlineLevel="0" collapsed="false">
      <c r="A289" s="59"/>
      <c r="B289" s="59"/>
      <c r="C289" s="59"/>
      <c r="D289" s="59"/>
      <c r="E289" s="61"/>
      <c r="F289" s="61"/>
      <c r="G289" s="61"/>
      <c r="H289" s="61"/>
      <c r="I289" s="63" t="str">
        <f aca="false">IF(A289&lt;&gt;0,(B289-(B288-D288))/(A289-A288),"")</f>
        <v/>
      </c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customFormat="false" ht="14.25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customFormat="false" ht="14.25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customFormat="false" ht="14.25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customFormat="false" ht="14.25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customFormat="false" ht="14.25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customFormat="false" ht="14.25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customFormat="false" ht="14.25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customFormat="false" ht="14.25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customFormat="false" ht="14.25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customFormat="false" ht="14.25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customFormat="false" ht="14.25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customFormat="false" ht="14.25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customFormat="false" ht="14.25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customFormat="false" ht="14.25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customFormat="false" ht="14.25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customFormat="false" ht="14.25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customFormat="false" ht="14.25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customFormat="false" ht="14.25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customFormat="false" ht="14.25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customFormat="false" ht="14.25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customFormat="false" ht="14.25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customFormat="false" ht="14.25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customFormat="false" ht="14.25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customFormat="false" ht="14.25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customFormat="false" ht="14.25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customFormat="false" ht="14.25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customFormat="false" ht="14.25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customFormat="false" ht="14.25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customFormat="false" ht="14.25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customFormat="false" ht="14.25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customFormat="false" ht="14.25" hidden="false" customHeight="false" outlineLevel="0" collapsed="false">
      <c r="I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customFormat="false" ht="14.25" hidden="false" customHeight="false" outlineLevel="0" collapsed="false">
      <c r="I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customFormat="false" ht="14.25" hidden="false" customHeight="false" outlineLevel="0" collapsed="false">
      <c r="I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customFormat="false" ht="14.25" hidden="false" customHeight="false" outlineLevel="0" collapsed="false">
      <c r="I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customFormat="false" ht="14.25" hidden="false" customHeight="false" outlineLevel="0" collapsed="false">
      <c r="I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customFormat="false" ht="14.25" hidden="false" customHeight="false" outlineLevel="0" collapsed="false"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customFormat="false" ht="14.25" hidden="false" customHeight="false" outlineLevel="0" collapsed="false"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customFormat="false" ht="14.25" hidden="false" customHeight="false" outlineLevel="0" collapsed="false"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customFormat="false" ht="14.25" hidden="false" customHeight="false" outlineLevel="0" collapsed="false"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customFormat="false" ht="14.25" hidden="false" customHeight="false" outlineLevel="0" collapsed="false"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customFormat="false" ht="14.25" hidden="false" customHeight="false" outlineLevel="0" collapsed="false"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customFormat="false" ht="14.25" hidden="false" customHeight="false" outlineLevel="0" collapsed="false"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customFormat="false" ht="14.25" hidden="false" customHeight="false" outlineLevel="0" collapsed="false"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customFormat="false" ht="14.25" hidden="false" customHeight="false" outlineLevel="0" collapsed="false"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customFormat="false" ht="14.25" hidden="false" customHeight="false" outlineLevel="0" collapsed="false"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customFormat="false" ht="14.25" hidden="false" customHeight="false" outlineLevel="0" collapsed="false"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customFormat="false" ht="14.25" hidden="false" customHeight="false" outlineLevel="0" collapsed="false"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customFormat="false" ht="14.25" hidden="false" customHeight="false" outlineLevel="0" collapsed="false"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customFormat="false" ht="14.25" hidden="false" customHeight="false" outlineLevel="0" collapsed="false"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customFormat="false" ht="14.25" hidden="false" customHeight="false" outlineLevel="0" collapsed="false"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customFormat="false" ht="14.25" hidden="false" customHeight="false" outlineLevel="0" collapsed="false"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customFormat="false" ht="14.25" hidden="false" customHeight="false" outlineLevel="0" collapsed="false"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customFormat="false" ht="14.25" hidden="false" customHeight="false" outlineLevel="0" collapsed="false"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customFormat="false" ht="14.25" hidden="false" customHeight="false" outlineLevel="0" collapsed="false"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customFormat="false" ht="14.25" hidden="false" customHeight="false" outlineLevel="0" collapsed="false"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customFormat="false" ht="14.25" hidden="false" customHeight="false" outlineLevel="0" collapsed="false"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customFormat="false" ht="14.25" hidden="false" customHeight="false" outlineLevel="0" collapsed="false"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customFormat="false" ht="14.25" hidden="false" customHeight="false" outlineLevel="0" collapsed="false"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customFormat="false" ht="14.25" hidden="false" customHeight="false" outlineLevel="0" collapsed="false"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customFormat="false" ht="14.25" hidden="false" customHeight="false" outlineLevel="0" collapsed="false"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customFormat="false" ht="14.25" hidden="false" customHeight="false" outlineLevel="0" collapsed="false"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customFormat="false" ht="14.25" hidden="false" customHeight="false" outlineLevel="0" collapsed="false"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customFormat="false" ht="14.25" hidden="false" customHeight="false" outlineLevel="0" collapsed="false"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customFormat="false" ht="14.25" hidden="false" customHeight="false" outlineLevel="0" collapsed="false"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customFormat="false" ht="14.25" hidden="false" customHeight="false" outlineLevel="0" collapsed="false"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customFormat="false" ht="14.25" hidden="false" customHeight="false" outlineLevel="0" collapsed="false"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customFormat="false" ht="14.25" hidden="false" customHeight="false" outlineLevel="0" collapsed="false"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customFormat="false" ht="14.25" hidden="false" customHeight="false" outlineLevel="0" collapsed="false"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customFormat="false" ht="14.25" hidden="false" customHeight="false" outlineLevel="0" collapsed="false"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customFormat="false" ht="14.25" hidden="false" customHeight="false" outlineLevel="0" collapsed="false"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customFormat="false" ht="14.25" hidden="false" customHeight="false" outlineLevel="0" collapsed="false"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customFormat="false" ht="14.25" hidden="false" customHeight="false" outlineLevel="0" collapsed="false"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customFormat="false" ht="14.25" hidden="false" customHeight="false" outlineLevel="0" collapsed="false"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customFormat="false" ht="14.25" hidden="false" customHeight="false" outlineLevel="0" collapsed="false"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customFormat="false" ht="14.25" hidden="false" customHeight="false" outlineLevel="0" collapsed="false"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customFormat="false" ht="14.25" hidden="false" customHeight="false" outlineLevel="0" collapsed="false"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customFormat="false" ht="14.25" hidden="false" customHeight="false" outlineLevel="0" collapsed="false"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customFormat="false" ht="14.25" hidden="false" customHeight="false" outlineLevel="0" collapsed="false"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customFormat="false" ht="14.25" hidden="false" customHeight="false" outlineLevel="0" collapsed="false"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customFormat="false" ht="14.25" hidden="false" customHeight="false" outlineLevel="0" collapsed="false"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customFormat="false" ht="14.25" hidden="false" customHeight="false" outlineLevel="0" collapsed="false"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customFormat="false" ht="14.25" hidden="false" customHeight="false" outlineLevel="0" collapsed="false"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customFormat="false" ht="14.25" hidden="false" customHeight="false" outlineLevel="0" collapsed="false"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customFormat="false" ht="14.25" hidden="false" customHeight="false" outlineLevel="0" collapsed="false"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customFormat="false" ht="14.25" hidden="false" customHeight="false" outlineLevel="0" collapsed="false"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customFormat="false" ht="14.25" hidden="false" customHeight="false" outlineLevel="0" collapsed="false"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customFormat="false" ht="14.25" hidden="false" customHeight="false" outlineLevel="0" collapsed="false"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customFormat="false" ht="14.25" hidden="false" customHeight="false" outlineLevel="0" collapsed="false"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customFormat="false" ht="14.25" hidden="false" customHeight="false" outlineLevel="0" collapsed="false"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customFormat="false" ht="14.25" hidden="false" customHeight="false" outlineLevel="0" collapsed="false"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customFormat="false" ht="14.25" hidden="false" customHeight="false" outlineLevel="0" collapsed="false"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customFormat="false" ht="14.25" hidden="false" customHeight="false" outlineLevel="0" collapsed="false"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customFormat="false" ht="14.25" hidden="false" customHeight="false" outlineLevel="0" collapsed="false"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customFormat="false" ht="14.25" hidden="false" customHeight="false" outlineLevel="0" collapsed="false"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customFormat="false" ht="14.25" hidden="false" customHeight="false" outlineLevel="0" collapsed="false"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customFormat="false" ht="14.25" hidden="false" customHeight="false" outlineLevel="0" collapsed="false"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customFormat="false" ht="14.25" hidden="false" customHeight="false" outlineLevel="0" collapsed="false"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customFormat="false" ht="14.25" hidden="false" customHeight="false" outlineLevel="0" collapsed="false"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customFormat="false" ht="14.25" hidden="false" customHeight="false" outlineLevel="0" collapsed="false"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customFormat="false" ht="14.25" hidden="false" customHeight="false" outlineLevel="0" collapsed="false"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customFormat="false" ht="14.25" hidden="false" customHeight="false" outlineLevel="0" collapsed="false"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customFormat="false" ht="14.25" hidden="false" customHeight="false" outlineLevel="0" collapsed="false"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customFormat="false" ht="14.25" hidden="false" customHeight="false" outlineLevel="0" collapsed="false"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customFormat="false" ht="14.25" hidden="false" customHeight="false" outlineLevel="0" collapsed="false"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customFormat="false" ht="14.25" hidden="false" customHeight="false" outlineLevel="0" collapsed="false"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customFormat="false" ht="14.25" hidden="false" customHeight="false" outlineLevel="0" collapsed="false"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customFormat="false" ht="14.25" hidden="false" customHeight="false" outlineLevel="0" collapsed="false"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customFormat="false" ht="14.25" hidden="false" customHeight="false" outlineLevel="0" collapsed="false"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customFormat="false" ht="14.25" hidden="false" customHeight="false" outlineLevel="0" collapsed="false"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customFormat="false" ht="14.25" hidden="false" customHeight="false" outlineLevel="0" collapsed="false"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customFormat="false" ht="14.25" hidden="false" customHeight="false" outlineLevel="0" collapsed="false"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customFormat="false" ht="14.25" hidden="false" customHeight="false" outlineLevel="0" collapsed="false"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customFormat="false" ht="14.25" hidden="false" customHeight="false" outlineLevel="0" collapsed="false"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customFormat="false" ht="14.25" hidden="false" customHeight="false" outlineLevel="0" collapsed="false"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customFormat="false" ht="14.25" hidden="false" customHeight="false" outlineLevel="0" collapsed="false"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customFormat="false" ht="14.25" hidden="false" customHeight="false" outlineLevel="0" collapsed="false"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customFormat="false" ht="14.25" hidden="false" customHeight="false" outlineLevel="0" collapsed="false"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customFormat="false" ht="14.25" hidden="false" customHeight="false" outlineLevel="0" collapsed="false"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customFormat="false" ht="14.25" hidden="false" customHeight="false" outlineLevel="0" collapsed="false"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customFormat="false" ht="14.25" hidden="false" customHeight="false" outlineLevel="0" collapsed="false"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customFormat="false" ht="14.25" hidden="false" customHeight="false" outlineLevel="0" collapsed="false"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customFormat="false" ht="14.25" hidden="false" customHeight="false" outlineLevel="0" collapsed="false"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customFormat="false" ht="14.25" hidden="false" customHeight="false" outlineLevel="0" collapsed="false"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customFormat="false" ht="14.25" hidden="false" customHeight="false" outlineLevel="0" collapsed="false"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customFormat="false" ht="14.25" hidden="false" customHeight="false" outlineLevel="0" collapsed="false"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customFormat="false" ht="14.25" hidden="false" customHeight="false" outlineLevel="0" collapsed="false"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customFormat="false" ht="14.25" hidden="false" customHeight="false" outlineLevel="0" collapsed="false"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customFormat="false" ht="14.25" hidden="false" customHeight="false" outlineLevel="0" collapsed="false"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customFormat="false" ht="14.25" hidden="false" customHeight="false" outlineLevel="0" collapsed="false"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customFormat="false" ht="14.25" hidden="false" customHeight="false" outlineLevel="0" collapsed="false"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customFormat="false" ht="14.25" hidden="false" customHeight="false" outlineLevel="0" collapsed="false"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customFormat="false" ht="14.25" hidden="false" customHeight="false" outlineLevel="0" collapsed="false"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customFormat="false" ht="14.25" hidden="false" customHeight="false" outlineLevel="0" collapsed="false"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customFormat="false" ht="14.25" hidden="false" customHeight="false" outlineLevel="0" collapsed="false"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customFormat="false" ht="14.25" hidden="false" customHeight="false" outlineLevel="0" collapsed="false"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customFormat="false" ht="14.25" hidden="false" customHeight="false" outlineLevel="0" collapsed="false"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customFormat="false" ht="14.25" hidden="false" customHeight="false" outlineLevel="0" collapsed="false"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customFormat="false" ht="14.25" hidden="false" customHeight="false" outlineLevel="0" collapsed="false"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</sheetData>
  <sheetProtection algorithmName="SHA-512" hashValue="N4Um8kPFFRDoxMddpQ/vXNpGAQECiyQW5BIJV1xR0qwzZe8z8yI3qyhVJcnKNUtivnL90awXhpmgoqfyg7q+Dw==" saltValue="0Knu7AbAxT0JFMaZycyYgg==" spinCount="100000" sheet="true" objects="true" scenarios="true"/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C112:D112"/>
    <mergeCell ref="E112:H112"/>
    <mergeCell ref="C138:D138"/>
    <mergeCell ref="E138:H138"/>
    <mergeCell ref="C164:D164"/>
    <mergeCell ref="E164:H164"/>
    <mergeCell ref="C190:D190"/>
    <mergeCell ref="E190:H190"/>
    <mergeCell ref="C216:D216"/>
    <mergeCell ref="E216:H216"/>
    <mergeCell ref="C242:D242"/>
    <mergeCell ref="E242:H242"/>
    <mergeCell ref="C268:D268"/>
    <mergeCell ref="E268:H268"/>
  </mergeCells>
  <dataValidations count="4">
    <dataValidation allowBlank="true" errorStyle="stop" operator="between" showDropDown="false" showErrorMessage="true" showInputMessage="true" sqref="C24" type="list">
      <formula1>VAN</formula1>
      <formula2>0</formula2>
    </dataValidation>
    <dataValidation allowBlank="true" errorStyle="stop" operator="between" showDropDown="false" showErrorMessage="true" showInputMessage="true" sqref="C26" type="list">
      <formula1>Incendie</formula1>
      <formula2>0</formula2>
    </dataValidation>
    <dataValidation allowBlank="true" errorStyle="stop" operator="between" showDropDown="false" showErrorMessage="true" showInputMessage="true" sqref="C27" type="list">
      <formula1>Fertilité</formula1>
      <formula2>0</formula2>
    </dataValidation>
    <dataValidation allowBlank="true" errorStyle="stop" operator="between" showDropDown="false" showErrorMessage="true" showInputMessage="true" sqref="B9:B18" type="list">
      <formula1>Paramètres!$A$2:$A$87</formula1>
      <formula2>0</formula2>
    </dataValidation>
  </dataValidations>
  <hyperlinks>
    <hyperlink ref="A9" location="'Données projet'!A44" display="Essence 1"/>
    <hyperlink ref="A10" location="'Données projet'!A70" display="Essence 2"/>
    <hyperlink ref="A11" location="'Données projet'!A96" display="Essence 3"/>
    <hyperlink ref="A12" location="'Données projet'!A122" display="Essence 4"/>
    <hyperlink ref="A13" location="'Données projet'!A148" display="Essence 5"/>
    <hyperlink ref="A14" location="'Données projet'!A174" display="Essence 6"/>
    <hyperlink ref="A15" location="'Données projet'!A202" display="Essence 7"/>
    <hyperlink ref="A16" location="'Données projet'!A228" display="Essence 8"/>
    <hyperlink ref="A17" location="'Données projet'!A254" display="Essence 9"/>
    <hyperlink ref="A18" location="'Données projet'!A280" display="Essence 10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L16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9" activeCellId="0" sqref="G19"/>
    </sheetView>
  </sheetViews>
  <sheetFormatPr defaultColWidth="11.4609375" defaultRowHeight="14.25" zeroHeight="false" outlineLevelRow="0" outlineLevelCol="0"/>
  <cols>
    <col collapsed="false" customWidth="true" hidden="false" outlineLevel="0" max="1" min="1" style="76" width="5.89"/>
    <col collapsed="false" customWidth="true" hidden="false" outlineLevel="0" max="2" min="2" style="76" width="14.11"/>
    <col collapsed="false" customWidth="true" hidden="false" outlineLevel="0" max="3" min="3" style="76" width="62.11"/>
    <col collapsed="false" customWidth="true" hidden="false" outlineLevel="0" max="5" min="4" style="76" width="4.33"/>
    <col collapsed="false" customWidth="true" hidden="false" outlineLevel="0" max="6" min="6" style="76" width="14.34"/>
    <col collapsed="false" customWidth="true" hidden="false" outlineLevel="0" max="7" min="7" style="76" width="73.33"/>
    <col collapsed="false" customWidth="false" hidden="false" outlineLevel="0" max="10" min="8" style="76" width="11.45"/>
    <col collapsed="false" customWidth="true" hidden="false" outlineLevel="0" max="11" min="11" style="76" width="12.56"/>
    <col collapsed="false" customWidth="false" hidden="false" outlineLevel="0" max="1024" min="12" style="76" width="11.45"/>
  </cols>
  <sheetData>
    <row r="1" customFormat="false" ht="1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77"/>
      <c r="K1" s="77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customFormat="false" ht="26.25" hidden="false" customHeight="false" outlineLevel="0" collapsed="false">
      <c r="A2" s="3"/>
      <c r="B2" s="78" t="s">
        <v>59</v>
      </c>
      <c r="C2" s="78"/>
      <c r="D2" s="78"/>
      <c r="E2" s="78"/>
      <c r="F2" s="78"/>
      <c r="G2" s="78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customFormat="false" ht="14.25" hidden="false" customHeight="false" outlineLevel="0" collapsed="false">
      <c r="A3" s="3"/>
      <c r="B3" s="3"/>
      <c r="C3" s="3"/>
      <c r="D3" s="3"/>
      <c r="E3" s="3"/>
      <c r="F3" s="3"/>
      <c r="G3" s="3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customFormat="false" ht="14.25" hidden="false" customHeight="false" outlineLevel="0" collapsed="false">
      <c r="A4" s="3"/>
      <c r="B4" s="79"/>
      <c r="C4" s="79"/>
      <c r="D4" s="79"/>
      <c r="E4" s="79"/>
      <c r="F4" s="79"/>
      <c r="G4" s="79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customFormat="false" ht="14.25" hidden="false" customHeight="false" outlineLevel="0" collapsed="false">
      <c r="A5" s="3"/>
      <c r="B5" s="80" t="s">
        <v>60</v>
      </c>
      <c r="C5" s="80"/>
      <c r="D5" s="3"/>
      <c r="E5" s="3"/>
      <c r="F5" s="3"/>
      <c r="G5" s="3"/>
      <c r="H5" s="2"/>
      <c r="I5" s="2"/>
      <c r="J5" s="2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customFormat="false" ht="14.25" hidden="false" customHeight="false" outlineLevel="0" collapsed="false">
      <c r="A6" s="2"/>
      <c r="B6" s="81"/>
      <c r="C6" s="81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="87" customFormat="true" ht="19.5" hidden="false" customHeight="true" outlineLevel="0" collapsed="false">
      <c r="A7" s="82"/>
      <c r="B7" s="15" t="s">
        <v>61</v>
      </c>
      <c r="C7" s="83" t="s">
        <v>62</v>
      </c>
      <c r="D7" s="84"/>
      <c r="E7" s="85"/>
      <c r="F7" s="15" t="s">
        <v>61</v>
      </c>
      <c r="G7" s="83" t="s">
        <v>63</v>
      </c>
      <c r="H7" s="86"/>
      <c r="I7" s="86"/>
      <c r="J7" s="86"/>
      <c r="K7" s="86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</row>
    <row r="8" customFormat="false" ht="17.25" hidden="false" customHeight="true" outlineLevel="0" collapsed="false">
      <c r="A8" s="88" t="n">
        <v>1</v>
      </c>
      <c r="B8" s="89" t="n">
        <v>1</v>
      </c>
      <c r="C8" s="62" t="s">
        <v>64</v>
      </c>
      <c r="D8" s="2"/>
      <c r="E8" s="88" t="n">
        <v>4</v>
      </c>
      <c r="F8" s="89" t="n">
        <v>0</v>
      </c>
      <c r="G8" s="90" t="s">
        <v>65</v>
      </c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customFormat="false" ht="17.25" hidden="false" customHeight="true" outlineLevel="0" collapsed="false">
      <c r="A9" s="88" t="n">
        <v>2</v>
      </c>
      <c r="B9" s="89" t="n">
        <v>0</v>
      </c>
      <c r="C9" s="91" t="s">
        <v>66</v>
      </c>
      <c r="D9" s="2"/>
      <c r="E9" s="88" t="n">
        <v>5</v>
      </c>
      <c r="F9" s="89" t="n">
        <v>0</v>
      </c>
      <c r="G9" s="92" t="s">
        <v>67</v>
      </c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customFormat="false" ht="17.25" hidden="false" customHeight="true" outlineLevel="0" collapsed="false">
      <c r="A10" s="88" t="n">
        <v>3</v>
      </c>
      <c r="B10" s="89" t="n">
        <v>0</v>
      </c>
      <c r="C10" s="93" t="s">
        <v>68</v>
      </c>
      <c r="D10" s="2"/>
      <c r="E10" s="3"/>
      <c r="F10" s="94" t="n">
        <f aca="false">SUM(F7:F9)</f>
        <v>0</v>
      </c>
      <c r="G10" s="95" t="str">
        <f aca="false">IF(OR(SUM(F8:F9)=0%,SUM(F8:F9)=100%),"OK","ERREUR : corrigez")</f>
        <v>OK</v>
      </c>
      <c r="H10" s="2"/>
      <c r="I10" s="2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customFormat="false" ht="14.25" hidden="false" customHeight="false" outlineLevel="0" collapsed="false">
      <c r="A11" s="2"/>
      <c r="B11" s="94" t="n">
        <v>0</v>
      </c>
      <c r="C11" s="95" t="str">
        <f aca="false">IF(OR(SUM(B8:B10)=100%,SUM(B8:B10)=0%),"OK","ERREUR : corrigez")</f>
        <v>OK</v>
      </c>
      <c r="D11" s="2"/>
      <c r="E11" s="3"/>
      <c r="F11" s="2"/>
      <c r="G11" s="2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customFormat="false" ht="14.25" hidden="false" customHeight="false" outlineLevel="0" collapsed="false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="87" customFormat="true" ht="21" hidden="false" customHeight="true" outlineLevel="0" collapsed="false">
      <c r="A13" s="86"/>
      <c r="B13" s="96"/>
      <c r="C13" s="80" t="s">
        <v>69</v>
      </c>
      <c r="D13" s="86"/>
      <c r="E13" s="82"/>
      <c r="F13" s="96"/>
      <c r="G13" s="80" t="s">
        <v>70</v>
      </c>
      <c r="H13" s="86"/>
      <c r="I13" s="86"/>
      <c r="J13" s="86"/>
      <c r="K13" s="86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</row>
    <row r="14" s="87" customFormat="true" ht="21" hidden="false" customHeight="true" outlineLevel="0" collapsed="false">
      <c r="A14" s="86"/>
      <c r="B14" s="96"/>
      <c r="C14" s="80" t="s">
        <v>71</v>
      </c>
      <c r="D14" s="86"/>
      <c r="E14" s="82"/>
      <c r="F14" s="96"/>
      <c r="G14" s="80" t="s">
        <v>72</v>
      </c>
      <c r="H14" s="86"/>
      <c r="I14" s="86"/>
      <c r="J14" s="86"/>
      <c r="K14" s="86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</row>
    <row r="15" customFormat="false" ht="14.25" hidden="false" customHeight="false" outlineLevel="0" collapsed="false">
      <c r="A15" s="2"/>
      <c r="B15" s="15" t="s">
        <v>61</v>
      </c>
      <c r="C15" s="3"/>
      <c r="D15" s="2"/>
      <c r="E15" s="3"/>
      <c r="F15" s="3"/>
      <c r="G15" s="97" t="s">
        <v>73</v>
      </c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customFormat="false" ht="14.25" hidden="false" customHeight="false" outlineLevel="0" collapsed="false">
      <c r="A16" s="2"/>
      <c r="B16" s="89" t="n">
        <v>0</v>
      </c>
      <c r="C16" s="98" t="s">
        <v>74</v>
      </c>
      <c r="D16" s="2"/>
      <c r="E16" s="3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7" customFormat="false" ht="14.25" hidden="false" customHeight="false" outlineLevel="0" collapsed="false">
      <c r="A17" s="2"/>
      <c r="B17" s="89" t="n">
        <v>1</v>
      </c>
      <c r="C17" s="98" t="s">
        <v>75</v>
      </c>
      <c r="D17" s="2"/>
      <c r="E17" s="3"/>
      <c r="F17" s="2"/>
      <c r="G17" s="2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</row>
    <row r="18" customFormat="false" ht="14.25" hidden="false" customHeight="false" outlineLevel="0" collapsed="false">
      <c r="A18" s="2"/>
      <c r="B18" s="89" t="n">
        <v>0</v>
      </c>
      <c r="C18" s="98" t="s">
        <v>76</v>
      </c>
      <c r="D18" s="2"/>
      <c r="E18" s="3"/>
      <c r="F18" s="2"/>
      <c r="G18" s="2"/>
      <c r="H18" s="2"/>
      <c r="I18" s="2"/>
      <c r="J18" s="2"/>
      <c r="K18" s="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customFormat="false" ht="14.25" hidden="false" customHeight="false" outlineLevel="0" collapsed="false">
      <c r="A19" s="2"/>
      <c r="B19" s="94" t="n">
        <f aca="false">SUM(B16:B18)</f>
        <v>1</v>
      </c>
      <c r="C19" s="95" t="str">
        <f aca="false">IF(SUM(B16:B18)=B8,"OK","ERREUR : corrigez ; le total n'est pas égal à celui de la cellule B8")</f>
        <v>OK</v>
      </c>
      <c r="D19" s="2"/>
      <c r="E19" s="3"/>
      <c r="F19" s="2"/>
      <c r="G19" s="2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customFormat="false" ht="14.25" hidden="false" customHeight="false" outlineLevel="0" collapsed="false">
      <c r="A20" s="2"/>
      <c r="B20" s="2"/>
      <c r="C20" s="2"/>
      <c r="D20" s="2"/>
      <c r="E20" s="3"/>
      <c r="F20" s="2"/>
      <c r="G20" s="2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</row>
    <row r="21" customFormat="false" ht="14.25" hidden="false" customHeight="false" outlineLevel="0" collapsed="false">
      <c r="A21" s="2"/>
      <c r="B21" s="2"/>
      <c r="C21" s="2"/>
      <c r="D21" s="2"/>
      <c r="E21" s="3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</row>
    <row r="22" customFormat="false" ht="14.25" hidden="false" customHeight="false" outlineLevel="0" collapsed="false">
      <c r="A22" s="2"/>
      <c r="B22" s="2"/>
      <c r="C22" s="2"/>
      <c r="D22" s="2"/>
      <c r="E22" s="3"/>
      <c r="F22" s="2"/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customFormat="false" ht="14.25" hidden="false" customHeight="false" outlineLevel="0" collapsed="false">
      <c r="A23" s="3"/>
      <c r="B23" s="2"/>
      <c r="C23" s="2"/>
      <c r="D23" s="2"/>
      <c r="E23" s="3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</row>
    <row r="24" customFormat="false" ht="14.25" hidden="false" customHeight="false" outlineLevel="0" collapsed="false">
      <c r="A24" s="3"/>
      <c r="B24" s="2"/>
      <c r="C24" s="2"/>
      <c r="D24" s="2"/>
      <c r="E24" s="3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customFormat="false" ht="14.25" hidden="false" customHeight="false" outlineLevel="0" collapsed="false">
      <c r="A25" s="3"/>
      <c r="B25" s="2"/>
      <c r="C25" s="2"/>
      <c r="D25" s="2"/>
      <c r="E25" s="3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</row>
    <row r="26" customFormat="false" ht="14.25" hidden="false" customHeight="false" outlineLevel="0" collapsed="false">
      <c r="A26" s="3"/>
      <c r="B26" s="3"/>
      <c r="C26" s="3"/>
      <c r="D26" s="2"/>
      <c r="E26" s="3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customFormat="false" ht="14.25" hidden="false" customHeight="false" outlineLevel="0" collapsed="false">
      <c r="A27" s="3"/>
      <c r="B27" s="3"/>
      <c r="C27" s="3"/>
      <c r="D27" s="2"/>
      <c r="E27" s="3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customFormat="false" ht="14.25" hidden="false" customHeight="false" outlineLevel="0" collapsed="false">
      <c r="A28" s="3"/>
      <c r="B28" s="3"/>
      <c r="C28" s="3"/>
      <c r="D28" s="3"/>
      <c r="E28" s="3"/>
      <c r="F28" s="3"/>
      <c r="G28" s="3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</row>
    <row r="29" customFormat="false" ht="14.2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0" customFormat="false" ht="14.25" hidden="false" customHeight="fals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</row>
    <row r="31" customFormat="false" ht="14.2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</row>
    <row r="32" customFormat="false" ht="14.2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customFormat="false" ht="14.2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</row>
    <row r="34" customFormat="false" ht="14.25" hidden="false" customHeight="fals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</row>
    <row r="35" customFormat="false" ht="14.25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</row>
    <row r="36" customFormat="false" ht="14.2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</row>
    <row r="37" customFormat="false" ht="14.2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</row>
    <row r="38" customFormat="false" ht="14.2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</row>
    <row r="39" customFormat="false" ht="14.25" hidden="false" customHeight="fals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</row>
    <row r="40" customFormat="false" ht="14.2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</row>
    <row r="41" customFormat="false" ht="14.2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customFormat="false" ht="14.2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</row>
    <row r="43" customFormat="false" ht="14.2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</row>
    <row r="44" customFormat="false" ht="14.2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</row>
    <row r="45" customFormat="false" ht="14.2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</row>
    <row r="46" customFormat="false" ht="14.2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</row>
    <row r="47" customFormat="false" ht="14.25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</row>
    <row r="48" customFormat="false" ht="14.25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</row>
    <row r="49" customFormat="false" ht="14.2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</row>
    <row r="50" customFormat="false" ht="14.2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</row>
    <row r="51" customFormat="false" ht="14.2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</row>
    <row r="52" customFormat="false" ht="14.2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</row>
    <row r="53" customFormat="false" ht="14.2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</row>
    <row r="54" customFormat="false" ht="14.2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</row>
    <row r="55" customFormat="false" ht="14.2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</row>
    <row r="56" customFormat="false" ht="14.2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</row>
    <row r="57" customFormat="false" ht="14.2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</row>
    <row r="58" customFormat="false" ht="14.2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</row>
    <row r="59" customFormat="false" ht="14.2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</row>
    <row r="60" customFormat="false" ht="14.2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</row>
    <row r="61" customFormat="false" ht="14.2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</row>
    <row r="62" customFormat="false" ht="14.2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</row>
    <row r="63" customFormat="false" ht="14.2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</row>
    <row r="64" customFormat="false" ht="14.2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</row>
    <row r="65" customFormat="false" ht="14.2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</row>
    <row r="66" customFormat="false" ht="14.2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</row>
    <row r="67" customFormat="false" ht="14.2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</row>
    <row r="68" customFormat="false" ht="14.2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</row>
    <row r="69" customFormat="false" ht="14.2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customFormat="false" ht="14.2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customFormat="false" ht="14.2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customFormat="false" ht="14.25" hidden="false" customHeight="false" outlineLevel="0" collapsed="false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</row>
    <row r="73" customFormat="false" ht="14.25" hidden="false" customHeight="false" outlineLevel="0" collapsed="false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</row>
    <row r="74" customFormat="false" ht="14.25" hidden="false" customHeight="false" outlineLevel="0" collapsed="false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</row>
    <row r="75" customFormat="false" ht="14.25" hidden="false" customHeight="false" outlineLevel="0" collapsed="false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</row>
    <row r="76" customFormat="false" ht="14.25" hidden="false" customHeight="false" outlineLevel="0" collapsed="false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</row>
    <row r="77" customFormat="false" ht="14.25" hidden="false" customHeight="false" outlineLevel="0" collapsed="false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</row>
    <row r="78" customFormat="false" ht="14.25" hidden="false" customHeight="false" outlineLevel="0" collapsed="false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</row>
    <row r="79" customFormat="false" ht="14.25" hidden="false" customHeight="false" outlineLevel="0" collapsed="false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</row>
    <row r="80" customFormat="false" ht="14.25" hidden="false" customHeight="false" outlineLevel="0" collapsed="false">
      <c r="C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</row>
    <row r="81" customFormat="false" ht="14.25" hidden="false" customHeight="false" outlineLevel="0" collapsed="false">
      <c r="C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</row>
    <row r="82" customFormat="false" ht="14.25" hidden="false" customHeight="false" outlineLevel="0" collapsed="false">
      <c r="C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</row>
    <row r="83" customFormat="false" ht="14.25" hidden="false" customHeight="false" outlineLevel="0" collapsed="false">
      <c r="C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</row>
    <row r="84" customFormat="false" ht="14.25" hidden="false" customHeight="false" outlineLevel="0" collapsed="false">
      <c r="C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</row>
    <row r="85" customFormat="false" ht="14.25" hidden="false" customHeight="false" outlineLevel="0" collapsed="false">
      <c r="C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</row>
    <row r="86" customFormat="false" ht="14.25" hidden="false" customHeight="false" outlineLevel="0" collapsed="false">
      <c r="C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</row>
    <row r="87" customFormat="false" ht="14.25" hidden="false" customHeight="false" outlineLevel="0" collapsed="false">
      <c r="C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</row>
    <row r="88" customFormat="false" ht="14.25" hidden="false" customHeight="false" outlineLevel="0" collapsed="false">
      <c r="C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</row>
    <row r="89" customFormat="false" ht="14.25" hidden="false" customHeight="false" outlineLevel="0" collapsed="false">
      <c r="C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</row>
    <row r="90" customFormat="false" ht="14.25" hidden="false" customHeight="false" outlineLevel="0" collapsed="false">
      <c r="C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</row>
    <row r="91" customFormat="false" ht="14.25" hidden="false" customHeight="false" outlineLevel="0" collapsed="false">
      <c r="C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customFormat="false" ht="14.25" hidden="false" customHeight="false" outlineLevel="0" collapsed="false">
      <c r="C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customFormat="false" ht="14.25" hidden="false" customHeight="false" outlineLevel="0" collapsed="false">
      <c r="C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customFormat="false" ht="14.25" hidden="false" customHeight="false" outlineLevel="0" collapsed="false">
      <c r="C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customFormat="false" ht="14.25" hidden="false" customHeight="false" outlineLevel="0" collapsed="false">
      <c r="C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customFormat="false" ht="14.25" hidden="false" customHeight="false" outlineLevel="0" collapsed="false">
      <c r="C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customFormat="false" ht="14.25" hidden="false" customHeight="false" outlineLevel="0" collapsed="false">
      <c r="C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customFormat="false" ht="14.25" hidden="false" customHeight="false" outlineLevel="0" collapsed="false">
      <c r="C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customFormat="false" ht="14.25" hidden="false" customHeight="false" outlineLevel="0" collapsed="false">
      <c r="C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customFormat="false" ht="14.25" hidden="false" customHeight="false" outlineLevel="0" collapsed="false">
      <c r="C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customFormat="false" ht="14.25" hidden="false" customHeight="false" outlineLevel="0" collapsed="false">
      <c r="C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customFormat="false" ht="14.25" hidden="false" customHeight="false" outlineLevel="0" collapsed="false">
      <c r="C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customFormat="false" ht="14.25" hidden="false" customHeight="false" outlineLevel="0" collapsed="false">
      <c r="C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customFormat="false" ht="14.25" hidden="false" customHeight="false" outlineLevel="0" collapsed="false">
      <c r="C104" s="3"/>
      <c r="F104" s="3"/>
    </row>
    <row r="105" customFormat="false" ht="14.25" hidden="false" customHeight="false" outlineLevel="0" collapsed="false">
      <c r="C105" s="3"/>
      <c r="F105" s="3"/>
    </row>
    <row r="106" customFormat="false" ht="14.25" hidden="false" customHeight="false" outlineLevel="0" collapsed="false">
      <c r="C106" s="3"/>
      <c r="F106" s="3"/>
    </row>
    <row r="107" customFormat="false" ht="14.25" hidden="false" customHeight="false" outlineLevel="0" collapsed="false">
      <c r="C107" s="3"/>
      <c r="F107" s="3"/>
    </row>
    <row r="108" customFormat="false" ht="14.25" hidden="false" customHeight="false" outlineLevel="0" collapsed="false">
      <c r="C108" s="3"/>
      <c r="F108" s="3"/>
    </row>
    <row r="109" customFormat="false" ht="14.25" hidden="false" customHeight="false" outlineLevel="0" collapsed="false">
      <c r="C109" s="3"/>
      <c r="F109" s="3"/>
    </row>
    <row r="110" customFormat="false" ht="14.25" hidden="false" customHeight="false" outlineLevel="0" collapsed="false">
      <c r="C110" s="3"/>
      <c r="F110" s="3"/>
    </row>
    <row r="111" customFormat="false" ht="14.25" hidden="false" customHeight="false" outlineLevel="0" collapsed="false">
      <c r="C111" s="3"/>
      <c r="F111" s="3"/>
    </row>
    <row r="112" customFormat="false" ht="14.25" hidden="false" customHeight="false" outlineLevel="0" collapsed="false">
      <c r="C112" s="3"/>
      <c r="F112" s="3"/>
    </row>
    <row r="113" customFormat="false" ht="14.25" hidden="false" customHeight="false" outlineLevel="0" collapsed="false">
      <c r="C113" s="3"/>
      <c r="F113" s="3"/>
    </row>
    <row r="114" customFormat="false" ht="14.25" hidden="false" customHeight="false" outlineLevel="0" collapsed="false">
      <c r="C114" s="3"/>
      <c r="F114" s="3"/>
    </row>
    <row r="115" customFormat="false" ht="14.25" hidden="false" customHeight="false" outlineLevel="0" collapsed="false">
      <c r="C115" s="3"/>
      <c r="F115" s="3"/>
    </row>
    <row r="116" customFormat="false" ht="14.25" hidden="false" customHeight="false" outlineLevel="0" collapsed="false">
      <c r="C116" s="3"/>
      <c r="F116" s="3"/>
    </row>
    <row r="117" customFormat="false" ht="14.25" hidden="false" customHeight="false" outlineLevel="0" collapsed="false">
      <c r="C117" s="3"/>
      <c r="F117" s="3"/>
    </row>
    <row r="118" customFormat="false" ht="14.25" hidden="false" customHeight="false" outlineLevel="0" collapsed="false">
      <c r="C118" s="3"/>
      <c r="F118" s="3"/>
    </row>
    <row r="119" customFormat="false" ht="14.25" hidden="false" customHeight="false" outlineLevel="0" collapsed="false">
      <c r="C119" s="3"/>
      <c r="F119" s="3"/>
    </row>
    <row r="120" customFormat="false" ht="14.25" hidden="false" customHeight="false" outlineLevel="0" collapsed="false">
      <c r="C120" s="3"/>
      <c r="F120" s="3"/>
    </row>
    <row r="121" customFormat="false" ht="14.25" hidden="false" customHeight="false" outlineLevel="0" collapsed="false">
      <c r="C121" s="3"/>
      <c r="F121" s="3"/>
    </row>
    <row r="122" customFormat="false" ht="14.25" hidden="false" customHeight="false" outlineLevel="0" collapsed="false">
      <c r="C122" s="3"/>
      <c r="F122" s="3"/>
    </row>
    <row r="123" customFormat="false" ht="14.25" hidden="false" customHeight="false" outlineLevel="0" collapsed="false">
      <c r="C123" s="3"/>
      <c r="F123" s="3"/>
    </row>
    <row r="124" customFormat="false" ht="14.25" hidden="false" customHeight="false" outlineLevel="0" collapsed="false">
      <c r="C124" s="3"/>
      <c r="F124" s="3"/>
    </row>
    <row r="125" customFormat="false" ht="14.25" hidden="false" customHeight="false" outlineLevel="0" collapsed="false">
      <c r="C125" s="3"/>
      <c r="F125" s="3"/>
    </row>
    <row r="126" customFormat="false" ht="14.25" hidden="false" customHeight="false" outlineLevel="0" collapsed="false">
      <c r="C126" s="3"/>
      <c r="F126" s="3"/>
    </row>
    <row r="127" customFormat="false" ht="14.25" hidden="false" customHeight="false" outlineLevel="0" collapsed="false">
      <c r="C127" s="3"/>
      <c r="F127" s="3"/>
    </row>
    <row r="128" customFormat="false" ht="14.25" hidden="false" customHeight="false" outlineLevel="0" collapsed="false">
      <c r="C128" s="3"/>
      <c r="F128" s="3"/>
    </row>
    <row r="129" customFormat="false" ht="14.25" hidden="false" customHeight="false" outlineLevel="0" collapsed="false">
      <c r="C129" s="3"/>
      <c r="F129" s="3"/>
    </row>
    <row r="130" customFormat="false" ht="14.25" hidden="false" customHeight="false" outlineLevel="0" collapsed="false">
      <c r="C130" s="3"/>
      <c r="F130" s="3"/>
    </row>
    <row r="131" customFormat="false" ht="14.25" hidden="false" customHeight="false" outlineLevel="0" collapsed="false">
      <c r="C131" s="3"/>
      <c r="F131" s="3"/>
    </row>
    <row r="132" customFormat="false" ht="14.25" hidden="false" customHeight="false" outlineLevel="0" collapsed="false">
      <c r="F132" s="3"/>
    </row>
    <row r="133" customFormat="false" ht="14.25" hidden="false" customHeight="false" outlineLevel="0" collapsed="false">
      <c r="F133" s="3"/>
    </row>
    <row r="134" customFormat="false" ht="14.25" hidden="false" customHeight="false" outlineLevel="0" collapsed="false">
      <c r="F134" s="3"/>
    </row>
    <row r="135" customFormat="false" ht="14.25" hidden="false" customHeight="false" outlineLevel="0" collapsed="false">
      <c r="F135" s="3"/>
    </row>
    <row r="136" customFormat="false" ht="14.25" hidden="false" customHeight="false" outlineLevel="0" collapsed="false">
      <c r="F136" s="3"/>
    </row>
    <row r="137" customFormat="false" ht="14.25" hidden="false" customHeight="false" outlineLevel="0" collapsed="false">
      <c r="F137" s="3"/>
    </row>
    <row r="138" customFormat="false" ht="14.25" hidden="false" customHeight="false" outlineLevel="0" collapsed="false">
      <c r="F138" s="3"/>
    </row>
    <row r="139" customFormat="false" ht="14.25" hidden="false" customHeight="false" outlineLevel="0" collapsed="false">
      <c r="F139" s="3"/>
    </row>
    <row r="140" customFormat="false" ht="14.25" hidden="false" customHeight="false" outlineLevel="0" collapsed="false">
      <c r="F140" s="3"/>
    </row>
    <row r="141" customFormat="false" ht="14.25" hidden="false" customHeight="false" outlineLevel="0" collapsed="false">
      <c r="F141" s="3"/>
    </row>
    <row r="142" customFormat="false" ht="14.25" hidden="false" customHeight="false" outlineLevel="0" collapsed="false">
      <c r="F142" s="3"/>
    </row>
    <row r="143" customFormat="false" ht="14.25" hidden="false" customHeight="false" outlineLevel="0" collapsed="false">
      <c r="F143" s="3"/>
    </row>
    <row r="144" customFormat="false" ht="14.25" hidden="false" customHeight="false" outlineLevel="0" collapsed="false">
      <c r="F144" s="3"/>
    </row>
    <row r="145" customFormat="false" ht="14.25" hidden="false" customHeight="false" outlineLevel="0" collapsed="false">
      <c r="F145" s="3"/>
    </row>
    <row r="146" customFormat="false" ht="14.25" hidden="false" customHeight="false" outlineLevel="0" collapsed="false">
      <c r="F146" s="3"/>
    </row>
    <row r="147" customFormat="false" ht="14.25" hidden="false" customHeight="false" outlineLevel="0" collapsed="false">
      <c r="F147" s="3"/>
    </row>
    <row r="148" customFormat="false" ht="14.25" hidden="false" customHeight="false" outlineLevel="0" collapsed="false">
      <c r="F148" s="3"/>
    </row>
    <row r="149" customFormat="false" ht="14.25" hidden="false" customHeight="false" outlineLevel="0" collapsed="false">
      <c r="F149" s="3"/>
    </row>
    <row r="150" customFormat="false" ht="14.25" hidden="false" customHeight="false" outlineLevel="0" collapsed="false">
      <c r="F150" s="3"/>
    </row>
    <row r="151" customFormat="false" ht="14.25" hidden="false" customHeight="false" outlineLevel="0" collapsed="false">
      <c r="F151" s="3"/>
    </row>
    <row r="152" customFormat="false" ht="14.25" hidden="false" customHeight="false" outlineLevel="0" collapsed="false">
      <c r="F152" s="3"/>
    </row>
    <row r="153" customFormat="false" ht="14.25" hidden="false" customHeight="false" outlineLevel="0" collapsed="false">
      <c r="F153" s="3"/>
    </row>
    <row r="154" customFormat="false" ht="14.25" hidden="false" customHeight="false" outlineLevel="0" collapsed="false">
      <c r="F154" s="3"/>
    </row>
    <row r="155" customFormat="false" ht="14.25" hidden="false" customHeight="false" outlineLevel="0" collapsed="false">
      <c r="F155" s="3"/>
    </row>
    <row r="156" customFormat="false" ht="14.25" hidden="false" customHeight="false" outlineLevel="0" collapsed="false">
      <c r="F156" s="3"/>
    </row>
    <row r="157" customFormat="false" ht="14.25" hidden="false" customHeight="false" outlineLevel="0" collapsed="false">
      <c r="F157" s="3"/>
    </row>
    <row r="158" customFormat="false" ht="14.25" hidden="false" customHeight="false" outlineLevel="0" collapsed="false">
      <c r="F158" s="3"/>
    </row>
    <row r="159" customFormat="false" ht="14.25" hidden="false" customHeight="false" outlineLevel="0" collapsed="false">
      <c r="F159" s="3"/>
    </row>
    <row r="160" customFormat="false" ht="14.25" hidden="false" customHeight="false" outlineLevel="0" collapsed="false">
      <c r="F160" s="3"/>
    </row>
    <row r="161" customFormat="false" ht="14.25" hidden="false" customHeight="false" outlineLevel="0" collapsed="false">
      <c r="F161" s="3"/>
    </row>
    <row r="162" customFormat="false" ht="14.25" hidden="false" customHeight="false" outlineLevel="0" collapsed="false">
      <c r="F162" s="3"/>
    </row>
    <row r="163" customFormat="false" ht="14.25" hidden="false" customHeight="false" outlineLevel="0" collapsed="false">
      <c r="F163" s="3"/>
    </row>
  </sheetData>
  <sheetProtection algorithmName="SHA-512" hashValue="2TglvTi1h9A5JV7jOppHYUGxKxJfs/p/4X1ccEDK4mm/aqFlYXhV9O4vZrw05OJ3SBL0law4Sr5QHkOveQkqqg==" saltValue="mUDP+5v3xjUo3gMBIw8UzA==" spinCount="100000" sheet="true" objects="true" scenarios="true"/>
  <mergeCells count="2">
    <mergeCell ref="B2:G2"/>
    <mergeCell ref="B4:G4"/>
  </mergeCells>
  <dataValidations count="1">
    <dataValidation allowBlank="true" errorStyle="stop" operator="between" showDropDown="false" showErrorMessage="true" showInputMessage="true" sqref="G15" type="list">
      <formula1>Essences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J205"/>
  <sheetViews>
    <sheetView showFormulas="false" showGridLines="true" showRowColHeaders="true" showZeros="true" rightToLeft="false" tabSelected="false" showOutlineSymbols="true" defaultGridColor="true" view="normal" topLeftCell="AX1" colorId="64" zoomScale="100" zoomScaleNormal="100" zoomScalePageLayoutView="100" workbookViewId="0">
      <selection pane="topLeft" activeCell="BP32" activeCellId="0" sqref="BP32"/>
    </sheetView>
  </sheetViews>
  <sheetFormatPr defaultColWidth="11.4609375" defaultRowHeight="14.25" zeroHeight="false" outlineLevelRow="0" outlineLevelCol="0"/>
  <cols>
    <col collapsed="false" customWidth="true" hidden="false" outlineLevel="0" max="1" min="1" style="3" width="6.88"/>
    <col collapsed="false" customWidth="false" hidden="false" outlineLevel="0" max="4" min="2" style="3" width="11.45"/>
    <col collapsed="false" customWidth="true" hidden="false" outlineLevel="0" max="5" min="5" style="3" width="9.56"/>
    <col collapsed="false" customWidth="false" hidden="false" outlineLevel="0" max="7" min="6" style="3" width="11.45"/>
    <col collapsed="false" customWidth="true" hidden="false" outlineLevel="0" max="8" min="8" style="3" width="10.66"/>
    <col collapsed="false" customWidth="true" hidden="false" outlineLevel="0" max="9" min="9" style="3" width="9.44"/>
    <col collapsed="false" customWidth="true" hidden="false" outlineLevel="0" max="11" min="10" style="3" width="10.56"/>
    <col collapsed="false" customWidth="true" hidden="false" outlineLevel="0" max="13" min="12" style="3" width="14.01"/>
    <col collapsed="false" customWidth="false" hidden="false" outlineLevel="0" max="23" min="14" style="3" width="11.45"/>
    <col collapsed="false" customWidth="true" hidden="false" outlineLevel="0" max="24" min="24" style="3" width="11.66"/>
    <col collapsed="false" customWidth="true" hidden="false" outlineLevel="0" max="25" min="25" style="3" width="14.55"/>
    <col collapsed="false" customWidth="true" hidden="false" outlineLevel="0" max="26" min="26" style="3" width="12.44"/>
    <col collapsed="false" customWidth="true" hidden="false" outlineLevel="0" max="27" min="27" style="3" width="9.66"/>
    <col collapsed="false" customWidth="true" hidden="false" outlineLevel="0" max="28" min="28" style="3" width="10.99"/>
    <col collapsed="false" customWidth="true" hidden="false" outlineLevel="0" max="31" min="29" style="3" width="9.44"/>
    <col collapsed="false" customWidth="false" hidden="false" outlineLevel="0" max="32" min="32" style="3" width="11.45"/>
    <col collapsed="false" customWidth="true" hidden="false" outlineLevel="0" max="34" min="33" style="3" width="14.01"/>
    <col collapsed="false" customWidth="true" hidden="false" outlineLevel="0" max="35" min="35" style="3" width="10.56"/>
    <col collapsed="false" customWidth="true" hidden="false" outlineLevel="0" max="36" min="36" style="3" width="9.44"/>
    <col collapsed="false" customWidth="true" hidden="false" outlineLevel="0" max="41" min="37" style="3" width="10.56"/>
    <col collapsed="false" customWidth="true" hidden="false" outlineLevel="0" max="42" min="42" style="3" width="9"/>
    <col collapsed="false" customWidth="true" hidden="false" outlineLevel="0" max="43" min="43" style="3" width="10.56"/>
    <col collapsed="false" customWidth="true" hidden="false" outlineLevel="0" max="44" min="44" style="3" width="9.33"/>
    <col collapsed="false" customWidth="true" hidden="false" outlineLevel="0" max="45" min="45" style="3" width="11.66"/>
    <col collapsed="false" customWidth="true" hidden="false" outlineLevel="0" max="46" min="46" style="3" width="8.44"/>
    <col collapsed="false" customWidth="true" hidden="false" outlineLevel="0" max="47" min="47" style="3" width="9.44"/>
    <col collapsed="false" customWidth="true" hidden="false" outlineLevel="0" max="48" min="48" style="3" width="9.66"/>
    <col collapsed="false" customWidth="true" hidden="false" outlineLevel="0" max="49" min="49" style="3" width="10.99"/>
    <col collapsed="false" customWidth="true" hidden="false" outlineLevel="0" max="52" min="50" style="3" width="9.44"/>
    <col collapsed="false" customWidth="true" hidden="false" outlineLevel="0" max="53" min="53" style="3" width="10.56"/>
    <col collapsed="false" customWidth="true" hidden="false" outlineLevel="0" max="54" min="54" style="3" width="14.34"/>
    <col collapsed="false" customWidth="true" hidden="false" outlineLevel="0" max="55" min="55" style="3" width="14.01"/>
    <col collapsed="false" customWidth="true" hidden="false" outlineLevel="0" max="56" min="56" style="3" width="10.56"/>
    <col collapsed="false" customWidth="true" hidden="false" outlineLevel="0" max="57" min="57" style="3" width="9.44"/>
    <col collapsed="false" customWidth="true" hidden="false" outlineLevel="0" max="62" min="58" style="3" width="10.56"/>
    <col collapsed="false" customWidth="true" hidden="false" outlineLevel="0" max="63" min="63" style="3" width="9"/>
    <col collapsed="false" customWidth="true" hidden="false" outlineLevel="0" max="64" min="64" style="3" width="10.56"/>
    <col collapsed="false" customWidth="true" hidden="false" outlineLevel="0" max="65" min="65" style="3" width="9.33"/>
    <col collapsed="false" customWidth="true" hidden="false" outlineLevel="0" max="66" min="66" style="3" width="11.66"/>
    <col collapsed="false" customWidth="true" hidden="false" outlineLevel="0" max="67" min="67" style="3" width="8.44"/>
    <col collapsed="false" customWidth="true" hidden="false" outlineLevel="0" max="68" min="68" style="3" width="9.44"/>
    <col collapsed="false" customWidth="true" hidden="false" outlineLevel="0" max="69" min="69" style="3" width="9.66"/>
    <col collapsed="false" customWidth="true" hidden="false" outlineLevel="0" max="70" min="70" style="3" width="10.99"/>
    <col collapsed="false" customWidth="true" hidden="false" outlineLevel="0" max="73" min="71" style="3" width="9.44"/>
    <col collapsed="false" customWidth="true" hidden="false" outlineLevel="0" max="74" min="74" style="3" width="10.56"/>
    <col collapsed="false" customWidth="true" hidden="false" outlineLevel="0" max="75" min="75" style="3" width="14.01"/>
    <col collapsed="false" customWidth="true" hidden="false" outlineLevel="0" max="76" min="76" style="3" width="13.89"/>
    <col collapsed="false" customWidth="true" hidden="false" outlineLevel="0" max="77" min="77" style="3" width="10.56"/>
    <col collapsed="false" customWidth="true" hidden="false" outlineLevel="0" max="78" min="78" style="3" width="9.44"/>
    <col collapsed="false" customWidth="true" hidden="false" outlineLevel="0" max="83" min="79" style="3" width="10.56"/>
    <col collapsed="false" customWidth="false" hidden="false" outlineLevel="0" max="84" min="84" style="3" width="11.45"/>
    <col collapsed="false" customWidth="true" hidden="false" outlineLevel="0" max="85" min="85" style="3" width="10.56"/>
    <col collapsed="false" customWidth="true" hidden="false" outlineLevel="0" max="86" min="86" style="3" width="9.33"/>
    <col collapsed="false" customWidth="true" hidden="false" outlineLevel="0" max="87" min="87" style="3" width="11.66"/>
    <col collapsed="false" customWidth="true" hidden="false" outlineLevel="0" max="88" min="88" style="3" width="8.44"/>
    <col collapsed="false" customWidth="true" hidden="false" outlineLevel="0" max="89" min="89" style="3" width="9.44"/>
    <col collapsed="false" customWidth="true" hidden="false" outlineLevel="0" max="90" min="90" style="3" width="9.66"/>
    <col collapsed="false" customWidth="true" hidden="false" outlineLevel="0" max="91" min="91" style="3" width="10.99"/>
    <col collapsed="false" customWidth="true" hidden="false" outlineLevel="0" max="94" min="92" style="3" width="9.44"/>
    <col collapsed="false" customWidth="false" hidden="false" outlineLevel="0" max="95" min="95" style="3" width="11.45"/>
    <col collapsed="false" customWidth="true" hidden="false" outlineLevel="0" max="97" min="96" style="3" width="14.01"/>
    <col collapsed="false" customWidth="true" hidden="false" outlineLevel="0" max="98" min="98" style="3" width="10.56"/>
    <col collapsed="false" customWidth="true" hidden="false" outlineLevel="0" max="99" min="99" style="3" width="9.44"/>
    <col collapsed="false" customWidth="true" hidden="false" outlineLevel="0" max="104" min="100" style="3" width="10.56"/>
    <col collapsed="false" customWidth="true" hidden="false" outlineLevel="0" max="105" min="105" style="3" width="9"/>
    <col collapsed="false" customWidth="true" hidden="false" outlineLevel="0" max="106" min="106" style="3" width="10.56"/>
    <col collapsed="false" customWidth="true" hidden="false" outlineLevel="0" max="107" min="107" style="3" width="9.33"/>
    <col collapsed="false" customWidth="true" hidden="false" outlineLevel="0" max="108" min="108" style="3" width="11.66"/>
    <col collapsed="false" customWidth="true" hidden="false" outlineLevel="0" max="109" min="109" style="3" width="8.44"/>
    <col collapsed="false" customWidth="true" hidden="false" outlineLevel="0" max="110" min="110" style="3" width="9.44"/>
    <col collapsed="false" customWidth="true" hidden="false" outlineLevel="0" max="111" min="111" style="3" width="9.66"/>
    <col collapsed="false" customWidth="true" hidden="false" outlineLevel="0" max="112" min="112" style="3" width="10.99"/>
    <col collapsed="false" customWidth="true" hidden="false" outlineLevel="0" max="115" min="113" style="3" width="9.44"/>
    <col collapsed="false" customWidth="true" hidden="false" outlineLevel="0" max="116" min="116" style="3" width="10.56"/>
    <col collapsed="false" customWidth="true" hidden="false" outlineLevel="0" max="117" min="117" style="3" width="14.34"/>
    <col collapsed="false" customWidth="true" hidden="false" outlineLevel="0" max="118" min="118" style="3" width="14.01"/>
    <col collapsed="false" customWidth="true" hidden="false" outlineLevel="0" max="119" min="119" style="3" width="10.56"/>
    <col collapsed="false" customWidth="true" hidden="false" outlineLevel="0" max="120" min="120" style="3" width="9.44"/>
    <col collapsed="false" customWidth="true" hidden="false" outlineLevel="0" max="125" min="121" style="3" width="10.56"/>
    <col collapsed="false" customWidth="true" hidden="false" outlineLevel="0" max="126" min="126" style="3" width="9"/>
    <col collapsed="false" customWidth="true" hidden="false" outlineLevel="0" max="127" min="127" style="3" width="10.56"/>
    <col collapsed="false" customWidth="true" hidden="false" outlineLevel="0" max="128" min="128" style="3" width="9.33"/>
    <col collapsed="false" customWidth="true" hidden="false" outlineLevel="0" max="129" min="129" style="3" width="11.66"/>
    <col collapsed="false" customWidth="true" hidden="false" outlineLevel="0" max="130" min="130" style="3" width="8.44"/>
    <col collapsed="false" customWidth="true" hidden="false" outlineLevel="0" max="131" min="131" style="3" width="9.44"/>
    <col collapsed="false" customWidth="true" hidden="false" outlineLevel="0" max="132" min="132" style="3" width="9.66"/>
    <col collapsed="false" customWidth="true" hidden="false" outlineLevel="0" max="133" min="133" style="3" width="10.99"/>
    <col collapsed="false" customWidth="true" hidden="false" outlineLevel="0" max="136" min="134" style="3" width="9.44"/>
    <col collapsed="false" customWidth="true" hidden="false" outlineLevel="0" max="137" min="137" style="3" width="10.56"/>
    <col collapsed="false" customWidth="true" hidden="false" outlineLevel="0" max="139" min="138" style="3" width="14.01"/>
    <col collapsed="false" customWidth="true" hidden="false" outlineLevel="0" max="140" min="140" style="3" width="10.56"/>
    <col collapsed="false" customWidth="true" hidden="false" outlineLevel="0" max="141" min="141" style="3" width="9.44"/>
    <col collapsed="false" customWidth="true" hidden="false" outlineLevel="0" max="146" min="142" style="3" width="10.56"/>
    <col collapsed="false" customWidth="true" hidden="false" outlineLevel="0" max="147" min="147" style="3" width="9"/>
    <col collapsed="false" customWidth="true" hidden="false" outlineLevel="0" max="148" min="148" style="3" width="10.56"/>
    <col collapsed="false" customWidth="true" hidden="false" outlineLevel="0" max="149" min="149" style="3" width="9.33"/>
    <col collapsed="false" customWidth="true" hidden="false" outlineLevel="0" max="150" min="150" style="3" width="11.66"/>
    <col collapsed="false" customWidth="true" hidden="false" outlineLevel="0" max="151" min="151" style="3" width="8.44"/>
    <col collapsed="false" customWidth="true" hidden="false" outlineLevel="0" max="152" min="152" style="3" width="9.44"/>
    <col collapsed="false" customWidth="true" hidden="false" outlineLevel="0" max="153" min="153" style="3" width="9.66"/>
    <col collapsed="false" customWidth="true" hidden="false" outlineLevel="0" max="154" min="154" style="3" width="10.99"/>
    <col collapsed="false" customWidth="true" hidden="false" outlineLevel="0" max="157" min="155" style="3" width="9.44"/>
    <col collapsed="false" customWidth="false" hidden="false" outlineLevel="0" max="158" min="158" style="3" width="11.45"/>
    <col collapsed="false" customWidth="true" hidden="false" outlineLevel="0" max="160" min="159" style="3" width="14.01"/>
    <col collapsed="false" customWidth="true" hidden="false" outlineLevel="0" max="161" min="161" style="3" width="10.56"/>
    <col collapsed="false" customWidth="true" hidden="false" outlineLevel="0" max="162" min="162" style="3" width="9.44"/>
    <col collapsed="false" customWidth="true" hidden="false" outlineLevel="0" max="167" min="163" style="3" width="10.56"/>
    <col collapsed="false" customWidth="true" hidden="false" outlineLevel="0" max="168" min="168" style="3" width="9"/>
    <col collapsed="false" customWidth="true" hidden="false" outlineLevel="0" max="169" min="169" style="3" width="10.56"/>
    <col collapsed="false" customWidth="true" hidden="false" outlineLevel="0" max="170" min="170" style="3" width="9.33"/>
    <col collapsed="false" customWidth="true" hidden="false" outlineLevel="0" max="171" min="171" style="3" width="11.66"/>
    <col collapsed="false" customWidth="true" hidden="false" outlineLevel="0" max="172" min="172" style="3" width="8.11"/>
    <col collapsed="false" customWidth="true" hidden="false" outlineLevel="0" max="173" min="173" style="3" width="9.44"/>
    <col collapsed="false" customWidth="true" hidden="false" outlineLevel="0" max="174" min="174" style="3" width="9.66"/>
    <col collapsed="false" customWidth="true" hidden="false" outlineLevel="0" max="175" min="175" style="3" width="10.99"/>
    <col collapsed="false" customWidth="true" hidden="false" outlineLevel="0" max="178" min="176" style="3" width="9.44"/>
    <col collapsed="false" customWidth="true" hidden="false" outlineLevel="0" max="179" min="179" style="3" width="10.56"/>
    <col collapsed="false" customWidth="true" hidden="false" outlineLevel="0" max="181" min="180" style="3" width="14.01"/>
    <col collapsed="false" customWidth="true" hidden="false" outlineLevel="0" max="182" min="182" style="3" width="10.56"/>
    <col collapsed="false" customWidth="true" hidden="false" outlineLevel="0" max="183" min="183" style="3" width="9.44"/>
    <col collapsed="false" customWidth="true" hidden="false" outlineLevel="0" max="188" min="184" style="3" width="10.56"/>
    <col collapsed="false" customWidth="true" hidden="false" outlineLevel="0" max="189" min="189" style="3" width="9"/>
    <col collapsed="false" customWidth="true" hidden="false" outlineLevel="0" max="190" min="190" style="3" width="10.56"/>
    <col collapsed="false" customWidth="true" hidden="false" outlineLevel="0" max="191" min="191" style="3" width="9.33"/>
    <col collapsed="false" customWidth="false" hidden="false" outlineLevel="0" max="192" min="192" style="3" width="11.45"/>
    <col collapsed="false" customWidth="true" hidden="false" outlineLevel="0" max="193" min="193" style="3" width="8.44"/>
    <col collapsed="false" customWidth="true" hidden="false" outlineLevel="0" max="194" min="194" style="3" width="9.44"/>
    <col collapsed="false" customWidth="true" hidden="false" outlineLevel="0" max="195" min="195" style="3" width="9.66"/>
    <col collapsed="false" customWidth="true" hidden="false" outlineLevel="0" max="196" min="196" style="3" width="10.99"/>
    <col collapsed="false" customWidth="true" hidden="false" outlineLevel="0" max="199" min="197" style="3" width="9.44"/>
    <col collapsed="false" customWidth="true" hidden="false" outlineLevel="0" max="200" min="200" style="3" width="10.56"/>
    <col collapsed="false" customWidth="true" hidden="false" outlineLevel="0" max="201" min="201" style="3" width="14.01"/>
    <col collapsed="false" customWidth="true" hidden="false" outlineLevel="0" max="202" min="202" style="3" width="14.34"/>
    <col collapsed="false" customWidth="true" hidden="false" outlineLevel="0" max="203" min="203" style="3" width="10.56"/>
    <col collapsed="false" customWidth="true" hidden="false" outlineLevel="0" max="204" min="204" style="3" width="9.44"/>
    <col collapsed="false" customWidth="true" hidden="false" outlineLevel="0" max="209" min="205" style="3" width="10.56"/>
    <col collapsed="false" customWidth="true" hidden="false" outlineLevel="0" max="210" min="210" style="3" width="9"/>
    <col collapsed="false" customWidth="true" hidden="false" outlineLevel="0" max="211" min="211" style="3" width="10.56"/>
    <col collapsed="false" customWidth="true" hidden="false" outlineLevel="0" max="212" min="212" style="3" width="9.33"/>
    <col collapsed="false" customWidth="true" hidden="false" outlineLevel="0" max="213" min="213" style="3" width="11.66"/>
    <col collapsed="false" customWidth="true" hidden="false" outlineLevel="0" max="214" min="214" style="3" width="8.44"/>
    <col collapsed="false" customWidth="true" hidden="false" outlineLevel="0" max="215" min="215" style="3" width="9.44"/>
    <col collapsed="false" customWidth="true" hidden="false" outlineLevel="0" max="216" min="216" style="3" width="9.66"/>
    <col collapsed="false" customWidth="true" hidden="false" outlineLevel="0" max="217" min="217" style="3" width="10.99"/>
    <col collapsed="false" customWidth="true" hidden="false" outlineLevel="0" max="218" min="218" style="3" width="9.44"/>
    <col collapsed="false" customWidth="false" hidden="false" outlineLevel="0" max="1024" min="219" style="3" width="11.45"/>
  </cols>
  <sheetData>
    <row r="1" customFormat="false" ht="26.25" hidden="false" customHeight="false" outlineLevel="0" collapsed="false">
      <c r="B1" s="99" t="s">
        <v>77</v>
      </c>
      <c r="C1" s="99"/>
      <c r="D1" s="99"/>
      <c r="E1" s="99"/>
      <c r="F1" s="99"/>
      <c r="G1" s="99"/>
      <c r="H1" s="99"/>
      <c r="I1" s="100" t="str">
        <f aca="false">IF('Données projet'!$B$9="","",'Données projet'!$B$9)</f>
        <v>Cèdre de l'Atlas</v>
      </c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1" t="str">
        <f aca="false">IF('Données projet'!$B$10="","",'Données projet'!$B$10)</f>
        <v>Douglas</v>
      </c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0" t="str">
        <f aca="false">IF('Données projet'!$B$11="","",'Données projet'!$B$11)</f>
        <v>Chêne rouge d'Amérique</v>
      </c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 t="str">
        <f aca="false">IF('Données projet'!$B$12="","",'Données projet'!$B$12)</f>
        <v>Mélèze d'Europe</v>
      </c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 t="str">
        <f aca="false">IF('Données projet'!$B$13="","",'Données projet'!$B$13)</f>
        <v>Mélèze hybride</v>
      </c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 t="str">
        <f aca="false">IF('Données projet'!$B$14="","",'Données projet'!$B$14)</f>
        <v>Pin maritime</v>
      </c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 t="str">
        <f aca="false">IF('Données projet'!$B$15="","",'Données projet'!$B$15)</f>
        <v/>
      </c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 t="str">
        <f aca="false">IF('Données projet'!$B$16="","",'Données projet'!$B$16)</f>
        <v/>
      </c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 t="str">
        <f aca="false">IF('Données projet'!$B$17="","",'Données projet'!$B$17)</f>
        <v/>
      </c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 t="str">
        <f aca="false">IF('Données projet'!$B$18="","",'Données projet'!$B$18)</f>
        <v/>
      </c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</row>
    <row r="2" customFormat="false" ht="57.75" hidden="false" customHeight="false" outlineLevel="0" collapsed="false">
      <c r="A2" s="102" t="s">
        <v>78</v>
      </c>
      <c r="B2" s="103" t="s">
        <v>79</v>
      </c>
      <c r="C2" s="104" t="s">
        <v>80</v>
      </c>
      <c r="D2" s="104" t="s">
        <v>81</v>
      </c>
      <c r="E2" s="104" t="s">
        <v>82</v>
      </c>
      <c r="F2" s="104" t="s">
        <v>83</v>
      </c>
      <c r="G2" s="104" t="s">
        <v>84</v>
      </c>
      <c r="H2" s="105" t="s">
        <v>85</v>
      </c>
      <c r="I2" s="106" t="s">
        <v>82</v>
      </c>
      <c r="J2" s="107" t="s">
        <v>83</v>
      </c>
      <c r="K2" s="108" t="s">
        <v>86</v>
      </c>
      <c r="L2" s="108" t="s">
        <v>87</v>
      </c>
      <c r="M2" s="108" t="s">
        <v>87</v>
      </c>
      <c r="N2" s="108" t="s">
        <v>88</v>
      </c>
      <c r="O2" s="108" t="s">
        <v>89</v>
      </c>
      <c r="P2" s="108" t="s">
        <v>90</v>
      </c>
      <c r="Q2" s="108" t="s">
        <v>84</v>
      </c>
      <c r="R2" s="108" t="s">
        <v>91</v>
      </c>
      <c r="S2" s="108" t="s">
        <v>92</v>
      </c>
      <c r="T2" s="108" t="s">
        <v>93</v>
      </c>
      <c r="U2" s="109" t="s">
        <v>94</v>
      </c>
      <c r="V2" s="110" t="s">
        <v>95</v>
      </c>
      <c r="W2" s="109" t="s">
        <v>54</v>
      </c>
      <c r="X2" s="109" t="s">
        <v>55</v>
      </c>
      <c r="Y2" s="109" t="s">
        <v>96</v>
      </c>
      <c r="Z2" s="110" t="s">
        <v>97</v>
      </c>
      <c r="AA2" s="110" t="s">
        <v>98</v>
      </c>
      <c r="AB2" s="110" t="s">
        <v>99</v>
      </c>
      <c r="AC2" s="111" t="s">
        <v>100</v>
      </c>
      <c r="AD2" s="107" t="s">
        <v>82</v>
      </c>
      <c r="AE2" s="107" t="s">
        <v>83</v>
      </c>
      <c r="AF2" s="108" t="s">
        <v>86</v>
      </c>
      <c r="AG2" s="108" t="s">
        <v>87</v>
      </c>
      <c r="AH2" s="108" t="s">
        <v>87</v>
      </c>
      <c r="AI2" s="108" t="s">
        <v>88</v>
      </c>
      <c r="AJ2" s="108" t="s">
        <v>89</v>
      </c>
      <c r="AK2" s="108" t="s">
        <v>90</v>
      </c>
      <c r="AL2" s="108" t="s">
        <v>84</v>
      </c>
      <c r="AM2" s="108" t="s">
        <v>91</v>
      </c>
      <c r="AN2" s="108" t="s">
        <v>92</v>
      </c>
      <c r="AO2" s="108" t="s">
        <v>93</v>
      </c>
      <c r="AP2" s="109" t="s">
        <v>94</v>
      </c>
      <c r="AQ2" s="110" t="s">
        <v>95</v>
      </c>
      <c r="AR2" s="109" t="s">
        <v>54</v>
      </c>
      <c r="AS2" s="109" t="s">
        <v>55</v>
      </c>
      <c r="AT2" s="110" t="s">
        <v>101</v>
      </c>
      <c r="AU2" s="110" t="s">
        <v>97</v>
      </c>
      <c r="AV2" s="110" t="s">
        <v>98</v>
      </c>
      <c r="AW2" s="110" t="s">
        <v>99</v>
      </c>
      <c r="AX2" s="110" t="s">
        <v>100</v>
      </c>
      <c r="AY2" s="106" t="s">
        <v>82</v>
      </c>
      <c r="AZ2" s="107" t="s">
        <v>83</v>
      </c>
      <c r="BA2" s="108" t="s">
        <v>86</v>
      </c>
      <c r="BB2" s="108" t="s">
        <v>87</v>
      </c>
      <c r="BC2" s="108" t="s">
        <v>87</v>
      </c>
      <c r="BD2" s="108" t="s">
        <v>88</v>
      </c>
      <c r="BE2" s="108" t="s">
        <v>89</v>
      </c>
      <c r="BF2" s="108" t="s">
        <v>90</v>
      </c>
      <c r="BG2" s="108" t="s">
        <v>84</v>
      </c>
      <c r="BH2" s="108" t="s">
        <v>91</v>
      </c>
      <c r="BI2" s="108" t="s">
        <v>92</v>
      </c>
      <c r="BJ2" s="108" t="s">
        <v>93</v>
      </c>
      <c r="BK2" s="109" t="s">
        <v>94</v>
      </c>
      <c r="BL2" s="110" t="s">
        <v>95</v>
      </c>
      <c r="BM2" s="109" t="s">
        <v>54</v>
      </c>
      <c r="BN2" s="109" t="s">
        <v>55</v>
      </c>
      <c r="BO2" s="110" t="s">
        <v>101</v>
      </c>
      <c r="BP2" s="110" t="s">
        <v>97</v>
      </c>
      <c r="BQ2" s="110" t="s">
        <v>98</v>
      </c>
      <c r="BR2" s="110" t="s">
        <v>99</v>
      </c>
      <c r="BS2" s="111" t="s">
        <v>100</v>
      </c>
      <c r="BT2" s="106" t="s">
        <v>82</v>
      </c>
      <c r="BU2" s="107" t="s">
        <v>83</v>
      </c>
      <c r="BV2" s="108" t="s">
        <v>86</v>
      </c>
      <c r="BW2" s="108" t="s">
        <v>87</v>
      </c>
      <c r="BX2" s="108" t="s">
        <v>87</v>
      </c>
      <c r="BY2" s="108" t="s">
        <v>88</v>
      </c>
      <c r="BZ2" s="108" t="s">
        <v>89</v>
      </c>
      <c r="CA2" s="108" t="s">
        <v>90</v>
      </c>
      <c r="CB2" s="108" t="s">
        <v>84</v>
      </c>
      <c r="CC2" s="108" t="s">
        <v>91</v>
      </c>
      <c r="CD2" s="108" t="s">
        <v>92</v>
      </c>
      <c r="CE2" s="108" t="s">
        <v>93</v>
      </c>
      <c r="CF2" s="109" t="s">
        <v>94</v>
      </c>
      <c r="CG2" s="110" t="s">
        <v>95</v>
      </c>
      <c r="CH2" s="109" t="s">
        <v>54</v>
      </c>
      <c r="CI2" s="109" t="s">
        <v>55</v>
      </c>
      <c r="CJ2" s="110" t="s">
        <v>101</v>
      </c>
      <c r="CK2" s="110" t="s">
        <v>97</v>
      </c>
      <c r="CL2" s="110" t="s">
        <v>98</v>
      </c>
      <c r="CM2" s="110" t="s">
        <v>99</v>
      </c>
      <c r="CN2" s="111" t="s">
        <v>100</v>
      </c>
      <c r="CO2" s="106" t="s">
        <v>82</v>
      </c>
      <c r="CP2" s="107" t="s">
        <v>83</v>
      </c>
      <c r="CQ2" s="108" t="s">
        <v>86</v>
      </c>
      <c r="CR2" s="108" t="s">
        <v>87</v>
      </c>
      <c r="CS2" s="108" t="s">
        <v>87</v>
      </c>
      <c r="CT2" s="108" t="s">
        <v>88</v>
      </c>
      <c r="CU2" s="108" t="s">
        <v>89</v>
      </c>
      <c r="CV2" s="108" t="s">
        <v>90</v>
      </c>
      <c r="CW2" s="108" t="s">
        <v>84</v>
      </c>
      <c r="CX2" s="108" t="s">
        <v>91</v>
      </c>
      <c r="CY2" s="108" t="s">
        <v>92</v>
      </c>
      <c r="CZ2" s="108" t="s">
        <v>93</v>
      </c>
      <c r="DA2" s="109" t="s">
        <v>94</v>
      </c>
      <c r="DB2" s="110" t="s">
        <v>95</v>
      </c>
      <c r="DC2" s="109" t="s">
        <v>54</v>
      </c>
      <c r="DD2" s="109" t="s">
        <v>55</v>
      </c>
      <c r="DE2" s="110" t="s">
        <v>101</v>
      </c>
      <c r="DF2" s="110" t="s">
        <v>97</v>
      </c>
      <c r="DG2" s="110" t="s">
        <v>98</v>
      </c>
      <c r="DH2" s="110" t="s">
        <v>99</v>
      </c>
      <c r="DI2" s="111" t="s">
        <v>100</v>
      </c>
      <c r="DJ2" s="106" t="s">
        <v>82</v>
      </c>
      <c r="DK2" s="107" t="s">
        <v>83</v>
      </c>
      <c r="DL2" s="108" t="s">
        <v>86</v>
      </c>
      <c r="DM2" s="108" t="s">
        <v>87</v>
      </c>
      <c r="DN2" s="108" t="s">
        <v>87</v>
      </c>
      <c r="DO2" s="108" t="s">
        <v>88</v>
      </c>
      <c r="DP2" s="108" t="s">
        <v>89</v>
      </c>
      <c r="DQ2" s="108" t="s">
        <v>90</v>
      </c>
      <c r="DR2" s="108" t="s">
        <v>84</v>
      </c>
      <c r="DS2" s="108" t="s">
        <v>91</v>
      </c>
      <c r="DT2" s="108" t="s">
        <v>92</v>
      </c>
      <c r="DU2" s="108" t="s">
        <v>93</v>
      </c>
      <c r="DV2" s="109" t="s">
        <v>94</v>
      </c>
      <c r="DW2" s="110" t="s">
        <v>95</v>
      </c>
      <c r="DX2" s="109" t="s">
        <v>54</v>
      </c>
      <c r="DY2" s="109" t="s">
        <v>55</v>
      </c>
      <c r="DZ2" s="110" t="s">
        <v>101</v>
      </c>
      <c r="EA2" s="110" t="s">
        <v>97</v>
      </c>
      <c r="EB2" s="110" t="s">
        <v>98</v>
      </c>
      <c r="EC2" s="110" t="s">
        <v>99</v>
      </c>
      <c r="ED2" s="111" t="s">
        <v>100</v>
      </c>
      <c r="EE2" s="106" t="s">
        <v>82</v>
      </c>
      <c r="EF2" s="107" t="s">
        <v>83</v>
      </c>
      <c r="EG2" s="108" t="s">
        <v>86</v>
      </c>
      <c r="EH2" s="108" t="s">
        <v>87</v>
      </c>
      <c r="EI2" s="108" t="s">
        <v>87</v>
      </c>
      <c r="EJ2" s="108" t="s">
        <v>88</v>
      </c>
      <c r="EK2" s="108" t="s">
        <v>89</v>
      </c>
      <c r="EL2" s="108" t="s">
        <v>90</v>
      </c>
      <c r="EM2" s="108" t="s">
        <v>84</v>
      </c>
      <c r="EN2" s="108" t="s">
        <v>91</v>
      </c>
      <c r="EO2" s="108" t="s">
        <v>92</v>
      </c>
      <c r="EP2" s="108" t="s">
        <v>93</v>
      </c>
      <c r="EQ2" s="109" t="s">
        <v>94</v>
      </c>
      <c r="ER2" s="110" t="s">
        <v>95</v>
      </c>
      <c r="ES2" s="109" t="s">
        <v>54</v>
      </c>
      <c r="ET2" s="109" t="s">
        <v>55</v>
      </c>
      <c r="EU2" s="110" t="s">
        <v>101</v>
      </c>
      <c r="EV2" s="110" t="s">
        <v>97</v>
      </c>
      <c r="EW2" s="110" t="s">
        <v>98</v>
      </c>
      <c r="EX2" s="110" t="s">
        <v>99</v>
      </c>
      <c r="EY2" s="111" t="s">
        <v>100</v>
      </c>
      <c r="EZ2" s="106" t="s">
        <v>82</v>
      </c>
      <c r="FA2" s="107" t="s">
        <v>83</v>
      </c>
      <c r="FB2" s="108" t="s">
        <v>86</v>
      </c>
      <c r="FC2" s="108" t="s">
        <v>87</v>
      </c>
      <c r="FD2" s="108" t="s">
        <v>87</v>
      </c>
      <c r="FE2" s="108" t="s">
        <v>88</v>
      </c>
      <c r="FF2" s="108" t="s">
        <v>89</v>
      </c>
      <c r="FG2" s="108" t="s">
        <v>90</v>
      </c>
      <c r="FH2" s="108" t="s">
        <v>84</v>
      </c>
      <c r="FI2" s="108" t="s">
        <v>91</v>
      </c>
      <c r="FJ2" s="108" t="s">
        <v>92</v>
      </c>
      <c r="FK2" s="108" t="s">
        <v>93</v>
      </c>
      <c r="FL2" s="109" t="s">
        <v>94</v>
      </c>
      <c r="FM2" s="110" t="s">
        <v>95</v>
      </c>
      <c r="FN2" s="109" t="s">
        <v>54</v>
      </c>
      <c r="FO2" s="109" t="s">
        <v>55</v>
      </c>
      <c r="FP2" s="110" t="s">
        <v>102</v>
      </c>
      <c r="FQ2" s="110" t="s">
        <v>97</v>
      </c>
      <c r="FR2" s="110" t="s">
        <v>98</v>
      </c>
      <c r="FS2" s="110" t="s">
        <v>99</v>
      </c>
      <c r="FT2" s="111" t="s">
        <v>100</v>
      </c>
      <c r="FU2" s="106" t="s">
        <v>82</v>
      </c>
      <c r="FV2" s="107" t="s">
        <v>83</v>
      </c>
      <c r="FW2" s="108" t="s">
        <v>86</v>
      </c>
      <c r="FX2" s="108" t="s">
        <v>87</v>
      </c>
      <c r="FY2" s="108" t="s">
        <v>87</v>
      </c>
      <c r="FZ2" s="108" t="s">
        <v>88</v>
      </c>
      <c r="GA2" s="108" t="s">
        <v>89</v>
      </c>
      <c r="GB2" s="108" t="s">
        <v>90</v>
      </c>
      <c r="GC2" s="108" t="s">
        <v>84</v>
      </c>
      <c r="GD2" s="108" t="s">
        <v>91</v>
      </c>
      <c r="GE2" s="108" t="s">
        <v>92</v>
      </c>
      <c r="GF2" s="108" t="s">
        <v>93</v>
      </c>
      <c r="GG2" s="109" t="s">
        <v>94</v>
      </c>
      <c r="GH2" s="110" t="s">
        <v>95</v>
      </c>
      <c r="GI2" s="109" t="s">
        <v>54</v>
      </c>
      <c r="GJ2" s="109" t="s">
        <v>55</v>
      </c>
      <c r="GK2" s="110" t="s">
        <v>101</v>
      </c>
      <c r="GL2" s="110" t="s">
        <v>97</v>
      </c>
      <c r="GM2" s="110" t="s">
        <v>98</v>
      </c>
      <c r="GN2" s="110" t="s">
        <v>99</v>
      </c>
      <c r="GO2" s="110" t="s">
        <v>100</v>
      </c>
      <c r="GP2" s="106" t="s">
        <v>82</v>
      </c>
      <c r="GQ2" s="107" t="s">
        <v>83</v>
      </c>
      <c r="GR2" s="108" t="s">
        <v>86</v>
      </c>
      <c r="GS2" s="108" t="s">
        <v>87</v>
      </c>
      <c r="GT2" s="108" t="s">
        <v>87</v>
      </c>
      <c r="GU2" s="108" t="s">
        <v>88</v>
      </c>
      <c r="GV2" s="108" t="s">
        <v>89</v>
      </c>
      <c r="GW2" s="108" t="s">
        <v>90</v>
      </c>
      <c r="GX2" s="108" t="s">
        <v>84</v>
      </c>
      <c r="GY2" s="108" t="s">
        <v>91</v>
      </c>
      <c r="GZ2" s="108" t="s">
        <v>92</v>
      </c>
      <c r="HA2" s="108" t="s">
        <v>93</v>
      </c>
      <c r="HB2" s="109" t="s">
        <v>94</v>
      </c>
      <c r="HC2" s="110" t="s">
        <v>95</v>
      </c>
      <c r="HD2" s="109" t="s">
        <v>54</v>
      </c>
      <c r="HE2" s="109" t="s">
        <v>55</v>
      </c>
      <c r="HF2" s="110" t="s">
        <v>101</v>
      </c>
      <c r="HG2" s="110" t="s">
        <v>97</v>
      </c>
      <c r="HH2" s="110" t="s">
        <v>98</v>
      </c>
      <c r="HI2" s="110" t="s">
        <v>99</v>
      </c>
      <c r="HJ2" s="111" t="s">
        <v>100</v>
      </c>
    </row>
    <row r="3" customFormat="false" ht="14.25" hidden="false" customHeight="false" outlineLevel="0" collapsed="false">
      <c r="A3" s="112" t="n">
        <v>0</v>
      </c>
      <c r="B3" s="113" t="n">
        <f aca="false">'Scénario référence'!$B$16*5+'Scénario référence'!$B$17*0+'Scénario référence'!$B$18*5</f>
        <v>0</v>
      </c>
      <c r="C3" s="114" t="n">
        <v>0</v>
      </c>
      <c r="D3" s="114" t="n">
        <v>0</v>
      </c>
      <c r="E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" s="114" t="n">
        <f aca="false">IF(OR('Scénario référence'!$F$8&gt;0,'Scénario référence'!$F$9&gt;0),('Scénario référence'!$F$8+'Scénario référence'!$F$9)*10,0)</f>
        <v>0</v>
      </c>
      <c r="G3" s="114" t="n">
        <f aca="false"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5" t="n">
        <f aca="false">(B3+E3+F3)*44/12+(C3+D3)*0.475*44/12</f>
        <v>256.666666666667</v>
      </c>
      <c r="I3" s="11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7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18" t="n">
        <v>0</v>
      </c>
      <c r="L3" s="118" t="e">
        <f aca="false">VLOOKUP(A3,'Données projet'!$A$35:$I$55,9,0)</f>
        <v>#N/A</v>
      </c>
      <c r="M3" s="118" t="n">
        <v>0</v>
      </c>
      <c r="N3" s="117" t="n">
        <v>0</v>
      </c>
      <c r="O3" s="118" t="n">
        <f aca="false">N3*VLOOKUP('Données projet'!$B$9,Paramètres!$A$1:$I$89,3,0)*VLOOKUP('Données projet'!$B$9,Paramètres!$A$1:$I$89,5,0)</f>
        <v>0</v>
      </c>
      <c r="P3" s="118" t="n">
        <v>0</v>
      </c>
      <c r="Q3" s="119" t="n">
        <f aca="false">(O3+P3)*0.475*44/12</f>
        <v>0</v>
      </c>
      <c r="R3" s="120" t="n">
        <f aca="false">Q3+(I3+J3)*44/12</f>
        <v>256.666666666667</v>
      </c>
      <c r="S3" s="120" t="n">
        <f aca="true">AVERAGE(OFFSET($R$3,0,0,'Données projet'!$E$9+1,1))-AVERAGE(OFFSET($H$3,0,0,'Données projet'!$E$9+1,1))</f>
        <v>319.229030946746</v>
      </c>
      <c r="T3" s="120" t="n">
        <f aca="false">IF('Données projet'!E9&gt;30,$R$33-$H$33,LOOKUP('Données projet'!$E$9,$A$3:$A$203,R3:R203)-LOOKUP('Données projet'!$E$9,$A$3:$A$203,$H$3:$H$203))</f>
        <v>254.586909731428</v>
      </c>
      <c r="U3" s="121" t="n">
        <f aca="false">IF(ISNA(VLOOKUP(A3,'Données projet'!$A$35:$I$55,3,0)),0,VLOOKUP(A3,'Données projet'!$A$35:$I$55,3,0))</f>
        <v>0</v>
      </c>
      <c r="V3" s="121" t="n">
        <f aca="false">IF(ISNA(VLOOKUP(A3,'Données projet'!$A$35:$I$55,4,0)),0,VLOOKUP(A3,'Données projet'!$A$35:$I$55,4,0))</f>
        <v>0</v>
      </c>
      <c r="W3" s="122" t="n">
        <f aca="false">IF(ISNA(VLOOKUP(A3,'Données projet'!$A$35:$I$55,5,0)),0%,VLOOKUP(A3,'Données projet'!$A$35:$I$55,5,0)*VLOOKUP('Données projet'!$B$9,Paramètres!$A$1:$I$89,7,0))</f>
        <v>0</v>
      </c>
      <c r="X3" s="122" t="n">
        <f aca="false">IF(ISNA(VLOOKUP(A3,'Données projet'!$A$35:$I$55,6,0)),0%,VLOOKUP(A3,'Données projet'!$A$35:$I$55,6,0)*VLOOKUP('Données projet'!$B$9,Paramètres!$A$1:$I$89,7,0))</f>
        <v>0</v>
      </c>
      <c r="Y3" s="122" t="n">
        <f aca="false">IF(ISNA(VLOOKUP(A3,'Données projet'!$A$35:$I$55,7,0)),0%,VLOOKUP(A3,'Données projet'!$A$35:$I$55,7,0))</f>
        <v>0</v>
      </c>
      <c r="Z3" s="121" t="n">
        <v>0</v>
      </c>
      <c r="AA3" s="121" t="n">
        <v>0</v>
      </c>
      <c r="AB3" s="121" t="n">
        <v>0</v>
      </c>
      <c r="AC3" s="123" t="n">
        <f aca="false">SUM(Z3:AB3)</f>
        <v>0</v>
      </c>
      <c r="AD3" s="117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7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18" t="n">
        <v>0</v>
      </c>
      <c r="AG3" s="118" t="e">
        <f aca="false">VLOOKUP(A3,'Données projet'!$A$61:$I$81,9,0)</f>
        <v>#N/A</v>
      </c>
      <c r="AH3" s="118" t="n">
        <v>0</v>
      </c>
      <c r="AI3" s="117" t="n">
        <v>0</v>
      </c>
      <c r="AJ3" s="117" t="n">
        <f aca="false">AI3*VLOOKUP('Données projet'!$B$10,Paramètres!$A$1:$I$89,3,0)*VLOOKUP('Données projet'!$B$10,Paramètres!$A$1:$I$89,5,0)</f>
        <v>0</v>
      </c>
      <c r="AK3" s="118" t="n">
        <v>0</v>
      </c>
      <c r="AL3" s="119" t="n">
        <f aca="false">(AJ3+AK3)*0.475*44/12</f>
        <v>0</v>
      </c>
      <c r="AM3" s="120" t="n">
        <f aca="false">AL3+(AD3+AE3)*44/12</f>
        <v>256.666666666667</v>
      </c>
      <c r="AN3" s="120" t="n">
        <f aca="true">AVERAGE(OFFSET($AM$3,0,0,'Données projet'!$E$10+1,1))-AVERAGE(OFFSET($H$3,0,0,'Données projet'!$E$10+1,1))</f>
        <v>365.705101827279</v>
      </c>
      <c r="AO3" s="120" t="n">
        <f aca="false">IF('Données projet'!E10&gt;30,$AM$33-$H$33,LOOKUP('Données projet'!$E$10,$A$3:$A$203,AM3:AM203)-LOOKUP('Données projet'!$E$10,$A$3:$A$203,$H$3:$H$203))</f>
        <v>436.238338449625</v>
      </c>
      <c r="AP3" s="121" t="n">
        <f aca="false">IF(ISNA(VLOOKUP(A3,'Données projet'!$A$61:$I$81,3,0)),0,VLOOKUP(A3,'Données projet'!$A$61:$I$81,3,0))</f>
        <v>0</v>
      </c>
      <c r="AQ3" s="121" t="n">
        <f aca="false">IF(ISNA(VLOOKUP(A3,'Données projet'!$A$61:$I$81,4,0)),0,VLOOKUP(A3,'Données projet'!$A$61:$I$81,4,0))</f>
        <v>0</v>
      </c>
      <c r="AR3" s="122" t="n">
        <f aca="false">IF(ISNA(VLOOKUP(A3,'Données projet'!$A$61:$I$81,5,0)),0%,VLOOKUP(A3,'Données projet'!$A$61:$I$81,5,0)*VLOOKUP('Données projet'!$B$10,Paramètres!$A$1:$I$89,7,0))</f>
        <v>0</v>
      </c>
      <c r="AS3" s="122" t="n">
        <f aca="false">IF(ISNA(VLOOKUP(A3,'Données projet'!$A$61:$I$81,6,0)),0%,VLOOKUP(A3,'Données projet'!$A$61:$I$81,6,0)*VLOOKUP('Données projet'!$B$10,Paramètres!$A$1:$I$89,7,0))</f>
        <v>0</v>
      </c>
      <c r="AT3" s="122" t="n">
        <f aca="false">IF(ISNA(VLOOKUP(A3,'Données projet'!$A$61:$I$81,7,0)),0%,VLOOKUP(A3,'Données projet'!$A$61:$I$81,7,0))</f>
        <v>0</v>
      </c>
      <c r="AU3" s="121" t="n">
        <v>0</v>
      </c>
      <c r="AV3" s="121" t="n">
        <v>0</v>
      </c>
      <c r="AW3" s="121" t="n">
        <v>0</v>
      </c>
      <c r="AX3" s="121" t="n">
        <f aca="false">SUM(AU3:AW3)</f>
        <v>0</v>
      </c>
      <c r="AY3" s="124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18" t="n">
        <v>0</v>
      </c>
      <c r="BB3" s="118" t="e">
        <f aca="false">VLOOKUP(A3,'Données projet'!$A$87:$I$107,9,0)</f>
        <v>#N/A</v>
      </c>
      <c r="BC3" s="118" t="n">
        <v>0</v>
      </c>
      <c r="BD3" s="118" t="n">
        <v>0</v>
      </c>
      <c r="BE3" s="125" t="n">
        <f aca="false">BD3*VLOOKUP('Données projet'!$B$11,Paramètres!$A$1:$I$89,3,0)*VLOOKUP('Données projet'!$B$11,Paramètres!$A$1:$I$89,5,0)</f>
        <v>0</v>
      </c>
      <c r="BF3" s="118" t="n">
        <v>0</v>
      </c>
      <c r="BG3" s="119" t="n">
        <f aca="false">(BE3+BF3)*0.475*44/12</f>
        <v>0</v>
      </c>
      <c r="BH3" s="120" t="n">
        <f aca="false">BG3+(AY3+AZ3)*44/12</f>
        <v>256.666666666667</v>
      </c>
      <c r="BI3" s="120" t="n">
        <f aca="true">AVERAGE(OFFSET($BH$3,0,0,'Données projet'!$E$11+1,1))-AVERAGE(OFFSET($H$3,0,0,'Données projet'!$E$11+1,1))</f>
        <v>321.235999689929</v>
      </c>
      <c r="BJ3" s="120" t="n">
        <f aca="false">IF('Données projet'!E11&gt;30,$BH$33-$H$33,LOOKUP('Données projet'!$E$11,$A$3:$A$203,BH3:BH203)-LOOKUP('Données projet'!$E$11,$A$3:$A$203,$H$3:$H$203))</f>
        <v>388.051958478005</v>
      </c>
      <c r="BK3" s="121" t="n">
        <f aca="false">IF(ISNA(VLOOKUP(A3,'Données projet'!$A$87:$I$107,3,0)),0,VLOOKUP(A3,'Données projet'!$A$87:$I$107,3,0))</f>
        <v>0</v>
      </c>
      <c r="BL3" s="121" t="n">
        <f aca="false">IF(ISNA(VLOOKUP(A3,'Données projet'!$A$87:$I$107,4,0)),0,VLOOKUP(A3,'Données projet'!$A$87:$I$107,4,0))</f>
        <v>0</v>
      </c>
      <c r="BM3" s="122" t="n">
        <f aca="false">IF(ISNA(VLOOKUP(A3,'Données projet'!$A$87:$I$107,5,0)),0%,VLOOKUP(A3,'Données projet'!$A$87:$I$107,5,0)*VLOOKUP('Données projet'!$B$11,Paramètres!$A$1:$I$89,7,0))</f>
        <v>0</v>
      </c>
      <c r="BN3" s="122" t="n">
        <f aca="false">IF(ISNA(VLOOKUP(A3,'Données projet'!$A$87:$I$107,6,0)),0%,VLOOKUP(A3,'Données projet'!$A$87:$I$107,6,0)*VLOOKUP('Données projet'!$B$11,Paramètres!$A$1:$I$89,7,0))</f>
        <v>0</v>
      </c>
      <c r="BO3" s="122" t="n">
        <f aca="false">IF(ISNA(VLOOKUP(A3,'Données projet'!$A$87:$I$107,7,0)),0%,VLOOKUP(A3,'Données projet'!$A$87:$I$107,7,0))</f>
        <v>0</v>
      </c>
      <c r="BP3" s="121" t="n">
        <v>0</v>
      </c>
      <c r="BQ3" s="121" t="n">
        <v>0</v>
      </c>
      <c r="BR3" s="121" t="n">
        <v>0</v>
      </c>
      <c r="BS3" s="123" t="n">
        <f aca="false">SUM(BP3:BR3)</f>
        <v>0</v>
      </c>
      <c r="BT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18" t="n">
        <v>0</v>
      </c>
      <c r="BW3" s="118" t="e">
        <f aca="false">VLOOKUP(A3,'Données projet'!$A$113:$I$133,9,0)</f>
        <v>#N/A</v>
      </c>
      <c r="BX3" s="118" t="n">
        <v>0</v>
      </c>
      <c r="BY3" s="118" t="n">
        <v>0</v>
      </c>
      <c r="BZ3" s="125" t="n">
        <f aca="false">BY3*VLOOKUP('Données projet'!$B$12,Paramètres!$A$1:$I$89,3,0)*VLOOKUP('Données projet'!$B$12,Paramètres!$A$1:$I$89,5,0)</f>
        <v>0</v>
      </c>
      <c r="CA3" s="118" t="n">
        <v>0</v>
      </c>
      <c r="CB3" s="119" t="n">
        <f aca="false">(BZ3+CA3)*0.475*44/12</f>
        <v>0</v>
      </c>
      <c r="CC3" s="120" t="n">
        <f aca="false">CB3+(BT3+BU3)*44/12</f>
        <v>256.666666666667</v>
      </c>
      <c r="CD3" s="120" t="n">
        <f aca="true">AVERAGE(OFFSET($CC$3,0,0,'Données projet'!$E$12+1,1))-AVERAGE(OFFSET($H$3,0,0,'Données projet'!$E$12+1,1))</f>
        <v>240.228848647662</v>
      </c>
      <c r="CE3" s="120" t="n">
        <f aca="false">IF('Données projet'!E12&gt;30,$CC$33-$H$33,LOOKUP('Données projet'!$E$12,$A$3:$A$203,CC3:CC203)-LOOKUP('Données projet'!$E$12,$A$3:$A$203,$H$3:$H$203))</f>
        <v>343.237768841432</v>
      </c>
      <c r="CF3" s="121" t="n">
        <f aca="false">IF(ISNA(VLOOKUP(A3,'Données projet'!$A$113:$I$133,3,0)),0,VLOOKUP(A3,'Données projet'!$A$113:$I$133,3,0))</f>
        <v>0</v>
      </c>
      <c r="CG3" s="121" t="n">
        <f aca="false">IF(ISNA(VLOOKUP(A3,'Données projet'!$A$113:$I$133,4,0)),0,VLOOKUP(A3,'Données projet'!$A$113:$I$133,4,0))</f>
        <v>0</v>
      </c>
      <c r="CH3" s="122" t="n">
        <f aca="false">IF(ISNA(VLOOKUP(A3,'Données projet'!$A$113:$I$133,5,0)),0%,VLOOKUP(A3,'Données projet'!$A$113:$I$133,5,0)*VLOOKUP('Données projet'!$B$12,Paramètres!$A$1:$I$89,7,0))</f>
        <v>0</v>
      </c>
      <c r="CI3" s="122" t="n">
        <f aca="false">IF(ISNA(VLOOKUP(A3,'Données projet'!$A$113:$I$133,6,0)),0%,VLOOKUP(A3,'Données projet'!$A$113:$I$133,6,0)*VLOOKUP('Données projet'!$B$12,Paramètres!$A$1:$I$89,7,0))</f>
        <v>0</v>
      </c>
      <c r="CJ3" s="122" t="n">
        <f aca="false">IF(ISNA(VLOOKUP(A3,'Données projet'!$A$113:$I$133,7,0)),0%,VLOOKUP(A3,'Données projet'!$A$113:$I$133,7,0))</f>
        <v>0</v>
      </c>
      <c r="CK3" s="121" t="n">
        <v>0</v>
      </c>
      <c r="CL3" s="121" t="n">
        <v>0</v>
      </c>
      <c r="CM3" s="121" t="n">
        <v>0</v>
      </c>
      <c r="CN3" s="123" t="n">
        <f aca="false">SUM(CK3:CM3)</f>
        <v>0</v>
      </c>
      <c r="CO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18" t="n">
        <v>0</v>
      </c>
      <c r="CR3" s="118" t="e">
        <f aca="false">VLOOKUP(A3,'Données projet'!$A$139:$I$159,9,0)</f>
        <v>#N/A</v>
      </c>
      <c r="CS3" s="118" t="n">
        <v>0</v>
      </c>
      <c r="CT3" s="118" t="n">
        <v>0</v>
      </c>
      <c r="CU3" s="125" t="n">
        <f aca="false">CT3*VLOOKUP('Données projet'!$B$13,Paramètres!$A$1:$I$89,3,0)*VLOOKUP('Données projet'!$B$13,Paramètres!$A$1:$I$89,5,0)</f>
        <v>0</v>
      </c>
      <c r="CV3" s="118" t="n">
        <v>0</v>
      </c>
      <c r="CW3" s="119" t="n">
        <f aca="false">(CU3+CV3)*0.475*44/12</f>
        <v>0</v>
      </c>
      <c r="CX3" s="120" t="n">
        <f aca="false">CW3+(CO3+CP3)*44/12</f>
        <v>256.666666666667</v>
      </c>
      <c r="CY3" s="120" t="n">
        <f aca="true">AVERAGE(OFFSET($CX$3,0,0,'Données projet'!$E$13+1,1))-AVERAGE(OFFSET($H$3,0,0,'Données projet'!$E$13+1,1))</f>
        <v>207.023069645676</v>
      </c>
      <c r="CZ3" s="120" t="n">
        <f aca="false">IF('Données projet'!E13&gt;30,$CX$33-$H$33,LOOKUP('Données projet'!$E$13,$A$3:$A$203,CX3:CX203)-LOOKUP('Données projet'!$E$13,$A$3:$A$203,$H$3:$H$203))</f>
        <v>342.068879333518</v>
      </c>
      <c r="DA3" s="121" t="n">
        <f aca="false">IF(ISNA(VLOOKUP(A3,'Données projet'!$A$139:$I$159,3,0)),0,VLOOKUP(A3,'Données projet'!$A$139:$I$159,3,0))</f>
        <v>0</v>
      </c>
      <c r="DB3" s="121" t="n">
        <f aca="false">IF(ISNA(VLOOKUP(A3,'Données projet'!$A$139:$I$159,4,0)),0,VLOOKUP(A3,'Données projet'!$A$139:$I$159,4,0))</f>
        <v>0</v>
      </c>
      <c r="DC3" s="122" t="n">
        <f aca="false">IF(ISNA(VLOOKUP(A3,'Données projet'!$A$139:$I$159,5,0)),0%,VLOOKUP(A3,'Données projet'!$A$139:$I$159,5,0)*VLOOKUP('Données projet'!$B$13,Paramètres!$A$1:$I$89,7,0))</f>
        <v>0</v>
      </c>
      <c r="DD3" s="122" t="n">
        <f aca="false">IF(ISNA(VLOOKUP(A3,'Données projet'!$A$139:$I$159,6,0)),0%,VLOOKUP(A3,'Données projet'!$A$139:$I$159,6,0)*VLOOKUP('Données projet'!$B$13,Paramètres!$A$1:$I$89,7,0))</f>
        <v>0</v>
      </c>
      <c r="DE3" s="122" t="n">
        <f aca="false">IF(ISNA(VLOOKUP(A3,'Données projet'!$A$139:$I$159,7,0)),0%,VLOOKUP(A3,'Données projet'!$A$139:$I$159,7,0))</f>
        <v>0</v>
      </c>
      <c r="DF3" s="121" t="n">
        <v>0</v>
      </c>
      <c r="DG3" s="121" t="n">
        <v>0</v>
      </c>
      <c r="DH3" s="121" t="n">
        <v>0</v>
      </c>
      <c r="DI3" s="123" t="n">
        <f aca="false">SUM(DF3:DH3)</f>
        <v>0</v>
      </c>
      <c r="DJ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18" t="n">
        <v>0</v>
      </c>
      <c r="DM3" s="118" t="e">
        <f aca="false">VLOOKUP(A3,'Données projet'!$A$165:$I$185,9,0)</f>
        <v>#N/A</v>
      </c>
      <c r="DN3" s="118" t="n">
        <v>0</v>
      </c>
      <c r="DO3" s="118" t="n">
        <v>0</v>
      </c>
      <c r="DP3" s="125" t="n">
        <f aca="false">DO3*VLOOKUP('Données projet'!$B$14,Paramètres!$A$1:$I$89,3,0)*VLOOKUP('Données projet'!$B$14,Paramètres!$A$1:$I$89,5,0)</f>
        <v>0</v>
      </c>
      <c r="DQ3" s="118" t="n">
        <v>0</v>
      </c>
      <c r="DR3" s="119" t="n">
        <f aca="false">(DP3+DQ3)*0.475*44/12</f>
        <v>0</v>
      </c>
      <c r="DS3" s="120" t="n">
        <f aca="false">DR3+(DJ3+DK3)*44/12</f>
        <v>256.666666666667</v>
      </c>
      <c r="DT3" s="120" t="n">
        <f aca="true">AVERAGE(OFFSET($DS$3,0,0,'Données projet'!$E$14+1,1))-AVERAGE(OFFSET($H$3,0,0,'Données projet'!$E$14+1,1))</f>
        <v>549.432320957297</v>
      </c>
      <c r="DU3" s="120" t="n">
        <f aca="false">IF('Données projet'!E14&gt;30,$DS$33-$H$33,LOOKUP('Données projet'!$E$14,$A$3:$A$203,DS3:DS203)-LOOKUP('Données projet'!$E$14,$A$3:$A$203,$H$3:$H$203))</f>
        <v>280.26155987301</v>
      </c>
      <c r="DV3" s="121" t="n">
        <f aca="false">IF(ISNA(VLOOKUP(A3,'Données projet'!$A$165:$I$185,3,0)),0,VLOOKUP(A3,'Données projet'!$A$165:$I$185,3,0))</f>
        <v>0</v>
      </c>
      <c r="DW3" s="121" t="n">
        <f aca="false">IF(ISNA(VLOOKUP(A3,'Données projet'!$A$165:$I$185,4,0)),0,VLOOKUP(A3,'Données projet'!$A$165:$I$185,4,0))</f>
        <v>0</v>
      </c>
      <c r="DX3" s="122" t="n">
        <f aca="false">IF(ISNA(VLOOKUP(A3,'Données projet'!$A$165:$I$185,5,0)),0%,VLOOKUP(A3,'Données projet'!$A$165:$I$185,5,0)*VLOOKUP('Données projet'!$B$14,Paramètres!$A$1:$I$89,7,0))</f>
        <v>0</v>
      </c>
      <c r="DY3" s="122" t="n">
        <f aca="false">IF(ISNA(VLOOKUP(A3,'Données projet'!$A$165:$I$185,6,0)),0%,VLOOKUP(A3,'Données projet'!$A$165:$I$185,6,0)*VLOOKUP('Données projet'!$B$14,Paramètres!$A$1:$I$89,7,0))</f>
        <v>0</v>
      </c>
      <c r="DZ3" s="122" t="n">
        <f aca="false">IF(ISNA(VLOOKUP(A3,'Données projet'!$A$165:$I$185,7,0)),0%,VLOOKUP(A3,'Données projet'!$A$165:$I$185,7,0))</f>
        <v>0</v>
      </c>
      <c r="EA3" s="121" t="n">
        <v>0</v>
      </c>
      <c r="EB3" s="121" t="n">
        <v>0</v>
      </c>
      <c r="EC3" s="121" t="n">
        <v>0</v>
      </c>
      <c r="ED3" s="123" t="n">
        <f aca="false">SUM(EA3:EC3)</f>
        <v>0</v>
      </c>
      <c r="EE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18" t="n">
        <v>0</v>
      </c>
      <c r="EH3" s="118" t="e">
        <f aca="false">VLOOKUP(A3,'Données projet'!$A$191:$I$211,9,0)</f>
        <v>#N/A</v>
      </c>
      <c r="EI3" s="118" t="n">
        <v>0</v>
      </c>
      <c r="EJ3" s="118" t="n">
        <v>0</v>
      </c>
      <c r="EK3" s="125" t="e">
        <f aca="false">EJ3*VLOOKUP('Données projet'!$B$15,Paramètres!$A$1:$I$89,3,0)*VLOOKUP('Données projet'!$B$15,Paramètres!$A$1:$I$89,5,0)</f>
        <v>#N/A</v>
      </c>
      <c r="EL3" s="118" t="n">
        <v>0</v>
      </c>
      <c r="EM3" s="119" t="e">
        <f aca="false">(EK3+EL3)*0.475*44/12</f>
        <v>#N/A</v>
      </c>
      <c r="EN3" s="120" t="e">
        <f aca="false">EM3+(EE3+EF3)*44/12</f>
        <v>#N/A</v>
      </c>
      <c r="EO3" s="120" t="e">
        <f aca="true">AVERAGE(OFFSET($EN$3,0,0,'Données projet'!$E$15+1,1))-AVERAGE(OFFSET($H$3,0,0,'Données projet'!$E$15+1,1))</f>
        <v>#N/A</v>
      </c>
      <c r="EP3" s="120" t="e">
        <f aca="false">IF('Données projet'!E15&gt;30,$EN$33-$H$33,LOOKUP('Données projet'!$E$15,$A$3:$A$203,EN3:EN203)-LOOKUP('Données projet'!$E$15,$A$3:$A$203,$H$3:$H$203))</f>
        <v>#N/A</v>
      </c>
      <c r="EQ3" s="121" t="n">
        <f aca="false">IF(ISNA(VLOOKUP(A3,'Données projet'!$A$191:$I$211,3,0)),0,VLOOKUP(A3,'Données projet'!$A$191:$I$211,3,0))</f>
        <v>0</v>
      </c>
      <c r="ER3" s="121" t="n">
        <f aca="false">IF(ISNA(VLOOKUP(A3,'Données projet'!$A$191:$I$211,4,0)),0,VLOOKUP(A3,'Données projet'!$A$191:$I$211,4,0))</f>
        <v>0</v>
      </c>
      <c r="ES3" s="122" t="n">
        <f aca="false">IF(ISNA(VLOOKUP(A3,'Données projet'!$A$191:$I$211,5,0)),0%,VLOOKUP(A3,'Données projet'!$A$191:$I$211,5,0)*VLOOKUP('Données projet'!$B$15,Paramètres!$A$1:$I$89,7,0))</f>
        <v>0</v>
      </c>
      <c r="ET3" s="122" t="n">
        <f aca="false">IF(ISNA(VLOOKUP(A3,'Données projet'!$A$191:$I$211,6,0)),0%,VLOOKUP(A3,'Données projet'!$A$191:$I$211,6,0)*VLOOKUP('Données projet'!$B$15,Paramètres!$A$1:$I$89,7,0))</f>
        <v>0</v>
      </c>
      <c r="EU3" s="122" t="n">
        <f aca="false">IF(ISNA(VLOOKUP(A3,'Données projet'!$A$191:$I$211,7,0)),0%,VLOOKUP(A3,'Données projet'!$A$191:$I$211,7,0))</f>
        <v>0</v>
      </c>
      <c r="EV3" s="121" t="n">
        <v>0</v>
      </c>
      <c r="EW3" s="121" t="n">
        <v>0</v>
      </c>
      <c r="EX3" s="121" t="n">
        <v>0</v>
      </c>
      <c r="EY3" s="123" t="n">
        <f aca="false">SUM(EV3:EX3)</f>
        <v>0</v>
      </c>
      <c r="EZ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18" t="n">
        <v>0</v>
      </c>
      <c r="FC3" s="118" t="e">
        <f aca="false">VLOOKUP(A3,'Données projet'!$A$217:$I$237,9,0)</f>
        <v>#N/A</v>
      </c>
      <c r="FD3" s="118" t="n">
        <v>0</v>
      </c>
      <c r="FE3" s="118" t="n">
        <v>0</v>
      </c>
      <c r="FF3" s="125" t="e">
        <f aca="false">FE3*VLOOKUP('Données projet'!$B$16,Paramètres!$A$1:$I$89,3,0)*VLOOKUP('Données projet'!$B$16,Paramètres!$A$1:$I$89,5,0)</f>
        <v>#N/A</v>
      </c>
      <c r="FG3" s="118" t="n">
        <v>0</v>
      </c>
      <c r="FH3" s="119" t="e">
        <f aca="false">(FF3+FG3)*0.475*44/12</f>
        <v>#N/A</v>
      </c>
      <c r="FI3" s="120" t="e">
        <f aca="false">FH3+(EZ3+FA3)*44/12</f>
        <v>#N/A</v>
      </c>
      <c r="FJ3" s="120" t="e">
        <f aca="true">AVERAGE(OFFSET($FI$3,0,0,'Données projet'!$E$16+1,1))-AVERAGE(OFFSET($H$3,0,0,'Données projet'!$E$16+1,1))</f>
        <v>#N/A</v>
      </c>
      <c r="FK3" s="120" t="e">
        <f aca="false">IF('Données projet'!E16&gt;30,$FI$33-$H$33,LOOKUP('Données projet'!$E$16,$A$3:$A$203,FI3:FI203)-LOOKUP('Données projet'!$E$16,$A$3:$A$203,$H$3:$H$203))</f>
        <v>#N/A</v>
      </c>
      <c r="FL3" s="121" t="n">
        <f aca="false">IF(ISNA(VLOOKUP(A3,'Données projet'!$A$217:$I$237,3,0)),0,VLOOKUP(A3,'Données projet'!$A$217:$I$237,3,0))</f>
        <v>0</v>
      </c>
      <c r="FM3" s="121" t="n">
        <f aca="false">IF(ISNA(VLOOKUP(A3,'Données projet'!$A$217:$I$237,4,0)),0,VLOOKUP(A3,'Données projet'!$A$217:$I$237,4,0))</f>
        <v>0</v>
      </c>
      <c r="FN3" s="122" t="n">
        <f aca="false">IF(ISNA(VLOOKUP(A3,'Données projet'!$A$217:$I$237,5,0)),0%,VLOOKUP(A3,'Données projet'!$A$217:$I$237,5,0)*VLOOKUP('Données projet'!$B$16,Paramètres!$A$1:$I$89,7,0))</f>
        <v>0</v>
      </c>
      <c r="FO3" s="122" t="n">
        <f aca="false">IF(ISNA(VLOOKUP(A3,'Données projet'!$A$217:$I$237,6,0)),0%,VLOOKUP(A3,'Données projet'!$A$217:$I$237,6,0)*VLOOKUP('Données projet'!$B$16,Paramètres!$A$1:$I$89,7,0))</f>
        <v>0</v>
      </c>
      <c r="FP3" s="122" t="n">
        <f aca="false">IF(ISNA(VLOOKUP(A3,'Données projet'!$A$217:$I$237,7,0)),0%,VLOOKUP(A3,'Données projet'!$A$217:$I$237,7,0))</f>
        <v>0</v>
      </c>
      <c r="FQ3" s="121" t="n">
        <v>0</v>
      </c>
      <c r="FR3" s="121" t="n">
        <v>0</v>
      </c>
      <c r="FS3" s="121" t="n">
        <v>0</v>
      </c>
      <c r="FT3" s="123" t="n">
        <f aca="false">SUM(FQ3:FS3)</f>
        <v>0</v>
      </c>
      <c r="FU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18" t="n">
        <v>0</v>
      </c>
      <c r="FX3" s="118" t="e">
        <f aca="false">VLOOKUP(A3,'Données projet'!$A$243:$I$263,9,0)</f>
        <v>#N/A</v>
      </c>
      <c r="FY3" s="118" t="n">
        <v>0</v>
      </c>
      <c r="FZ3" s="118" t="n">
        <v>0</v>
      </c>
      <c r="GA3" s="125" t="e">
        <f aca="false">FZ3*VLOOKUP('Données projet'!$B$17,Paramètres!$A$1:$I$89,3,0)*VLOOKUP('Données projet'!$B$17,Paramètres!$A$1:$I$89,5,0)</f>
        <v>#N/A</v>
      </c>
      <c r="GB3" s="118" t="n">
        <v>0</v>
      </c>
      <c r="GC3" s="119" t="e">
        <f aca="false">(GA3+GB3)*0.475*44/12</f>
        <v>#N/A</v>
      </c>
      <c r="GD3" s="120" t="e">
        <f aca="false">GC3+(FU3+FV3)*44/12</f>
        <v>#N/A</v>
      </c>
      <c r="GE3" s="120" t="e">
        <f aca="true">AVERAGE(OFFSET($GD$3,0,0,'Données projet'!$E$17+1,1))-AVERAGE(OFFSET($H$3,0,0,'Données projet'!$E$17+1,1))</f>
        <v>#N/A</v>
      </c>
      <c r="GF3" s="120" t="e">
        <f aca="false">IF('Données projet'!E17&gt;30,$GD$33-$H$33,LOOKUP('Données projet'!$E$17,$A$3:$A$203,GD3:GD203)-LOOKUP('Données projet'!$E$17,$A$3:$A$203,$H$3:$H$203))</f>
        <v>#N/A</v>
      </c>
      <c r="GG3" s="121" t="n">
        <f aca="false">IF(ISNA(VLOOKUP(A3,'Données projet'!$A$243:$I$263,3,0)),0,VLOOKUP(A3,'Données projet'!$A$243:$I$263,3,0))</f>
        <v>0</v>
      </c>
      <c r="GH3" s="121" t="n">
        <f aca="false">IF(ISNA(VLOOKUP(A3,'Données projet'!$A$243:$I$263,4,0)),0,VLOOKUP(A3,'Données projet'!$A$243:$I$263,4,0))</f>
        <v>0</v>
      </c>
      <c r="GI3" s="122" t="n">
        <f aca="false">IF(ISNA(VLOOKUP(A3,'Données projet'!$A$243:$I$263,5,0)),0%,VLOOKUP(A3,'Données projet'!$A$243:$I$263,5,0)*VLOOKUP('Données projet'!$B$17,Paramètres!$A$1:$I$89,7,0))</f>
        <v>0</v>
      </c>
      <c r="GJ3" s="122" t="n">
        <f aca="false">IF(ISNA(VLOOKUP(A3,'Données projet'!$A$243:$I$263,6,0)),0%,VLOOKUP(A3,'Données projet'!$A$243:$I$263,6,0)*VLOOKUP('Données projet'!$B$17,Paramètres!$A$1:$I$89,7,0))</f>
        <v>0</v>
      </c>
      <c r="GK3" s="122" t="n">
        <f aca="false">IF(ISNA(VLOOKUP(A3,'Données projet'!$A$243:$I$263,7,0)),0%,VLOOKUP(A3,'Données projet'!$A$243:$I$263,7,0))</f>
        <v>0</v>
      </c>
      <c r="GL3" s="121" t="n">
        <v>0</v>
      </c>
      <c r="GM3" s="121" t="n">
        <v>0</v>
      </c>
      <c r="GN3" s="121" t="n">
        <v>0</v>
      </c>
      <c r="GO3" s="121" t="n">
        <f aca="false">SUM(GL3:GN3)</f>
        <v>0</v>
      </c>
      <c r="GP3" s="126" t="n">
        <f aca="false"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8" t="n">
        <f aca="false"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18" t="n">
        <v>0</v>
      </c>
      <c r="GS3" s="118" t="e">
        <f aca="false">VLOOKUP(A3,'Données projet'!$A$269:$I$289,9,0)</f>
        <v>#N/A</v>
      </c>
      <c r="GT3" s="118" t="n">
        <v>0</v>
      </c>
      <c r="GU3" s="118" t="n">
        <v>0</v>
      </c>
      <c r="GV3" s="125" t="e">
        <f aca="false">GU3*VLOOKUP('Données projet'!$B$18,Paramètres!$A$1:$I$89,3,0)*VLOOKUP('Données projet'!$B$18,Paramètres!$A$1:$I$89,5,0)</f>
        <v>#N/A</v>
      </c>
      <c r="GW3" s="118" t="n">
        <v>0</v>
      </c>
      <c r="GX3" s="119" t="e">
        <f aca="false">(GV3+GW3)*0.475*44/12</f>
        <v>#N/A</v>
      </c>
      <c r="GY3" s="120" t="e">
        <f aca="false">GX3+(GP3+GQ3)*44/12</f>
        <v>#N/A</v>
      </c>
      <c r="GZ3" s="120" t="e">
        <f aca="true">AVERAGE(OFFSET($GY$3,0,0,'Données projet'!$E$18+1,1))-AVERAGE(OFFSET($H$3,0,0,'Données projet'!$E$18+1,1))</f>
        <v>#N/A</v>
      </c>
      <c r="HA3" s="120" t="e">
        <f aca="false">IF('Données projet'!E18&gt;30,$GY$33-$H$33,LOOKUP('Données projet'!$E$18,$A$3:$A$203,GY3:GY203)-LOOKUP('Données projet'!$E$18,$A$3:$A$203,$H$3:$H$203))</f>
        <v>#N/A</v>
      </c>
      <c r="HB3" s="121" t="n">
        <f aca="false">IF(ISNA(VLOOKUP(A3,'Données projet'!$A$269:$I$289,3,0)),0,VLOOKUP(A3,'Données projet'!$A$269:$I$289,3,0))</f>
        <v>0</v>
      </c>
      <c r="HC3" s="121" t="n">
        <f aca="false">IF(ISNA(VLOOKUP(A3,'Données projet'!$A$269:$I$289,4,0)),0,VLOOKUP(A3,'Données projet'!$A$269:$I$289,4,0))</f>
        <v>0</v>
      </c>
      <c r="HD3" s="122" t="n">
        <f aca="false">IF(ISNA(VLOOKUP(A3,'Données projet'!$A$269:$I$289,5,0)),0%,VLOOKUP(A3,'Données projet'!$A$269:$I$289,5,0)*VLOOKUP('Données projet'!$B$18,Paramètres!$A$1:$I$89,7,0))</f>
        <v>0</v>
      </c>
      <c r="HE3" s="122" t="n">
        <f aca="false">IF(ISNA(VLOOKUP(A3,'Données projet'!$A$269:$I$289,6,0)),0%,VLOOKUP(A3,'Données projet'!$A$269:$I$289,6,0)*VLOOKUP('Données projet'!$B$18,Paramètres!$A$1:$I$89,7,0))</f>
        <v>0</v>
      </c>
      <c r="HF3" s="122" t="n">
        <f aca="false">IF(ISNA(VLOOKUP(A3,'Données projet'!$A$269:$I$289,7,0)),0%,VLOOKUP(A3,'Données projet'!$A$269:$I$289,7,0))</f>
        <v>0</v>
      </c>
      <c r="HG3" s="121" t="n">
        <v>0</v>
      </c>
      <c r="HH3" s="121" t="n">
        <v>0</v>
      </c>
      <c r="HI3" s="121" t="n">
        <v>0</v>
      </c>
      <c r="HJ3" s="123" t="n">
        <f aca="false">SUM(HG3:HI3)</f>
        <v>0</v>
      </c>
    </row>
    <row r="4" customFormat="false" ht="14.25" hidden="false" customHeight="false" outlineLevel="0" collapsed="false">
      <c r="A4" s="112" t="n">
        <f aca="false">A3+1</f>
        <v>1</v>
      </c>
      <c r="B4" s="113" t="n">
        <f aca="false">'Scénario référence'!$B$16*5+'Scénario référence'!$B$17*0+'Scénario référence'!$B$18*5</f>
        <v>0</v>
      </c>
      <c r="C4" s="127" t="n">
        <f aca="false"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4" t="n">
        <f aca="false">IFERROR(EXP(-1.0587+0.8836*LN(C4)+0.284),0)</f>
        <v>0</v>
      </c>
      <c r="E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" s="114" t="n">
        <f aca="false">IF(OR('Scénario référence'!$F$8&gt;0,'Scénario référence'!$F$9&gt;0),('Scénario référence'!$F$8+'Scénario référence'!$F$9)*10,0)</f>
        <v>0</v>
      </c>
      <c r="G4" s="114" t="n">
        <f aca="false"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15" t="n">
        <f aca="false">(B4+E4+F4)*44/12+(C4+D4)*0.475*44/12</f>
        <v>256.666666666667</v>
      </c>
      <c r="I4" s="11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7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K4" s="118" t="e">
        <f aca="false">VLOOKUP(A4,'Données projet'!$A$35:$I$55,2,0)</f>
        <v>#N/A</v>
      </c>
      <c r="L4" s="118" t="e">
        <f aca="false">VLOOKUP(A4,'Données projet'!$A$35:$I$55,9,0)</f>
        <v>#N/A</v>
      </c>
      <c r="M4" s="118" t="n">
        <f aca="false" t="array" ref="M4:M4">INDEX(L:L,MIN(IF(ISNUMBER(L4:L200),ROW(L4:L200),"")))</f>
        <v>7.9</v>
      </c>
      <c r="N4" s="117" t="n">
        <f aca="false">IF('Données projet'!$A$36&gt;35,N3+M4-V3,IF(A4&lt;'Données projet'!$A$36,$K$205^A4,IF(A4='Données projet'!$A$36,'Données projet'!$B$36,N3+M4-V3)))</f>
        <v>1.28805039265809</v>
      </c>
      <c r="O4" s="117" t="n">
        <f aca="false">N4*VLOOKUP('Données projet'!$B$9,Paramètres!$A$1:$I$89,3,0)*VLOOKUP('Données projet'!$B$9,Paramètres!$A$1:$I$89,5,0)</f>
        <v>0.602807583763984</v>
      </c>
      <c r="P4" s="117" t="n">
        <f aca="false">EXP(-1.0587+0.8836*LN(O4)+0.284)</f>
        <v>0.29465781953181</v>
      </c>
      <c r="Q4" s="128" t="n">
        <f aca="false">(O4+P4)*0.475*44/12</f>
        <v>1.56308557740684</v>
      </c>
      <c r="R4" s="120" t="n">
        <f aca="false">Q4+(I4+J4)*44/12</f>
        <v>259.451974466296</v>
      </c>
      <c r="S4" s="120" t="n">
        <f aca="true">AVERAGE(OFFSET($R$3,0,0,'Données projet'!$E$9+1,1))-AVERAGE(OFFSET($H$3,0,0,'Données projet'!$E$9+1,1))</f>
        <v>319.229030946746</v>
      </c>
      <c r="T4" s="120" t="n">
        <f aca="false">$T$3</f>
        <v>254.586909731428</v>
      </c>
      <c r="U4" s="121" t="n">
        <f aca="false">IF(ISNA(VLOOKUP(A4,'Données projet'!$A$35:$I$55,3,0)),0,VLOOKUP(A4,'Données projet'!$A$35:$I$55,3,0))</f>
        <v>0</v>
      </c>
      <c r="V4" s="121" t="n">
        <f aca="false">IF(ISNA(VLOOKUP(A4,'Données projet'!$A$35:$I$55,4,0)),0,VLOOKUP(A4,'Données projet'!$A$35:$I$55,4,0))</f>
        <v>0</v>
      </c>
      <c r="W4" s="122" t="n">
        <f aca="false">IF(ISNA(VLOOKUP(A4,'Données projet'!$A$35:$I$55,5,0)),0%,VLOOKUP(A4,'Données projet'!$A$35:$I$55,5,0)*VLOOKUP('Données projet'!$B$9,Paramètres!$A$1:$I$89,7,0))</f>
        <v>0</v>
      </c>
      <c r="X4" s="122" t="n">
        <f aca="false">IF(ISNA(VLOOKUP(A4,'Données projet'!$A$35:$I$55,6,0)),0%,VLOOKUP(A4,'Données projet'!$A$35:$I$55,6,0)*VLOOKUP('Données projet'!$B$9,Paramètres!$A$1:$I$89,7,0))</f>
        <v>0</v>
      </c>
      <c r="Y4" s="122" t="n">
        <f aca="false">IF(ISNA(VLOOKUP(A4,'Données projet'!$A$35:$I$55,7,0)),0%,VLOOKUP(A4,'Données projet'!$A$35:$I$55,7,0))</f>
        <v>0</v>
      </c>
      <c r="Z4" s="129" t="n">
        <f aca="false">EXP(-LN(2)/35)*Z3+(1-EXP(-LN(2)/35))/(LN(2)/35)*V4*W4*VLOOKUP('Données projet'!$B$9,Paramètres!$A$1:$I$89,3,0)*0.475*44/12</f>
        <v>0</v>
      </c>
      <c r="AA4" s="129" t="n">
        <f aca="false">EXP(-LN(2)/25)*AA3+(1-EXP(-LN(2)/25))/(LN(2)/25)*Calculateur!V4*Calculateur!X4*VLOOKUP('Données projet'!$B$9,Paramètres!$A$1:$I$89,3,0)*0.475*44/12</f>
        <v>0</v>
      </c>
      <c r="AB4" s="129" t="n">
        <f aca="false">EXP(-LN(2)/2)*AB3+(1-EXP(-LN(2)/2))/(LN(2)/2)*V4*Y4*VLOOKUP('Données projet'!$B$9,Paramètres!$A$1:$I$89,3,0)*0.475*44/12</f>
        <v>0</v>
      </c>
      <c r="AC4" s="130" t="n">
        <f aca="false">SUM(Z4:AB4)</f>
        <v>0</v>
      </c>
      <c r="AD4" s="117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7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AF4" s="118" t="e">
        <f aca="false">VLOOKUP(A4,'Données projet'!$A$61:$I$81,2,0)</f>
        <v>#N/A</v>
      </c>
      <c r="AG4" s="118" t="e">
        <f aca="false">VLOOKUP(A4,'Données projet'!$A$61:$I$81,9,0)</f>
        <v>#N/A</v>
      </c>
      <c r="AH4" s="118" t="n">
        <f aca="false" t="array" ref="AH4:AH4">INDEX(AG:AG,MIN(IF(ISNUMBER(AG4:AG200),ROW(AG4:AG200),"")))</f>
        <v>7.04347826086957</v>
      </c>
      <c r="AI4" s="117" t="n">
        <f aca="false">IF('Données projet'!$A$62&gt;35,AI3+AH4-AQ3,IF(A4&lt;'Données projet'!$A$62,$AF$205^A4,IF(A4='Données projet'!$A$62,'Données projet'!$B$62,AI3+AH4-AQ3)))</f>
        <v>1.2475727214129</v>
      </c>
      <c r="AJ4" s="117" t="n">
        <f aca="false">AI4*VLOOKUP('Données projet'!$B$10,Paramètres!$A$1:$I$89,3,0)*VLOOKUP('Données projet'!$B$10,Paramètres!$A$1:$I$89,5,0)</f>
        <v>0.69739315126981</v>
      </c>
      <c r="AK4" s="117" t="n">
        <f aca="false">EXP(-1.0587+0.8836*LN(AJ4)+0.284)</f>
        <v>0.335157499185329</v>
      </c>
      <c r="AL4" s="128" t="n">
        <f aca="false">(AJ4+AK4)*0.475*44/12</f>
        <v>1.7983590495427</v>
      </c>
      <c r="AM4" s="120" t="n">
        <f aca="false">AL4+(AD4+AE4)*44/12</f>
        <v>259.687247938432</v>
      </c>
      <c r="AN4" s="120" t="n">
        <f aca="true">AVERAGE(OFFSET($AM$3,0,0,'Données projet'!$E$10+1,1))-AVERAGE(OFFSET($H$3,0,0,'Données projet'!$E$10+1,1))</f>
        <v>365.705101827279</v>
      </c>
      <c r="AO4" s="120" t="n">
        <f aca="false">$AO$3</f>
        <v>436.238338449625</v>
      </c>
      <c r="AP4" s="121" t="n">
        <f aca="false">IF(ISNA(VLOOKUP(A4,'Données projet'!$A$61:$I$81,3,0)),0,VLOOKUP(A4,'Données projet'!$A$61:$I$81,3,0))</f>
        <v>0</v>
      </c>
      <c r="AQ4" s="121" t="n">
        <f aca="false">IF(ISNA(VLOOKUP(A4,'Données projet'!$A$61:$I$81,4,0)),0,VLOOKUP(A4,'Données projet'!$A$61:$I$81,4,0))</f>
        <v>0</v>
      </c>
      <c r="AR4" s="122" t="n">
        <f aca="false">IF(ISNA(VLOOKUP(A4,'Données projet'!$A$61:$I$81,5,0)),0%,VLOOKUP(A4,'Données projet'!$A$61:$I$81,5,0)*VLOOKUP('Données projet'!$B$10,Paramètres!$A$1:$I$89,7,0))</f>
        <v>0</v>
      </c>
      <c r="AS4" s="122" t="n">
        <f aca="false">IF(ISNA(VLOOKUP(A4,'Données projet'!$A$61:$I$81,6,0)),0%,VLOOKUP(A4,'Données projet'!$A$61:$I$81,6,0)*VLOOKUP('Données projet'!$B$10,Paramètres!$A$1:$I$89,7,0))</f>
        <v>0</v>
      </c>
      <c r="AT4" s="122" t="n">
        <f aca="false">IF(ISNA(VLOOKUP(A4,'Données projet'!$A$61:$I$81,7,0)),0%,VLOOKUP(A4,'Données projet'!$A$61:$I$81,7,0))</f>
        <v>0</v>
      </c>
      <c r="AU4" s="129" t="n">
        <f aca="false">EXP(-LN(2)/35)*AU3+(1-EXP(-LN(2)/35))/(LN(2)/35)*AQ4*AR4*VLOOKUP('Données projet'!$B$10,Paramètres!$A$1:$I$89,3,0)*0.475*44/12</f>
        <v>0</v>
      </c>
      <c r="AV4" s="129" t="n">
        <f aca="false">EXP(-LN(2)/25)*AV3+(1-EXP(-LN(2)/25))/(LN(2)/25)*Calculateur!AQ4*Calculateur!AS4*VLOOKUP('Données projet'!$B$10,Paramètres!$A$1:$I$89,3,0)*0.475*44/12</f>
        <v>0</v>
      </c>
      <c r="AW4" s="129" t="n">
        <f aca="false">EXP(-LN(2)/2)*AW3+(1-EXP(-LN(2)/2))/(LN(2)/2)*AQ4*AT4*VLOOKUP('Données projet'!$B$10,Paramètres!$A$1:$I$89,3,0)*0.475*44/12</f>
        <v>0</v>
      </c>
      <c r="AX4" s="129" t="n">
        <f aca="false">SUM(AU4:AW4)</f>
        <v>0</v>
      </c>
      <c r="AY4" s="124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BA4" s="118" t="e">
        <f aca="false">VLOOKUP(A4,'Données projet'!$A$87:$I$107,2,0)</f>
        <v>#N/A</v>
      </c>
      <c r="BB4" s="118" t="e">
        <f aca="false">VLOOKUP(A4,'Données projet'!$A$87:$I$107,9,0)</f>
        <v>#N/A</v>
      </c>
      <c r="BC4" s="118" t="n">
        <f aca="false" t="array" ref="BC4:BC4">INDEX(BB:BB,MIN(IF(ISNUMBER(BB4:BB200),ROW(BB4:BB200),"")))</f>
        <v>5.8</v>
      </c>
      <c r="BD4" s="118" t="n">
        <f aca="false">IF('Données projet'!$A$88&gt;35,BD3+BC4-BL3,IF(A4&lt;'Données projet'!$A$88,$BA$205^A4,IF(A4='Données projet'!$A$88,'Données projet'!$B$88,BD3+BC4-BL3)))</f>
        <v>1.3467943429206</v>
      </c>
      <c r="BE4" s="117" t="n">
        <f aca="false">BD4*VLOOKUP('Données projet'!$B$11,Paramètres!$A$1:$I$89,3,0)*VLOOKUP('Données projet'!$B$11,Paramètres!$A$1:$I$89,5,0)</f>
        <v>1.17655953797544</v>
      </c>
      <c r="BF4" s="117" t="n">
        <f aca="false">EXP(-1.0587+0.8836*LN(BE4)+0.284)</f>
        <v>0.532042731855618</v>
      </c>
      <c r="BG4" s="128" t="n">
        <f aca="false">(BE4+BF4)*0.475*44/12</f>
        <v>2.97581561995575</v>
      </c>
      <c r="BH4" s="120" t="n">
        <f aca="false">BG4+(AY4+AZ4)*44/12</f>
        <v>260.864704508845</v>
      </c>
      <c r="BI4" s="120" t="n">
        <f aca="true">AVERAGE(OFFSET($BH$3,0,0,'Données projet'!$E$11+1,1))-AVERAGE(OFFSET($H$3,0,0,'Données projet'!$E$11+1,1))</f>
        <v>321.235999689929</v>
      </c>
      <c r="BJ4" s="120" t="n">
        <f aca="false">$BJ$3</f>
        <v>388.051958478005</v>
      </c>
      <c r="BK4" s="121" t="n">
        <f aca="false">IF(ISNA(VLOOKUP(A4,'Données projet'!$A$87:$I$107,3,0)),0,VLOOKUP(A4,'Données projet'!$A$87:$I$107,3,0))</f>
        <v>0</v>
      </c>
      <c r="BL4" s="121" t="n">
        <f aca="false">IF(ISNA(VLOOKUP(A4,'Données projet'!$A$87:$I$107,4,0)),0,VLOOKUP(A4,'Données projet'!$A$87:$I$107,4,0))</f>
        <v>0</v>
      </c>
      <c r="BM4" s="122" t="n">
        <f aca="false">IF(ISNA(VLOOKUP(A4,'Données projet'!$A$87:$I$107,5,0)),0%,VLOOKUP(A4,'Données projet'!$A$87:$I$107,5,0)*VLOOKUP('Données projet'!$B$11,Paramètres!$A$1:$I$89,7,0))</f>
        <v>0</v>
      </c>
      <c r="BN4" s="122" t="n">
        <f aca="false">IF(ISNA(VLOOKUP(A4,'Données projet'!$A$87:$I$107,6,0)),0%,VLOOKUP(A4,'Données projet'!$A$87:$I$107,6,0)*VLOOKUP('Données projet'!$B$11,Paramètres!$A$1:$I$89,7,0))</f>
        <v>0</v>
      </c>
      <c r="BO4" s="122" t="n">
        <f aca="false">IF(ISNA(VLOOKUP(A4,'Données projet'!$A$87:$I$107,7,0)),0%,VLOOKUP(A4,'Données projet'!$A$87:$I$107,7,0))</f>
        <v>0</v>
      </c>
      <c r="BP4" s="129" t="n">
        <f aca="false">EXP(-LN(2)/35)*BP3+(1-EXP(-LN(2)/35))/(LN(2)/35)*BL4*BM4*VLOOKUP('Données projet'!$B$11,Paramètres!$A$1:$I$89,3,0)*0.475*44/12</f>
        <v>0</v>
      </c>
      <c r="BQ4" s="129" t="n">
        <f aca="false">EXP(-LN(2)/25)*BQ3+(1-EXP(-LN(2)/25))/(LN(2)/25)*Calculateur!BL4*Calculateur!BN4*VLOOKUP('Données projet'!$B$11,Paramètres!$A$1:$I$89,3,0)*0.475*44/12</f>
        <v>0</v>
      </c>
      <c r="BR4" s="129" t="n">
        <f aca="false">EXP(-LN(2)/2)*BR3+(1-EXP(-LN(2)/2))/(LN(2)/2)*BL4*BO4*VLOOKUP('Données projet'!$B$11,Paramètres!$A$1:$I$89,3,0)*0.475*44/12</f>
        <v>0</v>
      </c>
      <c r="BS4" s="130" t="n">
        <f aca="false">SUM(BP4:BR4)</f>
        <v>0</v>
      </c>
      <c r="BT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BV4" s="118" t="e">
        <f aca="false">VLOOKUP(A4,'Données projet'!$A$113:$I$133,2,0)</f>
        <v>#N/A</v>
      </c>
      <c r="BW4" s="118" t="e">
        <f aca="false">VLOOKUP(A4,'Données projet'!$A$113:$I$133,9,0)</f>
        <v>#N/A</v>
      </c>
      <c r="BX4" s="118" t="n">
        <f aca="false" t="array" ref="BX4:BX4">INDEX(BW:BW,MIN(IF(ISNUMBER(BW4:BW200),ROW(BW4:BW200),"")))</f>
        <v>6.22222222222222</v>
      </c>
      <c r="BY4" s="118" t="n">
        <f aca="false">IF('Données projet'!$A$114&gt;35,BY3+BX4-CG3,IF(A4&lt;'Données projet'!$A$114,$BV$205^A4,IF(A4='Données projet'!$A$114,'Données projet'!$B$114,BY3+BX4-CG3)))</f>
        <v>1.29970696326233</v>
      </c>
      <c r="BZ4" s="117" t="n">
        <f aca="false">BY4*VLOOKUP('Données projet'!$B$12,Paramètres!$A$1:$I$89,3,0)*VLOOKUP('Données projet'!$B$12,Paramètres!$A$1:$I$89,5,0)</f>
        <v>0.811017145075695</v>
      </c>
      <c r="CA4" s="117" t="n">
        <f aca="false">EXP(-1.0587+0.8836*LN(BZ4)+0.284)</f>
        <v>0.382975510843547</v>
      </c>
      <c r="CB4" s="128" t="n">
        <f aca="false">(BZ4+CA4)*0.475*44/12</f>
        <v>2.07953720905935</v>
      </c>
      <c r="CC4" s="120" t="n">
        <f aca="false">CB4+(BT4+BU4)*44/12</f>
        <v>259.968426097948</v>
      </c>
      <c r="CD4" s="120" t="n">
        <f aca="true">AVERAGE(OFFSET($CC$3,0,0,'Données projet'!$E$12+1,1))-AVERAGE(OFFSET($H$3,0,0,'Données projet'!$E$12+1,1))</f>
        <v>240.228848647662</v>
      </c>
      <c r="CE4" s="120" t="n">
        <f aca="false">$CE$3</f>
        <v>343.237768841432</v>
      </c>
      <c r="CF4" s="121" t="n">
        <f aca="false">IF(ISNA(VLOOKUP(A4,'Données projet'!$A$113:$I$133,3,0)),0,VLOOKUP(A4,'Données projet'!$A$113:$I$133,3,0))</f>
        <v>0</v>
      </c>
      <c r="CG4" s="121" t="n">
        <f aca="false">IF(ISNA(VLOOKUP(A4,'Données projet'!$A$113:$I$133,4,0)),0,VLOOKUP(A4,'Données projet'!$A$113:$I$133,4,0))</f>
        <v>0</v>
      </c>
      <c r="CH4" s="122" t="n">
        <f aca="false">IF(ISNA(VLOOKUP(A4,'Données projet'!$A$113:$I$133,5,0)),0%,VLOOKUP(A4,'Données projet'!$A$113:$I$133,5,0)*VLOOKUP('Données projet'!$B$12,Paramètres!$A$1:$I$89,7,0))</f>
        <v>0</v>
      </c>
      <c r="CI4" s="122" t="n">
        <f aca="false">IF(ISNA(VLOOKUP(A4,'Données projet'!$A$113:$I$133,6,0)),0%,VLOOKUP(A4,'Données projet'!$A$113:$I$133,6,0)*VLOOKUP('Données projet'!$B$12,Paramètres!$A$1:$I$89,7,0))</f>
        <v>0</v>
      </c>
      <c r="CJ4" s="122" t="n">
        <f aca="false">IF(ISNA(VLOOKUP(A4,'Données projet'!$A$113:$I$133,7,0)),0%,VLOOKUP(A4,'Données projet'!$A$113:$I$133,7,0))</f>
        <v>0</v>
      </c>
      <c r="CK4" s="129" t="n">
        <f aca="false">EXP(-LN(2)/35)*CK3+(1-EXP(-LN(2)/35))/(LN(2)/35)*CG4*CH4*VLOOKUP('Données projet'!$B$12,Paramètres!$A$1:$I$89,3,0)*0.475*44/12</f>
        <v>0</v>
      </c>
      <c r="CL4" s="129" t="n">
        <f aca="false">EXP(-LN(2)/25)*CL3+(1-EXP(-LN(2)/25))/(LN(2)/25)*Calculateur!CG4*Calculateur!CI4*VLOOKUP('Données projet'!$B$12,Paramètres!$A$1:$I$89,3,0)*0.475*44/12</f>
        <v>0</v>
      </c>
      <c r="CM4" s="129" t="n">
        <f aca="false">EXP(-LN(2)/2)*CM3+(1-EXP(-LN(2)/2))/(LN(2)/2)*CG4*CJ4*VLOOKUP('Données projet'!$B$12,Paramètres!$A$1:$I$89,3,0)*0.475*44/12</f>
        <v>0</v>
      </c>
      <c r="CN4" s="130" t="n">
        <f aca="false">SUM(CK4:CM4)</f>
        <v>0</v>
      </c>
      <c r="CO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CQ4" s="118" t="e">
        <f aca="false">VLOOKUP(A4,'Données projet'!$A$139:$I$159,2,0)</f>
        <v>#N/A</v>
      </c>
      <c r="CR4" s="118" t="e">
        <f aca="false">VLOOKUP(A4,'Données projet'!$A$139:$I$159,9,0)</f>
        <v>#N/A</v>
      </c>
      <c r="CS4" s="118" t="n">
        <f aca="false" t="array" ref="CS4:CS4">INDEX(CR:CR,MIN(IF(ISNUMBER(CR4:CR200),ROW(CR4:CR200),"")))</f>
        <v>9.66666666666667</v>
      </c>
      <c r="CT4" s="118" t="n">
        <f aca="false">IF('Données projet'!$A$140&gt;35,CT3+CS4-DB3,IF(A4&lt;'Données projet'!$A$140,$CQ$205^A4,IF(A4='Données projet'!$A$140,'Données projet'!$B$140,CT3+CS4-DB3)))</f>
        <v>1.48606623194608</v>
      </c>
      <c r="CU4" s="125" t="n">
        <f aca="false">CT4*VLOOKUP('Données projet'!$B$13,Paramètres!$A$1:$I$89,3,0)*VLOOKUP('Données projet'!$B$13,Paramètres!$A$1:$I$89,5,0)</f>
        <v>0.81139216264256</v>
      </c>
      <c r="CV4" s="117" t="n">
        <f aca="false">EXP(-1.0587+0.8836*LN(CU4)+0.284)</f>
        <v>0.383131982832087</v>
      </c>
      <c r="CW4" s="128" t="n">
        <f aca="false">(CU4+CV4)*0.475*44/12</f>
        <v>2.08046288670168</v>
      </c>
      <c r="CX4" s="120" t="n">
        <f aca="false">CW4+(CO4+CP4)*44/12</f>
        <v>259.969351775591</v>
      </c>
      <c r="CY4" s="120" t="n">
        <f aca="true">AVERAGE(OFFSET($CX$3,0,0,'Données projet'!$E$13+1,1))-AVERAGE(OFFSET($H$3,0,0,'Données projet'!$E$13+1,1))</f>
        <v>207.023069645676</v>
      </c>
      <c r="CZ4" s="120" t="n">
        <f aca="false">$CZ$3</f>
        <v>342.068879333518</v>
      </c>
      <c r="DA4" s="121" t="n">
        <f aca="false">IF(ISNA(VLOOKUP(A4,'Données projet'!$A$139:$I$159,3,0)),0,VLOOKUP(A4,'Données projet'!$A$139:$I$159,3,0))</f>
        <v>0</v>
      </c>
      <c r="DB4" s="121" t="n">
        <f aca="false">IF(ISNA(VLOOKUP(A4,'Données projet'!$A$139:$I$159,4,0)),0,VLOOKUP(A4,'Données projet'!$A$139:$I$159,4,0))</f>
        <v>0</v>
      </c>
      <c r="DC4" s="122" t="n">
        <f aca="false">IF(ISNA(VLOOKUP(A4,'Données projet'!$A$139:$I$159,5,0)),0%,VLOOKUP(A4,'Données projet'!$A$139:$I$159,5,0)*VLOOKUP('Données projet'!$B$13,Paramètres!$A$1:$I$89,7,0))</f>
        <v>0</v>
      </c>
      <c r="DD4" s="122" t="n">
        <f aca="false">IF(ISNA(VLOOKUP(A4,'Données projet'!$A$139:$I$159,6,0)),0%,VLOOKUP(A4,'Données projet'!$A$139:$I$159,6,0)*VLOOKUP('Données projet'!$B$13,Paramètres!$A$1:$I$89,7,0))</f>
        <v>0</v>
      </c>
      <c r="DE4" s="122" t="n">
        <f aca="false">IF(ISNA(VLOOKUP(A4,'Données projet'!$A$139:$I$159,7,0)),0%,VLOOKUP(A4,'Données projet'!$A$139:$I$159,7,0))</f>
        <v>0</v>
      </c>
      <c r="DF4" s="129" t="n">
        <f aca="false">EXP(-LN(2)/35)*DF3+(1-EXP(-LN(2)/35))/(LN(2)/35)*DB4*DC4*VLOOKUP('Données projet'!$B$13,Paramètres!$A$1:$I$89,3,0)*0.475*44/12</f>
        <v>0</v>
      </c>
      <c r="DG4" s="129" t="n">
        <f aca="false">EXP(-LN(2)/25)*DG3+(1-EXP(-LN(2)/25))/(LN(2)/25)*Calculateur!DB4*Calculateur!DD4*VLOOKUP('Données projet'!$B$13,Paramètres!$A$1:$I$89,3,0)*0.475*44/12</f>
        <v>0</v>
      </c>
      <c r="DH4" s="129" t="n">
        <f aca="false">EXP(-LN(2)/2)*DH3+(1-EXP(-LN(2)/2))/(LN(2)/2)*DB4*DE4*VLOOKUP('Données projet'!$B$13,Paramètres!$A$1:$I$89,3,0)*0.475*44/12</f>
        <v>0</v>
      </c>
      <c r="DI4" s="130" t="n">
        <f aca="false">SUM(DF4:DH4)</f>
        <v>0</v>
      </c>
      <c r="DJ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DL4" s="118" t="e">
        <f aca="false">VLOOKUP(A4,'Données projet'!$A$165:$I$185,2,0)</f>
        <v>#N/A</v>
      </c>
      <c r="DM4" s="118" t="e">
        <f aca="false">VLOOKUP(A4,'Données projet'!$A$165:$I$185,9,0)</f>
        <v>#N/A</v>
      </c>
      <c r="DN4" s="118" t="n">
        <f aca="false" t="array" ref="DN4:DN4">INDEX(DM:DM,MIN(IF(ISNUMBER(DM4:DM200),ROW(DM4:DM200),"")))</f>
        <v>3</v>
      </c>
      <c r="DO4" s="118" t="n">
        <f aca="false">IF('Données projet'!$A$166&gt;35,DO3+DN4-DW3,IF(A4&lt;'Données projet'!$A$166,$DL$205^A4,IF(A4='Données projet'!$A$166,'Données projet'!$B$166,DO3+DN4-DW3)))</f>
        <v>1.34800615459728</v>
      </c>
      <c r="DP4" s="125" t="n">
        <f aca="false">DO4*VLOOKUP('Données projet'!$B$14,Paramètres!$A$1:$I$89,3,0)*VLOOKUP('Données projet'!$B$14,Paramètres!$A$1:$I$89,5,0)</f>
        <v>0.806107680449172</v>
      </c>
      <c r="DQ4" s="117" t="n">
        <f aca="false">EXP(-1.0587+0.8836*LN(DP4)+0.284)</f>
        <v>0.380926311835786</v>
      </c>
      <c r="DR4" s="128" t="n">
        <f aca="false">(DP4+DQ4)*0.475*44/12</f>
        <v>2.06741753656297</v>
      </c>
      <c r="DS4" s="120" t="n">
        <f aca="false">DR4+(DJ4+DK4)*44/12</f>
        <v>259.956306425452</v>
      </c>
      <c r="DT4" s="120" t="n">
        <f aca="true">AVERAGE(OFFSET($DS$3,0,0,'Données projet'!$E$14+1,1))-AVERAGE(OFFSET($H$3,0,0,'Données projet'!$E$14+1,1))</f>
        <v>549.432320957297</v>
      </c>
      <c r="DU4" s="120" t="n">
        <f aca="false">$DU$3</f>
        <v>280.26155987301</v>
      </c>
      <c r="DV4" s="121" t="n">
        <f aca="false">IF(ISNA(VLOOKUP(A4,'Données projet'!$A$165:$I$185,3,0)),0,VLOOKUP(A4,'Données projet'!$A$165:$I$185,3,0))</f>
        <v>0</v>
      </c>
      <c r="DW4" s="121" t="n">
        <f aca="false">IF(ISNA(VLOOKUP(A4,'Données projet'!$A$165:$I$185,4,0)),0,VLOOKUP(A4,'Données projet'!$A$165:$I$185,4,0))</f>
        <v>0</v>
      </c>
      <c r="DX4" s="122" t="n">
        <f aca="false">IF(ISNA(VLOOKUP(A4,'Données projet'!$A$165:$I$185,5,0)),0%,VLOOKUP(A4,'Données projet'!$A$165:$I$185,5,0)*VLOOKUP('Données projet'!$B$14,Paramètres!$A$1:$I$89,7,0))</f>
        <v>0</v>
      </c>
      <c r="DY4" s="122" t="n">
        <f aca="false">IF(ISNA(VLOOKUP(A4,'Données projet'!$A$165:$I$185,6,0)),0%,VLOOKUP(A4,'Données projet'!$A$165:$I$185,6,0)*VLOOKUP('Données projet'!$B$14,Paramètres!$A$1:$I$89,7,0))</f>
        <v>0</v>
      </c>
      <c r="DZ4" s="122" t="n">
        <f aca="false">IF(ISNA(VLOOKUP(A4,'Données projet'!$A$165:$I$185,7,0)),0%,VLOOKUP(A4,'Données projet'!$A$165:$I$185,7,0))</f>
        <v>0</v>
      </c>
      <c r="EA4" s="129" t="n">
        <f aca="false">EXP(-LN(2)/35)*EA3+(1-EXP(-LN(2)/35))/(LN(2)/35)*DW4*DX4*VLOOKUP('Données projet'!$B$14,Paramètres!$A$1:$I$89,3,0)*0.475*44/12</f>
        <v>0</v>
      </c>
      <c r="EB4" s="129" t="n">
        <f aca="false">EXP(-LN(2)/25)*EB3+(1-EXP(-LN(2)/25))/(LN(2)/25)*Calculateur!DW4*Calculateur!DY4*VLOOKUP('Données projet'!$B$14,Paramètres!$A$1:$I$89,3,0)*0.475*44/12</f>
        <v>0</v>
      </c>
      <c r="EC4" s="129" t="n">
        <f aca="false">EXP(-LN(2)/2)*EC3+(1-EXP(-LN(2)/2))/(LN(2)/2)*DW4*DZ4*VLOOKUP('Données projet'!$B$14,Paramètres!$A$1:$I$89,3,0)*0.475*44/12</f>
        <v>0</v>
      </c>
      <c r="ED4" s="130" t="n">
        <f aca="false">SUM(EA4:EC4)</f>
        <v>0</v>
      </c>
      <c r="EE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EG4" s="118" t="e">
        <f aca="false">VLOOKUP(A4,'Données projet'!$A$191:$I$211,2,0)</f>
        <v>#N/A</v>
      </c>
      <c r="EH4" s="118" t="e">
        <f aca="false">VLOOKUP(A4,'Données projet'!$A$191:$I$211,9,0)</f>
        <v>#N/A</v>
      </c>
      <c r="EI4" s="118" t="n">
        <f aca="false" t="array" ref="EI4:EI4">INDEX(EH:EH,MIN(IF(ISNUMBER(EH4:EH200),ROW(EH4:EH200),"")))</f>
        <v>0</v>
      </c>
      <c r="EJ4" s="118" t="n">
        <f aca="false">IF('Données projet'!$A$192&gt;35,EJ3+EI4-ER3,IF(A4&lt;'Données projet'!$A$192,$EG$205^A4,IF(A4='Données projet'!$A$192,'Données projet'!$B$192,EJ3+EI4-ER3)))</f>
        <v>0</v>
      </c>
      <c r="EK4" s="125" t="e">
        <f aca="false">EJ4*VLOOKUP('Données projet'!$B$15,Paramètres!$A$1:$I$89,3,0)*VLOOKUP('Données projet'!$B$15,Paramètres!$A$1:$I$89,5,0)</f>
        <v>#N/A</v>
      </c>
      <c r="EL4" s="117" t="e">
        <f aca="false">EXP(-1.0587+0.8836*LN(EK4)+0.284)</f>
        <v>#N/A</v>
      </c>
      <c r="EM4" s="128" t="e">
        <f aca="false">(EK4+EL4)*0.475*44/12</f>
        <v>#N/A</v>
      </c>
      <c r="EN4" s="120" t="e">
        <f aca="false">EM4+(EE4+EF4)*44/12</f>
        <v>#N/A</v>
      </c>
      <c r="EO4" s="120" t="e">
        <f aca="true">AVERAGE(OFFSET($EN$3,0,0,'Données projet'!$E$15+1,1))-AVERAGE(OFFSET($H$3,0,0,'Données projet'!$E$15+1,1))</f>
        <v>#N/A</v>
      </c>
      <c r="EP4" s="120" t="e">
        <f aca="false">$EP$3</f>
        <v>#N/A</v>
      </c>
      <c r="EQ4" s="121" t="n">
        <f aca="false">IF(ISNA(VLOOKUP(A4,'Données projet'!$A$191:$I$211,3,0)),0,VLOOKUP(A4,'Données projet'!$A$191:$I$211,3,0))</f>
        <v>0</v>
      </c>
      <c r="ER4" s="121" t="n">
        <f aca="false">IF(ISNA(VLOOKUP(A4,'Données projet'!$A$191:$I$211,4,0)),0,VLOOKUP(A4,'Données projet'!$A$191:$I$211,4,0))</f>
        <v>0</v>
      </c>
      <c r="ES4" s="122" t="n">
        <f aca="false">IF(ISNA(VLOOKUP(A4,'Données projet'!$A$191:$I$211,5,0)),0%,VLOOKUP(A4,'Données projet'!$A$191:$I$211,5,0)*VLOOKUP('Données projet'!$B$15,Paramètres!$A$1:$I$89,7,0))</f>
        <v>0</v>
      </c>
      <c r="ET4" s="122" t="n">
        <f aca="false">IF(ISNA(VLOOKUP(A4,'Données projet'!$A$191:$I$211,6,0)),0%,VLOOKUP(A4,'Données projet'!$A$191:$I$211,6,0)*VLOOKUP('Données projet'!$B$15,Paramètres!$A$1:$I$89,7,0))</f>
        <v>0</v>
      </c>
      <c r="EU4" s="122" t="n">
        <f aca="false">IF(ISNA(VLOOKUP(A4,'Données projet'!$A$191:$I$211,7,0)),0%,VLOOKUP(A4,'Données projet'!$A$191:$I$211,7,0))</f>
        <v>0</v>
      </c>
      <c r="EV4" s="129" t="e">
        <f aca="false">EXP(-LN(2)/35)*EV3+(1-EXP(-LN(2)/35))/(LN(2)/35)*ER4*ES4*VLOOKUP('Données projet'!$B$15,Paramètres!$A$1:$I$89,3,0)*0.475*44/12</f>
        <v>#N/A</v>
      </c>
      <c r="EW4" s="129" t="e">
        <f aca="false">EXP(-LN(2)/25)*EW3+(1-EXP(-LN(2)/25))/(LN(2)/25)*Calculateur!ER4*Calculateur!ET4*VLOOKUP('Données projet'!$B$15,Paramètres!$A$1:$I$89,3,0)*0.475*44/12</f>
        <v>#N/A</v>
      </c>
      <c r="EX4" s="129" t="e">
        <f aca="false">EXP(-LN(2)/2)*EX3+(1-EXP(-LN(2)/2))/(LN(2)/2)*ER4*EU4*VLOOKUP('Données projet'!$B$15,Paramètres!$A$1:$I$89,3,0)*0.475*44/12</f>
        <v>#N/A</v>
      </c>
      <c r="EY4" s="130" t="e">
        <f aca="false">SUM(EV4:EX4)</f>
        <v>#N/A</v>
      </c>
      <c r="EZ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FB4" s="118" t="e">
        <f aca="false">VLOOKUP(A4,'Données projet'!$A$217:$I$237,2,0)</f>
        <v>#N/A</v>
      </c>
      <c r="FC4" s="118" t="e">
        <f aca="false">VLOOKUP(A4,'Données projet'!$A$217:$I$237,9,0)</f>
        <v>#N/A</v>
      </c>
      <c r="FD4" s="118" t="n">
        <f aca="false" t="array" ref="FD4:FD4">INDEX(FC:FC,MIN(IF(ISNUMBER(FC4:FC200),ROW(FC4:FC200),"")))</f>
        <v>0</v>
      </c>
      <c r="FE4" s="118" t="n">
        <f aca="false">IF('Données projet'!$A$218&gt;35,FE3+FD4-FM3,IF(A4&lt;'Données projet'!$A$218,$FB$205^A4,IF(A4='Données projet'!$A$218,'Données projet'!$B$218,FE3+FD4-FM3)))</f>
        <v>0</v>
      </c>
      <c r="FF4" s="125" t="e">
        <f aca="false">FE4*VLOOKUP('Données projet'!$B$16,Paramètres!$A$1:$I$89,3,0)*VLOOKUP('Données projet'!$B$16,Paramètres!$A$1:$I$89,5,0)</f>
        <v>#N/A</v>
      </c>
      <c r="FG4" s="117" t="e">
        <f aca="false">EXP(-1.0587+0.8836*LN(FF4)+0.284)</f>
        <v>#N/A</v>
      </c>
      <c r="FH4" s="128" t="e">
        <f aca="false">(FF4+FG4)*0.475*44/12</f>
        <v>#N/A</v>
      </c>
      <c r="FI4" s="120" t="e">
        <f aca="false">FH4+(EZ4+FA4)*44/12</f>
        <v>#N/A</v>
      </c>
      <c r="FJ4" s="120" t="e">
        <f aca="true">AVERAGE(OFFSET($FI$3,0,0,'Données projet'!$E$16+1,1))-AVERAGE(OFFSET($H$3,0,0,'Données projet'!$E$16+1,1))</f>
        <v>#N/A</v>
      </c>
      <c r="FK4" s="120" t="e">
        <f aca="false">$FK$3</f>
        <v>#N/A</v>
      </c>
      <c r="FL4" s="121" t="n">
        <f aca="false">IF(ISNA(VLOOKUP(A4,'Données projet'!$A$217:$I$237,3,0)),0,VLOOKUP(A4,'Données projet'!$A$217:$I$237,3,0))</f>
        <v>0</v>
      </c>
      <c r="FM4" s="121" t="n">
        <f aca="false">IF(ISNA(VLOOKUP(A4,'Données projet'!$A$217:$I$237,4,0)),0,VLOOKUP(A4,'Données projet'!$A$217:$I$237,4,0))</f>
        <v>0</v>
      </c>
      <c r="FN4" s="122" t="n">
        <f aca="false">IF(ISNA(VLOOKUP(A4,'Données projet'!$A$217:$I$237,5,0)),0%,VLOOKUP(A4,'Données projet'!$A$217:$I$237,5,0)*VLOOKUP('Données projet'!$B$16,Paramètres!$A$1:$I$89,7,0))</f>
        <v>0</v>
      </c>
      <c r="FO4" s="122" t="n">
        <f aca="false">IF(ISNA(VLOOKUP(A4,'Données projet'!$A$217:$I$237,6,0)),0%,VLOOKUP(A4,'Données projet'!$A$217:$I$237,6,0)*VLOOKUP('Données projet'!$B$16,Paramètres!$A$1:$I$89,7,0))</f>
        <v>0</v>
      </c>
      <c r="FP4" s="122" t="n">
        <f aca="false">IF(ISNA(VLOOKUP(A4,'Données projet'!$A$217:$I$237,7,0)),0%,VLOOKUP(A4,'Données projet'!$A$217:$I$237,7,0))</f>
        <v>0</v>
      </c>
      <c r="FQ4" s="129" t="e">
        <f aca="false">EXP(-LN(2)/35)*FQ3+(1-EXP(-LN(2)/35))/(LN(2)/35)*FM4*FN4*VLOOKUP('Données projet'!$B$16,Paramètres!$A$1:$I$89,3,0)*0.475*44/12</f>
        <v>#N/A</v>
      </c>
      <c r="FR4" s="129" t="e">
        <f aca="false">EXP(-LN(2)/25)*FR3+(1-EXP(-LN(2)/25))/(LN(2)/25)*Calculateur!FM4*Calculateur!FO4*VLOOKUP('Données projet'!$B$16,Paramètres!$A$1:$I$89,3,0)*0.475*44/12</f>
        <v>#N/A</v>
      </c>
      <c r="FS4" s="129" t="e">
        <f aca="false">EXP(-LN(2)/2)*FS3+(1-EXP(-LN(2)/2))/(LN(2)/2)*FM4*FP4*VLOOKUP('Données projet'!$B$16,Paramètres!$A$1:$I$89,3,0)*0.475*44/12</f>
        <v>#N/A</v>
      </c>
      <c r="FT4" s="130" t="e">
        <f aca="false">SUM(FQ4:FS4)</f>
        <v>#N/A</v>
      </c>
      <c r="FU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FW4" s="118" t="e">
        <f aca="false">VLOOKUP(A4,'Données projet'!$A$243:$I$263,2,0)</f>
        <v>#N/A</v>
      </c>
      <c r="FX4" s="118" t="e">
        <f aca="false">VLOOKUP(A4,'Données projet'!$A$243:$I$263,9,0)</f>
        <v>#N/A</v>
      </c>
      <c r="FY4" s="118" t="n">
        <f aca="false" t="array" ref="FY4:FY4">INDEX(FX:FX,MIN(IF(ISNUMBER(FX4:FX200),ROW(FX4:FX200),"")))</f>
        <v>0</v>
      </c>
      <c r="FZ4" s="118" t="n">
        <f aca="false">IF('Données projet'!$A$244&gt;35,FZ3+FY4-GH3,IF(A4&lt;'Données projet'!$A$244,$FW$205^A4,IF(A4='Données projet'!$A$244,'Données projet'!$B$244,FZ3+FY4-GH3)))</f>
        <v>0</v>
      </c>
      <c r="GA4" s="125" t="e">
        <f aca="false">FZ4*VLOOKUP('Données projet'!$B$17,Paramètres!$A$1:$I$89,3,0)*VLOOKUP('Données projet'!$B$17,Paramètres!$A$1:$I$89,5,0)</f>
        <v>#N/A</v>
      </c>
      <c r="GB4" s="117" t="e">
        <f aca="false">EXP(-1.0587+0.8836*LN(GA4)+0.284)</f>
        <v>#N/A</v>
      </c>
      <c r="GC4" s="128" t="e">
        <f aca="false">(GA4+GB4)*0.475*44/12</f>
        <v>#N/A</v>
      </c>
      <c r="GD4" s="120" t="e">
        <f aca="false">GC4+(FU4+FV4)*44/12</f>
        <v>#N/A</v>
      </c>
      <c r="GE4" s="120" t="e">
        <f aca="true">AVERAGE(OFFSET($GD$3,0,0,'Données projet'!$E$17+1,1))-AVERAGE(OFFSET($H$3,0,0,'Données projet'!$E$17+1,1))</f>
        <v>#N/A</v>
      </c>
      <c r="GF4" s="120" t="e">
        <f aca="false">$GF$3</f>
        <v>#N/A</v>
      </c>
      <c r="GG4" s="121" t="n">
        <f aca="false">IF(ISNA(VLOOKUP(A4,'Données projet'!$A$243:$I$263,3,0)),0,VLOOKUP(A4,'Données projet'!$A$243:$I$263,3,0))</f>
        <v>0</v>
      </c>
      <c r="GH4" s="121" t="n">
        <f aca="false">IF(ISNA(VLOOKUP(A4,'Données projet'!$A$243:$I$263,4,0)),0,VLOOKUP(A4,'Données projet'!$A$243:$I$263,4,0))</f>
        <v>0</v>
      </c>
      <c r="GI4" s="122" t="n">
        <f aca="false">IF(ISNA(VLOOKUP(A4,'Données projet'!$A$243:$I$263,5,0)),0%,VLOOKUP(A4,'Données projet'!$A$243:$I$263,5,0)*VLOOKUP('Données projet'!$B$17,Paramètres!$A$1:$I$89,7,0))</f>
        <v>0</v>
      </c>
      <c r="GJ4" s="122" t="n">
        <f aca="false">IF(ISNA(VLOOKUP(A4,'Données projet'!$A$243:$I$263,6,0)),0%,VLOOKUP(A4,'Données projet'!$A$243:$I$263,6,0)*VLOOKUP('Données projet'!$B$17,Paramètres!$A$1:$I$89,7,0))</f>
        <v>0</v>
      </c>
      <c r="GK4" s="122" t="n">
        <f aca="false">IF(ISNA(VLOOKUP(A4,'Données projet'!$A$243:$I$263,7,0)),0%,VLOOKUP(A4,'Données projet'!$A$243:$I$263,7,0))</f>
        <v>0</v>
      </c>
      <c r="GL4" s="129" t="e">
        <f aca="false">EXP(-LN(2)/35)*GL3+(1-EXP(-LN(2)/35))/(LN(2)/35)*GH4*GI4*VLOOKUP('Données projet'!$B$17,Paramètres!$A$1:$I$89,3,0)*0.475*44/12</f>
        <v>#N/A</v>
      </c>
      <c r="GM4" s="129" t="e">
        <f aca="false">EXP(-LN(2)/25)*GM3+(1-EXP(-LN(2)/25))/(LN(2)/25)*Calculateur!GH4*Calculateur!GJ4*VLOOKUP('Données projet'!$B$17,Paramètres!$A$1:$I$89,3,0)*0.475*44/12</f>
        <v>#N/A</v>
      </c>
      <c r="GN4" s="129" t="e">
        <f aca="false">EXP(-LN(2)/2)*GN3+(1-EXP(-LN(2)/2))/(LN(2)/2)*GH4*GK4*VLOOKUP('Données projet'!$B$17,Paramètres!$A$1:$I$89,3,0)*0.475*44/12</f>
        <v>#N/A</v>
      </c>
      <c r="GO4" s="129" t="e">
        <f aca="false">SUM(GL4:GN4)</f>
        <v>#N/A</v>
      </c>
      <c r="GP4" s="126" t="n">
        <f aca="false"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8" t="n">
        <f aca="false">IF(A4&gt;30,10,('Scénario référence'!$B$16+'Scénario référence'!$B$17+'Scénario référence'!$B$18+'Scénario référence'!$B$9+'Scénario référence'!$B$10)*A4*10/30+('Scénario référence'!$F$8+'Scénario référence'!$F$9)*10)</f>
        <v>0.333333333333333</v>
      </c>
      <c r="GR4" s="118" t="e">
        <f aca="false">VLOOKUP(A4,'Données projet'!$A$269:$I$289,2,0)</f>
        <v>#N/A</v>
      </c>
      <c r="GS4" s="118" t="e">
        <f aca="false">VLOOKUP(A4,'Données projet'!$A$269:$I$289,9,0)</f>
        <v>#N/A</v>
      </c>
      <c r="GT4" s="118" t="n">
        <f aca="false" t="array" ref="GT4:GT4">INDEX(GS:GS,MIN(IF(ISNUMBER(GS4:GS200),ROW(GS4:GS200),"")))</f>
        <v>0</v>
      </c>
      <c r="GU4" s="118" t="n">
        <f aca="false">IF('Données projet'!$A$270&gt;35,GU3+GT4-HC3,IF(A4&lt;'Données projet'!$A$270,$GR$205^A4,IF(A4='Données projet'!$A$270,'Données projet'!$B$270,GU3+GT4-HC3)))</f>
        <v>0</v>
      </c>
      <c r="GV4" s="125" t="e">
        <f aca="false">GU4*VLOOKUP('Données projet'!$B$18,Paramètres!$A$1:$I$89,3,0)*VLOOKUP('Données projet'!$B$18,Paramètres!$A$1:$I$89,5,0)</f>
        <v>#N/A</v>
      </c>
      <c r="GW4" s="117" t="e">
        <f aca="false">EXP(-1.0587+0.8836*LN(GV4)+0.284)</f>
        <v>#N/A</v>
      </c>
      <c r="GX4" s="128" t="e">
        <f aca="false">(GV4+GW4)*0.475*44/12</f>
        <v>#N/A</v>
      </c>
      <c r="GY4" s="120" t="e">
        <f aca="false">GX4+(GP4+GQ4)*44/12</f>
        <v>#N/A</v>
      </c>
      <c r="GZ4" s="120" t="e">
        <f aca="true">AVERAGE(OFFSET($GY$3,0,0,'Données projet'!$E$18+1,1))-AVERAGE(OFFSET($H$3,0,0,'Données projet'!$E$18+1,1))</f>
        <v>#N/A</v>
      </c>
      <c r="HA4" s="120" t="e">
        <f aca="false">$HA$3</f>
        <v>#N/A</v>
      </c>
      <c r="HB4" s="121" t="n">
        <f aca="false">IF(ISNA(VLOOKUP(A4,'Données projet'!$A$269:$I$289,3,0)),0,VLOOKUP(A4,'Données projet'!$A$269:$I$289,3,0))</f>
        <v>0</v>
      </c>
      <c r="HC4" s="121" t="n">
        <f aca="false">IF(ISNA(VLOOKUP(A4,'Données projet'!$A$269:$I$289,4,0)),0,VLOOKUP(A4,'Données projet'!$A$269:$I$289,4,0))</f>
        <v>0</v>
      </c>
      <c r="HD4" s="122" t="n">
        <f aca="false">IF(ISNA(VLOOKUP(A4,'Données projet'!$A$269:$I$289,5,0)),0%,VLOOKUP(A4,'Données projet'!$A$269:$I$289,5,0)*VLOOKUP('Données projet'!$B$18,Paramètres!$A$1:$I$89,7,0))</f>
        <v>0</v>
      </c>
      <c r="HE4" s="122" t="n">
        <f aca="false">IF(ISNA(VLOOKUP(A4,'Données projet'!$A$269:$I$289,6,0)),0%,VLOOKUP(A4,'Données projet'!$A$269:$I$289,6,0)*VLOOKUP('Données projet'!$B$18,Paramètres!$A$1:$I$89,7,0))</f>
        <v>0</v>
      </c>
      <c r="HF4" s="122" t="n">
        <f aca="false">IF(ISNA(VLOOKUP(A4,'Données projet'!$A$269:$I$289,7,0)),0%,VLOOKUP(A4,'Données projet'!$A$269:$I$289,7,0))</f>
        <v>0</v>
      </c>
      <c r="HG4" s="129" t="e">
        <f aca="false">EXP(-LN(2)/35)*HG3+(1-EXP(-LN(2)/35))/(LN(2)/35)*HC4*HD4*VLOOKUP('Données projet'!$B$18,Paramètres!$A$1:$I$89,3,0)*0.475*44/12</f>
        <v>#N/A</v>
      </c>
      <c r="HH4" s="129" t="e">
        <f aca="false">EXP(-LN(2)/25)*HH3+(1-EXP(-LN(2)/25))/(LN(2)/25)*Calculateur!HC4*Calculateur!HE4*VLOOKUP('Données projet'!$B$18,Paramètres!$A$1:$I$89,3,0)*0.475*44/12</f>
        <v>#N/A</v>
      </c>
      <c r="HI4" s="129" t="e">
        <f aca="false">EXP(-LN(2)/2)*HI3+(1-EXP(-LN(2)/2))/(LN(2)/2)*HC4*HF4*VLOOKUP('Données projet'!$B$18,Paramètres!$A$1:$I$89,3,0)*0.475*44/12</f>
        <v>#N/A</v>
      </c>
      <c r="HJ4" s="130" t="e">
        <f aca="false">SUM(HG4:HI4)</f>
        <v>#N/A</v>
      </c>
    </row>
    <row r="5" customFormat="false" ht="14.25" hidden="false" customHeight="false" outlineLevel="0" collapsed="false">
      <c r="A5" s="112" t="n">
        <f aca="false">A4+1</f>
        <v>2</v>
      </c>
      <c r="B5" s="113" t="n">
        <f aca="false">'Scénario référence'!$B$16*5+'Scénario référence'!$B$17*0+'Scénario référence'!$B$18*5</f>
        <v>0</v>
      </c>
      <c r="C5" s="127" t="n">
        <f aca="false"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4" t="n">
        <f aca="false">IFERROR(EXP(-1.0587+0.8836*LN(C5)+0.284),0)</f>
        <v>0</v>
      </c>
      <c r="E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" s="114" t="n">
        <f aca="false">IF(OR('Scénario référence'!$F$8&gt;0,'Scénario référence'!$F$9&gt;0),('Scénario référence'!$F$8+'Scénario référence'!$F$9)*10,0)</f>
        <v>0</v>
      </c>
      <c r="G5" s="114" t="n">
        <f aca="false"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15" t="n">
        <f aca="false">(B5+E5+F5)*44/12+(C5+D5)*0.475*44/12</f>
        <v>256.666666666667</v>
      </c>
      <c r="I5" s="11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7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K5" s="118" t="e">
        <f aca="false">VLOOKUP(A5,'Données projet'!$A$35:$I$55,2,0)</f>
        <v>#N/A</v>
      </c>
      <c r="L5" s="118" t="e">
        <f aca="false">VLOOKUP(A5,'Données projet'!$A$35:$I$55,9,0)</f>
        <v>#N/A</v>
      </c>
      <c r="M5" s="118" t="n">
        <f aca="false" t="array" ref="M5:M5">INDEX(L:L,MIN(IF(ISNUMBER(L5:L201),ROW(L5:L201),"")))</f>
        <v>7.9</v>
      </c>
      <c r="N5" s="117" t="n">
        <f aca="false">IF('Données projet'!$A$36&gt;35,N4+M5-V4,IF(A5&lt;'Données projet'!$A$36,$K$205^A5,IF(A5='Données projet'!$A$36,'Données projet'!$B$36,N4+M5-V4)))</f>
        <v>1.65907381402665</v>
      </c>
      <c r="O5" s="117" t="n">
        <f aca="false">N5*VLOOKUP('Données projet'!$B$9,Paramètres!$A$1:$I$89,3,0)*VLOOKUP('Données projet'!$B$9,Paramètres!$A$1:$I$89,5,0)</f>
        <v>0.776446544964472</v>
      </c>
      <c r="P5" s="117" t="n">
        <f aca="false">EXP(-1.0587+0.8836*LN(O5)+0.284)</f>
        <v>0.36851455096496</v>
      </c>
      <c r="Q5" s="128" t="n">
        <f aca="false">(O5+P5)*0.475*44/12</f>
        <v>1.99414057541043</v>
      </c>
      <c r="R5" s="120" t="n">
        <f aca="false">Q5+(I5+J5)*44/12</f>
        <v>261.105251686522</v>
      </c>
      <c r="S5" s="120" t="n">
        <f aca="true">AVERAGE(OFFSET($R$3,0,0,'Données projet'!$E$9+1,1))-AVERAGE(OFFSET($H$3,0,0,'Données projet'!$E$9+1,1))</f>
        <v>319.229030946746</v>
      </c>
      <c r="T5" s="120" t="n">
        <f aca="false">$T$3</f>
        <v>254.586909731428</v>
      </c>
      <c r="U5" s="121" t="n">
        <f aca="false">IF(ISNA(VLOOKUP(A5,'Données projet'!$A$35:$I$55,3,0)),0,VLOOKUP(A5,'Données projet'!$A$35:$I$55,3,0))</f>
        <v>0</v>
      </c>
      <c r="V5" s="121" t="n">
        <f aca="false">IF(ISNA(VLOOKUP(A5,'Données projet'!$A$35:$I$55,4,0)),0,VLOOKUP(A5,'Données projet'!$A$35:$I$55,4,0))</f>
        <v>0</v>
      </c>
      <c r="W5" s="122" t="n">
        <f aca="false">IF(ISNA(VLOOKUP(A5,'Données projet'!$A$35:$I$55,5,0)),0%,VLOOKUP(A5,'Données projet'!$A$35:$I$55,5,0)*VLOOKUP('Données projet'!$B$9,Paramètres!$A$1:$I$89,7,0))</f>
        <v>0</v>
      </c>
      <c r="X5" s="122" t="n">
        <f aca="false">IF(ISNA(VLOOKUP(A5,'Données projet'!$A$35:$I$55,6,0)),0%,VLOOKUP(A5,'Données projet'!$A$35:$I$55,6,0)*VLOOKUP('Données projet'!$B$9,Paramètres!$A$1:$I$89,7,0))</f>
        <v>0</v>
      </c>
      <c r="Y5" s="122" t="n">
        <f aca="false">IF(ISNA(VLOOKUP(A5,'Données projet'!$A$35:$I$55,7,0)),0%,VLOOKUP(A5,'Données projet'!$A$35:$I$55,7,0))</f>
        <v>0</v>
      </c>
      <c r="Z5" s="129" t="n">
        <f aca="false">EXP(-LN(2)/35)*Z4+(1-EXP(-LN(2)/35))/(LN(2)/35)*V5*W5*VLOOKUP('Données projet'!$B$9,Paramètres!$A$1:$I$89,3,0)*0.475*44/12</f>
        <v>0</v>
      </c>
      <c r="AA5" s="129" t="n">
        <f aca="false">EXP(-LN(2)/25)*AA4+(1-EXP(-LN(2)/25))/(LN(2)/25)*Calculateur!V5*Calculateur!X5*VLOOKUP('Données projet'!$B$9,Paramètres!$A$1:$I$89,3,0)*0.475*44/12</f>
        <v>0</v>
      </c>
      <c r="AB5" s="129" t="n">
        <f aca="false">EXP(-LN(2)/2)*AB4+(1-EXP(-LN(2)/2))/(LN(2)/2)*V5*Y5*VLOOKUP('Données projet'!$B$9,Paramètres!$A$1:$I$89,3,0)*0.475*44/12</f>
        <v>0</v>
      </c>
      <c r="AC5" s="130" t="n">
        <f aca="false">SUM(Z5:AB5)</f>
        <v>0</v>
      </c>
      <c r="AD5" s="117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7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AF5" s="118" t="e">
        <f aca="false">VLOOKUP(A5,'Données projet'!$A$61:$I$81,2,0)</f>
        <v>#N/A</v>
      </c>
      <c r="AG5" s="118" t="e">
        <f aca="false">VLOOKUP(A5,'Données projet'!$A$61:$I$81,9,0)</f>
        <v>#N/A</v>
      </c>
      <c r="AH5" s="118" t="n">
        <f aca="false" t="array" ref="AH5:AH5">INDEX(AG:AG,MIN(IF(ISNUMBER(AG5:AG201),ROW(AG5:AG201),"")))</f>
        <v>7.04347826086957</v>
      </c>
      <c r="AI5" s="117" t="n">
        <f aca="false">IF('Données projet'!$A$62&gt;35,AI4+AH5-AQ4,IF(A5&lt;'Données projet'!$A$62,$AF$205^A5,IF(A5='Données projet'!$A$62,'Données projet'!$B$62,AI4+AH5-AQ4)))</f>
        <v>1.55643769521358</v>
      </c>
      <c r="AJ5" s="117" t="n">
        <f aca="false">AI5*VLOOKUP('Données projet'!$B$10,Paramètres!$A$1:$I$89,3,0)*VLOOKUP('Données projet'!$B$10,Paramètres!$A$1:$I$89,5,0)</f>
        <v>0.870048671624393</v>
      </c>
      <c r="AK5" s="117" t="n">
        <f aca="false">EXP(-1.0587+0.8836*LN(AJ5)+0.284)</f>
        <v>0.407504814514952</v>
      </c>
      <c r="AL5" s="128" t="n">
        <f aca="false">(AJ5+AK5)*0.475*44/12</f>
        <v>2.22507232169269</v>
      </c>
      <c r="AM5" s="120" t="n">
        <f aca="false">AL5+(AD5+AE5)*44/12</f>
        <v>261.336183432804</v>
      </c>
      <c r="AN5" s="120" t="n">
        <f aca="true">AVERAGE(OFFSET($AM$3,0,0,'Données projet'!$E$10+1,1))-AVERAGE(OFFSET($H$3,0,0,'Données projet'!$E$10+1,1))</f>
        <v>365.705101827279</v>
      </c>
      <c r="AO5" s="120" t="n">
        <f aca="false">$AO$3</f>
        <v>436.238338449625</v>
      </c>
      <c r="AP5" s="121" t="n">
        <f aca="false">IF(ISNA(VLOOKUP(A5,'Données projet'!$A$61:$I$81,3,0)),0,VLOOKUP(A5,'Données projet'!$A$61:$I$81,3,0))</f>
        <v>0</v>
      </c>
      <c r="AQ5" s="121" t="n">
        <f aca="false">IF(ISNA(VLOOKUP(A5,'Données projet'!$A$61:$I$81,4,0)),0,VLOOKUP(A5,'Données projet'!$A$61:$I$81,4,0))</f>
        <v>0</v>
      </c>
      <c r="AR5" s="122" t="n">
        <f aca="false">IF(ISNA(VLOOKUP(A5,'Données projet'!$A$61:$I$81,5,0)),0%,VLOOKUP(A5,'Données projet'!$A$61:$I$81,5,0)*VLOOKUP('Données projet'!$B$10,Paramètres!$A$1:$I$89,7,0))</f>
        <v>0</v>
      </c>
      <c r="AS5" s="122" t="n">
        <f aca="false">IF(ISNA(VLOOKUP(A5,'Données projet'!$A$61:$I$81,6,0)),0%,VLOOKUP(A5,'Données projet'!$A$61:$I$81,6,0)*VLOOKUP('Données projet'!$B$10,Paramètres!$A$1:$I$89,7,0))</f>
        <v>0</v>
      </c>
      <c r="AT5" s="122" t="n">
        <f aca="false">IF(ISNA(VLOOKUP(A5,'Données projet'!$A$61:$I$81,7,0)),0%,VLOOKUP(A5,'Données projet'!$A$61:$I$81,7,0))</f>
        <v>0</v>
      </c>
      <c r="AU5" s="129" t="n">
        <f aca="false">EXP(-LN(2)/35)*AU4+(1-EXP(-LN(2)/35))/(LN(2)/35)*AQ5*AR5*VLOOKUP('Données projet'!$B$10,Paramètres!$A$1:$I$89,3,0)*0.475*44/12</f>
        <v>0</v>
      </c>
      <c r="AV5" s="129" t="n">
        <f aca="false">EXP(-LN(2)/25)*AV4+(1-EXP(-LN(2)/25))/(LN(2)/25)*Calculateur!AQ5*Calculateur!AS5*VLOOKUP('Données projet'!$B$10,Paramètres!$A$1:$I$89,3,0)*0.475*44/12</f>
        <v>0</v>
      </c>
      <c r="AW5" s="129" t="n">
        <f aca="false">EXP(-LN(2)/2)*AW4+(1-EXP(-LN(2)/2))/(LN(2)/2)*AQ5*AT5*VLOOKUP('Données projet'!$B$10,Paramètres!$A$1:$I$89,3,0)*0.475*44/12</f>
        <v>0</v>
      </c>
      <c r="AX5" s="129" t="n">
        <f aca="false">SUM(AU5:AW5)</f>
        <v>0</v>
      </c>
      <c r="AY5" s="124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BA5" s="118" t="e">
        <f aca="false">VLOOKUP(A5,'Données projet'!$A$87:$I$107,2,0)</f>
        <v>#N/A</v>
      </c>
      <c r="BB5" s="118" t="e">
        <f aca="false">VLOOKUP(A5,'Données projet'!$A$87:$I$107,9,0)</f>
        <v>#N/A</v>
      </c>
      <c r="BC5" s="118" t="n">
        <f aca="false" t="array" ref="BC5:BC5">INDEX(BB:BB,MIN(IF(ISNUMBER(BB5:BB201),ROW(BB5:BB201),"")))</f>
        <v>5.8</v>
      </c>
      <c r="BD5" s="118" t="n">
        <f aca="false">IF('Données projet'!$A$88&gt;35,BD4+BC5-BL4,IF(A5&lt;'Données projet'!$A$88,$BA$205^A5,IF(A5='Données projet'!$A$88,'Données projet'!$B$88,BD4+BC5-BL4)))</f>
        <v>1.81385500212293</v>
      </c>
      <c r="BE5" s="117" t="n">
        <f aca="false">BD5*VLOOKUP('Données projet'!$B$11,Paramètres!$A$1:$I$89,3,0)*VLOOKUP('Données projet'!$B$11,Paramètres!$A$1:$I$89,5,0)</f>
        <v>1.58458372985459</v>
      </c>
      <c r="BF5" s="117" t="n">
        <f aca="false">EXP(-1.0587+0.8836*LN(BE5)+0.284)</f>
        <v>0.692145068399399</v>
      </c>
      <c r="BG5" s="128" t="n">
        <f aca="false">(BE5+BF5)*0.475*44/12</f>
        <v>3.96530265695903</v>
      </c>
      <c r="BH5" s="120" t="n">
        <f aca="false">BG5+(AY5+AZ5)*44/12</f>
        <v>263.07641376807</v>
      </c>
      <c r="BI5" s="120" t="n">
        <f aca="true">AVERAGE(OFFSET($BH$3,0,0,'Données projet'!$E$11+1,1))-AVERAGE(OFFSET($H$3,0,0,'Données projet'!$E$11+1,1))</f>
        <v>321.235999689929</v>
      </c>
      <c r="BJ5" s="120" t="n">
        <f aca="false">$BJ$3</f>
        <v>388.051958478005</v>
      </c>
      <c r="BK5" s="121" t="n">
        <f aca="false">IF(ISNA(VLOOKUP(A5,'Données projet'!$A$87:$I$107,3,0)),0,VLOOKUP(A5,'Données projet'!$A$87:$I$107,3,0))</f>
        <v>0</v>
      </c>
      <c r="BL5" s="121" t="n">
        <f aca="false">IF(ISNA(VLOOKUP(A5,'Données projet'!$A$87:$I$107,4,0)),0,VLOOKUP(A5,'Données projet'!$A$87:$I$107,4,0))</f>
        <v>0</v>
      </c>
      <c r="BM5" s="122" t="n">
        <f aca="false">IF(ISNA(VLOOKUP(A5,'Données projet'!$A$87:$I$107,5,0)),0%,VLOOKUP(A5,'Données projet'!$A$87:$I$107,5,0)*VLOOKUP('Données projet'!$B$11,Paramètres!$A$1:$I$89,7,0))</f>
        <v>0</v>
      </c>
      <c r="BN5" s="122" t="n">
        <f aca="false">IF(ISNA(VLOOKUP(A5,'Données projet'!$A$87:$I$107,6,0)),0%,VLOOKUP(A5,'Données projet'!$A$87:$I$107,6,0)*VLOOKUP('Données projet'!$B$11,Paramètres!$A$1:$I$89,7,0))</f>
        <v>0</v>
      </c>
      <c r="BO5" s="122" t="n">
        <f aca="false">IF(ISNA(VLOOKUP(A5,'Données projet'!$A$87:$I$107,7,0)),0%,VLOOKUP(A5,'Données projet'!$A$87:$I$107,7,0))</f>
        <v>0</v>
      </c>
      <c r="BP5" s="129" t="n">
        <f aca="false">EXP(-LN(2)/35)*BP4+(1-EXP(-LN(2)/35))/(LN(2)/35)*BL5*BM5*VLOOKUP('Données projet'!$B$11,Paramètres!$A$1:$I$89,3,0)*0.475*44/12</f>
        <v>0</v>
      </c>
      <c r="BQ5" s="129" t="n">
        <f aca="false">EXP(-LN(2)/25)*BQ4+(1-EXP(-LN(2)/25))/(LN(2)/25)*Calculateur!BL5*Calculateur!BN5*VLOOKUP('Données projet'!$B$11,Paramètres!$A$1:$I$89,3,0)*0.475*44/12</f>
        <v>0</v>
      </c>
      <c r="BR5" s="129" t="n">
        <f aca="false">EXP(-LN(2)/2)*BR4+(1-EXP(-LN(2)/2))/(LN(2)/2)*BL5*BO5*VLOOKUP('Données projet'!$B$11,Paramètres!$A$1:$I$89,3,0)*0.475*44/12</f>
        <v>0</v>
      </c>
      <c r="BS5" s="130" t="n">
        <f aca="false">SUM(BP5:BR5)</f>
        <v>0</v>
      </c>
      <c r="BT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BV5" s="118" t="e">
        <f aca="false">VLOOKUP(A5,'Données projet'!$A$113:$I$133,2,0)</f>
        <v>#N/A</v>
      </c>
      <c r="BW5" s="118" t="e">
        <f aca="false">VLOOKUP(A5,'Données projet'!$A$113:$I$133,9,0)</f>
        <v>#N/A</v>
      </c>
      <c r="BX5" s="118" t="n">
        <f aca="false" t="array" ref="BX5:BX5">INDEX(BW:BW,MIN(IF(ISNUMBER(BW5:BW201),ROW(BW5:BW201),"")))</f>
        <v>6.22222222222222</v>
      </c>
      <c r="BY5" s="118" t="n">
        <f aca="false">IF('Données projet'!$A$114&gt;35,BY4+BX5-CG4,IF(A5&lt;'Données projet'!$A$114,$BV$205^A5,IF(A5='Données projet'!$A$114,'Données projet'!$B$114,BY4+BX5-CG4)))</f>
        <v>1.68923819035259</v>
      </c>
      <c r="BZ5" s="117" t="n">
        <f aca="false">BY5*VLOOKUP('Données projet'!$B$12,Paramètres!$A$1:$I$89,3,0)*VLOOKUP('Données projet'!$B$12,Paramètres!$A$1:$I$89,5,0)</f>
        <v>1.05408463078002</v>
      </c>
      <c r="CA5" s="117" t="n">
        <f aca="false">EXP(-1.0587+0.8836*LN(BZ5)+0.284)</f>
        <v>0.482797308094343</v>
      </c>
      <c r="CB5" s="128" t="n">
        <f aca="false">(BZ5+CA5)*0.475*44/12</f>
        <v>2.67673604353951</v>
      </c>
      <c r="CC5" s="120" t="n">
        <f aca="false">CB5+(BT5+BU5)*44/12</f>
        <v>261.787847154651</v>
      </c>
      <c r="CD5" s="120" t="n">
        <f aca="true">AVERAGE(OFFSET($CC$3,0,0,'Données projet'!$E$12+1,1))-AVERAGE(OFFSET($H$3,0,0,'Données projet'!$E$12+1,1))</f>
        <v>240.228848647662</v>
      </c>
      <c r="CE5" s="120" t="n">
        <f aca="false">$CE$3</f>
        <v>343.237768841432</v>
      </c>
      <c r="CF5" s="121" t="n">
        <f aca="false">IF(ISNA(VLOOKUP(A5,'Données projet'!$A$113:$I$133,3,0)),0,VLOOKUP(A5,'Données projet'!$A$113:$I$133,3,0))</f>
        <v>0</v>
      </c>
      <c r="CG5" s="121" t="n">
        <f aca="false">IF(ISNA(VLOOKUP(A5,'Données projet'!$A$113:$I$133,4,0)),0,VLOOKUP(A5,'Données projet'!$A$113:$I$133,4,0))</f>
        <v>0</v>
      </c>
      <c r="CH5" s="122" t="n">
        <f aca="false">IF(ISNA(VLOOKUP(A5,'Données projet'!$A$113:$I$133,5,0)),0%,VLOOKUP(A5,'Données projet'!$A$113:$I$133,5,0)*VLOOKUP('Données projet'!$B$12,Paramètres!$A$1:$I$89,7,0))</f>
        <v>0</v>
      </c>
      <c r="CI5" s="122" t="n">
        <f aca="false">IF(ISNA(VLOOKUP(A5,'Données projet'!$A$113:$I$133,6,0)),0%,VLOOKUP(A5,'Données projet'!$A$113:$I$133,6,0)*VLOOKUP('Données projet'!$B$12,Paramètres!$A$1:$I$89,7,0))</f>
        <v>0</v>
      </c>
      <c r="CJ5" s="122" t="n">
        <f aca="false">IF(ISNA(VLOOKUP(A5,'Données projet'!$A$113:$I$133,7,0)),0%,VLOOKUP(A5,'Données projet'!$A$113:$I$133,7,0))</f>
        <v>0</v>
      </c>
      <c r="CK5" s="129" t="n">
        <f aca="false">EXP(-LN(2)/35)*CK4+(1-EXP(-LN(2)/35))/(LN(2)/35)*CG5*CH5*VLOOKUP('Données projet'!$B$12,Paramètres!$A$1:$I$89,3,0)*0.475*44/12</f>
        <v>0</v>
      </c>
      <c r="CL5" s="129" t="n">
        <f aca="false">EXP(-LN(2)/25)*CL4+(1-EXP(-LN(2)/25))/(LN(2)/25)*Calculateur!CG5*Calculateur!CI5*VLOOKUP('Données projet'!$B$12,Paramètres!$A$1:$I$89,3,0)*0.475*44/12</f>
        <v>0</v>
      </c>
      <c r="CM5" s="129" t="n">
        <f aca="false">EXP(-LN(2)/2)*CM4+(1-EXP(-LN(2)/2))/(LN(2)/2)*CG5*CJ5*VLOOKUP('Données projet'!$B$12,Paramètres!$A$1:$I$89,3,0)*0.475*44/12</f>
        <v>0</v>
      </c>
      <c r="CN5" s="130" t="n">
        <f aca="false">SUM(CK5:CM5)</f>
        <v>0</v>
      </c>
      <c r="CO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CQ5" s="118" t="e">
        <f aca="false">VLOOKUP(A5,'Données projet'!$A$139:$I$159,2,0)</f>
        <v>#N/A</v>
      </c>
      <c r="CR5" s="118" t="e">
        <f aca="false">VLOOKUP(A5,'Données projet'!$A$139:$I$159,9,0)</f>
        <v>#N/A</v>
      </c>
      <c r="CS5" s="118" t="n">
        <f aca="false" t="array" ref="CS5:CS5">INDEX(CR:CR,MIN(IF(ISNUMBER(CR5:CR201),ROW(CR5:CR201),"")))</f>
        <v>9.66666666666667</v>
      </c>
      <c r="CT5" s="118" t="n">
        <f aca="false">IF('Données projet'!$A$140&gt;35,CT4+CS5-DB4,IF(A5&lt;'Données projet'!$A$140,$CQ$205^A5,IF(A5='Données projet'!$A$140,'Données projet'!$B$140,CT4+CS5-DB4)))</f>
        <v>2.20839284573042</v>
      </c>
      <c r="CU5" s="125" t="n">
        <f aca="false">CT5*VLOOKUP('Données projet'!$B$13,Paramètres!$A$1:$I$89,3,0)*VLOOKUP('Données projet'!$B$13,Paramètres!$A$1:$I$89,5,0)</f>
        <v>1.20578249376881</v>
      </c>
      <c r="CV5" s="117" t="n">
        <f aca="false">EXP(-1.0587+0.8836*LN(CU5)+0.284)</f>
        <v>0.543702500717713</v>
      </c>
      <c r="CW5" s="128" t="n">
        <f aca="false">(CU5+CV5)*0.475*44/12</f>
        <v>3.0470196987307</v>
      </c>
      <c r="CX5" s="120" t="n">
        <f aca="false">CW5+(CO5+CP5)*44/12</f>
        <v>262.158130809842</v>
      </c>
      <c r="CY5" s="120" t="n">
        <f aca="true">AVERAGE(OFFSET($CX$3,0,0,'Données projet'!$E$13+1,1))-AVERAGE(OFFSET($H$3,0,0,'Données projet'!$E$13+1,1))</f>
        <v>207.023069645676</v>
      </c>
      <c r="CZ5" s="120" t="n">
        <f aca="false">$CZ$3</f>
        <v>342.068879333518</v>
      </c>
      <c r="DA5" s="121" t="n">
        <f aca="false">IF(ISNA(VLOOKUP(A5,'Données projet'!$A$139:$I$159,3,0)),0,VLOOKUP(A5,'Données projet'!$A$139:$I$159,3,0))</f>
        <v>0</v>
      </c>
      <c r="DB5" s="121" t="n">
        <f aca="false">IF(ISNA(VLOOKUP(A5,'Données projet'!$A$139:$I$159,4,0)),0,VLOOKUP(A5,'Données projet'!$A$139:$I$159,4,0))</f>
        <v>0</v>
      </c>
      <c r="DC5" s="122" t="n">
        <f aca="false">IF(ISNA(VLOOKUP(A5,'Données projet'!$A$139:$I$159,5,0)),0%,VLOOKUP(A5,'Données projet'!$A$139:$I$159,5,0)*VLOOKUP('Données projet'!$B$13,Paramètres!$A$1:$I$89,7,0))</f>
        <v>0</v>
      </c>
      <c r="DD5" s="122" t="n">
        <f aca="false">IF(ISNA(VLOOKUP(A5,'Données projet'!$A$139:$I$159,6,0)),0%,VLOOKUP(A5,'Données projet'!$A$139:$I$159,6,0)*VLOOKUP('Données projet'!$B$13,Paramètres!$A$1:$I$89,7,0))</f>
        <v>0</v>
      </c>
      <c r="DE5" s="122" t="n">
        <f aca="false">IF(ISNA(VLOOKUP(A5,'Données projet'!$A$139:$I$159,7,0)),0%,VLOOKUP(A5,'Données projet'!$A$139:$I$159,7,0))</f>
        <v>0</v>
      </c>
      <c r="DF5" s="129" t="n">
        <f aca="false">EXP(-LN(2)/35)*DF4+(1-EXP(-LN(2)/35))/(LN(2)/35)*DB5*DC5*VLOOKUP('Données projet'!$B$13,Paramètres!$A$1:$I$89,3,0)*0.475*44/12</f>
        <v>0</v>
      </c>
      <c r="DG5" s="129" t="n">
        <f aca="false">EXP(-LN(2)/25)*DG4+(1-EXP(-LN(2)/25))/(LN(2)/25)*Calculateur!DB5*Calculateur!DD5*VLOOKUP('Données projet'!$B$13,Paramètres!$A$1:$I$89,3,0)*0.475*44/12</f>
        <v>0</v>
      </c>
      <c r="DH5" s="129" t="n">
        <f aca="false">EXP(-LN(2)/2)*DH4+(1-EXP(-LN(2)/2))/(LN(2)/2)*DB5*DE5*VLOOKUP('Données projet'!$B$13,Paramètres!$A$1:$I$89,3,0)*0.475*44/12</f>
        <v>0</v>
      </c>
      <c r="DI5" s="130" t="n">
        <f aca="false">SUM(DF5:DH5)</f>
        <v>0</v>
      </c>
      <c r="DJ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DL5" s="118" t="e">
        <f aca="false">VLOOKUP(A5,'Données projet'!$A$165:$I$185,2,0)</f>
        <v>#N/A</v>
      </c>
      <c r="DM5" s="118" t="e">
        <f aca="false">VLOOKUP(A5,'Données projet'!$A$165:$I$185,9,0)</f>
        <v>#N/A</v>
      </c>
      <c r="DN5" s="118" t="n">
        <f aca="false" t="array" ref="DN5:DN5">INDEX(DM:DM,MIN(IF(ISNUMBER(DM5:DM201),ROW(DM5:DM201),"")))</f>
        <v>3</v>
      </c>
      <c r="DO5" s="118" t="n">
        <f aca="false">IF('Données projet'!$A$166&gt;35,DO4+DN5-DW4,IF(A5&lt;'Données projet'!$A$166,$DL$205^A5,IF(A5='Données projet'!$A$166,'Données projet'!$B$166,DO4+DN5-DW4)))</f>
        <v>1.81712059283214</v>
      </c>
      <c r="DP5" s="125" t="n">
        <f aca="false">DO5*VLOOKUP('Données projet'!$B$14,Paramètres!$A$1:$I$89,3,0)*VLOOKUP('Données projet'!$B$14,Paramètres!$A$1:$I$89,5,0)</f>
        <v>1.08663811451362</v>
      </c>
      <c r="DQ5" s="117" t="n">
        <f aca="false">EXP(-1.0587+0.8836*LN(DP5)+0.284)</f>
        <v>0.49594865026181</v>
      </c>
      <c r="DR5" s="128" t="n">
        <f aca="false">(DP5+DQ5)*0.475*44/12</f>
        <v>2.75633861531721</v>
      </c>
      <c r="DS5" s="120" t="n">
        <f aca="false">DR5+(DJ5+DK5)*44/12</f>
        <v>261.867449726428</v>
      </c>
      <c r="DT5" s="120" t="n">
        <f aca="true">AVERAGE(OFFSET($DS$3,0,0,'Données projet'!$E$14+1,1))-AVERAGE(OFFSET($H$3,0,0,'Données projet'!$E$14+1,1))</f>
        <v>549.432320957297</v>
      </c>
      <c r="DU5" s="120" t="n">
        <f aca="false">$DU$3</f>
        <v>280.26155987301</v>
      </c>
      <c r="DV5" s="121" t="n">
        <f aca="false">IF(ISNA(VLOOKUP(A5,'Données projet'!$A$165:$I$185,3,0)),0,VLOOKUP(A5,'Données projet'!$A$165:$I$185,3,0))</f>
        <v>0</v>
      </c>
      <c r="DW5" s="121" t="n">
        <f aca="false">IF(ISNA(VLOOKUP(A5,'Données projet'!$A$165:$I$185,4,0)),0,VLOOKUP(A5,'Données projet'!$A$165:$I$185,4,0))</f>
        <v>0</v>
      </c>
      <c r="DX5" s="122" t="n">
        <f aca="false">IF(ISNA(VLOOKUP(A5,'Données projet'!$A$165:$I$185,5,0)),0%,VLOOKUP(A5,'Données projet'!$A$165:$I$185,5,0)*VLOOKUP('Données projet'!$B$14,Paramètres!$A$1:$I$89,7,0))</f>
        <v>0</v>
      </c>
      <c r="DY5" s="122" t="n">
        <f aca="false">IF(ISNA(VLOOKUP(A5,'Données projet'!$A$165:$I$185,6,0)),0%,VLOOKUP(A5,'Données projet'!$A$165:$I$185,6,0)*VLOOKUP('Données projet'!$B$14,Paramètres!$A$1:$I$89,7,0))</f>
        <v>0</v>
      </c>
      <c r="DZ5" s="122" t="n">
        <f aca="false">IF(ISNA(VLOOKUP(A5,'Données projet'!$A$165:$I$185,7,0)),0%,VLOOKUP(A5,'Données projet'!$A$165:$I$185,7,0))</f>
        <v>0</v>
      </c>
      <c r="EA5" s="129" t="n">
        <f aca="false">EXP(-LN(2)/35)*EA4+(1-EXP(-LN(2)/35))/(LN(2)/35)*DW5*DX5*VLOOKUP('Données projet'!$B$14,Paramètres!$A$1:$I$89,3,0)*0.475*44/12</f>
        <v>0</v>
      </c>
      <c r="EB5" s="129" t="n">
        <f aca="false">EXP(-LN(2)/25)*EB4+(1-EXP(-LN(2)/25))/(LN(2)/25)*Calculateur!DW5*Calculateur!DY5*VLOOKUP('Données projet'!$B$14,Paramètres!$A$1:$I$89,3,0)*0.475*44/12</f>
        <v>0</v>
      </c>
      <c r="EC5" s="129" t="n">
        <f aca="false">EXP(-LN(2)/2)*EC4+(1-EXP(-LN(2)/2))/(LN(2)/2)*DW5*DZ5*VLOOKUP('Données projet'!$B$14,Paramètres!$A$1:$I$89,3,0)*0.475*44/12</f>
        <v>0</v>
      </c>
      <c r="ED5" s="130" t="n">
        <f aca="false">SUM(EA5:EC5)</f>
        <v>0</v>
      </c>
      <c r="EE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EG5" s="118" t="e">
        <f aca="false">VLOOKUP(A5,'Données projet'!$A$191:$I$211,2,0)</f>
        <v>#N/A</v>
      </c>
      <c r="EH5" s="118" t="e">
        <f aca="false">VLOOKUP(A5,'Données projet'!$A$191:$I$211,9,0)</f>
        <v>#N/A</v>
      </c>
      <c r="EI5" s="118" t="n">
        <f aca="false" t="array" ref="EI5:EI5">INDEX(EH:EH,MIN(IF(ISNUMBER(EH5:EH201),ROW(EH5:EH201),"")))</f>
        <v>0</v>
      </c>
      <c r="EJ5" s="118" t="n">
        <f aca="false">IF('Données projet'!$A$192&gt;35,EJ4+EI5-ER4,IF(A5&lt;'Données projet'!$A$192,$EG$205^A5,IF(A5='Données projet'!$A$192,'Données projet'!$B$192,EJ4+EI5-ER4)))</f>
        <v>0</v>
      </c>
      <c r="EK5" s="125" t="e">
        <f aca="false">EJ5*VLOOKUP('Données projet'!$B$15,Paramètres!$A$1:$I$89,3,0)*VLOOKUP('Données projet'!$B$15,Paramètres!$A$1:$I$89,5,0)</f>
        <v>#N/A</v>
      </c>
      <c r="EL5" s="117" t="e">
        <f aca="false">EXP(-1.0587+0.8836*LN(EK5)+0.284)</f>
        <v>#N/A</v>
      </c>
      <c r="EM5" s="128" t="e">
        <f aca="false">(EK5+EL5)*0.475*44/12</f>
        <v>#N/A</v>
      </c>
      <c r="EN5" s="120" t="e">
        <f aca="false">EM5+(EE5+EF5)*44/12</f>
        <v>#N/A</v>
      </c>
      <c r="EO5" s="120" t="e">
        <f aca="true">AVERAGE(OFFSET($EN$3,0,0,'Données projet'!$E$15+1,1))-AVERAGE(OFFSET($H$3,0,0,'Données projet'!$E$15+1,1))</f>
        <v>#N/A</v>
      </c>
      <c r="EP5" s="120" t="e">
        <f aca="false">$EP$3</f>
        <v>#N/A</v>
      </c>
      <c r="EQ5" s="121" t="n">
        <f aca="false">IF(ISNA(VLOOKUP(A5,'Données projet'!$A$191:$I$211,3,0)),0,VLOOKUP(A5,'Données projet'!$A$191:$I$211,3,0))</f>
        <v>0</v>
      </c>
      <c r="ER5" s="121" t="n">
        <f aca="false">IF(ISNA(VLOOKUP(A5,'Données projet'!$A$191:$I$211,4,0)),0,VLOOKUP(A5,'Données projet'!$A$191:$I$211,4,0))</f>
        <v>0</v>
      </c>
      <c r="ES5" s="122" t="n">
        <f aca="false">IF(ISNA(VLOOKUP(A5,'Données projet'!$A$191:$I$211,5,0)),0%,VLOOKUP(A5,'Données projet'!$A$191:$I$211,5,0)*VLOOKUP('Données projet'!$B$15,Paramètres!$A$1:$I$89,7,0))</f>
        <v>0</v>
      </c>
      <c r="ET5" s="122" t="n">
        <f aca="false">IF(ISNA(VLOOKUP(A5,'Données projet'!$A$191:$I$211,6,0)),0%,VLOOKUP(A5,'Données projet'!$A$191:$I$211,6,0)*VLOOKUP('Données projet'!$B$15,Paramètres!$A$1:$I$89,7,0))</f>
        <v>0</v>
      </c>
      <c r="EU5" s="122" t="n">
        <f aca="false">IF(ISNA(VLOOKUP(A5,'Données projet'!$A$191:$I$211,7,0)),0%,VLOOKUP(A5,'Données projet'!$A$191:$I$211,7,0))</f>
        <v>0</v>
      </c>
      <c r="EV5" s="129" t="e">
        <f aca="false">EXP(-LN(2)/35)*EV4+(1-EXP(-LN(2)/35))/(LN(2)/35)*ER5*ES5*VLOOKUP('Données projet'!$B$15,Paramètres!$A$1:$I$89,3,0)*0.475*44/12</f>
        <v>#N/A</v>
      </c>
      <c r="EW5" s="129" t="e">
        <f aca="false">EXP(-LN(2)/25)*EW4+(1-EXP(-LN(2)/25))/(LN(2)/25)*Calculateur!ER5*Calculateur!ET5*VLOOKUP('Données projet'!$B$15,Paramètres!$A$1:$I$89,3,0)*0.475*44/12</f>
        <v>#N/A</v>
      </c>
      <c r="EX5" s="129" t="e">
        <f aca="false">EXP(-LN(2)/2)*EX4+(1-EXP(-LN(2)/2))/(LN(2)/2)*ER5*EU5*VLOOKUP('Données projet'!$B$15,Paramètres!$A$1:$I$89,3,0)*0.475*44/12</f>
        <v>#N/A</v>
      </c>
      <c r="EY5" s="130" t="e">
        <f aca="false">SUM(EV5:EX5)</f>
        <v>#N/A</v>
      </c>
      <c r="EZ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FB5" s="118" t="e">
        <f aca="false">VLOOKUP(A5,'Données projet'!$A$217:$I$237,2,0)</f>
        <v>#N/A</v>
      </c>
      <c r="FC5" s="118" t="e">
        <f aca="false">VLOOKUP(A5,'Données projet'!$A$217:$I$237,9,0)</f>
        <v>#N/A</v>
      </c>
      <c r="FD5" s="118" t="n">
        <f aca="false" t="array" ref="FD5:FD5">INDEX(FC:FC,MIN(IF(ISNUMBER(FC5:FC201),ROW(FC5:FC201),"")))</f>
        <v>0</v>
      </c>
      <c r="FE5" s="118" t="n">
        <f aca="false">IF('Données projet'!$A$218&gt;35,FE4+FD5-FM4,IF(A5&lt;'Données projet'!$A$218,$FB$205^A5,IF(A5='Données projet'!$A$218,'Données projet'!$B$218,FE4+FD5-FM4)))</f>
        <v>0</v>
      </c>
      <c r="FF5" s="125" t="e">
        <f aca="false">FE5*VLOOKUP('Données projet'!$B$16,Paramètres!$A$1:$I$89,3,0)*VLOOKUP('Données projet'!$B$16,Paramètres!$A$1:$I$89,5,0)</f>
        <v>#N/A</v>
      </c>
      <c r="FG5" s="117" t="e">
        <f aca="false">EXP(-1.0587+0.8836*LN(FF5)+0.284)</f>
        <v>#N/A</v>
      </c>
      <c r="FH5" s="128" t="e">
        <f aca="false">(FF5+FG5)*0.475*44/12</f>
        <v>#N/A</v>
      </c>
      <c r="FI5" s="120" t="e">
        <f aca="false">FH5+(EZ5+FA5)*44/12</f>
        <v>#N/A</v>
      </c>
      <c r="FJ5" s="120" t="e">
        <f aca="true">AVERAGE(OFFSET($FI$3,0,0,'Données projet'!$E$16+1,1))-AVERAGE(OFFSET($H$3,0,0,'Données projet'!$E$16+1,1))</f>
        <v>#N/A</v>
      </c>
      <c r="FK5" s="120" t="e">
        <f aca="false">$FK$3</f>
        <v>#N/A</v>
      </c>
      <c r="FL5" s="121" t="n">
        <f aca="false">IF(ISNA(VLOOKUP(A5,'Données projet'!$A$217:$I$237,3,0)),0,VLOOKUP(A5,'Données projet'!$A$217:$I$237,3,0))</f>
        <v>0</v>
      </c>
      <c r="FM5" s="121" t="n">
        <f aca="false">IF(ISNA(VLOOKUP(A5,'Données projet'!$A$217:$I$237,4,0)),0,VLOOKUP(A5,'Données projet'!$A$217:$I$237,4,0))</f>
        <v>0</v>
      </c>
      <c r="FN5" s="122" t="n">
        <f aca="false">IF(ISNA(VLOOKUP(A5,'Données projet'!$A$217:$I$237,5,0)),0%,VLOOKUP(A5,'Données projet'!$A$217:$I$237,5,0)*VLOOKUP('Données projet'!$B$16,Paramètres!$A$1:$I$89,7,0))</f>
        <v>0</v>
      </c>
      <c r="FO5" s="122" t="n">
        <f aca="false">IF(ISNA(VLOOKUP(A5,'Données projet'!$A$217:$I$237,6,0)),0%,VLOOKUP(A5,'Données projet'!$A$217:$I$237,6,0)*VLOOKUP('Données projet'!$B$16,Paramètres!$A$1:$I$89,7,0))</f>
        <v>0</v>
      </c>
      <c r="FP5" s="122" t="n">
        <f aca="false">IF(ISNA(VLOOKUP(A5,'Données projet'!$A$217:$I$237,7,0)),0%,VLOOKUP(A5,'Données projet'!$A$217:$I$237,7,0))</f>
        <v>0</v>
      </c>
      <c r="FQ5" s="129" t="e">
        <f aca="false">EXP(-LN(2)/35)*FQ4+(1-EXP(-LN(2)/35))/(LN(2)/35)*FM5*FN5*VLOOKUP('Données projet'!$B$16,Paramètres!$A$1:$I$89,3,0)*0.475*44/12</f>
        <v>#N/A</v>
      </c>
      <c r="FR5" s="129" t="e">
        <f aca="false">EXP(-LN(2)/25)*FR4+(1-EXP(-LN(2)/25))/(LN(2)/25)*Calculateur!FM5*Calculateur!FO5*VLOOKUP('Données projet'!$B$16,Paramètres!$A$1:$I$89,3,0)*0.475*44/12</f>
        <v>#N/A</v>
      </c>
      <c r="FS5" s="129" t="e">
        <f aca="false">EXP(-LN(2)/2)*FS4+(1-EXP(-LN(2)/2))/(LN(2)/2)*FM5*FP5*VLOOKUP('Données projet'!$B$16,Paramètres!$A$1:$I$89,3,0)*0.475*44/12</f>
        <v>#N/A</v>
      </c>
      <c r="FT5" s="130" t="e">
        <f aca="false">SUM(FQ5:FS5)</f>
        <v>#N/A</v>
      </c>
      <c r="FU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FW5" s="118" t="e">
        <f aca="false">VLOOKUP(A5,'Données projet'!$A$243:$I$263,2,0)</f>
        <v>#N/A</v>
      </c>
      <c r="FX5" s="118" t="e">
        <f aca="false">VLOOKUP(A5,'Données projet'!$A$243:$I$263,9,0)</f>
        <v>#N/A</v>
      </c>
      <c r="FY5" s="118" t="n">
        <f aca="false" t="array" ref="FY5:FY5">INDEX(FX:FX,MIN(IF(ISNUMBER(FX5:FX201),ROW(FX5:FX201),"")))</f>
        <v>0</v>
      </c>
      <c r="FZ5" s="118" t="n">
        <f aca="false">IF('Données projet'!$A$244&gt;35,FZ4+FY5-GH4,IF(A5&lt;'Données projet'!$A$244,$FW$205^A5,IF(A5='Données projet'!$A$244,'Données projet'!$B$244,FZ4+FY5-GH4)))</f>
        <v>0</v>
      </c>
      <c r="GA5" s="125" t="e">
        <f aca="false">FZ5*VLOOKUP('Données projet'!$B$17,Paramètres!$A$1:$I$89,3,0)*VLOOKUP('Données projet'!$B$17,Paramètres!$A$1:$I$89,5,0)</f>
        <v>#N/A</v>
      </c>
      <c r="GB5" s="117" t="e">
        <f aca="false">EXP(-1.0587+0.8836*LN(GA5)+0.284)</f>
        <v>#N/A</v>
      </c>
      <c r="GC5" s="128" t="e">
        <f aca="false">(GA5+GB5)*0.475*44/12</f>
        <v>#N/A</v>
      </c>
      <c r="GD5" s="120" t="e">
        <f aca="false">GC5+(FU5+FV5)*44/12</f>
        <v>#N/A</v>
      </c>
      <c r="GE5" s="120" t="e">
        <f aca="true">AVERAGE(OFFSET($GD$3,0,0,'Données projet'!$E$17+1,1))-AVERAGE(OFFSET($H$3,0,0,'Données projet'!$E$17+1,1))</f>
        <v>#N/A</v>
      </c>
      <c r="GF5" s="120" t="e">
        <f aca="false">$GF$3</f>
        <v>#N/A</v>
      </c>
      <c r="GG5" s="121" t="n">
        <f aca="false">IF(ISNA(VLOOKUP(A5,'Données projet'!$A$243:$I$263,3,0)),0,VLOOKUP(A5,'Données projet'!$A$243:$I$263,3,0))</f>
        <v>0</v>
      </c>
      <c r="GH5" s="121" t="n">
        <f aca="false">IF(ISNA(VLOOKUP(A5,'Données projet'!$A$243:$I$263,4,0)),0,VLOOKUP(A5,'Données projet'!$A$243:$I$263,4,0))</f>
        <v>0</v>
      </c>
      <c r="GI5" s="122" t="n">
        <f aca="false">IF(ISNA(VLOOKUP(A5,'Données projet'!$A$243:$I$263,5,0)),0%,VLOOKUP(A5,'Données projet'!$A$243:$I$263,5,0)*VLOOKUP('Données projet'!$B$17,Paramètres!$A$1:$I$89,7,0))</f>
        <v>0</v>
      </c>
      <c r="GJ5" s="122" t="n">
        <f aca="false">IF(ISNA(VLOOKUP(A5,'Données projet'!$A$243:$I$263,6,0)),0%,VLOOKUP(A5,'Données projet'!$A$243:$I$263,6,0)*VLOOKUP('Données projet'!$B$17,Paramètres!$A$1:$I$89,7,0))</f>
        <v>0</v>
      </c>
      <c r="GK5" s="122" t="n">
        <f aca="false">IF(ISNA(VLOOKUP(A5,'Données projet'!$A$243:$I$263,7,0)),0%,VLOOKUP(A5,'Données projet'!$A$243:$I$263,7,0))</f>
        <v>0</v>
      </c>
      <c r="GL5" s="129" t="e">
        <f aca="false">EXP(-LN(2)/35)*GL4+(1-EXP(-LN(2)/35))/(LN(2)/35)*GH5*GI5*VLOOKUP('Données projet'!$B$17,Paramètres!$A$1:$I$89,3,0)*0.475*44/12</f>
        <v>#N/A</v>
      </c>
      <c r="GM5" s="129" t="e">
        <f aca="false">EXP(-LN(2)/25)*GM4+(1-EXP(-LN(2)/25))/(LN(2)/25)*Calculateur!GH5*Calculateur!GJ5*VLOOKUP('Données projet'!$B$17,Paramètres!$A$1:$I$89,3,0)*0.475*44/12</f>
        <v>#N/A</v>
      </c>
      <c r="GN5" s="129" t="e">
        <f aca="false">EXP(-LN(2)/2)*GN4+(1-EXP(-LN(2)/2))/(LN(2)/2)*GH5*GK5*VLOOKUP('Données projet'!$B$17,Paramètres!$A$1:$I$89,3,0)*0.475*44/12</f>
        <v>#N/A</v>
      </c>
      <c r="GO5" s="129" t="e">
        <f aca="false">SUM(GL5:GN5)</f>
        <v>#N/A</v>
      </c>
      <c r="GP5" s="126" t="n">
        <f aca="false"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8" t="n">
        <f aca="false">IF(A5&gt;30,10,('Scénario référence'!$B$16+'Scénario référence'!$B$17+'Scénario référence'!$B$18+'Scénario référence'!$B$9+'Scénario référence'!$B$10)*A5*10/30+('Scénario référence'!$F$8+'Scénario référence'!$F$9)*10)</f>
        <v>0.666666666666667</v>
      </c>
      <c r="GR5" s="118" t="e">
        <f aca="false">VLOOKUP(A5,'Données projet'!$A$269:$I$289,2,0)</f>
        <v>#N/A</v>
      </c>
      <c r="GS5" s="118" t="e">
        <f aca="false">VLOOKUP(A5,'Données projet'!$A$269:$I$289,9,0)</f>
        <v>#N/A</v>
      </c>
      <c r="GT5" s="118" t="n">
        <f aca="false" t="array" ref="GT5:GT5">INDEX(GS:GS,MIN(IF(ISNUMBER(GS5:GS201),ROW(GS5:GS201),"")))</f>
        <v>0</v>
      </c>
      <c r="GU5" s="118" t="n">
        <f aca="false">IF('Données projet'!$A$270&gt;35,GU4+GT5-HC4,IF(A5&lt;'Données projet'!$A$270,$GR$205^A5,IF(A5='Données projet'!$A$270,'Données projet'!$B$270,GU4+GT5-HC4)))</f>
        <v>0</v>
      </c>
      <c r="GV5" s="125" t="e">
        <f aca="false">GU5*VLOOKUP('Données projet'!$B$18,Paramètres!$A$1:$I$89,3,0)*VLOOKUP('Données projet'!$B$18,Paramètres!$A$1:$I$89,5,0)</f>
        <v>#N/A</v>
      </c>
      <c r="GW5" s="117" t="e">
        <f aca="false">EXP(-1.0587+0.8836*LN(GV5)+0.284)</f>
        <v>#N/A</v>
      </c>
      <c r="GX5" s="128" t="e">
        <f aca="false">(GV5+GW5)*0.475*44/12</f>
        <v>#N/A</v>
      </c>
      <c r="GY5" s="120" t="e">
        <f aca="false">GX5+(GP5+GQ5)*44/12</f>
        <v>#N/A</v>
      </c>
      <c r="GZ5" s="120" t="e">
        <f aca="true">AVERAGE(OFFSET($GY$3,0,0,'Données projet'!$E$18+1,1))-AVERAGE(OFFSET($H$3,0,0,'Données projet'!$E$18+1,1))</f>
        <v>#N/A</v>
      </c>
      <c r="HA5" s="120" t="e">
        <f aca="false">$HA$3</f>
        <v>#N/A</v>
      </c>
      <c r="HB5" s="121" t="n">
        <f aca="false">IF(ISNA(VLOOKUP(A5,'Données projet'!$A$269:$I$289,3,0)),0,VLOOKUP(A5,'Données projet'!$A$269:$I$289,3,0))</f>
        <v>0</v>
      </c>
      <c r="HC5" s="121" t="n">
        <f aca="false">IF(ISNA(VLOOKUP(A5,'Données projet'!$A$269:$I$289,4,0)),0,VLOOKUP(A5,'Données projet'!$A$269:$I$289,4,0))</f>
        <v>0</v>
      </c>
      <c r="HD5" s="122" t="n">
        <f aca="false">IF(ISNA(VLOOKUP(A5,'Données projet'!$A$269:$I$289,5,0)),0%,VLOOKUP(A5,'Données projet'!$A$269:$I$289,5,0)*VLOOKUP('Données projet'!$B$18,Paramètres!$A$1:$I$89,7,0))</f>
        <v>0</v>
      </c>
      <c r="HE5" s="122" t="n">
        <f aca="false">IF(ISNA(VLOOKUP(A5,'Données projet'!$A$269:$I$289,6,0)),0%,VLOOKUP(A5,'Données projet'!$A$269:$I$289,6,0)*VLOOKUP('Données projet'!$B$18,Paramètres!$A$1:$I$89,7,0))</f>
        <v>0</v>
      </c>
      <c r="HF5" s="122" t="n">
        <f aca="false">IF(ISNA(VLOOKUP(A5,'Données projet'!$A$269:$I$289,7,0)),0%,VLOOKUP(A5,'Données projet'!$A$269:$I$289,7,0))</f>
        <v>0</v>
      </c>
      <c r="HG5" s="129" t="e">
        <f aca="false">EXP(-LN(2)/35)*HG4+(1-EXP(-LN(2)/35))/(LN(2)/35)*HC5*HD5*VLOOKUP('Données projet'!$B$18,Paramètres!$A$1:$I$89,3,0)*0.475*44/12</f>
        <v>#N/A</v>
      </c>
      <c r="HH5" s="129" t="e">
        <f aca="false">EXP(-LN(2)/25)*HH4+(1-EXP(-LN(2)/25))/(LN(2)/25)*Calculateur!HC5*Calculateur!HE5*VLOOKUP('Données projet'!$B$18,Paramètres!$A$1:$I$89,3,0)*0.475*44/12</f>
        <v>#N/A</v>
      </c>
      <c r="HI5" s="129" t="e">
        <f aca="false">EXP(-LN(2)/2)*HI4+(1-EXP(-LN(2)/2))/(LN(2)/2)*HC5*HF5*VLOOKUP('Données projet'!$B$18,Paramètres!$A$1:$I$89,3,0)*0.475*44/12</f>
        <v>#N/A</v>
      </c>
      <c r="HJ5" s="130" t="e">
        <f aca="false">SUM(HG5:HI5)</f>
        <v>#N/A</v>
      </c>
    </row>
    <row r="6" customFormat="false" ht="14.25" hidden="false" customHeight="false" outlineLevel="0" collapsed="false">
      <c r="A6" s="112" t="n">
        <f aca="false">A5+1</f>
        <v>3</v>
      </c>
      <c r="B6" s="113" t="n">
        <f aca="false">'Scénario référence'!$B$16*5+'Scénario référence'!$B$17*0+'Scénario référence'!$B$18*5</f>
        <v>0</v>
      </c>
      <c r="C6" s="127" t="n">
        <f aca="false"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4" t="n">
        <f aca="false">IFERROR(EXP(-1.0587+0.8836*LN(C6)+0.284),0)</f>
        <v>0</v>
      </c>
      <c r="E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" s="114" t="n">
        <f aca="false">IF(OR('Scénario référence'!$F$8&gt;0,'Scénario référence'!$F$9&gt;0),('Scénario référence'!$F$8+'Scénario référence'!$F$9)*10,0)</f>
        <v>0</v>
      </c>
      <c r="G6" s="114" t="n">
        <f aca="false"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15" t="n">
        <f aca="false">(B6+E6+F6)*44/12+(C6+D6)*0.475*44/12</f>
        <v>256.666666666667</v>
      </c>
      <c r="I6" s="11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7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18" t="e">
        <f aca="false">VLOOKUP(A6,'Données projet'!$A$35:$I$55,2,0)</f>
        <v>#N/A</v>
      </c>
      <c r="L6" s="118" t="e">
        <f aca="false">VLOOKUP(A6,'Données projet'!$A$35:$I$55,9,0)</f>
        <v>#N/A</v>
      </c>
      <c r="M6" s="118" t="n">
        <f aca="false" t="array" ref="M6:M6">INDEX(L:L,MIN(IF(ISNUMBER(L6:L202),ROW(L6:L202),"")))</f>
        <v>7.9</v>
      </c>
      <c r="N6" s="117" t="n">
        <f aca="false">IF('Données projet'!$A$36&gt;35,N5+M6-V5,IF(A6&lt;'Données projet'!$A$36,$K$205^A6,IF(A6='Données projet'!$A$36,'Données projet'!$B$36,N5+M6-V5)))</f>
        <v>2.13697067760578</v>
      </c>
      <c r="O6" s="117" t="n">
        <f aca="false">N6*VLOOKUP('Données projet'!$B$9,Paramètres!$A$1:$I$89,3,0)*VLOOKUP('Données projet'!$B$9,Paramètres!$A$1:$I$89,5,0)</f>
        <v>1.0001022771195</v>
      </c>
      <c r="P6" s="117" t="n">
        <f aca="false">EXP(-1.0587+0.8836*LN(O6)+0.284)</f>
        <v>0.460883659862436</v>
      </c>
      <c r="Q6" s="128" t="n">
        <f aca="false">(O6+P6)*0.475*44/12</f>
        <v>2.54455050691021</v>
      </c>
      <c r="R6" s="120" t="n">
        <f aca="false">Q6+(I6+J6)*44/12</f>
        <v>262.877883840243</v>
      </c>
      <c r="S6" s="120" t="n">
        <f aca="true">AVERAGE(OFFSET($R$3,0,0,'Données projet'!$E$9+1,1))-AVERAGE(OFFSET($H$3,0,0,'Données projet'!$E$9+1,1))</f>
        <v>319.229030946746</v>
      </c>
      <c r="T6" s="120" t="n">
        <f aca="false">$T$3</f>
        <v>254.586909731428</v>
      </c>
      <c r="U6" s="121" t="n">
        <f aca="false">IF(ISNA(VLOOKUP(A6,'Données projet'!$A$35:$I$55,3,0)),0,VLOOKUP(A6,'Données projet'!$A$35:$I$55,3,0))</f>
        <v>0</v>
      </c>
      <c r="V6" s="121" t="n">
        <f aca="false">IF(ISNA(VLOOKUP(A6,'Données projet'!$A$35:$I$55,4,0)),0,VLOOKUP(A6,'Données projet'!$A$35:$I$55,4,0))</f>
        <v>0</v>
      </c>
      <c r="W6" s="122" t="n">
        <f aca="false">IF(ISNA(VLOOKUP(A6,'Données projet'!$A$35:$I$55,5,0)),0%,VLOOKUP(A6,'Données projet'!$A$35:$I$55,5,0)*VLOOKUP('Données projet'!$B$9,Paramètres!$A$1:$I$89,7,0))</f>
        <v>0</v>
      </c>
      <c r="X6" s="122" t="n">
        <f aca="false">IF(ISNA(VLOOKUP(A6,'Données projet'!$A$35:$I$55,6,0)),0%,VLOOKUP(A6,'Données projet'!$A$35:$I$55,6,0)*VLOOKUP('Données projet'!$B$9,Paramètres!$A$1:$I$89,7,0))</f>
        <v>0</v>
      </c>
      <c r="Y6" s="122" t="n">
        <f aca="false">IF(ISNA(VLOOKUP(A6,'Données projet'!$A$35:$I$55,7,0)),0%,VLOOKUP(A6,'Données projet'!$A$35:$I$55,7,0))</f>
        <v>0</v>
      </c>
      <c r="Z6" s="129" t="n">
        <f aca="false">EXP(-LN(2)/35)*Z5+(1-EXP(-LN(2)/35))/(LN(2)/35)*V6*W6*VLOOKUP('Données projet'!$B$9,Paramètres!$A$1:$I$89,3,0)*0.475*44/12</f>
        <v>0</v>
      </c>
      <c r="AA6" s="129" t="n">
        <f aca="false">EXP(-LN(2)/25)*AA5+(1-EXP(-LN(2)/25))/(LN(2)/25)*Calculateur!V6*Calculateur!X6*VLOOKUP('Données projet'!$B$9,Paramètres!$A$1:$I$89,3,0)*0.475*44/12</f>
        <v>0</v>
      </c>
      <c r="AB6" s="129" t="n">
        <f aca="false">EXP(-LN(2)/2)*AB5+(1-EXP(-LN(2)/2))/(LN(2)/2)*V6*Y6*VLOOKUP('Données projet'!$B$9,Paramètres!$A$1:$I$89,3,0)*0.475*44/12</f>
        <v>0</v>
      </c>
      <c r="AC6" s="130" t="n">
        <f aca="false">SUM(Z6:AB6)</f>
        <v>0</v>
      </c>
      <c r="AD6" s="117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7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18" t="e">
        <f aca="false">VLOOKUP(A6,'Données projet'!$A$61:$I$81,2,0)</f>
        <v>#N/A</v>
      </c>
      <c r="AG6" s="118" t="e">
        <f aca="false">VLOOKUP(A6,'Données projet'!$A$61:$I$81,9,0)</f>
        <v>#N/A</v>
      </c>
      <c r="AH6" s="118" t="n">
        <f aca="false" t="array" ref="AH6:AH6">INDEX(AG:AG,MIN(IF(ISNUMBER(AG6:AG202),ROW(AG6:AG202),"")))</f>
        <v>7.04347826086957</v>
      </c>
      <c r="AI6" s="117" t="n">
        <f aca="false">IF('Données projet'!$A$62&gt;35,AI5+AH6-AQ5,IF(A6&lt;'Données projet'!$A$62,$AF$205^A6,IF(A6='Données projet'!$A$62,'Données projet'!$B$62,AI5+AH6-AQ5)))</f>
        <v>1.94176921112723</v>
      </c>
      <c r="AJ6" s="117" t="n">
        <f aca="false">AI6*VLOOKUP('Données projet'!$B$10,Paramètres!$A$1:$I$89,3,0)*VLOOKUP('Données projet'!$B$10,Paramètres!$A$1:$I$89,5,0)</f>
        <v>1.08544898902012</v>
      </c>
      <c r="AK6" s="117" t="n">
        <f aca="false">EXP(-1.0587+0.8836*LN(AJ6)+0.284)</f>
        <v>0.495469068293295</v>
      </c>
      <c r="AL6" s="128" t="n">
        <f aca="false">(AJ6+AK6)*0.475*44/12</f>
        <v>2.7534322831542</v>
      </c>
      <c r="AM6" s="120" t="n">
        <f aca="false">AL6+(AD6+AE6)*44/12</f>
        <v>263.086765616488</v>
      </c>
      <c r="AN6" s="120" t="n">
        <f aca="true">AVERAGE(OFFSET($AM$3,0,0,'Données projet'!$E$10+1,1))-AVERAGE(OFFSET($H$3,0,0,'Données projet'!$E$10+1,1))</f>
        <v>365.705101827279</v>
      </c>
      <c r="AO6" s="120" t="n">
        <f aca="false">$AO$3</f>
        <v>436.238338449625</v>
      </c>
      <c r="AP6" s="121" t="n">
        <f aca="false">IF(ISNA(VLOOKUP(A6,'Données projet'!$A$61:$I$81,3,0)),0,VLOOKUP(A6,'Données projet'!$A$61:$I$81,3,0))</f>
        <v>0</v>
      </c>
      <c r="AQ6" s="121" t="n">
        <f aca="false">IF(ISNA(VLOOKUP(A6,'Données projet'!$A$61:$I$81,4,0)),0,VLOOKUP(A6,'Données projet'!$A$61:$I$81,4,0))</f>
        <v>0</v>
      </c>
      <c r="AR6" s="122" t="n">
        <f aca="false">IF(ISNA(VLOOKUP(A6,'Données projet'!$A$61:$I$81,5,0)),0%,VLOOKUP(A6,'Données projet'!$A$61:$I$81,5,0)*VLOOKUP('Données projet'!$B$10,Paramètres!$A$1:$I$89,7,0))</f>
        <v>0</v>
      </c>
      <c r="AS6" s="122" t="n">
        <f aca="false">IF(ISNA(VLOOKUP(A6,'Données projet'!$A$61:$I$81,6,0)),0%,VLOOKUP(A6,'Données projet'!$A$61:$I$81,6,0)*VLOOKUP('Données projet'!$B$10,Paramètres!$A$1:$I$89,7,0))</f>
        <v>0</v>
      </c>
      <c r="AT6" s="122" t="n">
        <f aca="false">IF(ISNA(VLOOKUP(A6,'Données projet'!$A$61:$I$81,7,0)),0%,VLOOKUP(A6,'Données projet'!$A$61:$I$81,7,0))</f>
        <v>0</v>
      </c>
      <c r="AU6" s="129" t="n">
        <f aca="false">EXP(-LN(2)/35)*AU5+(1-EXP(-LN(2)/35))/(LN(2)/35)*AQ6*AR6*VLOOKUP('Données projet'!$B$10,Paramètres!$A$1:$I$89,3,0)*0.475*44/12</f>
        <v>0</v>
      </c>
      <c r="AV6" s="129" t="n">
        <f aca="false">EXP(-LN(2)/25)*AV5+(1-EXP(-LN(2)/25))/(LN(2)/25)*Calculateur!AQ6*Calculateur!AS6*VLOOKUP('Données projet'!$B$10,Paramètres!$A$1:$I$89,3,0)*0.475*44/12</f>
        <v>0</v>
      </c>
      <c r="AW6" s="129" t="n">
        <f aca="false">EXP(-LN(2)/2)*AW5+(1-EXP(-LN(2)/2))/(LN(2)/2)*AQ6*AT6*VLOOKUP('Données projet'!$B$10,Paramètres!$A$1:$I$89,3,0)*0.475*44/12</f>
        <v>0</v>
      </c>
      <c r="AX6" s="129" t="n">
        <f aca="false">SUM(AU6:AW6)</f>
        <v>0</v>
      </c>
      <c r="AY6" s="124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18" t="e">
        <f aca="false">VLOOKUP(A6,'Données projet'!$A$87:$I$107,2,0)</f>
        <v>#N/A</v>
      </c>
      <c r="BB6" s="118" t="e">
        <f aca="false">VLOOKUP(A6,'Données projet'!$A$87:$I$107,9,0)</f>
        <v>#N/A</v>
      </c>
      <c r="BC6" s="118" t="n">
        <f aca="false" t="array" ref="BC6:BC6">INDEX(BB:BB,MIN(IF(ISNUMBER(BB6:BB202),ROW(BB6:BB202),"")))</f>
        <v>5.8</v>
      </c>
      <c r="BD6" s="118" t="n">
        <f aca="false">IF('Données projet'!$A$88&gt;35,BD5+BC6-BL5,IF(A6&lt;'Données projet'!$A$88,$BA$205^A6,IF(A6='Données projet'!$A$88,'Données projet'!$B$88,BD5+BC6-BL5)))</f>
        <v>2.44288965573739</v>
      </c>
      <c r="BE6" s="117" t="n">
        <f aca="false">BD6*VLOOKUP('Données projet'!$B$11,Paramètres!$A$1:$I$89,3,0)*VLOOKUP('Données projet'!$B$11,Paramètres!$A$1:$I$89,5,0)</f>
        <v>2.13410840325219</v>
      </c>
      <c r="BF6" s="117" t="n">
        <f aca="false">EXP(-1.0587+0.8836*LN(BE6)+0.284)</f>
        <v>0.900425411392734</v>
      </c>
      <c r="BG6" s="128" t="n">
        <f aca="false">(BE6+BF6)*0.475*44/12</f>
        <v>5.28514639383991</v>
      </c>
      <c r="BH6" s="120" t="n">
        <f aca="false">BG6+(AY6+AZ6)*44/12</f>
        <v>265.618479727173</v>
      </c>
      <c r="BI6" s="120" t="n">
        <f aca="true">AVERAGE(OFFSET($BH$3,0,0,'Données projet'!$E$11+1,1))-AVERAGE(OFFSET($H$3,0,0,'Données projet'!$E$11+1,1))</f>
        <v>321.235999689929</v>
      </c>
      <c r="BJ6" s="120" t="n">
        <f aca="false">$BJ$3</f>
        <v>388.051958478005</v>
      </c>
      <c r="BK6" s="121" t="n">
        <f aca="false">IF(ISNA(VLOOKUP(A6,'Données projet'!$A$87:$I$107,3,0)),0,VLOOKUP(A6,'Données projet'!$A$87:$I$107,3,0))</f>
        <v>0</v>
      </c>
      <c r="BL6" s="121" t="n">
        <f aca="false">IF(ISNA(VLOOKUP(A6,'Données projet'!$A$87:$I$107,4,0)),0,VLOOKUP(A6,'Données projet'!$A$87:$I$107,4,0))</f>
        <v>0</v>
      </c>
      <c r="BM6" s="122" t="n">
        <f aca="false">IF(ISNA(VLOOKUP(A6,'Données projet'!$A$87:$I$107,5,0)),0%,VLOOKUP(A6,'Données projet'!$A$87:$I$107,5,0)*VLOOKUP('Données projet'!$B$11,Paramètres!$A$1:$I$89,7,0))</f>
        <v>0</v>
      </c>
      <c r="BN6" s="122" t="n">
        <f aca="false">IF(ISNA(VLOOKUP(A6,'Données projet'!$A$87:$I$107,6,0)),0%,VLOOKUP(A6,'Données projet'!$A$87:$I$107,6,0)*VLOOKUP('Données projet'!$B$11,Paramètres!$A$1:$I$89,7,0))</f>
        <v>0</v>
      </c>
      <c r="BO6" s="122" t="n">
        <f aca="false">IF(ISNA(VLOOKUP(A6,'Données projet'!$A$87:$I$107,7,0)),0%,VLOOKUP(A6,'Données projet'!$A$87:$I$107,7,0))</f>
        <v>0</v>
      </c>
      <c r="BP6" s="129" t="n">
        <f aca="false">EXP(-LN(2)/35)*BP5+(1-EXP(-LN(2)/35))/(LN(2)/35)*BL6*BM6*VLOOKUP('Données projet'!$B$11,Paramètres!$A$1:$I$89,3,0)*0.475*44/12</f>
        <v>0</v>
      </c>
      <c r="BQ6" s="129" t="n">
        <f aca="false">EXP(-LN(2)/25)*BQ5+(1-EXP(-LN(2)/25))/(LN(2)/25)*Calculateur!BL6*Calculateur!BN6*VLOOKUP('Données projet'!$B$11,Paramètres!$A$1:$I$89,3,0)*0.475*44/12</f>
        <v>0</v>
      </c>
      <c r="BR6" s="129" t="n">
        <f aca="false">EXP(-LN(2)/2)*BR5+(1-EXP(-LN(2)/2))/(LN(2)/2)*BL6*BO6*VLOOKUP('Données projet'!$B$11,Paramètres!$A$1:$I$89,3,0)*0.475*44/12</f>
        <v>0</v>
      </c>
      <c r="BS6" s="130" t="n">
        <f aca="false">SUM(BP6:BR6)</f>
        <v>0</v>
      </c>
      <c r="BT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18" t="e">
        <f aca="false">VLOOKUP(A6,'Données projet'!$A$113:$I$133,2,0)</f>
        <v>#N/A</v>
      </c>
      <c r="BW6" s="118" t="e">
        <f aca="false">VLOOKUP(A6,'Données projet'!$A$113:$I$133,9,0)</f>
        <v>#N/A</v>
      </c>
      <c r="BX6" s="118" t="n">
        <f aca="false" t="array" ref="BX6:BX6">INDEX(BW:BW,MIN(IF(ISNUMBER(BW6:BW202),ROW(BW6:BW202),"")))</f>
        <v>6.22222222222222</v>
      </c>
      <c r="BY6" s="118" t="n">
        <f aca="false">IF('Données projet'!$A$114&gt;35,BY5+BX6-CG5,IF(A6&lt;'Données projet'!$A$114,$BV$205^A6,IF(A6='Données projet'!$A$114,'Données projet'!$B$114,BY5+BX6-CG5)))</f>
        <v>2.19551463860992</v>
      </c>
      <c r="BZ6" s="117" t="n">
        <f aca="false">BY6*VLOOKUP('Données projet'!$B$12,Paramètres!$A$1:$I$89,3,0)*VLOOKUP('Données projet'!$B$12,Paramètres!$A$1:$I$89,5,0)</f>
        <v>1.37000113449259</v>
      </c>
      <c r="CA6" s="117" t="n">
        <f aca="false">EXP(-1.0587+0.8836*LN(BZ6)+0.284)</f>
        <v>0.608637456190683</v>
      </c>
      <c r="CB6" s="128" t="n">
        <f aca="false">(BZ6+CA6)*0.475*44/12</f>
        <v>3.44612887877337</v>
      </c>
      <c r="CC6" s="120" t="n">
        <f aca="false">CB6+(BT6+BU6)*44/12</f>
        <v>263.779462212107</v>
      </c>
      <c r="CD6" s="120" t="n">
        <f aca="true">AVERAGE(OFFSET($CC$3,0,0,'Données projet'!$E$12+1,1))-AVERAGE(OFFSET($H$3,0,0,'Données projet'!$E$12+1,1))</f>
        <v>240.228848647662</v>
      </c>
      <c r="CE6" s="120" t="n">
        <f aca="false">$CE$3</f>
        <v>343.237768841432</v>
      </c>
      <c r="CF6" s="121" t="n">
        <f aca="false">IF(ISNA(VLOOKUP(A6,'Données projet'!$A$113:$I$133,3,0)),0,VLOOKUP(A6,'Données projet'!$A$113:$I$133,3,0))</f>
        <v>0</v>
      </c>
      <c r="CG6" s="121" t="n">
        <f aca="false">IF(ISNA(VLOOKUP(A6,'Données projet'!$A$113:$I$133,4,0)),0,VLOOKUP(A6,'Données projet'!$A$113:$I$133,4,0))</f>
        <v>0</v>
      </c>
      <c r="CH6" s="122" t="n">
        <f aca="false">IF(ISNA(VLOOKUP(A6,'Données projet'!$A$113:$I$133,5,0)),0%,VLOOKUP(A6,'Données projet'!$A$113:$I$133,5,0)*VLOOKUP('Données projet'!$B$12,Paramètres!$A$1:$I$89,7,0))</f>
        <v>0</v>
      </c>
      <c r="CI6" s="122" t="n">
        <f aca="false">IF(ISNA(VLOOKUP(A6,'Données projet'!$A$113:$I$133,6,0)),0%,VLOOKUP(A6,'Données projet'!$A$113:$I$133,6,0)*VLOOKUP('Données projet'!$B$12,Paramètres!$A$1:$I$89,7,0))</f>
        <v>0</v>
      </c>
      <c r="CJ6" s="122" t="n">
        <f aca="false">IF(ISNA(VLOOKUP(A6,'Données projet'!$A$113:$I$133,7,0)),0%,VLOOKUP(A6,'Données projet'!$A$113:$I$133,7,0))</f>
        <v>0</v>
      </c>
      <c r="CK6" s="129" t="n">
        <f aca="false">EXP(-LN(2)/35)*CK5+(1-EXP(-LN(2)/35))/(LN(2)/35)*CG6*CH6*VLOOKUP('Données projet'!$B$12,Paramètres!$A$1:$I$89,3,0)*0.475*44/12</f>
        <v>0</v>
      </c>
      <c r="CL6" s="129" t="n">
        <f aca="false">EXP(-LN(2)/25)*CL5+(1-EXP(-LN(2)/25))/(LN(2)/25)*Calculateur!CG6*Calculateur!CI6*VLOOKUP('Données projet'!$B$12,Paramètres!$A$1:$I$89,3,0)*0.475*44/12</f>
        <v>0</v>
      </c>
      <c r="CM6" s="129" t="n">
        <f aca="false">EXP(-LN(2)/2)*CM5+(1-EXP(-LN(2)/2))/(LN(2)/2)*CG6*CJ6*VLOOKUP('Données projet'!$B$12,Paramètres!$A$1:$I$89,3,0)*0.475*44/12</f>
        <v>0</v>
      </c>
      <c r="CN6" s="130" t="n">
        <f aca="false">SUM(CK6:CM6)</f>
        <v>0</v>
      </c>
      <c r="CO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18" t="e">
        <f aca="false">VLOOKUP(A6,'Données projet'!$A$139:$I$159,2,0)</f>
        <v>#N/A</v>
      </c>
      <c r="CR6" s="118" t="e">
        <f aca="false">VLOOKUP(A6,'Données projet'!$A$139:$I$159,9,0)</f>
        <v>#N/A</v>
      </c>
      <c r="CS6" s="118" t="n">
        <f aca="false" t="array" ref="CS6:CS6">INDEX(CR:CR,MIN(IF(ISNUMBER(CR6:CR202),ROW(CR6:CR202),"")))</f>
        <v>9.66666666666667</v>
      </c>
      <c r="CT6" s="118" t="n">
        <f aca="false">IF('Données projet'!$A$140&gt;35,CT5+CS6-DB5,IF(A6&lt;'Données projet'!$A$140,$CQ$205^A6,IF(A6='Données projet'!$A$140,'Données projet'!$B$140,CT5+CS6-DB5)))</f>
        <v>3.28181803491129</v>
      </c>
      <c r="CU6" s="125" t="n">
        <f aca="false">CT6*VLOOKUP('Données projet'!$B$13,Paramètres!$A$1:$I$89,3,0)*VLOOKUP('Données projet'!$B$13,Paramètres!$A$1:$I$89,5,0)</f>
        <v>1.79187264706157</v>
      </c>
      <c r="CV6" s="117" t="n">
        <f aca="false">EXP(-1.0587+0.8836*LN(CU6)+0.284)</f>
        <v>0.77156808236563</v>
      </c>
      <c r="CW6" s="128" t="n">
        <f aca="false">(CU6+CV6)*0.475*44/12</f>
        <v>4.46465927041903</v>
      </c>
      <c r="CX6" s="120" t="n">
        <f aca="false">CW6+(CO6+CP6)*44/12</f>
        <v>264.797992603752</v>
      </c>
      <c r="CY6" s="120" t="n">
        <f aca="true">AVERAGE(OFFSET($CX$3,0,0,'Données projet'!$E$13+1,1))-AVERAGE(OFFSET($H$3,0,0,'Données projet'!$E$13+1,1))</f>
        <v>207.023069645676</v>
      </c>
      <c r="CZ6" s="120" t="n">
        <f aca="false">$CZ$3</f>
        <v>342.068879333518</v>
      </c>
      <c r="DA6" s="121" t="n">
        <f aca="false">IF(ISNA(VLOOKUP(A6,'Données projet'!$A$139:$I$159,3,0)),0,VLOOKUP(A6,'Données projet'!$A$139:$I$159,3,0))</f>
        <v>0</v>
      </c>
      <c r="DB6" s="121" t="n">
        <f aca="false">IF(ISNA(VLOOKUP(A6,'Données projet'!$A$139:$I$159,4,0)),0,VLOOKUP(A6,'Données projet'!$A$139:$I$159,4,0))</f>
        <v>0</v>
      </c>
      <c r="DC6" s="122" t="n">
        <f aca="false">IF(ISNA(VLOOKUP(A6,'Données projet'!$A$139:$I$159,5,0)),0%,VLOOKUP(A6,'Données projet'!$A$139:$I$159,5,0)*VLOOKUP('Données projet'!$B$13,Paramètres!$A$1:$I$89,7,0))</f>
        <v>0</v>
      </c>
      <c r="DD6" s="122" t="n">
        <f aca="false">IF(ISNA(VLOOKUP(A6,'Données projet'!$A$139:$I$159,6,0)),0%,VLOOKUP(A6,'Données projet'!$A$139:$I$159,6,0)*VLOOKUP('Données projet'!$B$13,Paramètres!$A$1:$I$89,7,0))</f>
        <v>0</v>
      </c>
      <c r="DE6" s="122" t="n">
        <f aca="false">IF(ISNA(VLOOKUP(A6,'Données projet'!$A$139:$I$159,7,0)),0%,VLOOKUP(A6,'Données projet'!$A$139:$I$159,7,0))</f>
        <v>0</v>
      </c>
      <c r="DF6" s="129" t="n">
        <f aca="false">EXP(-LN(2)/35)*DF5+(1-EXP(-LN(2)/35))/(LN(2)/35)*DB6*DC6*VLOOKUP('Données projet'!$B$13,Paramètres!$A$1:$I$89,3,0)*0.475*44/12</f>
        <v>0</v>
      </c>
      <c r="DG6" s="129" t="n">
        <f aca="false">EXP(-LN(2)/25)*DG5+(1-EXP(-LN(2)/25))/(LN(2)/25)*Calculateur!DB6*Calculateur!DD6*VLOOKUP('Données projet'!$B$13,Paramètres!$A$1:$I$89,3,0)*0.475*44/12</f>
        <v>0</v>
      </c>
      <c r="DH6" s="129" t="n">
        <f aca="false">EXP(-LN(2)/2)*DH5+(1-EXP(-LN(2)/2))/(LN(2)/2)*DB6*DE6*VLOOKUP('Données projet'!$B$13,Paramètres!$A$1:$I$89,3,0)*0.475*44/12</f>
        <v>0</v>
      </c>
      <c r="DI6" s="130" t="n">
        <f aca="false">SUM(DF6:DH6)</f>
        <v>0</v>
      </c>
      <c r="DJ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18" t="e">
        <f aca="false">VLOOKUP(A6,'Données projet'!$A$165:$I$185,2,0)</f>
        <v>#N/A</v>
      </c>
      <c r="DM6" s="118" t="e">
        <f aca="false">VLOOKUP(A6,'Données projet'!$A$165:$I$185,9,0)</f>
        <v>#N/A</v>
      </c>
      <c r="DN6" s="118" t="n">
        <f aca="false" t="array" ref="DN6:DN6">INDEX(DM:DM,MIN(IF(ISNUMBER(DM6:DM202),ROW(DM6:DM202),"")))</f>
        <v>3</v>
      </c>
      <c r="DO6" s="118" t="n">
        <f aca="false">IF('Données projet'!$A$166&gt;35,DO5+DN6-DW5,IF(A6&lt;'Données projet'!$A$166,$DL$205^A6,IF(A6='Données projet'!$A$166,'Données projet'!$B$166,DO5+DN6-DW5)))</f>
        <v>2.44948974278318</v>
      </c>
      <c r="DP6" s="125" t="n">
        <f aca="false">DO6*VLOOKUP('Données projet'!$B$14,Paramètres!$A$1:$I$89,3,0)*VLOOKUP('Données projet'!$B$14,Paramètres!$A$1:$I$89,5,0)</f>
        <v>1.46479486618434</v>
      </c>
      <c r="DQ6" s="117" t="n">
        <f aca="false">EXP(-1.0587+0.8836*LN(DP6)+0.284)</f>
        <v>0.64570247854799</v>
      </c>
      <c r="DR6" s="128" t="n">
        <f aca="false">(DP6+DQ6)*0.475*44/12</f>
        <v>3.67578287540881</v>
      </c>
      <c r="DS6" s="120" t="n">
        <f aca="false">DR6+(DJ6+DK6)*44/12</f>
        <v>264.009116208742</v>
      </c>
      <c r="DT6" s="120" t="n">
        <f aca="true">AVERAGE(OFFSET($DS$3,0,0,'Données projet'!$E$14+1,1))-AVERAGE(OFFSET($H$3,0,0,'Données projet'!$E$14+1,1))</f>
        <v>549.432320957297</v>
      </c>
      <c r="DU6" s="120" t="n">
        <f aca="false">$DU$3</f>
        <v>280.26155987301</v>
      </c>
      <c r="DV6" s="121" t="n">
        <f aca="false">IF(ISNA(VLOOKUP(A6,'Données projet'!$A$165:$I$185,3,0)),0,VLOOKUP(A6,'Données projet'!$A$165:$I$185,3,0))</f>
        <v>0</v>
      </c>
      <c r="DW6" s="121" t="n">
        <f aca="false">IF(ISNA(VLOOKUP(A6,'Données projet'!$A$165:$I$185,4,0)),0,VLOOKUP(A6,'Données projet'!$A$165:$I$185,4,0))</f>
        <v>0</v>
      </c>
      <c r="DX6" s="122" t="n">
        <f aca="false">IF(ISNA(VLOOKUP(A6,'Données projet'!$A$165:$I$185,5,0)),0%,VLOOKUP(A6,'Données projet'!$A$165:$I$185,5,0)*VLOOKUP('Données projet'!$B$14,Paramètres!$A$1:$I$89,7,0))</f>
        <v>0</v>
      </c>
      <c r="DY6" s="122" t="n">
        <f aca="false">IF(ISNA(VLOOKUP(A6,'Données projet'!$A$165:$I$185,6,0)),0%,VLOOKUP(A6,'Données projet'!$A$165:$I$185,6,0)*VLOOKUP('Données projet'!$B$14,Paramètres!$A$1:$I$89,7,0))</f>
        <v>0</v>
      </c>
      <c r="DZ6" s="122" t="n">
        <f aca="false">IF(ISNA(VLOOKUP(A6,'Données projet'!$A$165:$I$185,7,0)),0%,VLOOKUP(A6,'Données projet'!$A$165:$I$185,7,0))</f>
        <v>0</v>
      </c>
      <c r="EA6" s="129" t="n">
        <f aca="false">EXP(-LN(2)/35)*EA5+(1-EXP(-LN(2)/35))/(LN(2)/35)*DW6*DX6*VLOOKUP('Données projet'!$B$14,Paramètres!$A$1:$I$89,3,0)*0.475*44/12</f>
        <v>0</v>
      </c>
      <c r="EB6" s="129" t="n">
        <f aca="false">EXP(-LN(2)/25)*EB5+(1-EXP(-LN(2)/25))/(LN(2)/25)*Calculateur!DW6*Calculateur!DY6*VLOOKUP('Données projet'!$B$14,Paramètres!$A$1:$I$89,3,0)*0.475*44/12</f>
        <v>0</v>
      </c>
      <c r="EC6" s="129" t="n">
        <f aca="false">EXP(-LN(2)/2)*EC5+(1-EXP(-LN(2)/2))/(LN(2)/2)*DW6*DZ6*VLOOKUP('Données projet'!$B$14,Paramètres!$A$1:$I$89,3,0)*0.475*44/12</f>
        <v>0</v>
      </c>
      <c r="ED6" s="130" t="n">
        <f aca="false">SUM(EA6:EC6)</f>
        <v>0</v>
      </c>
      <c r="EE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18" t="e">
        <f aca="false">VLOOKUP(A6,'Données projet'!$A$191:$I$211,2,0)</f>
        <v>#N/A</v>
      </c>
      <c r="EH6" s="118" t="e">
        <f aca="false">VLOOKUP(A6,'Données projet'!$A$191:$I$211,9,0)</f>
        <v>#N/A</v>
      </c>
      <c r="EI6" s="118" t="n">
        <f aca="false" t="array" ref="EI6:EI6">INDEX(EH:EH,MIN(IF(ISNUMBER(EH6:EH202),ROW(EH6:EH202),"")))</f>
        <v>0</v>
      </c>
      <c r="EJ6" s="118" t="n">
        <f aca="false">IF('Données projet'!$A$192&gt;35,EJ5+EI6-ER5,IF(A6&lt;'Données projet'!$A$192,$EG$205^A6,IF(A6='Données projet'!$A$192,'Données projet'!$B$192,EJ5+EI6-ER5)))</f>
        <v>0</v>
      </c>
      <c r="EK6" s="125" t="e">
        <f aca="false">EJ6*VLOOKUP('Données projet'!$B$15,Paramètres!$A$1:$I$89,3,0)*VLOOKUP('Données projet'!$B$15,Paramètres!$A$1:$I$89,5,0)</f>
        <v>#N/A</v>
      </c>
      <c r="EL6" s="117" t="e">
        <f aca="false">EXP(-1.0587+0.8836*LN(EK6)+0.284)</f>
        <v>#N/A</v>
      </c>
      <c r="EM6" s="128" t="e">
        <f aca="false">(EK6+EL6)*0.475*44/12</f>
        <v>#N/A</v>
      </c>
      <c r="EN6" s="120" t="e">
        <f aca="false">EM6+(EE6+EF6)*44/12</f>
        <v>#N/A</v>
      </c>
      <c r="EO6" s="120" t="e">
        <f aca="true">AVERAGE(OFFSET($EN$3,0,0,'Données projet'!$E$15+1,1))-AVERAGE(OFFSET($H$3,0,0,'Données projet'!$E$15+1,1))</f>
        <v>#N/A</v>
      </c>
      <c r="EP6" s="120" t="e">
        <f aca="false">$EP$3</f>
        <v>#N/A</v>
      </c>
      <c r="EQ6" s="121" t="n">
        <f aca="false">IF(ISNA(VLOOKUP(A6,'Données projet'!$A$191:$I$211,3,0)),0,VLOOKUP(A6,'Données projet'!$A$191:$I$211,3,0))</f>
        <v>0</v>
      </c>
      <c r="ER6" s="121" t="n">
        <f aca="false">IF(ISNA(VLOOKUP(A6,'Données projet'!$A$191:$I$211,4,0)),0,VLOOKUP(A6,'Données projet'!$A$191:$I$211,4,0))</f>
        <v>0</v>
      </c>
      <c r="ES6" s="122" t="n">
        <f aca="false">IF(ISNA(VLOOKUP(A6,'Données projet'!$A$191:$I$211,5,0)),0%,VLOOKUP(A6,'Données projet'!$A$191:$I$211,5,0)*VLOOKUP('Données projet'!$B$15,Paramètres!$A$1:$I$89,7,0))</f>
        <v>0</v>
      </c>
      <c r="ET6" s="122" t="n">
        <f aca="false">IF(ISNA(VLOOKUP(A6,'Données projet'!$A$191:$I$211,6,0)),0%,VLOOKUP(A6,'Données projet'!$A$191:$I$211,6,0)*VLOOKUP('Données projet'!$B$15,Paramètres!$A$1:$I$89,7,0))</f>
        <v>0</v>
      </c>
      <c r="EU6" s="122" t="n">
        <f aca="false">IF(ISNA(VLOOKUP(A6,'Données projet'!$A$191:$I$211,7,0)),0%,VLOOKUP(A6,'Données projet'!$A$191:$I$211,7,0))</f>
        <v>0</v>
      </c>
      <c r="EV6" s="129" t="e">
        <f aca="false">EXP(-LN(2)/35)*EV5+(1-EXP(-LN(2)/35))/(LN(2)/35)*ER6*ES6*VLOOKUP('Données projet'!$B$15,Paramètres!$A$1:$I$89,3,0)*0.475*44/12</f>
        <v>#N/A</v>
      </c>
      <c r="EW6" s="129" t="e">
        <f aca="false">EXP(-LN(2)/25)*EW5+(1-EXP(-LN(2)/25))/(LN(2)/25)*Calculateur!ER6*Calculateur!ET6*VLOOKUP('Données projet'!$B$15,Paramètres!$A$1:$I$89,3,0)*0.475*44/12</f>
        <v>#N/A</v>
      </c>
      <c r="EX6" s="129" t="e">
        <f aca="false">EXP(-LN(2)/2)*EX5+(1-EXP(-LN(2)/2))/(LN(2)/2)*ER6*EU6*VLOOKUP('Données projet'!$B$15,Paramètres!$A$1:$I$89,3,0)*0.475*44/12</f>
        <v>#N/A</v>
      </c>
      <c r="EY6" s="130" t="e">
        <f aca="false">SUM(EV6:EX6)</f>
        <v>#N/A</v>
      </c>
      <c r="EZ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18" t="e">
        <f aca="false">VLOOKUP(A6,'Données projet'!$A$217:$I$237,2,0)</f>
        <v>#N/A</v>
      </c>
      <c r="FC6" s="118" t="e">
        <f aca="false">VLOOKUP(A6,'Données projet'!$A$217:$I$237,9,0)</f>
        <v>#N/A</v>
      </c>
      <c r="FD6" s="118" t="n">
        <f aca="false" t="array" ref="FD6:FD6">INDEX(FC:FC,MIN(IF(ISNUMBER(FC6:FC202),ROW(FC6:FC202),"")))</f>
        <v>0</v>
      </c>
      <c r="FE6" s="118" t="n">
        <f aca="false">IF('Données projet'!$A$218&gt;35,FE5+FD6-FM5,IF(A6&lt;'Données projet'!$A$218,$FB$205^A6,IF(A6='Données projet'!$A$218,'Données projet'!$B$218,FE5+FD6-FM5)))</f>
        <v>0</v>
      </c>
      <c r="FF6" s="125" t="e">
        <f aca="false">FE6*VLOOKUP('Données projet'!$B$16,Paramètres!$A$1:$I$89,3,0)*VLOOKUP('Données projet'!$B$16,Paramètres!$A$1:$I$89,5,0)</f>
        <v>#N/A</v>
      </c>
      <c r="FG6" s="117" t="e">
        <f aca="false">EXP(-1.0587+0.8836*LN(FF6)+0.284)</f>
        <v>#N/A</v>
      </c>
      <c r="FH6" s="128" t="e">
        <f aca="false">(FF6+FG6)*0.475*44/12</f>
        <v>#N/A</v>
      </c>
      <c r="FI6" s="120" t="e">
        <f aca="false">FH6+(EZ6+FA6)*44/12</f>
        <v>#N/A</v>
      </c>
      <c r="FJ6" s="120" t="e">
        <f aca="true">AVERAGE(OFFSET($FI$3,0,0,'Données projet'!$E$16+1,1))-AVERAGE(OFFSET($H$3,0,0,'Données projet'!$E$16+1,1))</f>
        <v>#N/A</v>
      </c>
      <c r="FK6" s="120" t="e">
        <f aca="false">$FK$3</f>
        <v>#N/A</v>
      </c>
      <c r="FL6" s="121" t="n">
        <f aca="false">IF(ISNA(VLOOKUP(A6,'Données projet'!$A$217:$I$237,3,0)),0,VLOOKUP(A6,'Données projet'!$A$217:$I$237,3,0))</f>
        <v>0</v>
      </c>
      <c r="FM6" s="121" t="n">
        <f aca="false">IF(ISNA(VLOOKUP(A6,'Données projet'!$A$217:$I$237,4,0)),0,VLOOKUP(A6,'Données projet'!$A$217:$I$237,4,0))</f>
        <v>0</v>
      </c>
      <c r="FN6" s="122" t="n">
        <f aca="false">IF(ISNA(VLOOKUP(A6,'Données projet'!$A$217:$I$237,5,0)),0%,VLOOKUP(A6,'Données projet'!$A$217:$I$237,5,0)*VLOOKUP('Données projet'!$B$16,Paramètres!$A$1:$I$89,7,0))</f>
        <v>0</v>
      </c>
      <c r="FO6" s="122" t="n">
        <f aca="false">IF(ISNA(VLOOKUP(A6,'Données projet'!$A$217:$I$237,6,0)),0%,VLOOKUP(A6,'Données projet'!$A$217:$I$237,6,0)*VLOOKUP('Données projet'!$B$16,Paramètres!$A$1:$I$89,7,0))</f>
        <v>0</v>
      </c>
      <c r="FP6" s="122" t="n">
        <f aca="false">IF(ISNA(VLOOKUP(A6,'Données projet'!$A$217:$I$237,7,0)),0%,VLOOKUP(A6,'Données projet'!$A$217:$I$237,7,0))</f>
        <v>0</v>
      </c>
      <c r="FQ6" s="129" t="e">
        <f aca="false">EXP(-LN(2)/35)*FQ5+(1-EXP(-LN(2)/35))/(LN(2)/35)*FM6*FN6*VLOOKUP('Données projet'!$B$16,Paramètres!$A$1:$I$89,3,0)*0.475*44/12</f>
        <v>#N/A</v>
      </c>
      <c r="FR6" s="129" t="e">
        <f aca="false">EXP(-LN(2)/25)*FR5+(1-EXP(-LN(2)/25))/(LN(2)/25)*Calculateur!FM6*Calculateur!FO6*VLOOKUP('Données projet'!$B$16,Paramètres!$A$1:$I$89,3,0)*0.475*44/12</f>
        <v>#N/A</v>
      </c>
      <c r="FS6" s="129" t="e">
        <f aca="false">EXP(-LN(2)/2)*FS5+(1-EXP(-LN(2)/2))/(LN(2)/2)*FM6*FP6*VLOOKUP('Données projet'!$B$16,Paramètres!$A$1:$I$89,3,0)*0.475*44/12</f>
        <v>#N/A</v>
      </c>
      <c r="FT6" s="130" t="e">
        <f aca="false">SUM(FQ6:FS6)</f>
        <v>#N/A</v>
      </c>
      <c r="FU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18" t="e">
        <f aca="false">VLOOKUP(A6,'Données projet'!$A$243:$I$263,2,0)</f>
        <v>#N/A</v>
      </c>
      <c r="FX6" s="118" t="e">
        <f aca="false">VLOOKUP(A6,'Données projet'!$A$243:$I$263,9,0)</f>
        <v>#N/A</v>
      </c>
      <c r="FY6" s="118" t="n">
        <f aca="false" t="array" ref="FY6:FY6">INDEX(FX:FX,MIN(IF(ISNUMBER(FX6:FX202),ROW(FX6:FX202),"")))</f>
        <v>0</v>
      </c>
      <c r="FZ6" s="118" t="n">
        <f aca="false">IF('Données projet'!$A$244&gt;35,FZ5+FY6-GH5,IF(A6&lt;'Données projet'!$A$244,$FW$205^A6,IF(A6='Données projet'!$A$244,'Données projet'!$B$244,FZ5+FY6-GH5)))</f>
        <v>0</v>
      </c>
      <c r="GA6" s="125" t="e">
        <f aca="false">FZ6*VLOOKUP('Données projet'!$B$17,Paramètres!$A$1:$I$89,3,0)*VLOOKUP('Données projet'!$B$17,Paramètres!$A$1:$I$89,5,0)</f>
        <v>#N/A</v>
      </c>
      <c r="GB6" s="117" t="e">
        <f aca="false">EXP(-1.0587+0.8836*LN(GA6)+0.284)</f>
        <v>#N/A</v>
      </c>
      <c r="GC6" s="128" t="e">
        <f aca="false">(GA6+GB6)*0.475*44/12</f>
        <v>#N/A</v>
      </c>
      <c r="GD6" s="120" t="e">
        <f aca="false">GC6+(FU6+FV6)*44/12</f>
        <v>#N/A</v>
      </c>
      <c r="GE6" s="120" t="e">
        <f aca="true">AVERAGE(OFFSET($GD$3,0,0,'Données projet'!$E$17+1,1))-AVERAGE(OFFSET($H$3,0,0,'Données projet'!$E$17+1,1))</f>
        <v>#N/A</v>
      </c>
      <c r="GF6" s="120" t="e">
        <f aca="false">$GF$3</f>
        <v>#N/A</v>
      </c>
      <c r="GG6" s="121" t="n">
        <f aca="false">IF(ISNA(VLOOKUP(A6,'Données projet'!$A$243:$I$263,3,0)),0,VLOOKUP(A6,'Données projet'!$A$243:$I$263,3,0))</f>
        <v>0</v>
      </c>
      <c r="GH6" s="121" t="n">
        <f aca="false">IF(ISNA(VLOOKUP(A6,'Données projet'!$A$243:$I$263,4,0)),0,VLOOKUP(A6,'Données projet'!$A$243:$I$263,4,0))</f>
        <v>0</v>
      </c>
      <c r="GI6" s="122" t="n">
        <f aca="false">IF(ISNA(VLOOKUP(A6,'Données projet'!$A$243:$I$263,5,0)),0%,VLOOKUP(A6,'Données projet'!$A$243:$I$263,5,0)*VLOOKUP('Données projet'!$B$17,Paramètres!$A$1:$I$89,7,0))</f>
        <v>0</v>
      </c>
      <c r="GJ6" s="122" t="n">
        <f aca="false">IF(ISNA(VLOOKUP(A6,'Données projet'!$A$243:$I$263,6,0)),0%,VLOOKUP(A6,'Données projet'!$A$243:$I$263,6,0)*VLOOKUP('Données projet'!$B$17,Paramètres!$A$1:$I$89,7,0))</f>
        <v>0</v>
      </c>
      <c r="GK6" s="122" t="n">
        <f aca="false">IF(ISNA(VLOOKUP(A6,'Données projet'!$A$243:$I$263,7,0)),0%,VLOOKUP(A6,'Données projet'!$A$243:$I$263,7,0))</f>
        <v>0</v>
      </c>
      <c r="GL6" s="129" t="e">
        <f aca="false">EXP(-LN(2)/35)*GL5+(1-EXP(-LN(2)/35))/(LN(2)/35)*GH6*GI6*VLOOKUP('Données projet'!$B$17,Paramètres!$A$1:$I$89,3,0)*0.475*44/12</f>
        <v>#N/A</v>
      </c>
      <c r="GM6" s="129" t="e">
        <f aca="false">EXP(-LN(2)/25)*GM5+(1-EXP(-LN(2)/25))/(LN(2)/25)*Calculateur!GH6*Calculateur!GJ6*VLOOKUP('Données projet'!$B$17,Paramètres!$A$1:$I$89,3,0)*0.475*44/12</f>
        <v>#N/A</v>
      </c>
      <c r="GN6" s="129" t="e">
        <f aca="false">EXP(-LN(2)/2)*GN5+(1-EXP(-LN(2)/2))/(LN(2)/2)*GH6*GK6*VLOOKUP('Données projet'!$B$17,Paramètres!$A$1:$I$89,3,0)*0.475*44/12</f>
        <v>#N/A</v>
      </c>
      <c r="GO6" s="129" t="e">
        <f aca="false">SUM(GL6:GN6)</f>
        <v>#N/A</v>
      </c>
      <c r="GP6" s="126" t="n">
        <f aca="false"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8" t="n">
        <f aca="false"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18" t="e">
        <f aca="false">VLOOKUP(A6,'Données projet'!$A$269:$I$289,2,0)</f>
        <v>#N/A</v>
      </c>
      <c r="GS6" s="118" t="e">
        <f aca="false">VLOOKUP(A6,'Données projet'!$A$269:$I$289,9,0)</f>
        <v>#N/A</v>
      </c>
      <c r="GT6" s="118" t="n">
        <f aca="false" t="array" ref="GT6:GT6">INDEX(GS:GS,MIN(IF(ISNUMBER(GS6:GS202),ROW(GS6:GS202),"")))</f>
        <v>0</v>
      </c>
      <c r="GU6" s="118" t="n">
        <f aca="false">IF('Données projet'!$A$270&gt;35,GU5+GT6-HC5,IF(A6&lt;'Données projet'!$A$270,$GR$205^A6,IF(A6='Données projet'!$A$270,'Données projet'!$B$270,GU5+GT6-HC5)))</f>
        <v>0</v>
      </c>
      <c r="GV6" s="125" t="e">
        <f aca="false">GU6*VLOOKUP('Données projet'!$B$18,Paramètres!$A$1:$I$89,3,0)*VLOOKUP('Données projet'!$B$18,Paramètres!$A$1:$I$89,5,0)</f>
        <v>#N/A</v>
      </c>
      <c r="GW6" s="117" t="e">
        <f aca="false">EXP(-1.0587+0.8836*LN(GV6)+0.284)</f>
        <v>#N/A</v>
      </c>
      <c r="GX6" s="128" t="e">
        <f aca="false">(GV6+GW6)*0.475*44/12</f>
        <v>#N/A</v>
      </c>
      <c r="GY6" s="120" t="e">
        <f aca="false">GX6+(GP6+GQ6)*44/12</f>
        <v>#N/A</v>
      </c>
      <c r="GZ6" s="120" t="e">
        <f aca="true">AVERAGE(OFFSET($GY$3,0,0,'Données projet'!$E$18+1,1))-AVERAGE(OFFSET($H$3,0,0,'Données projet'!$E$18+1,1))</f>
        <v>#N/A</v>
      </c>
      <c r="HA6" s="120" t="e">
        <f aca="false">$HA$3</f>
        <v>#N/A</v>
      </c>
      <c r="HB6" s="121" t="n">
        <f aca="false">IF(ISNA(VLOOKUP(A6,'Données projet'!$A$269:$I$289,3,0)),0,VLOOKUP(A6,'Données projet'!$A$269:$I$289,3,0))</f>
        <v>0</v>
      </c>
      <c r="HC6" s="121" t="n">
        <f aca="false">IF(ISNA(VLOOKUP(A6,'Données projet'!$A$269:$I$289,4,0)),0,VLOOKUP(A6,'Données projet'!$A$269:$I$289,4,0))</f>
        <v>0</v>
      </c>
      <c r="HD6" s="122" t="n">
        <f aca="false">IF(ISNA(VLOOKUP(A6,'Données projet'!$A$269:$I$289,5,0)),0%,VLOOKUP(A6,'Données projet'!$A$269:$I$289,5,0)*VLOOKUP('Données projet'!$B$18,Paramètres!$A$1:$I$89,7,0))</f>
        <v>0</v>
      </c>
      <c r="HE6" s="122" t="n">
        <f aca="false">IF(ISNA(VLOOKUP(A6,'Données projet'!$A$269:$I$289,6,0)),0%,VLOOKUP(A6,'Données projet'!$A$269:$I$289,6,0)*VLOOKUP('Données projet'!$B$18,Paramètres!$A$1:$I$89,7,0))</f>
        <v>0</v>
      </c>
      <c r="HF6" s="122" t="n">
        <f aca="false">IF(ISNA(VLOOKUP(A6,'Données projet'!$A$269:$I$289,7,0)),0%,VLOOKUP(A6,'Données projet'!$A$269:$I$289,7,0))</f>
        <v>0</v>
      </c>
      <c r="HG6" s="129" t="e">
        <f aca="false">EXP(-LN(2)/35)*HG5+(1-EXP(-LN(2)/35))/(LN(2)/35)*HC6*HD6*VLOOKUP('Données projet'!$B$18,Paramètres!$A$1:$I$89,3,0)*0.475*44/12</f>
        <v>#N/A</v>
      </c>
      <c r="HH6" s="129" t="e">
        <f aca="false">EXP(-LN(2)/25)*HH5+(1-EXP(-LN(2)/25))/(LN(2)/25)*Calculateur!HC6*Calculateur!HE6*VLOOKUP('Données projet'!$B$18,Paramètres!$A$1:$I$89,3,0)*0.475*44/12</f>
        <v>#N/A</v>
      </c>
      <c r="HI6" s="129" t="e">
        <f aca="false">EXP(-LN(2)/2)*HI5+(1-EXP(-LN(2)/2))/(LN(2)/2)*HC6*HF6*VLOOKUP('Données projet'!$B$18,Paramètres!$A$1:$I$89,3,0)*0.475*44/12</f>
        <v>#N/A</v>
      </c>
      <c r="HJ6" s="130" t="e">
        <f aca="false">SUM(HG6:HI6)</f>
        <v>#N/A</v>
      </c>
    </row>
    <row r="7" customFormat="false" ht="14.25" hidden="false" customHeight="false" outlineLevel="0" collapsed="false">
      <c r="A7" s="112" t="n">
        <f aca="false">A6+1</f>
        <v>4</v>
      </c>
      <c r="B7" s="113" t="n">
        <f aca="false">'Scénario référence'!$B$16*5+'Scénario référence'!$B$17*0+'Scénario référence'!$B$18*5</f>
        <v>0</v>
      </c>
      <c r="C7" s="127" t="n">
        <f aca="false"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4" t="n">
        <f aca="false">IFERROR(EXP(-1.0587+0.8836*LN(C7)+0.284),0)</f>
        <v>0</v>
      </c>
      <c r="E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" s="114" t="n">
        <f aca="false">IF(OR('Scénario référence'!$F$8&gt;0,'Scénario référence'!$F$9&gt;0),('Scénario référence'!$F$8+'Scénario référence'!$F$9)*10,0)</f>
        <v>0</v>
      </c>
      <c r="G7" s="114" t="n">
        <f aca="false"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15" t="n">
        <f aca="false">(B7+E7+F7)*44/12+(C7+D7)*0.475*44/12</f>
        <v>256.666666666667</v>
      </c>
      <c r="I7" s="11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7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K7" s="118" t="e">
        <f aca="false">VLOOKUP(A7,'Données projet'!$A$35:$I$55,2,0)</f>
        <v>#N/A</v>
      </c>
      <c r="L7" s="118" t="e">
        <f aca="false">VLOOKUP(A7,'Données projet'!$A$35:$I$55,9,0)</f>
        <v>#N/A</v>
      </c>
      <c r="M7" s="118" t="n">
        <f aca="false" t="array" ref="M7:M7">INDEX(L:L,MIN(IF(ISNUMBER(L7:L203),ROW(L7:L203),"")))</f>
        <v>7.9</v>
      </c>
      <c r="N7" s="117" t="n">
        <f aca="false">IF('Données projet'!$A$36&gt;35,N6+M7-V6,IF(A7&lt;'Données projet'!$A$36,$K$205^A7,IF(A7='Données projet'!$A$36,'Données projet'!$B$36,N6+M7-V6)))</f>
        <v>2.75252592038894</v>
      </c>
      <c r="O7" s="117" t="n">
        <f aca="false">N7*VLOOKUP('Données projet'!$B$9,Paramètres!$A$1:$I$89,3,0)*VLOOKUP('Données projet'!$B$9,Paramètres!$A$1:$I$89,5,0)</f>
        <v>1.28818213074202</v>
      </c>
      <c r="P7" s="117" t="n">
        <f aca="false">EXP(-1.0587+0.8836*LN(O7)+0.284)</f>
        <v>0.576405320690827</v>
      </c>
      <c r="Q7" s="128" t="n">
        <f aca="false">(O7+P7)*0.475*44/12</f>
        <v>3.24748981124555</v>
      </c>
      <c r="R7" s="120" t="n">
        <f aca="false">Q7+(I7+J7)*44/12</f>
        <v>264.803045366801</v>
      </c>
      <c r="S7" s="120" t="n">
        <f aca="true">AVERAGE(OFFSET($R$3,0,0,'Données projet'!$E$9+1,1))-AVERAGE(OFFSET($H$3,0,0,'Données projet'!$E$9+1,1))</f>
        <v>319.229030946746</v>
      </c>
      <c r="T7" s="120" t="n">
        <f aca="false">$T$3</f>
        <v>254.586909731428</v>
      </c>
      <c r="U7" s="121" t="n">
        <f aca="false">IF(ISNA(VLOOKUP(A7,'Données projet'!$A$35:$I$55,3,0)),0,VLOOKUP(A7,'Données projet'!$A$35:$I$55,3,0))</f>
        <v>0</v>
      </c>
      <c r="V7" s="121" t="n">
        <f aca="false">IF(ISNA(VLOOKUP(A7,'Données projet'!$A$35:$I$55,4,0)),0,VLOOKUP(A7,'Données projet'!$A$35:$I$55,4,0))</f>
        <v>0</v>
      </c>
      <c r="W7" s="122" t="n">
        <f aca="false">IF(ISNA(VLOOKUP(A7,'Données projet'!$A$35:$I$55,5,0)),0%,VLOOKUP(A7,'Données projet'!$A$35:$I$55,5,0)*VLOOKUP('Données projet'!$B$9,Paramètres!$A$1:$I$89,7,0))</f>
        <v>0</v>
      </c>
      <c r="X7" s="122" t="n">
        <f aca="false">IF(ISNA(VLOOKUP(A7,'Données projet'!$A$35:$I$55,6,0)),0%,VLOOKUP(A7,'Données projet'!$A$35:$I$55,6,0)*VLOOKUP('Données projet'!$B$9,Paramètres!$A$1:$I$89,7,0))</f>
        <v>0</v>
      </c>
      <c r="Y7" s="122" t="n">
        <f aca="false">IF(ISNA(VLOOKUP(A7,'Données projet'!$A$35:$I$55,7,0)),0%,VLOOKUP(A7,'Données projet'!$A$35:$I$55,7,0))</f>
        <v>0</v>
      </c>
      <c r="Z7" s="129" t="n">
        <f aca="false">EXP(-LN(2)/35)*Z6+(1-EXP(-LN(2)/35))/(LN(2)/35)*V7*W7*VLOOKUP('Données projet'!$B$9,Paramètres!$A$1:$I$89,3,0)*0.475*44/12</f>
        <v>0</v>
      </c>
      <c r="AA7" s="129" t="n">
        <f aca="false">EXP(-LN(2)/25)*AA6+(1-EXP(-LN(2)/25))/(LN(2)/25)*Calculateur!V7*Calculateur!X7*VLOOKUP('Données projet'!$B$9,Paramètres!$A$1:$I$89,3,0)*0.475*44/12</f>
        <v>0</v>
      </c>
      <c r="AB7" s="129" t="n">
        <f aca="false">EXP(-LN(2)/2)*AB6+(1-EXP(-LN(2)/2))/(LN(2)/2)*V7*Y7*VLOOKUP('Données projet'!$B$9,Paramètres!$A$1:$I$89,3,0)*0.475*44/12</f>
        <v>0</v>
      </c>
      <c r="AC7" s="130" t="n">
        <f aca="false">SUM(Z7:AB7)</f>
        <v>0</v>
      </c>
      <c r="AD7" s="117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7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AF7" s="118" t="e">
        <f aca="false">VLOOKUP(A7,'Données projet'!$A$61:$I$81,2,0)</f>
        <v>#N/A</v>
      </c>
      <c r="AG7" s="118" t="e">
        <f aca="false">VLOOKUP(A7,'Données projet'!$A$61:$I$81,9,0)</f>
        <v>#N/A</v>
      </c>
      <c r="AH7" s="118" t="n">
        <f aca="false" t="array" ref="AH7:AH7">INDEX(AG:AG,MIN(IF(ISNUMBER(AG7:AG203),ROW(AG7:AG203),"")))</f>
        <v>7.04347826086957</v>
      </c>
      <c r="AI7" s="117" t="n">
        <f aca="false">IF('Données projet'!$A$62&gt;35,AI6+AH7-AQ6,IF(A7&lt;'Données projet'!$A$62,$AF$205^A7,IF(A7='Données projet'!$A$62,'Données projet'!$B$62,AI6+AH7-AQ6)))</f>
        <v>2.42249829908177</v>
      </c>
      <c r="AJ7" s="117" t="n">
        <f aca="false">AI7*VLOOKUP('Données projet'!$B$10,Paramètres!$A$1:$I$89,3,0)*VLOOKUP('Données projet'!$B$10,Paramètres!$A$1:$I$89,5,0)</f>
        <v>1.35417654918671</v>
      </c>
      <c r="AK7" s="117" t="n">
        <f aca="false">EXP(-1.0587+0.8836*LN(AJ7)+0.284)</f>
        <v>0.602421342991074</v>
      </c>
      <c r="AL7" s="128" t="n">
        <f aca="false">(AJ7+AK7)*0.475*44/12</f>
        <v>3.40774132887631</v>
      </c>
      <c r="AM7" s="120" t="n">
        <f aca="false">AL7+(AD7+AE7)*44/12</f>
        <v>264.963296884432</v>
      </c>
      <c r="AN7" s="120" t="n">
        <f aca="true">AVERAGE(OFFSET($AM$3,0,0,'Données projet'!$E$10+1,1))-AVERAGE(OFFSET($H$3,0,0,'Données projet'!$E$10+1,1))</f>
        <v>365.705101827279</v>
      </c>
      <c r="AO7" s="120" t="n">
        <f aca="false">$AO$3</f>
        <v>436.238338449625</v>
      </c>
      <c r="AP7" s="121" t="n">
        <f aca="false">IF(ISNA(VLOOKUP(A7,'Données projet'!$A$61:$I$81,3,0)),0,VLOOKUP(A7,'Données projet'!$A$61:$I$81,3,0))</f>
        <v>0</v>
      </c>
      <c r="AQ7" s="121" t="n">
        <f aca="false">IF(ISNA(VLOOKUP(A7,'Données projet'!$A$61:$I$81,4,0)),0,VLOOKUP(A7,'Données projet'!$A$61:$I$81,4,0))</f>
        <v>0</v>
      </c>
      <c r="AR7" s="122" t="n">
        <f aca="false">IF(ISNA(VLOOKUP(A7,'Données projet'!$A$61:$I$81,5,0)),0%,VLOOKUP(A7,'Données projet'!$A$61:$I$81,5,0)*VLOOKUP('Données projet'!$B$10,Paramètres!$A$1:$I$89,7,0))</f>
        <v>0</v>
      </c>
      <c r="AS7" s="122" t="n">
        <f aca="false">IF(ISNA(VLOOKUP(A7,'Données projet'!$A$61:$I$81,6,0)),0%,VLOOKUP(A7,'Données projet'!$A$61:$I$81,6,0)*VLOOKUP('Données projet'!$B$10,Paramètres!$A$1:$I$89,7,0))</f>
        <v>0</v>
      </c>
      <c r="AT7" s="122" t="n">
        <f aca="false">IF(ISNA(VLOOKUP(A7,'Données projet'!$A$61:$I$81,7,0)),0%,VLOOKUP(A7,'Données projet'!$A$61:$I$81,7,0))</f>
        <v>0</v>
      </c>
      <c r="AU7" s="129" t="n">
        <f aca="false">EXP(-LN(2)/35)*AU6+(1-EXP(-LN(2)/35))/(LN(2)/35)*AQ7*AR7*VLOOKUP('Données projet'!$B$10,Paramètres!$A$1:$I$89,3,0)*0.475*44/12</f>
        <v>0</v>
      </c>
      <c r="AV7" s="129" t="n">
        <f aca="false">EXP(-LN(2)/25)*AV6+(1-EXP(-LN(2)/25))/(LN(2)/25)*Calculateur!AQ7*Calculateur!AS7*VLOOKUP('Données projet'!$B$10,Paramètres!$A$1:$I$89,3,0)*0.475*44/12</f>
        <v>0</v>
      </c>
      <c r="AW7" s="129" t="n">
        <f aca="false">EXP(-LN(2)/2)*AW6+(1-EXP(-LN(2)/2))/(LN(2)/2)*AQ7*AT7*VLOOKUP('Données projet'!$B$10,Paramètres!$A$1:$I$89,3,0)*0.475*44/12</f>
        <v>0</v>
      </c>
      <c r="AX7" s="129" t="n">
        <f aca="false">SUM(AU7:AW7)</f>
        <v>0</v>
      </c>
      <c r="AY7" s="124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BA7" s="118" t="e">
        <f aca="false">VLOOKUP(A7,'Données projet'!$A$87:$I$107,2,0)</f>
        <v>#N/A</v>
      </c>
      <c r="BB7" s="118" t="e">
        <f aca="false">VLOOKUP(A7,'Données projet'!$A$87:$I$107,9,0)</f>
        <v>#N/A</v>
      </c>
      <c r="BC7" s="118" t="n">
        <f aca="false" t="array" ref="BC7:BC7">INDEX(BB:BB,MIN(IF(ISNUMBER(BB7:BB203),ROW(BB7:BB203),"")))</f>
        <v>5.8</v>
      </c>
      <c r="BD7" s="118" t="n">
        <f aca="false">IF('Données projet'!$A$88&gt;35,BD6+BC7-BL6,IF(A7&lt;'Données projet'!$A$88,$BA$205^A7,IF(A7='Données projet'!$A$88,'Données projet'!$B$88,BD6+BC7-BL6)))</f>
        <v>3.29006996872637</v>
      </c>
      <c r="BE7" s="117" t="n">
        <f aca="false">BD7*VLOOKUP('Données projet'!$B$11,Paramètres!$A$1:$I$89,3,0)*VLOOKUP('Données projet'!$B$11,Paramètres!$A$1:$I$89,5,0)</f>
        <v>2.87420512467936</v>
      </c>
      <c r="BF7" s="117" t="n">
        <f aca="false">EXP(-1.0587+0.8836*LN(BE7)+0.284)</f>
        <v>1.17138148994789</v>
      </c>
      <c r="BG7" s="128" t="n">
        <f aca="false">(BE7+BF7)*0.475*44/12</f>
        <v>7.04606335380913</v>
      </c>
      <c r="BH7" s="120" t="n">
        <f aca="false">BG7+(AY7+AZ7)*44/12</f>
        <v>268.601618909365</v>
      </c>
      <c r="BI7" s="120" t="n">
        <f aca="true">AVERAGE(OFFSET($BH$3,0,0,'Données projet'!$E$11+1,1))-AVERAGE(OFFSET($H$3,0,0,'Données projet'!$E$11+1,1))</f>
        <v>321.235999689929</v>
      </c>
      <c r="BJ7" s="120" t="n">
        <f aca="false">$BJ$3</f>
        <v>388.051958478005</v>
      </c>
      <c r="BK7" s="121" t="n">
        <f aca="false">IF(ISNA(VLOOKUP(A7,'Données projet'!$A$87:$I$107,3,0)),0,VLOOKUP(A7,'Données projet'!$A$87:$I$107,3,0))</f>
        <v>0</v>
      </c>
      <c r="BL7" s="121" t="n">
        <f aca="false">IF(ISNA(VLOOKUP(A7,'Données projet'!$A$87:$I$107,4,0)),0,VLOOKUP(A7,'Données projet'!$A$87:$I$107,4,0))</f>
        <v>0</v>
      </c>
      <c r="BM7" s="122" t="n">
        <f aca="false">IF(ISNA(VLOOKUP(A7,'Données projet'!$A$87:$I$107,5,0)),0%,VLOOKUP(A7,'Données projet'!$A$87:$I$107,5,0)*VLOOKUP('Données projet'!$B$11,Paramètres!$A$1:$I$89,7,0))</f>
        <v>0</v>
      </c>
      <c r="BN7" s="122" t="n">
        <f aca="false">IF(ISNA(VLOOKUP(A7,'Données projet'!$A$87:$I$107,6,0)),0%,VLOOKUP(A7,'Données projet'!$A$87:$I$107,6,0)*VLOOKUP('Données projet'!$B$11,Paramètres!$A$1:$I$89,7,0))</f>
        <v>0</v>
      </c>
      <c r="BO7" s="122" t="n">
        <f aca="false">IF(ISNA(VLOOKUP(A7,'Données projet'!$A$87:$I$107,7,0)),0%,VLOOKUP(A7,'Données projet'!$A$87:$I$107,7,0))</f>
        <v>0</v>
      </c>
      <c r="BP7" s="129" t="n">
        <f aca="false">EXP(-LN(2)/35)*BP6+(1-EXP(-LN(2)/35))/(LN(2)/35)*BL7*BM7*VLOOKUP('Données projet'!$B$11,Paramètres!$A$1:$I$89,3,0)*0.475*44/12</f>
        <v>0</v>
      </c>
      <c r="BQ7" s="129" t="n">
        <f aca="false">EXP(-LN(2)/25)*BQ6+(1-EXP(-LN(2)/25))/(LN(2)/25)*Calculateur!BL7*Calculateur!BN7*VLOOKUP('Données projet'!$B$11,Paramètres!$A$1:$I$89,3,0)*0.475*44/12</f>
        <v>0</v>
      </c>
      <c r="BR7" s="129" t="n">
        <f aca="false">EXP(-LN(2)/2)*BR6+(1-EXP(-LN(2)/2))/(LN(2)/2)*BL7*BO7*VLOOKUP('Données projet'!$B$11,Paramètres!$A$1:$I$89,3,0)*0.475*44/12</f>
        <v>0</v>
      </c>
      <c r="BS7" s="130" t="n">
        <f aca="false">SUM(BP7:BR7)</f>
        <v>0</v>
      </c>
      <c r="BT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BV7" s="118" t="e">
        <f aca="false">VLOOKUP(A7,'Données projet'!$A$113:$I$133,2,0)</f>
        <v>#N/A</v>
      </c>
      <c r="BW7" s="118" t="e">
        <f aca="false">VLOOKUP(A7,'Données projet'!$A$113:$I$133,9,0)</f>
        <v>#N/A</v>
      </c>
      <c r="BX7" s="118" t="n">
        <f aca="false" t="array" ref="BX7:BX7">INDEX(BW:BW,MIN(IF(ISNUMBER(BW7:BW203),ROW(BW7:BW203),"")))</f>
        <v>6.22222222222222</v>
      </c>
      <c r="BY7" s="118" t="n">
        <f aca="false">IF('Données projet'!$A$114&gt;35,BY6+BX7-CG6,IF(A7&lt;'Données projet'!$A$114,$BV$205^A7,IF(A7='Données projet'!$A$114,'Données projet'!$B$114,BY6+BX7-CG6)))</f>
        <v>2.8535256637457</v>
      </c>
      <c r="BZ7" s="117" t="n">
        <f aca="false">BY7*VLOOKUP('Données projet'!$B$12,Paramètres!$A$1:$I$89,3,0)*VLOOKUP('Données projet'!$B$12,Paramètres!$A$1:$I$89,5,0)</f>
        <v>1.78060001417732</v>
      </c>
      <c r="CA7" s="117" t="n">
        <f aca="false">EXP(-1.0587+0.8836*LN(BZ7)+0.284)</f>
        <v>0.767277585992419</v>
      </c>
      <c r="CB7" s="128" t="n">
        <f aca="false">(BZ7+CA7)*0.475*44/12</f>
        <v>4.43755348696229</v>
      </c>
      <c r="CC7" s="120" t="n">
        <f aca="false">CB7+(BT7+BU7)*44/12</f>
        <v>265.993109042518</v>
      </c>
      <c r="CD7" s="120" t="n">
        <f aca="true">AVERAGE(OFFSET($CC$3,0,0,'Données projet'!$E$12+1,1))-AVERAGE(OFFSET($H$3,0,0,'Données projet'!$E$12+1,1))</f>
        <v>240.228848647662</v>
      </c>
      <c r="CE7" s="120" t="n">
        <f aca="false">$CE$3</f>
        <v>343.237768841432</v>
      </c>
      <c r="CF7" s="121" t="n">
        <f aca="false">IF(ISNA(VLOOKUP(A7,'Données projet'!$A$113:$I$133,3,0)),0,VLOOKUP(A7,'Données projet'!$A$113:$I$133,3,0))</f>
        <v>0</v>
      </c>
      <c r="CG7" s="121" t="n">
        <f aca="false">IF(ISNA(VLOOKUP(A7,'Données projet'!$A$113:$I$133,4,0)),0,VLOOKUP(A7,'Données projet'!$A$113:$I$133,4,0))</f>
        <v>0</v>
      </c>
      <c r="CH7" s="122" t="n">
        <f aca="false">IF(ISNA(VLOOKUP(A7,'Données projet'!$A$113:$I$133,5,0)),0%,VLOOKUP(A7,'Données projet'!$A$113:$I$133,5,0)*VLOOKUP('Données projet'!$B$12,Paramètres!$A$1:$I$89,7,0))</f>
        <v>0</v>
      </c>
      <c r="CI7" s="122" t="n">
        <f aca="false">IF(ISNA(VLOOKUP(A7,'Données projet'!$A$113:$I$133,6,0)),0%,VLOOKUP(A7,'Données projet'!$A$113:$I$133,6,0)*VLOOKUP('Données projet'!$B$12,Paramètres!$A$1:$I$89,7,0))</f>
        <v>0</v>
      </c>
      <c r="CJ7" s="122" t="n">
        <f aca="false">IF(ISNA(VLOOKUP(A7,'Données projet'!$A$113:$I$133,7,0)),0%,VLOOKUP(A7,'Données projet'!$A$113:$I$133,7,0))</f>
        <v>0</v>
      </c>
      <c r="CK7" s="129" t="n">
        <f aca="false">EXP(-LN(2)/35)*CK6+(1-EXP(-LN(2)/35))/(LN(2)/35)*CG7*CH7*VLOOKUP('Données projet'!$B$12,Paramètres!$A$1:$I$89,3,0)*0.475*44/12</f>
        <v>0</v>
      </c>
      <c r="CL7" s="129" t="n">
        <f aca="false">EXP(-LN(2)/25)*CL6+(1-EXP(-LN(2)/25))/(LN(2)/25)*Calculateur!CG7*Calculateur!CI7*VLOOKUP('Données projet'!$B$12,Paramètres!$A$1:$I$89,3,0)*0.475*44/12</f>
        <v>0</v>
      </c>
      <c r="CM7" s="129" t="n">
        <f aca="false">EXP(-LN(2)/2)*CM6+(1-EXP(-LN(2)/2))/(LN(2)/2)*CG7*CJ7*VLOOKUP('Données projet'!$B$12,Paramètres!$A$1:$I$89,3,0)*0.475*44/12</f>
        <v>0</v>
      </c>
      <c r="CN7" s="130" t="n">
        <f aca="false">SUM(CK7:CM7)</f>
        <v>0</v>
      </c>
      <c r="CO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CQ7" s="118" t="e">
        <f aca="false">VLOOKUP(A7,'Données projet'!$A$139:$I$159,2,0)</f>
        <v>#N/A</v>
      </c>
      <c r="CR7" s="118" t="e">
        <f aca="false">VLOOKUP(A7,'Données projet'!$A$139:$I$159,9,0)</f>
        <v>#N/A</v>
      </c>
      <c r="CS7" s="118" t="n">
        <f aca="false" t="array" ref="CS7:CS7">INDEX(CR:CR,MIN(IF(ISNUMBER(CR7:CR203),ROW(CR7:CR203),"")))</f>
        <v>9.66666666666667</v>
      </c>
      <c r="CT7" s="118" t="n">
        <f aca="false">IF('Données projet'!$A$140&gt;35,CT6+CS7-DB6,IF(A7&lt;'Données projet'!$A$140,$CQ$205^A7,IF(A7='Données projet'!$A$140,'Données projet'!$B$140,CT6+CS7-DB6)))</f>
        <v>4.87699896107331</v>
      </c>
      <c r="CU7" s="125" t="n">
        <f aca="false">CT7*VLOOKUP('Données projet'!$B$13,Paramètres!$A$1:$I$89,3,0)*VLOOKUP('Données projet'!$B$13,Paramètres!$A$1:$I$89,5,0)</f>
        <v>2.66284143274603</v>
      </c>
      <c r="CV7" s="117" t="n">
        <f aca="false">EXP(-1.0587+0.8836*LN(CU7)+0.284)</f>
        <v>1.09493207211578</v>
      </c>
      <c r="CW7" s="128" t="n">
        <f aca="false">(CU7+CV7)*0.475*44/12</f>
        <v>6.54478885430098</v>
      </c>
      <c r="CX7" s="120" t="n">
        <f aca="false">CW7+(CO7+CP7)*44/12</f>
        <v>268.100344409856</v>
      </c>
      <c r="CY7" s="120" t="n">
        <f aca="true">AVERAGE(OFFSET($CX$3,0,0,'Données projet'!$E$13+1,1))-AVERAGE(OFFSET($H$3,0,0,'Données projet'!$E$13+1,1))</f>
        <v>207.023069645676</v>
      </c>
      <c r="CZ7" s="120" t="n">
        <f aca="false">$CZ$3</f>
        <v>342.068879333518</v>
      </c>
      <c r="DA7" s="121" t="n">
        <f aca="false">IF(ISNA(VLOOKUP(A7,'Données projet'!$A$139:$I$159,3,0)),0,VLOOKUP(A7,'Données projet'!$A$139:$I$159,3,0))</f>
        <v>0</v>
      </c>
      <c r="DB7" s="121" t="n">
        <f aca="false">IF(ISNA(VLOOKUP(A7,'Données projet'!$A$139:$I$159,4,0)),0,VLOOKUP(A7,'Données projet'!$A$139:$I$159,4,0))</f>
        <v>0</v>
      </c>
      <c r="DC7" s="122" t="n">
        <f aca="false">IF(ISNA(VLOOKUP(A7,'Données projet'!$A$139:$I$159,5,0)),0%,VLOOKUP(A7,'Données projet'!$A$139:$I$159,5,0)*VLOOKUP('Données projet'!$B$13,Paramètres!$A$1:$I$89,7,0))</f>
        <v>0</v>
      </c>
      <c r="DD7" s="122" t="n">
        <f aca="false">IF(ISNA(VLOOKUP(A7,'Données projet'!$A$139:$I$159,6,0)),0%,VLOOKUP(A7,'Données projet'!$A$139:$I$159,6,0)*VLOOKUP('Données projet'!$B$13,Paramètres!$A$1:$I$89,7,0))</f>
        <v>0</v>
      </c>
      <c r="DE7" s="122" t="n">
        <f aca="false">IF(ISNA(VLOOKUP(A7,'Données projet'!$A$139:$I$159,7,0)),0%,VLOOKUP(A7,'Données projet'!$A$139:$I$159,7,0))</f>
        <v>0</v>
      </c>
      <c r="DF7" s="129" t="n">
        <f aca="false">EXP(-LN(2)/35)*DF6+(1-EXP(-LN(2)/35))/(LN(2)/35)*DB7*DC7*VLOOKUP('Données projet'!$B$13,Paramètres!$A$1:$I$89,3,0)*0.475*44/12</f>
        <v>0</v>
      </c>
      <c r="DG7" s="129" t="n">
        <f aca="false">EXP(-LN(2)/25)*DG6+(1-EXP(-LN(2)/25))/(LN(2)/25)*Calculateur!DB7*Calculateur!DD7*VLOOKUP('Données projet'!$B$13,Paramètres!$A$1:$I$89,3,0)*0.475*44/12</f>
        <v>0</v>
      </c>
      <c r="DH7" s="129" t="n">
        <f aca="false">EXP(-LN(2)/2)*DH6+(1-EXP(-LN(2)/2))/(LN(2)/2)*DB7*DE7*VLOOKUP('Données projet'!$B$13,Paramètres!$A$1:$I$89,3,0)*0.475*44/12</f>
        <v>0</v>
      </c>
      <c r="DI7" s="130" t="n">
        <f aca="false">SUM(DF7:DH7)</f>
        <v>0</v>
      </c>
      <c r="DJ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DL7" s="118" t="e">
        <f aca="false">VLOOKUP(A7,'Données projet'!$A$165:$I$185,2,0)</f>
        <v>#N/A</v>
      </c>
      <c r="DM7" s="118" t="e">
        <f aca="false">VLOOKUP(A7,'Données projet'!$A$165:$I$185,9,0)</f>
        <v>#N/A</v>
      </c>
      <c r="DN7" s="118" t="n">
        <f aca="false" t="array" ref="DN7:DN7">INDEX(DM:DM,MIN(IF(ISNUMBER(DM7:DM203),ROW(DM7:DM203),"")))</f>
        <v>3</v>
      </c>
      <c r="DO7" s="118" t="n">
        <f aca="false">IF('Données projet'!$A$166&gt;35,DO6+DN7-DW6,IF(A7&lt;'Données projet'!$A$166,$DL$205^A7,IF(A7='Données projet'!$A$166,'Données projet'!$B$166,DO6+DN7-DW6)))</f>
        <v>3.30192724889463</v>
      </c>
      <c r="DP7" s="125" t="n">
        <f aca="false">DO7*VLOOKUP('Données projet'!$B$14,Paramètres!$A$1:$I$89,3,0)*VLOOKUP('Données projet'!$B$14,Paramètres!$A$1:$I$89,5,0)</f>
        <v>1.97455249483899</v>
      </c>
      <c r="DQ7" s="117" t="n">
        <f aca="false">EXP(-1.0587+0.8836*LN(DP7)+0.284)</f>
        <v>0.840675119456258</v>
      </c>
      <c r="DR7" s="128" t="n">
        <f aca="false">(DP7+DQ7)*0.475*44/12</f>
        <v>4.90318809489755</v>
      </c>
      <c r="DS7" s="120" t="n">
        <f aca="false">DR7+(DJ7+DK7)*44/12</f>
        <v>266.458743650453</v>
      </c>
      <c r="DT7" s="120" t="n">
        <f aca="true">AVERAGE(OFFSET($DS$3,0,0,'Données projet'!$E$14+1,1))-AVERAGE(OFFSET($H$3,0,0,'Données projet'!$E$14+1,1))</f>
        <v>549.432320957297</v>
      </c>
      <c r="DU7" s="120" t="n">
        <f aca="false">$DU$3</f>
        <v>280.26155987301</v>
      </c>
      <c r="DV7" s="121" t="n">
        <f aca="false">IF(ISNA(VLOOKUP(A7,'Données projet'!$A$165:$I$185,3,0)),0,VLOOKUP(A7,'Données projet'!$A$165:$I$185,3,0))</f>
        <v>0</v>
      </c>
      <c r="DW7" s="121" t="n">
        <f aca="false">IF(ISNA(VLOOKUP(A7,'Données projet'!$A$165:$I$185,4,0)),0,VLOOKUP(A7,'Données projet'!$A$165:$I$185,4,0))</f>
        <v>0</v>
      </c>
      <c r="DX7" s="122" t="n">
        <f aca="false">IF(ISNA(VLOOKUP(A7,'Données projet'!$A$165:$I$185,5,0)),0%,VLOOKUP(A7,'Données projet'!$A$165:$I$185,5,0)*VLOOKUP('Données projet'!$B$14,Paramètres!$A$1:$I$89,7,0))</f>
        <v>0</v>
      </c>
      <c r="DY7" s="122" t="n">
        <f aca="false">IF(ISNA(VLOOKUP(A7,'Données projet'!$A$165:$I$185,6,0)),0%,VLOOKUP(A7,'Données projet'!$A$165:$I$185,6,0)*VLOOKUP('Données projet'!$B$14,Paramètres!$A$1:$I$89,7,0))</f>
        <v>0</v>
      </c>
      <c r="DZ7" s="122" t="n">
        <f aca="false">IF(ISNA(VLOOKUP(A7,'Données projet'!$A$165:$I$185,7,0)),0%,VLOOKUP(A7,'Données projet'!$A$165:$I$185,7,0))</f>
        <v>0</v>
      </c>
      <c r="EA7" s="129" t="n">
        <f aca="false">EXP(-LN(2)/35)*EA6+(1-EXP(-LN(2)/35))/(LN(2)/35)*DW7*DX7*VLOOKUP('Données projet'!$B$14,Paramètres!$A$1:$I$89,3,0)*0.475*44/12</f>
        <v>0</v>
      </c>
      <c r="EB7" s="129" t="n">
        <f aca="false">EXP(-LN(2)/25)*EB6+(1-EXP(-LN(2)/25))/(LN(2)/25)*Calculateur!DW7*Calculateur!DY7*VLOOKUP('Données projet'!$B$14,Paramètres!$A$1:$I$89,3,0)*0.475*44/12</f>
        <v>0</v>
      </c>
      <c r="EC7" s="129" t="n">
        <f aca="false">EXP(-LN(2)/2)*EC6+(1-EXP(-LN(2)/2))/(LN(2)/2)*DW7*DZ7*VLOOKUP('Données projet'!$B$14,Paramètres!$A$1:$I$89,3,0)*0.475*44/12</f>
        <v>0</v>
      </c>
      <c r="ED7" s="130" t="n">
        <f aca="false">SUM(EA7:EC7)</f>
        <v>0</v>
      </c>
      <c r="EE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EG7" s="118" t="e">
        <f aca="false">VLOOKUP(A7,'Données projet'!$A$191:$I$211,2,0)</f>
        <v>#N/A</v>
      </c>
      <c r="EH7" s="118" t="e">
        <f aca="false">VLOOKUP(A7,'Données projet'!$A$191:$I$211,9,0)</f>
        <v>#N/A</v>
      </c>
      <c r="EI7" s="118" t="n">
        <f aca="false" t="array" ref="EI7:EI7">INDEX(EH:EH,MIN(IF(ISNUMBER(EH7:EH203),ROW(EH7:EH203),"")))</f>
        <v>0</v>
      </c>
      <c r="EJ7" s="118" t="n">
        <f aca="false">IF('Données projet'!$A$192&gt;35,EJ6+EI7-ER6,IF(A7&lt;'Données projet'!$A$192,$EG$205^A7,IF(A7='Données projet'!$A$192,'Données projet'!$B$192,EJ6+EI7-ER6)))</f>
        <v>0</v>
      </c>
      <c r="EK7" s="125" t="e">
        <f aca="false">EJ7*VLOOKUP('Données projet'!$B$15,Paramètres!$A$1:$I$89,3,0)*VLOOKUP('Données projet'!$B$15,Paramètres!$A$1:$I$89,5,0)</f>
        <v>#N/A</v>
      </c>
      <c r="EL7" s="117" t="e">
        <f aca="false">EXP(-1.0587+0.8836*LN(EK7)+0.284)</f>
        <v>#N/A</v>
      </c>
      <c r="EM7" s="128" t="e">
        <f aca="false">(EK7+EL7)*0.475*44/12</f>
        <v>#N/A</v>
      </c>
      <c r="EN7" s="120" t="e">
        <f aca="false">EM7+(EE7+EF7)*44/12</f>
        <v>#N/A</v>
      </c>
      <c r="EO7" s="120" t="e">
        <f aca="true">AVERAGE(OFFSET($EN$3,0,0,'Données projet'!$E$15+1,1))-AVERAGE(OFFSET($H$3,0,0,'Données projet'!$E$15+1,1))</f>
        <v>#N/A</v>
      </c>
      <c r="EP7" s="120" t="e">
        <f aca="false">$EP$3</f>
        <v>#N/A</v>
      </c>
      <c r="EQ7" s="121" t="n">
        <f aca="false">IF(ISNA(VLOOKUP(A7,'Données projet'!$A$191:$I$211,3,0)),0,VLOOKUP(A7,'Données projet'!$A$191:$I$211,3,0))</f>
        <v>0</v>
      </c>
      <c r="ER7" s="121" t="n">
        <f aca="false">IF(ISNA(VLOOKUP(A7,'Données projet'!$A$191:$I$211,4,0)),0,VLOOKUP(A7,'Données projet'!$A$191:$I$211,4,0))</f>
        <v>0</v>
      </c>
      <c r="ES7" s="122" t="n">
        <f aca="false">IF(ISNA(VLOOKUP(A7,'Données projet'!$A$191:$I$211,5,0)),0%,VLOOKUP(A7,'Données projet'!$A$191:$I$211,5,0)*VLOOKUP('Données projet'!$B$15,Paramètres!$A$1:$I$89,7,0))</f>
        <v>0</v>
      </c>
      <c r="ET7" s="122" t="n">
        <f aca="false">IF(ISNA(VLOOKUP(A7,'Données projet'!$A$191:$I$211,6,0)),0%,VLOOKUP(A7,'Données projet'!$A$191:$I$211,6,0)*VLOOKUP('Données projet'!$B$15,Paramètres!$A$1:$I$89,7,0))</f>
        <v>0</v>
      </c>
      <c r="EU7" s="122" t="n">
        <f aca="false">IF(ISNA(VLOOKUP(A7,'Données projet'!$A$191:$I$211,7,0)),0%,VLOOKUP(A7,'Données projet'!$A$191:$I$211,7,0))</f>
        <v>0</v>
      </c>
      <c r="EV7" s="129" t="e">
        <f aca="false">EXP(-LN(2)/35)*EV6+(1-EXP(-LN(2)/35))/(LN(2)/35)*ER7*ES7*VLOOKUP('Données projet'!$B$15,Paramètres!$A$1:$I$89,3,0)*0.475*44/12</f>
        <v>#N/A</v>
      </c>
      <c r="EW7" s="129" t="e">
        <f aca="false">EXP(-LN(2)/25)*EW6+(1-EXP(-LN(2)/25))/(LN(2)/25)*Calculateur!ER7*Calculateur!ET7*VLOOKUP('Données projet'!$B$15,Paramètres!$A$1:$I$89,3,0)*0.475*44/12</f>
        <v>#N/A</v>
      </c>
      <c r="EX7" s="129" t="e">
        <f aca="false">EXP(-LN(2)/2)*EX6+(1-EXP(-LN(2)/2))/(LN(2)/2)*ER7*EU7*VLOOKUP('Données projet'!$B$15,Paramètres!$A$1:$I$89,3,0)*0.475*44/12</f>
        <v>#N/A</v>
      </c>
      <c r="EY7" s="130" t="e">
        <f aca="false">SUM(EV7:EX7)</f>
        <v>#N/A</v>
      </c>
      <c r="EZ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FB7" s="118" t="e">
        <f aca="false">VLOOKUP(A7,'Données projet'!$A$217:$I$237,2,0)</f>
        <v>#N/A</v>
      </c>
      <c r="FC7" s="118" t="e">
        <f aca="false">VLOOKUP(A7,'Données projet'!$A$217:$I$237,9,0)</f>
        <v>#N/A</v>
      </c>
      <c r="FD7" s="118" t="n">
        <f aca="false" t="array" ref="FD7:FD7">INDEX(FC:FC,MIN(IF(ISNUMBER(FC7:FC203),ROW(FC7:FC203),"")))</f>
        <v>0</v>
      </c>
      <c r="FE7" s="118" t="n">
        <f aca="false">IF('Données projet'!$A$218&gt;35,FE6+FD7-FM6,IF(A7&lt;'Données projet'!$A$218,$FB$205^A7,IF(A7='Données projet'!$A$218,'Données projet'!$B$218,FE6+FD7-FM6)))</f>
        <v>0</v>
      </c>
      <c r="FF7" s="125" t="e">
        <f aca="false">FE7*VLOOKUP('Données projet'!$B$16,Paramètres!$A$1:$I$89,3,0)*VLOOKUP('Données projet'!$B$16,Paramètres!$A$1:$I$89,5,0)</f>
        <v>#N/A</v>
      </c>
      <c r="FG7" s="117" t="e">
        <f aca="false">EXP(-1.0587+0.8836*LN(FF7)+0.284)</f>
        <v>#N/A</v>
      </c>
      <c r="FH7" s="128" t="e">
        <f aca="false">(FF7+FG7)*0.475*44/12</f>
        <v>#N/A</v>
      </c>
      <c r="FI7" s="120" t="e">
        <f aca="false">FH7+(EZ7+FA7)*44/12</f>
        <v>#N/A</v>
      </c>
      <c r="FJ7" s="120" t="e">
        <f aca="true">AVERAGE(OFFSET($FI$3,0,0,'Données projet'!$E$16+1,1))-AVERAGE(OFFSET($H$3,0,0,'Données projet'!$E$16+1,1))</f>
        <v>#N/A</v>
      </c>
      <c r="FK7" s="120" t="e">
        <f aca="false">$FK$3</f>
        <v>#N/A</v>
      </c>
      <c r="FL7" s="121" t="n">
        <f aca="false">IF(ISNA(VLOOKUP(A7,'Données projet'!$A$217:$I$237,3,0)),0,VLOOKUP(A7,'Données projet'!$A$217:$I$237,3,0))</f>
        <v>0</v>
      </c>
      <c r="FM7" s="121" t="n">
        <f aca="false">IF(ISNA(VLOOKUP(A7,'Données projet'!$A$217:$I$237,4,0)),0,VLOOKUP(A7,'Données projet'!$A$217:$I$237,4,0))</f>
        <v>0</v>
      </c>
      <c r="FN7" s="122" t="n">
        <f aca="false">IF(ISNA(VLOOKUP(A7,'Données projet'!$A$217:$I$237,5,0)),0%,VLOOKUP(A7,'Données projet'!$A$217:$I$237,5,0)*VLOOKUP('Données projet'!$B$16,Paramètres!$A$1:$I$89,7,0))</f>
        <v>0</v>
      </c>
      <c r="FO7" s="122" t="n">
        <f aca="false">IF(ISNA(VLOOKUP(A7,'Données projet'!$A$217:$I$237,6,0)),0%,VLOOKUP(A7,'Données projet'!$A$217:$I$237,6,0)*VLOOKUP('Données projet'!$B$16,Paramètres!$A$1:$I$89,7,0))</f>
        <v>0</v>
      </c>
      <c r="FP7" s="122" t="n">
        <f aca="false">IF(ISNA(VLOOKUP(A7,'Données projet'!$A$217:$I$237,7,0)),0%,VLOOKUP(A7,'Données projet'!$A$217:$I$237,7,0))</f>
        <v>0</v>
      </c>
      <c r="FQ7" s="129" t="e">
        <f aca="false">EXP(-LN(2)/35)*FQ6+(1-EXP(-LN(2)/35))/(LN(2)/35)*FM7*FN7*VLOOKUP('Données projet'!$B$16,Paramètres!$A$1:$I$89,3,0)*0.475*44/12</f>
        <v>#N/A</v>
      </c>
      <c r="FR7" s="129" t="e">
        <f aca="false">EXP(-LN(2)/25)*FR6+(1-EXP(-LN(2)/25))/(LN(2)/25)*Calculateur!FM7*Calculateur!FO7*VLOOKUP('Données projet'!$B$16,Paramètres!$A$1:$I$89,3,0)*0.475*44/12</f>
        <v>#N/A</v>
      </c>
      <c r="FS7" s="129" t="e">
        <f aca="false">EXP(-LN(2)/2)*FS6+(1-EXP(-LN(2)/2))/(LN(2)/2)*FM7*FP7*VLOOKUP('Données projet'!$B$16,Paramètres!$A$1:$I$89,3,0)*0.475*44/12</f>
        <v>#N/A</v>
      </c>
      <c r="FT7" s="130" t="e">
        <f aca="false">SUM(FQ7:FS7)</f>
        <v>#N/A</v>
      </c>
      <c r="FU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FW7" s="118" t="e">
        <f aca="false">VLOOKUP(A7,'Données projet'!$A$243:$I$263,2,0)</f>
        <v>#N/A</v>
      </c>
      <c r="FX7" s="118" t="e">
        <f aca="false">VLOOKUP(A7,'Données projet'!$A$243:$I$263,9,0)</f>
        <v>#N/A</v>
      </c>
      <c r="FY7" s="118" t="n">
        <f aca="false" t="array" ref="FY7:FY7">INDEX(FX:FX,MIN(IF(ISNUMBER(FX7:FX203),ROW(FX7:FX203),"")))</f>
        <v>0</v>
      </c>
      <c r="FZ7" s="118" t="n">
        <f aca="false">IF('Données projet'!$A$244&gt;35,FZ6+FY7-GH6,IF(A7&lt;'Données projet'!$A$244,$FW$205^A7,IF(A7='Données projet'!$A$244,'Données projet'!$B$244,FZ6+FY7-GH6)))</f>
        <v>0</v>
      </c>
      <c r="GA7" s="125" t="e">
        <f aca="false">FZ7*VLOOKUP('Données projet'!$B$17,Paramètres!$A$1:$I$89,3,0)*VLOOKUP('Données projet'!$B$17,Paramètres!$A$1:$I$89,5,0)</f>
        <v>#N/A</v>
      </c>
      <c r="GB7" s="117" t="e">
        <f aca="false">EXP(-1.0587+0.8836*LN(GA7)+0.284)</f>
        <v>#N/A</v>
      </c>
      <c r="GC7" s="128" t="e">
        <f aca="false">(GA7+GB7)*0.475*44/12</f>
        <v>#N/A</v>
      </c>
      <c r="GD7" s="120" t="e">
        <f aca="false">GC7+(FU7+FV7)*44/12</f>
        <v>#N/A</v>
      </c>
      <c r="GE7" s="120" t="e">
        <f aca="true">AVERAGE(OFFSET($GD$3,0,0,'Données projet'!$E$17+1,1))-AVERAGE(OFFSET($H$3,0,0,'Données projet'!$E$17+1,1))</f>
        <v>#N/A</v>
      </c>
      <c r="GF7" s="120" t="e">
        <f aca="false">$GF$3</f>
        <v>#N/A</v>
      </c>
      <c r="GG7" s="121" t="n">
        <f aca="false">IF(ISNA(VLOOKUP(A7,'Données projet'!$A$243:$I$263,3,0)),0,VLOOKUP(A7,'Données projet'!$A$243:$I$263,3,0))</f>
        <v>0</v>
      </c>
      <c r="GH7" s="121" t="n">
        <f aca="false">IF(ISNA(VLOOKUP(A7,'Données projet'!$A$243:$I$263,4,0)),0,VLOOKUP(A7,'Données projet'!$A$243:$I$263,4,0))</f>
        <v>0</v>
      </c>
      <c r="GI7" s="122" t="n">
        <f aca="false">IF(ISNA(VLOOKUP(A7,'Données projet'!$A$243:$I$263,5,0)),0%,VLOOKUP(A7,'Données projet'!$A$243:$I$263,5,0)*VLOOKUP('Données projet'!$B$17,Paramètres!$A$1:$I$89,7,0))</f>
        <v>0</v>
      </c>
      <c r="GJ7" s="122" t="n">
        <f aca="false">IF(ISNA(VLOOKUP(A7,'Données projet'!$A$243:$I$263,6,0)),0%,VLOOKUP(A7,'Données projet'!$A$243:$I$263,6,0)*VLOOKUP('Données projet'!$B$17,Paramètres!$A$1:$I$89,7,0))</f>
        <v>0</v>
      </c>
      <c r="GK7" s="122" t="n">
        <f aca="false">IF(ISNA(VLOOKUP(A7,'Données projet'!$A$243:$I$263,7,0)),0%,VLOOKUP(A7,'Données projet'!$A$243:$I$263,7,0))</f>
        <v>0</v>
      </c>
      <c r="GL7" s="129" t="e">
        <f aca="false">EXP(-LN(2)/35)*GL6+(1-EXP(-LN(2)/35))/(LN(2)/35)*GH7*GI7*VLOOKUP('Données projet'!$B$17,Paramètres!$A$1:$I$89,3,0)*0.475*44/12</f>
        <v>#N/A</v>
      </c>
      <c r="GM7" s="129" t="e">
        <f aca="false">EXP(-LN(2)/25)*GM6+(1-EXP(-LN(2)/25))/(LN(2)/25)*Calculateur!GH7*Calculateur!GJ7*VLOOKUP('Données projet'!$B$17,Paramètres!$A$1:$I$89,3,0)*0.475*44/12</f>
        <v>#N/A</v>
      </c>
      <c r="GN7" s="129" t="e">
        <f aca="false">EXP(-LN(2)/2)*GN6+(1-EXP(-LN(2)/2))/(LN(2)/2)*GH7*GK7*VLOOKUP('Données projet'!$B$17,Paramètres!$A$1:$I$89,3,0)*0.475*44/12</f>
        <v>#N/A</v>
      </c>
      <c r="GO7" s="129" t="e">
        <f aca="false">SUM(GL7:GN7)</f>
        <v>#N/A</v>
      </c>
      <c r="GP7" s="126" t="n">
        <f aca="false"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8" t="n">
        <f aca="false">IF(A7&gt;30,10,('Scénario référence'!$B$16+'Scénario référence'!$B$17+'Scénario référence'!$B$18+'Scénario référence'!$B$9+'Scénario référence'!$B$10)*A7*10/30+('Scénario référence'!$F$8+'Scénario référence'!$F$9)*10)</f>
        <v>1.33333333333333</v>
      </c>
      <c r="GR7" s="118" t="e">
        <f aca="false">VLOOKUP(A7,'Données projet'!$A$269:$I$289,2,0)</f>
        <v>#N/A</v>
      </c>
      <c r="GS7" s="118" t="e">
        <f aca="false">VLOOKUP(A7,'Données projet'!$A$269:$I$289,9,0)</f>
        <v>#N/A</v>
      </c>
      <c r="GT7" s="118" t="n">
        <f aca="false" t="array" ref="GT7:GT7">INDEX(GS:GS,MIN(IF(ISNUMBER(GS7:GS203),ROW(GS7:GS203),"")))</f>
        <v>0</v>
      </c>
      <c r="GU7" s="118" t="n">
        <f aca="false">IF('Données projet'!$A$270&gt;35,GU6+GT7-HC6,IF(A7&lt;'Données projet'!$A$270,$GR$205^A7,IF(A7='Données projet'!$A$270,'Données projet'!$B$270,GU6+GT7-HC6)))</f>
        <v>0</v>
      </c>
      <c r="GV7" s="125" t="e">
        <f aca="false">GU7*VLOOKUP('Données projet'!$B$18,Paramètres!$A$1:$I$89,3,0)*VLOOKUP('Données projet'!$B$18,Paramètres!$A$1:$I$89,5,0)</f>
        <v>#N/A</v>
      </c>
      <c r="GW7" s="117" t="e">
        <f aca="false">EXP(-1.0587+0.8836*LN(GV7)+0.284)</f>
        <v>#N/A</v>
      </c>
      <c r="GX7" s="128" t="e">
        <f aca="false">(GV7+GW7)*0.475*44/12</f>
        <v>#N/A</v>
      </c>
      <c r="GY7" s="120" t="e">
        <f aca="false">GX7+(GP7+GQ7)*44/12</f>
        <v>#N/A</v>
      </c>
      <c r="GZ7" s="120" t="e">
        <f aca="true">AVERAGE(OFFSET($GY$3,0,0,'Données projet'!$E$18+1,1))-AVERAGE(OFFSET($H$3,0,0,'Données projet'!$E$18+1,1))</f>
        <v>#N/A</v>
      </c>
      <c r="HA7" s="120" t="e">
        <f aca="false">$HA$3</f>
        <v>#N/A</v>
      </c>
      <c r="HB7" s="121" t="n">
        <f aca="false">IF(ISNA(VLOOKUP(A7,'Données projet'!$A$269:$I$289,3,0)),0,VLOOKUP(A7,'Données projet'!$A$269:$I$289,3,0))</f>
        <v>0</v>
      </c>
      <c r="HC7" s="121" t="n">
        <f aca="false">IF(ISNA(VLOOKUP(A7,'Données projet'!$A$269:$I$289,4,0)),0,VLOOKUP(A7,'Données projet'!$A$269:$I$289,4,0))</f>
        <v>0</v>
      </c>
      <c r="HD7" s="122" t="n">
        <f aca="false">IF(ISNA(VLOOKUP(A7,'Données projet'!$A$269:$I$289,5,0)),0%,VLOOKUP(A7,'Données projet'!$A$269:$I$289,5,0)*VLOOKUP('Données projet'!$B$18,Paramètres!$A$1:$I$89,7,0))</f>
        <v>0</v>
      </c>
      <c r="HE7" s="122" t="n">
        <f aca="false">IF(ISNA(VLOOKUP(A7,'Données projet'!$A$269:$I$289,6,0)),0%,VLOOKUP(A7,'Données projet'!$A$269:$I$289,6,0)*VLOOKUP('Données projet'!$B$18,Paramètres!$A$1:$I$89,7,0))</f>
        <v>0</v>
      </c>
      <c r="HF7" s="122" t="n">
        <f aca="false">IF(ISNA(VLOOKUP(A7,'Données projet'!$A$269:$I$289,7,0)),0%,VLOOKUP(A7,'Données projet'!$A$269:$I$289,7,0))</f>
        <v>0</v>
      </c>
      <c r="HG7" s="129" t="e">
        <f aca="false">EXP(-LN(2)/35)*HG6+(1-EXP(-LN(2)/35))/(LN(2)/35)*HC7*HD7*VLOOKUP('Données projet'!$B$18,Paramètres!$A$1:$I$89,3,0)*0.475*44/12</f>
        <v>#N/A</v>
      </c>
      <c r="HH7" s="129" t="e">
        <f aca="false">EXP(-LN(2)/25)*HH6+(1-EXP(-LN(2)/25))/(LN(2)/25)*Calculateur!HC7*Calculateur!HE7*VLOOKUP('Données projet'!$B$18,Paramètres!$A$1:$I$89,3,0)*0.475*44/12</f>
        <v>#N/A</v>
      </c>
      <c r="HI7" s="129" t="e">
        <f aca="false">EXP(-LN(2)/2)*HI6+(1-EXP(-LN(2)/2))/(LN(2)/2)*HC7*HF7*VLOOKUP('Données projet'!$B$18,Paramètres!$A$1:$I$89,3,0)*0.475*44/12</f>
        <v>#N/A</v>
      </c>
      <c r="HJ7" s="130" t="e">
        <f aca="false">SUM(HG7:HI7)</f>
        <v>#N/A</v>
      </c>
    </row>
    <row r="8" customFormat="false" ht="14.25" hidden="false" customHeight="false" outlineLevel="0" collapsed="false">
      <c r="A8" s="112" t="n">
        <f aca="false">A7+1</f>
        <v>5</v>
      </c>
      <c r="B8" s="113" t="n">
        <f aca="false">'Scénario référence'!$B$16*5+'Scénario référence'!$B$17*0+'Scénario référence'!$B$18*5</f>
        <v>0</v>
      </c>
      <c r="C8" s="127" t="n">
        <f aca="false"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4" t="n">
        <f aca="false">IFERROR(EXP(-1.0587+0.8836*LN(C8)+0.284),0)</f>
        <v>0</v>
      </c>
      <c r="E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" s="114" t="n">
        <f aca="false">IF(OR('Scénario référence'!$F$8&gt;0,'Scénario référence'!$F$9&gt;0),('Scénario référence'!$F$8+'Scénario référence'!$F$9)*10,0)</f>
        <v>0</v>
      </c>
      <c r="G8" s="114" t="n">
        <f aca="false"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15" t="n">
        <f aca="false">(B8+E8+F8)*44/12+(C8+D8)*0.475*44/12</f>
        <v>256.666666666667</v>
      </c>
      <c r="I8" s="11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7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K8" s="118" t="e">
        <f aca="false">VLOOKUP(A8,'Données projet'!$A$35:$I$55,2,0)</f>
        <v>#N/A</v>
      </c>
      <c r="L8" s="118" t="e">
        <f aca="false">VLOOKUP(A8,'Données projet'!$A$35:$I$55,9,0)</f>
        <v>#N/A</v>
      </c>
      <c r="M8" s="118" t="n">
        <f aca="false" t="array" ref="M8:M8">INDEX(L:L,MIN(IF(ISNUMBER(L8:L204),ROW(L8:L204),"")))</f>
        <v>7.9</v>
      </c>
      <c r="N8" s="117" t="n">
        <f aca="false">IF('Données projet'!$A$36&gt;35,N7+M8-V7,IF(A8&lt;'Données projet'!$A$36,$K$205^A8,IF(A8='Données projet'!$A$36,'Données projet'!$B$36,N7+M8-V7)))</f>
        <v>3.54539209255853</v>
      </c>
      <c r="O8" s="117" t="n">
        <f aca="false">N8*VLOOKUP('Données projet'!$B$9,Paramètres!$A$1:$I$89,3,0)*VLOOKUP('Données projet'!$B$9,Paramètres!$A$1:$I$89,5,0)</f>
        <v>1.65924349931739</v>
      </c>
      <c r="P8" s="117" t="n">
        <f aca="false">EXP(-1.0587+0.8836*LN(O8)+0.284)</f>
        <v>0.720882779441264</v>
      </c>
      <c r="Q8" s="128" t="n">
        <f aca="false">(O8+P8)*0.475*44/12</f>
        <v>4.14538660217133</v>
      </c>
      <c r="R8" s="120" t="n">
        <f aca="false">Q8+(I8+J8)*44/12</f>
        <v>266.923164379949</v>
      </c>
      <c r="S8" s="120" t="n">
        <f aca="true">AVERAGE(OFFSET($R$3,0,0,'Données projet'!$E$9+1,1))-AVERAGE(OFFSET($H$3,0,0,'Données projet'!$E$9+1,1))</f>
        <v>319.229030946746</v>
      </c>
      <c r="T8" s="120" t="n">
        <f aca="false">$T$3</f>
        <v>254.586909731428</v>
      </c>
      <c r="U8" s="121" t="n">
        <f aca="false">IF(ISNA(VLOOKUP(A8,'Données projet'!$A$35:$I$55,3,0)),0,VLOOKUP(A8,'Données projet'!$A$35:$I$55,3,0))</f>
        <v>0</v>
      </c>
      <c r="V8" s="121" t="n">
        <f aca="false">IF(ISNA(VLOOKUP(A8,'Données projet'!$A$35:$I$55,4,0)),0,VLOOKUP(A8,'Données projet'!$A$35:$I$55,4,0))</f>
        <v>0</v>
      </c>
      <c r="W8" s="122" t="n">
        <f aca="false">IF(ISNA(VLOOKUP(A8,'Données projet'!$A$35:$I$55,5,0)),0%,VLOOKUP(A8,'Données projet'!$A$35:$I$55,5,0)*VLOOKUP('Données projet'!$B$9,Paramètres!$A$1:$I$89,7,0))</f>
        <v>0</v>
      </c>
      <c r="X8" s="122" t="n">
        <f aca="false">IF(ISNA(VLOOKUP(A8,'Données projet'!$A$35:$I$55,6,0)),0%,VLOOKUP(A8,'Données projet'!$A$35:$I$55,6,0)*VLOOKUP('Données projet'!$B$9,Paramètres!$A$1:$I$89,7,0))</f>
        <v>0</v>
      </c>
      <c r="Y8" s="122" t="n">
        <f aca="false">IF(ISNA(VLOOKUP(A8,'Données projet'!$A$35:$I$55,7,0)),0%,VLOOKUP(A8,'Données projet'!$A$35:$I$55,7,0))</f>
        <v>0</v>
      </c>
      <c r="Z8" s="129" t="n">
        <f aca="false">EXP(-LN(2)/35)*Z7+(1-EXP(-LN(2)/35))/(LN(2)/35)*V8*W8*VLOOKUP('Données projet'!$B$9,Paramètres!$A$1:$I$89,3,0)*0.475*44/12</f>
        <v>0</v>
      </c>
      <c r="AA8" s="129" t="n">
        <f aca="false">EXP(-LN(2)/25)*AA7+(1-EXP(-LN(2)/25))/(LN(2)/25)*Calculateur!V8*Calculateur!X8*VLOOKUP('Données projet'!$B$9,Paramètres!$A$1:$I$89,3,0)*0.475*44/12</f>
        <v>0</v>
      </c>
      <c r="AB8" s="129" t="n">
        <f aca="false">EXP(-LN(2)/2)*AB7+(1-EXP(-LN(2)/2))/(LN(2)/2)*V8*Y8*VLOOKUP('Données projet'!$B$9,Paramètres!$A$1:$I$89,3,0)*0.475*44/12</f>
        <v>0</v>
      </c>
      <c r="AC8" s="130" t="n">
        <f aca="false">SUM(Z8:AB8)</f>
        <v>0</v>
      </c>
      <c r="AD8" s="117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7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AF8" s="118" t="e">
        <f aca="false">VLOOKUP(A8,'Données projet'!$A$61:$I$81,2,0)</f>
        <v>#N/A</v>
      </c>
      <c r="AG8" s="118" t="e">
        <f aca="false">VLOOKUP(A8,'Données projet'!$A$61:$I$81,9,0)</f>
        <v>#N/A</v>
      </c>
      <c r="AH8" s="118" t="n">
        <f aca="false" t="array" ref="AH8:AH8">INDEX(AG:AG,MIN(IF(ISNUMBER(AG8:AG204),ROW(AG8:AG204),"")))</f>
        <v>7.04347826086957</v>
      </c>
      <c r="AI8" s="117" t="n">
        <f aca="false">IF('Données projet'!$A$62&gt;35,AI7+AH8-AQ7,IF(A8&lt;'Données projet'!$A$62,$AF$205^A8,IF(A8='Données projet'!$A$62,'Données projet'!$B$62,AI7+AH8-AQ7)))</f>
        <v>3.02224279560356</v>
      </c>
      <c r="AJ8" s="117" t="n">
        <f aca="false">AI8*VLOOKUP('Données projet'!$B$10,Paramètres!$A$1:$I$89,3,0)*VLOOKUP('Données projet'!$B$10,Paramètres!$A$1:$I$89,5,0)</f>
        <v>1.68943372274239</v>
      </c>
      <c r="AK8" s="117" t="n">
        <f aca="false">EXP(-1.0587+0.8836*LN(AJ8)+0.284)</f>
        <v>0.732460405129351</v>
      </c>
      <c r="AL8" s="128" t="n">
        <f aca="false">(AJ8+AK8)*0.475*44/12</f>
        <v>4.21813227270995</v>
      </c>
      <c r="AM8" s="120" t="n">
        <f aca="false">AL8+(AD8+AE8)*44/12</f>
        <v>266.995910050488</v>
      </c>
      <c r="AN8" s="120" t="n">
        <f aca="true">AVERAGE(OFFSET($AM$3,0,0,'Données projet'!$E$10+1,1))-AVERAGE(OFFSET($H$3,0,0,'Données projet'!$E$10+1,1))</f>
        <v>365.705101827279</v>
      </c>
      <c r="AO8" s="120" t="n">
        <f aca="false">$AO$3</f>
        <v>436.238338449625</v>
      </c>
      <c r="AP8" s="121" t="n">
        <f aca="false">IF(ISNA(VLOOKUP(A8,'Données projet'!$A$61:$I$81,3,0)),0,VLOOKUP(A8,'Données projet'!$A$61:$I$81,3,0))</f>
        <v>0</v>
      </c>
      <c r="AQ8" s="121" t="n">
        <f aca="false">IF(ISNA(VLOOKUP(A8,'Données projet'!$A$61:$I$81,4,0)),0,VLOOKUP(A8,'Données projet'!$A$61:$I$81,4,0))</f>
        <v>0</v>
      </c>
      <c r="AR8" s="122" t="n">
        <f aca="false">IF(ISNA(VLOOKUP(A8,'Données projet'!$A$61:$I$81,5,0)),0%,VLOOKUP(A8,'Données projet'!$A$61:$I$81,5,0)*VLOOKUP('Données projet'!$B$10,Paramètres!$A$1:$I$89,7,0))</f>
        <v>0</v>
      </c>
      <c r="AS8" s="122" t="n">
        <f aca="false">IF(ISNA(VLOOKUP(A8,'Données projet'!$A$61:$I$81,6,0)),0%,VLOOKUP(A8,'Données projet'!$A$61:$I$81,6,0)*VLOOKUP('Données projet'!$B$10,Paramètres!$A$1:$I$89,7,0))</f>
        <v>0</v>
      </c>
      <c r="AT8" s="122" t="n">
        <f aca="false">IF(ISNA(VLOOKUP(A8,'Données projet'!$A$61:$I$81,7,0)),0%,VLOOKUP(A8,'Données projet'!$A$61:$I$81,7,0))</f>
        <v>0</v>
      </c>
      <c r="AU8" s="129" t="n">
        <f aca="false">EXP(-LN(2)/35)*AU7+(1-EXP(-LN(2)/35))/(LN(2)/35)*AQ8*AR8*VLOOKUP('Données projet'!$B$10,Paramètres!$A$1:$I$89,3,0)*0.475*44/12</f>
        <v>0</v>
      </c>
      <c r="AV8" s="129" t="n">
        <f aca="false">EXP(-LN(2)/25)*AV7+(1-EXP(-LN(2)/25))/(LN(2)/25)*Calculateur!AQ8*Calculateur!AS8*VLOOKUP('Données projet'!$B$10,Paramètres!$A$1:$I$89,3,0)*0.475*44/12</f>
        <v>0</v>
      </c>
      <c r="AW8" s="129" t="n">
        <f aca="false">EXP(-LN(2)/2)*AW7+(1-EXP(-LN(2)/2))/(LN(2)/2)*AQ8*AT8*VLOOKUP('Données projet'!$B$10,Paramètres!$A$1:$I$89,3,0)*0.475*44/12</f>
        <v>0</v>
      </c>
      <c r="AX8" s="129" t="n">
        <f aca="false">SUM(AU8:AW8)</f>
        <v>0</v>
      </c>
      <c r="AY8" s="124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BA8" s="118" t="e">
        <f aca="false">VLOOKUP(A8,'Données projet'!$A$87:$I$107,2,0)</f>
        <v>#N/A</v>
      </c>
      <c r="BB8" s="118" t="e">
        <f aca="false">VLOOKUP(A8,'Données projet'!$A$87:$I$107,9,0)</f>
        <v>#N/A</v>
      </c>
      <c r="BC8" s="118" t="n">
        <f aca="false" t="array" ref="BC8:BC8">INDEX(BB:BB,MIN(IF(ISNUMBER(BB8:BB204),ROW(BB8:BB204),"")))</f>
        <v>5.8</v>
      </c>
      <c r="BD8" s="118" t="n">
        <f aca="false">IF('Données projet'!$A$88&gt;35,BD7+BC8-BL7,IF(A8&lt;'Données projet'!$A$88,$BA$205^A8,IF(A8='Données projet'!$A$88,'Données projet'!$B$88,BD7+BC8-BL7)))</f>
        <v>4.43104762169364</v>
      </c>
      <c r="BE8" s="117" t="n">
        <f aca="false">BD8*VLOOKUP('Données projet'!$B$11,Paramètres!$A$1:$I$89,3,0)*VLOOKUP('Données projet'!$B$11,Paramètres!$A$1:$I$89,5,0)</f>
        <v>3.87096320231156</v>
      </c>
      <c r="BF8" s="117" t="n">
        <f aca="false">EXP(-1.0587+0.8836*LN(BE8)+0.284)</f>
        <v>1.52387369084819</v>
      </c>
      <c r="BG8" s="128" t="n">
        <f aca="false">(BE8+BF8)*0.475*44/12</f>
        <v>9.3960075889199</v>
      </c>
      <c r="BH8" s="120" t="n">
        <f aca="false">BG8+(AY8+AZ8)*44/12</f>
        <v>272.173785366698</v>
      </c>
      <c r="BI8" s="120" t="n">
        <f aca="true">AVERAGE(OFFSET($BH$3,0,0,'Données projet'!$E$11+1,1))-AVERAGE(OFFSET($H$3,0,0,'Données projet'!$E$11+1,1))</f>
        <v>321.235999689929</v>
      </c>
      <c r="BJ8" s="120" t="n">
        <f aca="false">$BJ$3</f>
        <v>388.051958478005</v>
      </c>
      <c r="BK8" s="121" t="n">
        <f aca="false">IF(ISNA(VLOOKUP(A8,'Données projet'!$A$87:$I$107,3,0)),0,VLOOKUP(A8,'Données projet'!$A$87:$I$107,3,0))</f>
        <v>0</v>
      </c>
      <c r="BL8" s="121" t="n">
        <f aca="false">IF(ISNA(VLOOKUP(A8,'Données projet'!$A$87:$I$107,4,0)),0,VLOOKUP(A8,'Données projet'!$A$87:$I$107,4,0))</f>
        <v>0</v>
      </c>
      <c r="BM8" s="122" t="n">
        <f aca="false">IF(ISNA(VLOOKUP(A8,'Données projet'!$A$87:$I$107,5,0)),0%,VLOOKUP(A8,'Données projet'!$A$87:$I$107,5,0)*VLOOKUP('Données projet'!$B$11,Paramètres!$A$1:$I$89,7,0))</f>
        <v>0</v>
      </c>
      <c r="BN8" s="122" t="n">
        <f aca="false">IF(ISNA(VLOOKUP(A8,'Données projet'!$A$87:$I$107,6,0)),0%,VLOOKUP(A8,'Données projet'!$A$87:$I$107,6,0)*VLOOKUP('Données projet'!$B$11,Paramètres!$A$1:$I$89,7,0))</f>
        <v>0</v>
      </c>
      <c r="BO8" s="122" t="n">
        <f aca="false">IF(ISNA(VLOOKUP(A8,'Données projet'!$A$87:$I$107,7,0)),0%,VLOOKUP(A8,'Données projet'!$A$87:$I$107,7,0))</f>
        <v>0</v>
      </c>
      <c r="BP8" s="129" t="n">
        <f aca="false">EXP(-LN(2)/35)*BP7+(1-EXP(-LN(2)/35))/(LN(2)/35)*BL8*BM8*VLOOKUP('Données projet'!$B$11,Paramètres!$A$1:$I$89,3,0)*0.475*44/12</f>
        <v>0</v>
      </c>
      <c r="BQ8" s="129" t="n">
        <f aca="false">EXP(-LN(2)/25)*BQ7+(1-EXP(-LN(2)/25))/(LN(2)/25)*Calculateur!BL8*Calculateur!BN8*VLOOKUP('Données projet'!$B$11,Paramètres!$A$1:$I$89,3,0)*0.475*44/12</f>
        <v>0</v>
      </c>
      <c r="BR8" s="129" t="n">
        <f aca="false">EXP(-LN(2)/2)*BR7+(1-EXP(-LN(2)/2))/(LN(2)/2)*BL8*BO8*VLOOKUP('Données projet'!$B$11,Paramètres!$A$1:$I$89,3,0)*0.475*44/12</f>
        <v>0</v>
      </c>
      <c r="BS8" s="130" t="n">
        <f aca="false">SUM(BP8:BR8)</f>
        <v>0</v>
      </c>
      <c r="BT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BV8" s="118" t="e">
        <f aca="false">VLOOKUP(A8,'Données projet'!$A$113:$I$133,2,0)</f>
        <v>#N/A</v>
      </c>
      <c r="BW8" s="118" t="e">
        <f aca="false">VLOOKUP(A8,'Données projet'!$A$113:$I$133,9,0)</f>
        <v>#N/A</v>
      </c>
      <c r="BX8" s="118" t="n">
        <f aca="false" t="array" ref="BX8:BX8">INDEX(BW:BW,MIN(IF(ISNUMBER(BW8:BW204),ROW(BW8:BW204),"")))</f>
        <v>6.22222222222222</v>
      </c>
      <c r="BY8" s="118" t="n">
        <f aca="false">IF('Données projet'!$A$114&gt;35,BY7+BX8-CG7,IF(A8&lt;'Données projet'!$A$114,$BV$205^A8,IF(A8='Données projet'!$A$114,'Données projet'!$B$114,BY7+BX8-CG7)))</f>
        <v>3.70874717501805</v>
      </c>
      <c r="BZ8" s="117" t="n">
        <f aca="false">BY8*VLOOKUP('Données projet'!$B$12,Paramètres!$A$1:$I$89,3,0)*VLOOKUP('Données projet'!$B$12,Paramètres!$A$1:$I$89,5,0)</f>
        <v>2.31425823721126</v>
      </c>
      <c r="CA8" s="117" t="n">
        <f aca="false">EXP(-1.0587+0.8836*LN(BZ8)+0.284)</f>
        <v>0.967266946814251</v>
      </c>
      <c r="CB8" s="128" t="n">
        <f aca="false">(BZ8+CA8)*0.475*44/12</f>
        <v>5.71532302884444</v>
      </c>
      <c r="CC8" s="120" t="n">
        <f aca="false">CB8+(BT8+BU8)*44/12</f>
        <v>268.493100806622</v>
      </c>
      <c r="CD8" s="120" t="n">
        <f aca="true">AVERAGE(OFFSET($CC$3,0,0,'Données projet'!$E$12+1,1))-AVERAGE(OFFSET($H$3,0,0,'Données projet'!$E$12+1,1))</f>
        <v>240.228848647662</v>
      </c>
      <c r="CE8" s="120" t="n">
        <f aca="false">$CE$3</f>
        <v>343.237768841432</v>
      </c>
      <c r="CF8" s="121" t="n">
        <f aca="false">IF(ISNA(VLOOKUP(A8,'Données projet'!$A$113:$I$133,3,0)),0,VLOOKUP(A8,'Données projet'!$A$113:$I$133,3,0))</f>
        <v>0</v>
      </c>
      <c r="CG8" s="121" t="n">
        <f aca="false">IF(ISNA(VLOOKUP(A8,'Données projet'!$A$113:$I$133,4,0)),0,VLOOKUP(A8,'Données projet'!$A$113:$I$133,4,0))</f>
        <v>0</v>
      </c>
      <c r="CH8" s="122" t="n">
        <f aca="false">IF(ISNA(VLOOKUP(A8,'Données projet'!$A$113:$I$133,5,0)),0%,VLOOKUP(A8,'Données projet'!$A$113:$I$133,5,0)*VLOOKUP('Données projet'!$B$12,Paramètres!$A$1:$I$89,7,0))</f>
        <v>0</v>
      </c>
      <c r="CI8" s="122" t="n">
        <f aca="false">IF(ISNA(VLOOKUP(A8,'Données projet'!$A$113:$I$133,6,0)),0%,VLOOKUP(A8,'Données projet'!$A$113:$I$133,6,0)*VLOOKUP('Données projet'!$B$12,Paramètres!$A$1:$I$89,7,0))</f>
        <v>0</v>
      </c>
      <c r="CJ8" s="122" t="n">
        <f aca="false">IF(ISNA(VLOOKUP(A8,'Données projet'!$A$113:$I$133,7,0)),0%,VLOOKUP(A8,'Données projet'!$A$113:$I$133,7,0))</f>
        <v>0</v>
      </c>
      <c r="CK8" s="129" t="n">
        <f aca="false">EXP(-LN(2)/35)*CK7+(1-EXP(-LN(2)/35))/(LN(2)/35)*CG8*CH8*VLOOKUP('Données projet'!$B$12,Paramètres!$A$1:$I$89,3,0)*0.475*44/12</f>
        <v>0</v>
      </c>
      <c r="CL8" s="129" t="n">
        <f aca="false">EXP(-LN(2)/25)*CL7+(1-EXP(-LN(2)/25))/(LN(2)/25)*Calculateur!CG8*Calculateur!CI8*VLOOKUP('Données projet'!$B$12,Paramètres!$A$1:$I$89,3,0)*0.475*44/12</f>
        <v>0</v>
      </c>
      <c r="CM8" s="129" t="n">
        <f aca="false">EXP(-LN(2)/2)*CM7+(1-EXP(-LN(2)/2))/(LN(2)/2)*CG8*CJ8*VLOOKUP('Données projet'!$B$12,Paramètres!$A$1:$I$89,3,0)*0.475*44/12</f>
        <v>0</v>
      </c>
      <c r="CN8" s="130" t="n">
        <f aca="false">SUM(CK8:CM8)</f>
        <v>0</v>
      </c>
      <c r="CO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CQ8" s="118" t="e">
        <f aca="false">VLOOKUP(A8,'Données projet'!$A$139:$I$159,2,0)</f>
        <v>#N/A</v>
      </c>
      <c r="CR8" s="118" t="e">
        <f aca="false">VLOOKUP(A8,'Données projet'!$A$139:$I$159,9,0)</f>
        <v>#N/A</v>
      </c>
      <c r="CS8" s="118" t="n">
        <f aca="false" t="array" ref="CS8:CS8">INDEX(CR:CR,MIN(IF(ISNUMBER(CR8:CR204),ROW(CR8:CR204),"")))</f>
        <v>9.66666666666667</v>
      </c>
      <c r="CT8" s="118" t="n">
        <f aca="false">IF('Données projet'!$A$140&gt;35,CT7+CS8-DB7,IF(A8&lt;'Données projet'!$A$140,$CQ$205^A8,IF(A8='Données projet'!$A$140,'Données projet'!$B$140,CT7+CS8-DB7)))</f>
        <v>7.24754346928717</v>
      </c>
      <c r="CU8" s="125" t="n">
        <f aca="false">CT8*VLOOKUP('Données projet'!$B$13,Paramètres!$A$1:$I$89,3,0)*VLOOKUP('Données projet'!$B$13,Paramètres!$A$1:$I$89,5,0)</f>
        <v>3.95715873423079</v>
      </c>
      <c r="CV8" s="117" t="n">
        <f aca="false">EXP(-1.0587+0.8836*LN(CU8)+0.284)</f>
        <v>1.55381782884537</v>
      </c>
      <c r="CW8" s="128" t="n">
        <f aca="false">(CU8+CV8)*0.475*44/12</f>
        <v>9.59828418069099</v>
      </c>
      <c r="CX8" s="120" t="n">
        <f aca="false">CW8+(CO8+CP8)*44/12</f>
        <v>272.376061958469</v>
      </c>
      <c r="CY8" s="120" t="n">
        <f aca="true">AVERAGE(OFFSET($CX$3,0,0,'Données projet'!$E$13+1,1))-AVERAGE(OFFSET($H$3,0,0,'Données projet'!$E$13+1,1))</f>
        <v>207.023069645676</v>
      </c>
      <c r="CZ8" s="120" t="n">
        <f aca="false">$CZ$3</f>
        <v>342.068879333518</v>
      </c>
      <c r="DA8" s="121" t="n">
        <f aca="false">IF(ISNA(VLOOKUP(A8,'Données projet'!$A$139:$I$159,3,0)),0,VLOOKUP(A8,'Données projet'!$A$139:$I$159,3,0))</f>
        <v>0</v>
      </c>
      <c r="DB8" s="121" t="n">
        <f aca="false">IF(ISNA(VLOOKUP(A8,'Données projet'!$A$139:$I$159,4,0)),0,VLOOKUP(A8,'Données projet'!$A$139:$I$159,4,0))</f>
        <v>0</v>
      </c>
      <c r="DC8" s="122" t="n">
        <f aca="false">IF(ISNA(VLOOKUP(A8,'Données projet'!$A$139:$I$159,5,0)),0%,VLOOKUP(A8,'Données projet'!$A$139:$I$159,5,0)*VLOOKUP('Données projet'!$B$13,Paramètres!$A$1:$I$89,7,0))</f>
        <v>0</v>
      </c>
      <c r="DD8" s="122" t="n">
        <f aca="false">IF(ISNA(VLOOKUP(A8,'Données projet'!$A$139:$I$159,6,0)),0%,VLOOKUP(A8,'Données projet'!$A$139:$I$159,6,0)*VLOOKUP('Données projet'!$B$13,Paramètres!$A$1:$I$89,7,0))</f>
        <v>0</v>
      </c>
      <c r="DE8" s="122" t="n">
        <f aca="false">IF(ISNA(VLOOKUP(A8,'Données projet'!$A$139:$I$159,7,0)),0%,VLOOKUP(A8,'Données projet'!$A$139:$I$159,7,0))</f>
        <v>0</v>
      </c>
      <c r="DF8" s="129" t="n">
        <f aca="false">EXP(-LN(2)/35)*DF7+(1-EXP(-LN(2)/35))/(LN(2)/35)*DB8*DC8*VLOOKUP('Données projet'!$B$13,Paramètres!$A$1:$I$89,3,0)*0.475*44/12</f>
        <v>0</v>
      </c>
      <c r="DG8" s="129" t="n">
        <f aca="false">EXP(-LN(2)/25)*DG7+(1-EXP(-LN(2)/25))/(LN(2)/25)*Calculateur!DB8*Calculateur!DD8*VLOOKUP('Données projet'!$B$13,Paramètres!$A$1:$I$89,3,0)*0.475*44/12</f>
        <v>0</v>
      </c>
      <c r="DH8" s="129" t="n">
        <f aca="false">EXP(-LN(2)/2)*DH7+(1-EXP(-LN(2)/2))/(LN(2)/2)*DB8*DE8*VLOOKUP('Données projet'!$B$13,Paramètres!$A$1:$I$89,3,0)*0.475*44/12</f>
        <v>0</v>
      </c>
      <c r="DI8" s="130" t="n">
        <f aca="false">SUM(DF8:DH8)</f>
        <v>0</v>
      </c>
      <c r="DJ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DL8" s="118" t="e">
        <f aca="false">VLOOKUP(A8,'Données projet'!$A$165:$I$185,2,0)</f>
        <v>#N/A</v>
      </c>
      <c r="DM8" s="118" t="e">
        <f aca="false">VLOOKUP(A8,'Données projet'!$A$165:$I$185,9,0)</f>
        <v>#N/A</v>
      </c>
      <c r="DN8" s="118" t="n">
        <f aca="false" t="array" ref="DN8:DN8">INDEX(DM:DM,MIN(IF(ISNUMBER(DM8:DM204),ROW(DM8:DM204),"")))</f>
        <v>3</v>
      </c>
      <c r="DO8" s="118" t="n">
        <f aca="false">IF('Données projet'!$A$166&gt;35,DO7+DN8-DW7,IF(A8&lt;'Données projet'!$A$166,$DL$205^A8,IF(A8='Données projet'!$A$166,'Données projet'!$B$166,DO7+DN8-DW7)))</f>
        <v>4.45101825354241</v>
      </c>
      <c r="DP8" s="125" t="n">
        <f aca="false">DO8*VLOOKUP('Données projet'!$B$14,Paramètres!$A$1:$I$89,3,0)*VLOOKUP('Données projet'!$B$14,Paramètres!$A$1:$I$89,5,0)</f>
        <v>2.66170891561836</v>
      </c>
      <c r="DQ8" s="117" t="n">
        <f aca="false">EXP(-1.0587+0.8836*LN(DP8)+0.284)</f>
        <v>1.09452058796808</v>
      </c>
      <c r="DR8" s="128" t="n">
        <f aca="false">(DP8+DQ8)*0.475*44/12</f>
        <v>6.54209971874639</v>
      </c>
      <c r="DS8" s="120" t="n">
        <f aca="false">DR8+(DJ8+DK8)*44/12</f>
        <v>269.319877496524</v>
      </c>
      <c r="DT8" s="120" t="n">
        <f aca="true">AVERAGE(OFFSET($DS$3,0,0,'Données projet'!$E$14+1,1))-AVERAGE(OFFSET($H$3,0,0,'Données projet'!$E$14+1,1))</f>
        <v>549.432320957297</v>
      </c>
      <c r="DU8" s="120" t="n">
        <f aca="false">$DU$3</f>
        <v>280.26155987301</v>
      </c>
      <c r="DV8" s="121" t="n">
        <f aca="false">IF(ISNA(VLOOKUP(A8,'Données projet'!$A$165:$I$185,3,0)),0,VLOOKUP(A8,'Données projet'!$A$165:$I$185,3,0))</f>
        <v>0</v>
      </c>
      <c r="DW8" s="121" t="n">
        <f aca="false">IF(ISNA(VLOOKUP(A8,'Données projet'!$A$165:$I$185,4,0)),0,VLOOKUP(A8,'Données projet'!$A$165:$I$185,4,0))</f>
        <v>0</v>
      </c>
      <c r="DX8" s="122" t="n">
        <f aca="false">IF(ISNA(VLOOKUP(A8,'Données projet'!$A$165:$I$185,5,0)),0%,VLOOKUP(A8,'Données projet'!$A$165:$I$185,5,0)*VLOOKUP('Données projet'!$B$14,Paramètres!$A$1:$I$89,7,0))</f>
        <v>0</v>
      </c>
      <c r="DY8" s="122" t="n">
        <f aca="false">IF(ISNA(VLOOKUP(A8,'Données projet'!$A$165:$I$185,6,0)),0%,VLOOKUP(A8,'Données projet'!$A$165:$I$185,6,0)*VLOOKUP('Données projet'!$B$14,Paramètres!$A$1:$I$89,7,0))</f>
        <v>0</v>
      </c>
      <c r="DZ8" s="122" t="n">
        <f aca="false">IF(ISNA(VLOOKUP(A8,'Données projet'!$A$165:$I$185,7,0)),0%,VLOOKUP(A8,'Données projet'!$A$165:$I$185,7,0))</f>
        <v>0</v>
      </c>
      <c r="EA8" s="129" t="n">
        <f aca="false">EXP(-LN(2)/35)*EA7+(1-EXP(-LN(2)/35))/(LN(2)/35)*DW8*DX8*VLOOKUP('Données projet'!$B$14,Paramètres!$A$1:$I$89,3,0)*0.475*44/12</f>
        <v>0</v>
      </c>
      <c r="EB8" s="129" t="n">
        <f aca="false">EXP(-LN(2)/25)*EB7+(1-EXP(-LN(2)/25))/(LN(2)/25)*Calculateur!DW8*Calculateur!DY8*VLOOKUP('Données projet'!$B$14,Paramètres!$A$1:$I$89,3,0)*0.475*44/12</f>
        <v>0</v>
      </c>
      <c r="EC8" s="129" t="n">
        <f aca="false">EXP(-LN(2)/2)*EC7+(1-EXP(-LN(2)/2))/(LN(2)/2)*DW8*DZ8*VLOOKUP('Données projet'!$B$14,Paramètres!$A$1:$I$89,3,0)*0.475*44/12</f>
        <v>0</v>
      </c>
      <c r="ED8" s="130" t="n">
        <f aca="false">SUM(EA8:EC8)</f>
        <v>0</v>
      </c>
      <c r="EE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EG8" s="118" t="e">
        <f aca="false">VLOOKUP(A8,'Données projet'!$A$191:$I$211,2,0)</f>
        <v>#N/A</v>
      </c>
      <c r="EH8" s="118" t="e">
        <f aca="false">VLOOKUP(A8,'Données projet'!$A$191:$I$211,9,0)</f>
        <v>#N/A</v>
      </c>
      <c r="EI8" s="118" t="n">
        <f aca="false" t="array" ref="EI8:EI8">INDEX(EH:EH,MIN(IF(ISNUMBER(EH8:EH204),ROW(EH8:EH204),"")))</f>
        <v>0</v>
      </c>
      <c r="EJ8" s="118" t="n">
        <f aca="false">IF('Données projet'!$A$192&gt;35,EJ7+EI8-ER7,IF(A8&lt;'Données projet'!$A$192,$EG$205^A8,IF(A8='Données projet'!$A$192,'Données projet'!$B$192,EJ7+EI8-ER7)))</f>
        <v>0</v>
      </c>
      <c r="EK8" s="125" t="e">
        <f aca="false">EJ8*VLOOKUP('Données projet'!$B$15,Paramètres!$A$1:$I$89,3,0)*VLOOKUP('Données projet'!$B$15,Paramètres!$A$1:$I$89,5,0)</f>
        <v>#N/A</v>
      </c>
      <c r="EL8" s="117" t="e">
        <f aca="false">EXP(-1.0587+0.8836*LN(EK8)+0.284)</f>
        <v>#N/A</v>
      </c>
      <c r="EM8" s="128" t="e">
        <f aca="false">(EK8+EL8)*0.475*44/12</f>
        <v>#N/A</v>
      </c>
      <c r="EN8" s="120" t="e">
        <f aca="false">EM8+(EE8+EF8)*44/12</f>
        <v>#N/A</v>
      </c>
      <c r="EO8" s="120" t="e">
        <f aca="true">AVERAGE(OFFSET($EN$3,0,0,'Données projet'!$E$15+1,1))-AVERAGE(OFFSET($H$3,0,0,'Données projet'!$E$15+1,1))</f>
        <v>#N/A</v>
      </c>
      <c r="EP8" s="120" t="e">
        <f aca="false">$EP$3</f>
        <v>#N/A</v>
      </c>
      <c r="EQ8" s="121" t="n">
        <f aca="false">IF(ISNA(VLOOKUP(A8,'Données projet'!$A$191:$I$211,3,0)),0,VLOOKUP(A8,'Données projet'!$A$191:$I$211,3,0))</f>
        <v>0</v>
      </c>
      <c r="ER8" s="121" t="n">
        <f aca="false">IF(ISNA(VLOOKUP(A8,'Données projet'!$A$191:$I$211,4,0)),0,VLOOKUP(A8,'Données projet'!$A$191:$I$211,4,0))</f>
        <v>0</v>
      </c>
      <c r="ES8" s="122" t="n">
        <f aca="false">IF(ISNA(VLOOKUP(A8,'Données projet'!$A$191:$I$211,5,0)),0%,VLOOKUP(A8,'Données projet'!$A$191:$I$211,5,0)*VLOOKUP('Données projet'!$B$15,Paramètres!$A$1:$I$89,7,0))</f>
        <v>0</v>
      </c>
      <c r="ET8" s="122" t="n">
        <f aca="false">IF(ISNA(VLOOKUP(A8,'Données projet'!$A$191:$I$211,6,0)),0%,VLOOKUP(A8,'Données projet'!$A$191:$I$211,6,0)*VLOOKUP('Données projet'!$B$15,Paramètres!$A$1:$I$89,7,0))</f>
        <v>0</v>
      </c>
      <c r="EU8" s="122" t="n">
        <f aca="false">IF(ISNA(VLOOKUP(A8,'Données projet'!$A$191:$I$211,7,0)),0%,VLOOKUP(A8,'Données projet'!$A$191:$I$211,7,0))</f>
        <v>0</v>
      </c>
      <c r="EV8" s="129" t="e">
        <f aca="false">EXP(-LN(2)/35)*EV7+(1-EXP(-LN(2)/35))/(LN(2)/35)*ER8*ES8*VLOOKUP('Données projet'!$B$15,Paramètres!$A$1:$I$89,3,0)*0.475*44/12</f>
        <v>#N/A</v>
      </c>
      <c r="EW8" s="129" t="e">
        <f aca="false">EXP(-LN(2)/25)*EW7+(1-EXP(-LN(2)/25))/(LN(2)/25)*Calculateur!ER8*Calculateur!ET8*VLOOKUP('Données projet'!$B$15,Paramètres!$A$1:$I$89,3,0)*0.475*44/12</f>
        <v>#N/A</v>
      </c>
      <c r="EX8" s="129" t="e">
        <f aca="false">EXP(-LN(2)/2)*EX7+(1-EXP(-LN(2)/2))/(LN(2)/2)*ER8*EU8*VLOOKUP('Données projet'!$B$15,Paramètres!$A$1:$I$89,3,0)*0.475*44/12</f>
        <v>#N/A</v>
      </c>
      <c r="EY8" s="130" t="e">
        <f aca="false">SUM(EV8:EX8)</f>
        <v>#N/A</v>
      </c>
      <c r="EZ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FB8" s="118" t="e">
        <f aca="false">VLOOKUP(A8,'Données projet'!$A$217:$I$237,2,0)</f>
        <v>#N/A</v>
      </c>
      <c r="FC8" s="118" t="e">
        <f aca="false">VLOOKUP(A8,'Données projet'!$A$217:$I$237,9,0)</f>
        <v>#N/A</v>
      </c>
      <c r="FD8" s="118" t="n">
        <f aca="false" t="array" ref="FD8:FD8">INDEX(FC:FC,MIN(IF(ISNUMBER(FC8:FC204),ROW(FC8:FC204),"")))</f>
        <v>0</v>
      </c>
      <c r="FE8" s="118" t="n">
        <f aca="false">IF('Données projet'!$A$218&gt;35,FE7+FD8-FM7,IF(A8&lt;'Données projet'!$A$218,$FB$205^A8,IF(A8='Données projet'!$A$218,'Données projet'!$B$218,FE7+FD8-FM7)))</f>
        <v>0</v>
      </c>
      <c r="FF8" s="125" t="e">
        <f aca="false">FE8*VLOOKUP('Données projet'!$B$16,Paramètres!$A$1:$I$89,3,0)*VLOOKUP('Données projet'!$B$16,Paramètres!$A$1:$I$89,5,0)</f>
        <v>#N/A</v>
      </c>
      <c r="FG8" s="117" t="e">
        <f aca="false">EXP(-1.0587+0.8836*LN(FF8)+0.284)</f>
        <v>#N/A</v>
      </c>
      <c r="FH8" s="128" t="e">
        <f aca="false">(FF8+FG8)*0.475*44/12</f>
        <v>#N/A</v>
      </c>
      <c r="FI8" s="120" t="e">
        <f aca="false">FH8+(EZ8+FA8)*44/12</f>
        <v>#N/A</v>
      </c>
      <c r="FJ8" s="120" t="e">
        <f aca="true">AVERAGE(OFFSET($FI$3,0,0,'Données projet'!$E$16+1,1))-AVERAGE(OFFSET($H$3,0,0,'Données projet'!$E$16+1,1))</f>
        <v>#N/A</v>
      </c>
      <c r="FK8" s="120" t="e">
        <f aca="false">$FK$3</f>
        <v>#N/A</v>
      </c>
      <c r="FL8" s="121" t="n">
        <f aca="false">IF(ISNA(VLOOKUP(A8,'Données projet'!$A$217:$I$237,3,0)),0,VLOOKUP(A8,'Données projet'!$A$217:$I$237,3,0))</f>
        <v>0</v>
      </c>
      <c r="FM8" s="121" t="n">
        <f aca="false">IF(ISNA(VLOOKUP(A8,'Données projet'!$A$217:$I$237,4,0)),0,VLOOKUP(A8,'Données projet'!$A$217:$I$237,4,0))</f>
        <v>0</v>
      </c>
      <c r="FN8" s="122" t="n">
        <f aca="false">IF(ISNA(VLOOKUP(A8,'Données projet'!$A$217:$I$237,5,0)),0%,VLOOKUP(A8,'Données projet'!$A$217:$I$237,5,0)*VLOOKUP('Données projet'!$B$16,Paramètres!$A$1:$I$89,7,0))</f>
        <v>0</v>
      </c>
      <c r="FO8" s="122" t="n">
        <f aca="false">IF(ISNA(VLOOKUP(A8,'Données projet'!$A$217:$I$237,6,0)),0%,VLOOKUP(A8,'Données projet'!$A$217:$I$237,6,0)*VLOOKUP('Données projet'!$B$16,Paramètres!$A$1:$I$89,7,0))</f>
        <v>0</v>
      </c>
      <c r="FP8" s="122" t="n">
        <f aca="false">IF(ISNA(VLOOKUP(A8,'Données projet'!$A$217:$I$237,7,0)),0%,VLOOKUP(A8,'Données projet'!$A$217:$I$237,7,0))</f>
        <v>0</v>
      </c>
      <c r="FQ8" s="129" t="e">
        <f aca="false">EXP(-LN(2)/35)*FQ7+(1-EXP(-LN(2)/35))/(LN(2)/35)*FM8*FN8*VLOOKUP('Données projet'!$B$16,Paramètres!$A$1:$I$89,3,0)*0.475*44/12</f>
        <v>#N/A</v>
      </c>
      <c r="FR8" s="129" t="e">
        <f aca="false">EXP(-LN(2)/25)*FR7+(1-EXP(-LN(2)/25))/(LN(2)/25)*Calculateur!FM8*Calculateur!FO8*VLOOKUP('Données projet'!$B$16,Paramètres!$A$1:$I$89,3,0)*0.475*44/12</f>
        <v>#N/A</v>
      </c>
      <c r="FS8" s="129" t="e">
        <f aca="false">EXP(-LN(2)/2)*FS7+(1-EXP(-LN(2)/2))/(LN(2)/2)*FM8*FP8*VLOOKUP('Données projet'!$B$16,Paramètres!$A$1:$I$89,3,0)*0.475*44/12</f>
        <v>#N/A</v>
      </c>
      <c r="FT8" s="130" t="e">
        <f aca="false">SUM(FQ8:FS8)</f>
        <v>#N/A</v>
      </c>
      <c r="FU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FW8" s="118" t="e">
        <f aca="false">VLOOKUP(A8,'Données projet'!$A$243:$I$263,2,0)</f>
        <v>#N/A</v>
      </c>
      <c r="FX8" s="118" t="e">
        <f aca="false">VLOOKUP(A8,'Données projet'!$A$243:$I$263,9,0)</f>
        <v>#N/A</v>
      </c>
      <c r="FY8" s="118" t="n">
        <f aca="false" t="array" ref="FY8:FY8">INDEX(FX:FX,MIN(IF(ISNUMBER(FX8:FX204),ROW(FX8:FX204),"")))</f>
        <v>0</v>
      </c>
      <c r="FZ8" s="118" t="n">
        <f aca="false">IF('Données projet'!$A$244&gt;35,FZ7+FY8-GH7,IF(A8&lt;'Données projet'!$A$244,$FW$205^A8,IF(A8='Données projet'!$A$244,'Données projet'!$B$244,FZ7+FY8-GH7)))</f>
        <v>0</v>
      </c>
      <c r="GA8" s="125" t="e">
        <f aca="false">FZ8*VLOOKUP('Données projet'!$B$17,Paramètres!$A$1:$I$89,3,0)*VLOOKUP('Données projet'!$B$17,Paramètres!$A$1:$I$89,5,0)</f>
        <v>#N/A</v>
      </c>
      <c r="GB8" s="117" t="e">
        <f aca="false">EXP(-1.0587+0.8836*LN(GA8)+0.284)</f>
        <v>#N/A</v>
      </c>
      <c r="GC8" s="128" t="e">
        <f aca="false">(GA8+GB8)*0.475*44/12</f>
        <v>#N/A</v>
      </c>
      <c r="GD8" s="120" t="e">
        <f aca="false">GC8+(FU8+FV8)*44/12</f>
        <v>#N/A</v>
      </c>
      <c r="GE8" s="120" t="e">
        <f aca="true">AVERAGE(OFFSET($GD$3,0,0,'Données projet'!$E$17+1,1))-AVERAGE(OFFSET($H$3,0,0,'Données projet'!$E$17+1,1))</f>
        <v>#N/A</v>
      </c>
      <c r="GF8" s="120" t="e">
        <f aca="false">$GF$3</f>
        <v>#N/A</v>
      </c>
      <c r="GG8" s="121" t="n">
        <f aca="false">IF(ISNA(VLOOKUP(A8,'Données projet'!$A$243:$I$263,3,0)),0,VLOOKUP(A8,'Données projet'!$A$243:$I$263,3,0))</f>
        <v>0</v>
      </c>
      <c r="GH8" s="121" t="n">
        <f aca="false">IF(ISNA(VLOOKUP(A8,'Données projet'!$A$243:$I$263,4,0)),0,VLOOKUP(A8,'Données projet'!$A$243:$I$263,4,0))</f>
        <v>0</v>
      </c>
      <c r="GI8" s="122" t="n">
        <f aca="false">IF(ISNA(VLOOKUP(A8,'Données projet'!$A$243:$I$263,5,0)),0%,VLOOKUP(A8,'Données projet'!$A$243:$I$263,5,0)*VLOOKUP('Données projet'!$B$17,Paramètres!$A$1:$I$89,7,0))</f>
        <v>0</v>
      </c>
      <c r="GJ8" s="122" t="n">
        <f aca="false">IF(ISNA(VLOOKUP(A8,'Données projet'!$A$243:$I$263,6,0)),0%,VLOOKUP(A8,'Données projet'!$A$243:$I$263,6,0)*VLOOKUP('Données projet'!$B$17,Paramètres!$A$1:$I$89,7,0))</f>
        <v>0</v>
      </c>
      <c r="GK8" s="122" t="n">
        <f aca="false">IF(ISNA(VLOOKUP(A8,'Données projet'!$A$243:$I$263,7,0)),0%,VLOOKUP(A8,'Données projet'!$A$243:$I$263,7,0))</f>
        <v>0</v>
      </c>
      <c r="GL8" s="129" t="e">
        <f aca="false">EXP(-LN(2)/35)*GL7+(1-EXP(-LN(2)/35))/(LN(2)/35)*GH8*GI8*VLOOKUP('Données projet'!$B$17,Paramètres!$A$1:$I$89,3,0)*0.475*44/12</f>
        <v>#N/A</v>
      </c>
      <c r="GM8" s="129" t="e">
        <f aca="false">EXP(-LN(2)/25)*GM7+(1-EXP(-LN(2)/25))/(LN(2)/25)*Calculateur!GH8*Calculateur!GJ8*VLOOKUP('Données projet'!$B$17,Paramètres!$A$1:$I$89,3,0)*0.475*44/12</f>
        <v>#N/A</v>
      </c>
      <c r="GN8" s="129" t="e">
        <f aca="false">EXP(-LN(2)/2)*GN7+(1-EXP(-LN(2)/2))/(LN(2)/2)*GH8*GK8*VLOOKUP('Données projet'!$B$17,Paramètres!$A$1:$I$89,3,0)*0.475*44/12</f>
        <v>#N/A</v>
      </c>
      <c r="GO8" s="129" t="e">
        <f aca="false">SUM(GL8:GN8)</f>
        <v>#N/A</v>
      </c>
      <c r="GP8" s="126" t="n">
        <f aca="false"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8" t="n">
        <f aca="false">IF(A8&gt;30,10,('Scénario référence'!$B$16+'Scénario référence'!$B$17+'Scénario référence'!$B$18+'Scénario référence'!$B$9+'Scénario référence'!$B$10)*A8*10/30+('Scénario référence'!$F$8+'Scénario référence'!$F$9)*10)</f>
        <v>1.66666666666667</v>
      </c>
      <c r="GR8" s="118" t="e">
        <f aca="false">VLOOKUP(A8,'Données projet'!$A$269:$I$289,2,0)</f>
        <v>#N/A</v>
      </c>
      <c r="GS8" s="118" t="e">
        <f aca="false">VLOOKUP(A8,'Données projet'!$A$269:$I$289,9,0)</f>
        <v>#N/A</v>
      </c>
      <c r="GT8" s="118" t="n">
        <f aca="false" t="array" ref="GT8:GT8">INDEX(GS:GS,MIN(IF(ISNUMBER(GS8:GS204),ROW(GS8:GS204),"")))</f>
        <v>0</v>
      </c>
      <c r="GU8" s="118" t="n">
        <f aca="false">IF('Données projet'!$A$270&gt;35,GU7+GT8-HC7,IF(A8&lt;'Données projet'!$A$270,$GR$205^A8,IF(A8='Données projet'!$A$270,'Données projet'!$B$270,GU7+GT8-HC7)))</f>
        <v>0</v>
      </c>
      <c r="GV8" s="125" t="e">
        <f aca="false">GU8*VLOOKUP('Données projet'!$B$18,Paramètres!$A$1:$I$89,3,0)*VLOOKUP('Données projet'!$B$18,Paramètres!$A$1:$I$89,5,0)</f>
        <v>#N/A</v>
      </c>
      <c r="GW8" s="117" t="e">
        <f aca="false">EXP(-1.0587+0.8836*LN(GV8)+0.284)</f>
        <v>#N/A</v>
      </c>
      <c r="GX8" s="128" t="e">
        <f aca="false">(GV8+GW8)*0.475*44/12</f>
        <v>#N/A</v>
      </c>
      <c r="GY8" s="120" t="e">
        <f aca="false">GX8+(GP8+GQ8)*44/12</f>
        <v>#N/A</v>
      </c>
      <c r="GZ8" s="120" t="e">
        <f aca="true">AVERAGE(OFFSET($GY$3,0,0,'Données projet'!$E$18+1,1))-AVERAGE(OFFSET($H$3,0,0,'Données projet'!$E$18+1,1))</f>
        <v>#N/A</v>
      </c>
      <c r="HA8" s="120" t="e">
        <f aca="false">$HA$3</f>
        <v>#N/A</v>
      </c>
      <c r="HB8" s="121" t="n">
        <f aca="false">IF(ISNA(VLOOKUP(A8,'Données projet'!$A$269:$I$289,3,0)),0,VLOOKUP(A8,'Données projet'!$A$269:$I$289,3,0))</f>
        <v>0</v>
      </c>
      <c r="HC8" s="121" t="n">
        <f aca="false">IF(ISNA(VLOOKUP(A8,'Données projet'!$A$269:$I$289,4,0)),0,VLOOKUP(A8,'Données projet'!$A$269:$I$289,4,0))</f>
        <v>0</v>
      </c>
      <c r="HD8" s="122" t="n">
        <f aca="false">IF(ISNA(VLOOKUP(A8,'Données projet'!$A$269:$I$289,5,0)),0%,VLOOKUP(A8,'Données projet'!$A$269:$I$289,5,0)*VLOOKUP('Données projet'!$B$18,Paramètres!$A$1:$I$89,7,0))</f>
        <v>0</v>
      </c>
      <c r="HE8" s="122" t="n">
        <f aca="false">IF(ISNA(VLOOKUP(A8,'Données projet'!$A$269:$I$289,6,0)),0%,VLOOKUP(A8,'Données projet'!$A$269:$I$289,6,0)*VLOOKUP('Données projet'!$B$18,Paramètres!$A$1:$I$89,7,0))</f>
        <v>0</v>
      </c>
      <c r="HF8" s="122" t="n">
        <f aca="false">IF(ISNA(VLOOKUP(A8,'Données projet'!$A$269:$I$289,7,0)),0%,VLOOKUP(A8,'Données projet'!$A$269:$I$289,7,0))</f>
        <v>0</v>
      </c>
      <c r="HG8" s="129" t="e">
        <f aca="false">EXP(-LN(2)/35)*HG7+(1-EXP(-LN(2)/35))/(LN(2)/35)*HC8*HD8*VLOOKUP('Données projet'!$B$18,Paramètres!$A$1:$I$89,3,0)*0.475*44/12</f>
        <v>#N/A</v>
      </c>
      <c r="HH8" s="129" t="e">
        <f aca="false">EXP(-LN(2)/25)*HH7+(1-EXP(-LN(2)/25))/(LN(2)/25)*Calculateur!HC8*Calculateur!HE8*VLOOKUP('Données projet'!$B$18,Paramètres!$A$1:$I$89,3,0)*0.475*44/12</f>
        <v>#N/A</v>
      </c>
      <c r="HI8" s="129" t="e">
        <f aca="false">EXP(-LN(2)/2)*HI7+(1-EXP(-LN(2)/2))/(LN(2)/2)*HC8*HF8*VLOOKUP('Données projet'!$B$18,Paramètres!$A$1:$I$89,3,0)*0.475*44/12</f>
        <v>#N/A</v>
      </c>
      <c r="HJ8" s="130" t="e">
        <f aca="false">SUM(HG8:HI8)</f>
        <v>#N/A</v>
      </c>
    </row>
    <row r="9" customFormat="false" ht="14.25" hidden="false" customHeight="false" outlineLevel="0" collapsed="false">
      <c r="A9" s="112" t="n">
        <f aca="false">A8+1</f>
        <v>6</v>
      </c>
      <c r="B9" s="113" t="n">
        <f aca="false">'Scénario référence'!$B$16*5+'Scénario référence'!$B$17*0+'Scénario référence'!$B$18*5</f>
        <v>0</v>
      </c>
      <c r="C9" s="127" t="n">
        <f aca="false"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4" t="n">
        <f aca="false">IFERROR(EXP(-1.0587+0.8836*LN(C9)+0.284),0)</f>
        <v>0</v>
      </c>
      <c r="E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" s="114" t="n">
        <f aca="false">IF(OR('Scénario référence'!$F$8&gt;0,'Scénario référence'!$F$9&gt;0),('Scénario référence'!$F$8+'Scénario référence'!$F$9)*10,0)</f>
        <v>0</v>
      </c>
      <c r="G9" s="114" t="n">
        <f aca="false"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15" t="n">
        <f aca="false">(B9+E9+F9)*44/12+(C9+D9)*0.475*44/12</f>
        <v>256.666666666667</v>
      </c>
      <c r="I9" s="11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7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18" t="e">
        <f aca="false">VLOOKUP(A9,'Données projet'!$A$35:$I$55,2,0)</f>
        <v>#N/A</v>
      </c>
      <c r="L9" s="118" t="e">
        <f aca="false">VLOOKUP(A9,'Données projet'!$A$35:$I$55,9,0)</f>
        <v>#N/A</v>
      </c>
      <c r="M9" s="118" t="n">
        <f aca="false" t="array" ref="M9:M9">INDEX(L:L,MIN(IF(ISNUMBER(L9:L205),ROW(L9:L205),"")))</f>
        <v>7.9</v>
      </c>
      <c r="N9" s="117" t="n">
        <f aca="false">IF('Données projet'!$A$36&gt;35,N8+M9-V8,IF(A9&lt;'Données projet'!$A$36,$K$205^A9,IF(A9='Données projet'!$A$36,'Données projet'!$B$36,N8+M9-V8)))</f>
        <v>4.56664367694689</v>
      </c>
      <c r="O9" s="117" t="n">
        <f aca="false">N9*VLOOKUP('Données projet'!$B$9,Paramètres!$A$1:$I$89,3,0)*VLOOKUP('Données projet'!$B$9,Paramètres!$A$1:$I$89,5,0)</f>
        <v>2.13718924081114</v>
      </c>
      <c r="P9" s="117" t="n">
        <f aca="false">EXP(-1.0587+0.8836*LN(O9)+0.284)</f>
        <v>0.90157388046337</v>
      </c>
      <c r="Q9" s="128" t="n">
        <f aca="false">(O9+P9)*0.475*44/12</f>
        <v>5.29251243621978</v>
      </c>
      <c r="R9" s="120" t="n">
        <f aca="false">Q9+(I9+J9)*44/12</f>
        <v>269.29251243622</v>
      </c>
      <c r="S9" s="120" t="n">
        <f aca="true">AVERAGE(OFFSET($R$3,0,0,'Données projet'!$E$9+1,1))-AVERAGE(OFFSET($H$3,0,0,'Données projet'!$E$9+1,1))</f>
        <v>319.229030946746</v>
      </c>
      <c r="T9" s="120" t="n">
        <f aca="false">$T$3</f>
        <v>254.586909731428</v>
      </c>
      <c r="U9" s="121" t="n">
        <f aca="false">IF(ISNA(VLOOKUP(A9,'Données projet'!$A$35:$I$55,3,0)),0,VLOOKUP(A9,'Données projet'!$A$35:$I$55,3,0))</f>
        <v>0</v>
      </c>
      <c r="V9" s="121" t="n">
        <f aca="false">IF(ISNA(VLOOKUP(A9,'Données projet'!$A$35:$I$55,4,0)),0,VLOOKUP(A9,'Données projet'!$A$35:$I$55,4,0))</f>
        <v>0</v>
      </c>
      <c r="W9" s="122" t="n">
        <f aca="false">IF(ISNA(VLOOKUP(A9,'Données projet'!$A$35:$I$55,5,0)),0%,VLOOKUP(A9,'Données projet'!$A$35:$I$55,5,0)*VLOOKUP('Données projet'!$B$9,Paramètres!$A$1:$I$89,7,0))</f>
        <v>0</v>
      </c>
      <c r="X9" s="122" t="n">
        <f aca="false">IF(ISNA(VLOOKUP(A9,'Données projet'!$A$35:$I$55,6,0)),0%,VLOOKUP(A9,'Données projet'!$A$35:$I$55,6,0)*VLOOKUP('Données projet'!$B$9,Paramètres!$A$1:$I$89,7,0))</f>
        <v>0</v>
      </c>
      <c r="Y9" s="122" t="n">
        <f aca="false">IF(ISNA(VLOOKUP(A9,'Données projet'!$A$35:$I$55,7,0)),0%,VLOOKUP(A9,'Données projet'!$A$35:$I$55,7,0))</f>
        <v>0</v>
      </c>
      <c r="Z9" s="129" t="n">
        <f aca="false">EXP(-LN(2)/35)*Z8+(1-EXP(-LN(2)/35))/(LN(2)/35)*V9*W9*VLOOKUP('Données projet'!$B$9,Paramètres!$A$1:$I$89,3,0)*0.475*44/12</f>
        <v>0</v>
      </c>
      <c r="AA9" s="129" t="n">
        <f aca="false">EXP(-LN(2)/25)*AA8+(1-EXP(-LN(2)/25))/(LN(2)/25)*Calculateur!V9*Calculateur!X9*VLOOKUP('Données projet'!$B$9,Paramètres!$A$1:$I$89,3,0)*0.475*44/12</f>
        <v>0</v>
      </c>
      <c r="AB9" s="129" t="n">
        <f aca="false">EXP(-LN(2)/2)*AB8+(1-EXP(-LN(2)/2))/(LN(2)/2)*V9*Y9*VLOOKUP('Données projet'!$B$9,Paramètres!$A$1:$I$89,3,0)*0.475*44/12</f>
        <v>0</v>
      </c>
      <c r="AC9" s="130" t="n">
        <f aca="false">SUM(Z9:AB9)</f>
        <v>0</v>
      </c>
      <c r="AD9" s="117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7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18" t="e">
        <f aca="false">VLOOKUP(A9,'Données projet'!$A$61:$I$81,2,0)</f>
        <v>#N/A</v>
      </c>
      <c r="AG9" s="118" t="e">
        <f aca="false">VLOOKUP(A9,'Données projet'!$A$61:$I$81,9,0)</f>
        <v>#N/A</v>
      </c>
      <c r="AH9" s="118" t="n">
        <f aca="false" t="array" ref="AH9:AH9">INDEX(AG:AG,MIN(IF(ISNUMBER(AG9:AG205),ROW(AG9:AG205),"")))</f>
        <v>7.04347826086957</v>
      </c>
      <c r="AI9" s="117" t="n">
        <f aca="false">IF('Données projet'!$A$62&gt;35,AI8+AH9-AQ8,IF(A9&lt;'Données projet'!$A$62,$AF$205^A9,IF(A9='Données projet'!$A$62,'Données projet'!$B$62,AI8+AH9-AQ8)))</f>
        <v>3.77046766928166</v>
      </c>
      <c r="AJ9" s="117" t="n">
        <f aca="false">AI9*VLOOKUP('Données projet'!$B$10,Paramètres!$A$1:$I$89,3,0)*VLOOKUP('Données projet'!$B$10,Paramètres!$A$1:$I$89,5,0)</f>
        <v>2.10769142712845</v>
      </c>
      <c r="AK9" s="117" t="n">
        <f aca="false">EXP(-1.0587+0.8836*LN(AJ9)+0.284)</f>
        <v>0.890569783630992</v>
      </c>
      <c r="AL9" s="128" t="n">
        <f aca="false">(AJ9+AK9)*0.475*44/12</f>
        <v>5.22197160873936</v>
      </c>
      <c r="AM9" s="120" t="n">
        <f aca="false">AL9+(AD9+AE9)*44/12</f>
        <v>269.221971608739</v>
      </c>
      <c r="AN9" s="120" t="n">
        <f aca="true">AVERAGE(OFFSET($AM$3,0,0,'Données projet'!$E$10+1,1))-AVERAGE(OFFSET($H$3,0,0,'Données projet'!$E$10+1,1))</f>
        <v>365.705101827279</v>
      </c>
      <c r="AO9" s="120" t="n">
        <f aca="false">$AO$3</f>
        <v>436.238338449625</v>
      </c>
      <c r="AP9" s="121" t="n">
        <f aca="false">IF(ISNA(VLOOKUP(A9,'Données projet'!$A$61:$I$81,3,0)),0,VLOOKUP(A9,'Données projet'!$A$61:$I$81,3,0))</f>
        <v>0</v>
      </c>
      <c r="AQ9" s="121" t="n">
        <f aca="false">IF(ISNA(VLOOKUP(A9,'Données projet'!$A$61:$I$81,4,0)),0,VLOOKUP(A9,'Données projet'!$A$61:$I$81,4,0))</f>
        <v>0</v>
      </c>
      <c r="AR9" s="122" t="n">
        <f aca="false">IF(ISNA(VLOOKUP(A9,'Données projet'!$A$61:$I$81,5,0)),0%,VLOOKUP(A9,'Données projet'!$A$61:$I$81,5,0)*VLOOKUP('Données projet'!$B$10,Paramètres!$A$1:$I$89,7,0))</f>
        <v>0</v>
      </c>
      <c r="AS9" s="122" t="n">
        <f aca="false">IF(ISNA(VLOOKUP(A9,'Données projet'!$A$61:$I$81,6,0)),0%,VLOOKUP(A9,'Données projet'!$A$61:$I$81,6,0)*VLOOKUP('Données projet'!$B$10,Paramètres!$A$1:$I$89,7,0))</f>
        <v>0</v>
      </c>
      <c r="AT9" s="122" t="n">
        <f aca="false">IF(ISNA(VLOOKUP(A9,'Données projet'!$A$61:$I$81,7,0)),0%,VLOOKUP(A9,'Données projet'!$A$61:$I$81,7,0))</f>
        <v>0</v>
      </c>
      <c r="AU9" s="129" t="n">
        <f aca="false">EXP(-LN(2)/35)*AU8+(1-EXP(-LN(2)/35))/(LN(2)/35)*AQ9*AR9*VLOOKUP('Données projet'!$B$10,Paramètres!$A$1:$I$89,3,0)*0.475*44/12</f>
        <v>0</v>
      </c>
      <c r="AV9" s="129" t="n">
        <f aca="false">EXP(-LN(2)/25)*AV8+(1-EXP(-LN(2)/25))/(LN(2)/25)*Calculateur!AQ9*Calculateur!AS9*VLOOKUP('Données projet'!$B$10,Paramètres!$A$1:$I$89,3,0)*0.475*44/12</f>
        <v>0</v>
      </c>
      <c r="AW9" s="129" t="n">
        <f aca="false">EXP(-LN(2)/2)*AW8+(1-EXP(-LN(2)/2))/(LN(2)/2)*AQ9*AT9*VLOOKUP('Données projet'!$B$10,Paramètres!$A$1:$I$89,3,0)*0.475*44/12</f>
        <v>0</v>
      </c>
      <c r="AX9" s="129" t="n">
        <f aca="false">SUM(AU9:AW9)</f>
        <v>0</v>
      </c>
      <c r="AY9" s="124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18" t="e">
        <f aca="false">VLOOKUP(A9,'Données projet'!$A$87:$I$107,2,0)</f>
        <v>#N/A</v>
      </c>
      <c r="BB9" s="118" t="e">
        <f aca="false">VLOOKUP(A9,'Données projet'!$A$87:$I$107,9,0)</f>
        <v>#N/A</v>
      </c>
      <c r="BC9" s="118" t="n">
        <f aca="false" t="array" ref="BC9:BC9">INDEX(BB:BB,MIN(IF(ISNUMBER(BB9:BB205),ROW(BB9:BB205),"")))</f>
        <v>5.8</v>
      </c>
      <c r="BD9" s="118" t="n">
        <f aca="false">IF('Données projet'!$A$88&gt;35,BD8+BC9-BL8,IF(A9&lt;'Données projet'!$A$88,$BA$205^A9,IF(A9='Données projet'!$A$88,'Données projet'!$B$88,BD8+BC9-BL8)))</f>
        <v>5.96770987010877</v>
      </c>
      <c r="BE9" s="117" t="n">
        <f aca="false">BD9*VLOOKUP('Données projet'!$B$11,Paramètres!$A$1:$I$89,3,0)*VLOOKUP('Données projet'!$B$11,Paramètres!$A$1:$I$89,5,0)</f>
        <v>5.21339134252702</v>
      </c>
      <c r="BF9" s="117" t="n">
        <f aca="false">EXP(-1.0587+0.8836*LN(BE9)+0.284)</f>
        <v>1.98243786980328</v>
      </c>
      <c r="BG9" s="128" t="n">
        <f aca="false">(BE9+BF9)*0.475*44/12</f>
        <v>12.5327358781419</v>
      </c>
      <c r="BH9" s="120" t="n">
        <f aca="false">BG9+(AY9+AZ9)*44/12</f>
        <v>276.532735878142</v>
      </c>
      <c r="BI9" s="120" t="n">
        <f aca="true">AVERAGE(OFFSET($BH$3,0,0,'Données projet'!$E$11+1,1))-AVERAGE(OFFSET($H$3,0,0,'Données projet'!$E$11+1,1))</f>
        <v>321.235999689929</v>
      </c>
      <c r="BJ9" s="120" t="n">
        <f aca="false">$BJ$3</f>
        <v>388.051958478005</v>
      </c>
      <c r="BK9" s="121" t="n">
        <f aca="false">IF(ISNA(VLOOKUP(A9,'Données projet'!$A$87:$I$107,3,0)),0,VLOOKUP(A9,'Données projet'!$A$87:$I$107,3,0))</f>
        <v>0</v>
      </c>
      <c r="BL9" s="121" t="n">
        <f aca="false">IF(ISNA(VLOOKUP(A9,'Données projet'!$A$87:$I$107,4,0)),0,VLOOKUP(A9,'Données projet'!$A$87:$I$107,4,0))</f>
        <v>0</v>
      </c>
      <c r="BM9" s="122" t="n">
        <f aca="false">IF(ISNA(VLOOKUP(A9,'Données projet'!$A$87:$I$107,5,0)),0%,VLOOKUP(A9,'Données projet'!$A$87:$I$107,5,0)*VLOOKUP('Données projet'!$B$11,Paramètres!$A$1:$I$89,7,0))</f>
        <v>0</v>
      </c>
      <c r="BN9" s="122" t="n">
        <f aca="false">IF(ISNA(VLOOKUP(A9,'Données projet'!$A$87:$I$107,6,0)),0%,VLOOKUP(A9,'Données projet'!$A$87:$I$107,6,0)*VLOOKUP('Données projet'!$B$11,Paramètres!$A$1:$I$89,7,0))</f>
        <v>0</v>
      </c>
      <c r="BO9" s="122" t="n">
        <f aca="false">IF(ISNA(VLOOKUP(A9,'Données projet'!$A$87:$I$107,7,0)),0%,VLOOKUP(A9,'Données projet'!$A$87:$I$107,7,0))</f>
        <v>0</v>
      </c>
      <c r="BP9" s="129" t="n">
        <f aca="false">EXP(-LN(2)/35)*BP8+(1-EXP(-LN(2)/35))/(LN(2)/35)*BL9*BM9*VLOOKUP('Données projet'!$B$11,Paramètres!$A$1:$I$89,3,0)*0.475*44/12</f>
        <v>0</v>
      </c>
      <c r="BQ9" s="129" t="n">
        <f aca="false">EXP(-LN(2)/25)*BQ8+(1-EXP(-LN(2)/25))/(LN(2)/25)*Calculateur!BL9*Calculateur!BN9*VLOOKUP('Données projet'!$B$11,Paramètres!$A$1:$I$89,3,0)*0.475*44/12</f>
        <v>0</v>
      </c>
      <c r="BR9" s="129" t="n">
        <f aca="false">EXP(-LN(2)/2)*BR8+(1-EXP(-LN(2)/2))/(LN(2)/2)*BL9*BO9*VLOOKUP('Données projet'!$B$11,Paramètres!$A$1:$I$89,3,0)*0.475*44/12</f>
        <v>0</v>
      </c>
      <c r="BS9" s="130" t="n">
        <f aca="false">SUM(BP9:BR9)</f>
        <v>0</v>
      </c>
      <c r="BT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18" t="e">
        <f aca="false">VLOOKUP(A9,'Données projet'!$A$113:$I$133,2,0)</f>
        <v>#N/A</v>
      </c>
      <c r="BW9" s="118" t="e">
        <f aca="false">VLOOKUP(A9,'Données projet'!$A$113:$I$133,9,0)</f>
        <v>#N/A</v>
      </c>
      <c r="BX9" s="118" t="n">
        <f aca="false" t="array" ref="BX9:BX9">INDEX(BW:BW,MIN(IF(ISNUMBER(BW9:BW205),ROW(BW9:BW205),"")))</f>
        <v>6.22222222222222</v>
      </c>
      <c r="BY9" s="118" t="n">
        <f aca="false">IF('Données projet'!$A$114&gt;35,BY8+BX9-CG8,IF(A9&lt;'Données projet'!$A$114,$BV$205^A9,IF(A9='Données projet'!$A$114,'Données projet'!$B$114,BY8+BX9-CG8)))</f>
        <v>4.82028452835046</v>
      </c>
      <c r="BZ9" s="117" t="n">
        <f aca="false">BY9*VLOOKUP('Données projet'!$B$12,Paramètres!$A$1:$I$89,3,0)*VLOOKUP('Données projet'!$B$12,Paramètres!$A$1:$I$89,5,0)</f>
        <v>3.00785754569069</v>
      </c>
      <c r="CA9" s="117" t="n">
        <f aca="false">EXP(-1.0587+0.8836*LN(BZ9)+0.284)</f>
        <v>1.21938313262367</v>
      </c>
      <c r="CB9" s="128" t="n">
        <f aca="false">(BZ9+CA9)*0.475*44/12</f>
        <v>7.36244418139751</v>
      </c>
      <c r="CC9" s="120" t="n">
        <f aca="false">CB9+(BT9+BU9)*44/12</f>
        <v>271.362444181397</v>
      </c>
      <c r="CD9" s="120" t="n">
        <f aca="true">AVERAGE(OFFSET($CC$3,0,0,'Données projet'!$E$12+1,1))-AVERAGE(OFFSET($H$3,0,0,'Données projet'!$E$12+1,1))</f>
        <v>240.228848647662</v>
      </c>
      <c r="CE9" s="120" t="n">
        <f aca="false">$CE$3</f>
        <v>343.237768841432</v>
      </c>
      <c r="CF9" s="121" t="n">
        <f aca="false">IF(ISNA(VLOOKUP(A9,'Données projet'!$A$113:$I$133,3,0)),0,VLOOKUP(A9,'Données projet'!$A$113:$I$133,3,0))</f>
        <v>0</v>
      </c>
      <c r="CG9" s="121" t="n">
        <f aca="false">IF(ISNA(VLOOKUP(A9,'Données projet'!$A$113:$I$133,4,0)),0,VLOOKUP(A9,'Données projet'!$A$113:$I$133,4,0))</f>
        <v>0</v>
      </c>
      <c r="CH9" s="122" t="n">
        <f aca="false">IF(ISNA(VLOOKUP(A9,'Données projet'!$A$113:$I$133,5,0)),0%,VLOOKUP(A9,'Données projet'!$A$113:$I$133,5,0)*VLOOKUP('Données projet'!$B$12,Paramètres!$A$1:$I$89,7,0))</f>
        <v>0</v>
      </c>
      <c r="CI9" s="122" t="n">
        <f aca="false">IF(ISNA(VLOOKUP(A9,'Données projet'!$A$113:$I$133,6,0)),0%,VLOOKUP(A9,'Données projet'!$A$113:$I$133,6,0)*VLOOKUP('Données projet'!$B$12,Paramètres!$A$1:$I$89,7,0))</f>
        <v>0</v>
      </c>
      <c r="CJ9" s="122" t="n">
        <f aca="false">IF(ISNA(VLOOKUP(A9,'Données projet'!$A$113:$I$133,7,0)),0%,VLOOKUP(A9,'Données projet'!$A$113:$I$133,7,0))</f>
        <v>0</v>
      </c>
      <c r="CK9" s="129" t="n">
        <f aca="false">EXP(-LN(2)/35)*CK8+(1-EXP(-LN(2)/35))/(LN(2)/35)*CG9*CH9*VLOOKUP('Données projet'!$B$12,Paramètres!$A$1:$I$89,3,0)*0.475*44/12</f>
        <v>0</v>
      </c>
      <c r="CL9" s="129" t="n">
        <f aca="false">EXP(-LN(2)/25)*CL8+(1-EXP(-LN(2)/25))/(LN(2)/25)*Calculateur!CG9*Calculateur!CI9*VLOOKUP('Données projet'!$B$12,Paramètres!$A$1:$I$89,3,0)*0.475*44/12</f>
        <v>0</v>
      </c>
      <c r="CM9" s="129" t="n">
        <f aca="false">EXP(-LN(2)/2)*CM8+(1-EXP(-LN(2)/2))/(LN(2)/2)*CG9*CJ9*VLOOKUP('Données projet'!$B$12,Paramètres!$A$1:$I$89,3,0)*0.475*44/12</f>
        <v>0</v>
      </c>
      <c r="CN9" s="130" t="n">
        <f aca="false">SUM(CK9:CM9)</f>
        <v>0</v>
      </c>
      <c r="CO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18" t="e">
        <f aca="false">VLOOKUP(A9,'Données projet'!$A$139:$I$159,2,0)</f>
        <v>#N/A</v>
      </c>
      <c r="CR9" s="118" t="e">
        <f aca="false">VLOOKUP(A9,'Données projet'!$A$139:$I$159,9,0)</f>
        <v>#N/A</v>
      </c>
      <c r="CS9" s="118" t="n">
        <f aca="false" t="array" ref="CS9:CS9">INDEX(CR:CR,MIN(IF(ISNUMBER(CR9:CR205),ROW(CR9:CR205),"")))</f>
        <v>9.66666666666667</v>
      </c>
      <c r="CT9" s="118" t="n">
        <f aca="false">IF('Données projet'!$A$140&gt;35,CT8+CS9-DB8,IF(A9&lt;'Données projet'!$A$140,$CQ$205^A9,IF(A9='Données projet'!$A$140,'Données projet'!$B$140,CT8+CS9-DB8)))</f>
        <v>10.770329614269</v>
      </c>
      <c r="CU9" s="125" t="n">
        <f aca="false">CT9*VLOOKUP('Données projet'!$B$13,Paramètres!$A$1:$I$89,3,0)*VLOOKUP('Données projet'!$B$13,Paramètres!$A$1:$I$89,5,0)</f>
        <v>5.88059996939088</v>
      </c>
      <c r="CV9" s="117" t="n">
        <f aca="false">EXP(-1.0587+0.8836*LN(CU9)+0.284)</f>
        <v>2.2050224910961</v>
      </c>
      <c r="CW9" s="128" t="n">
        <f aca="false">(CU9+CV9)*0.475*44/12</f>
        <v>14.0824591186815</v>
      </c>
      <c r="CX9" s="120" t="n">
        <f aca="false">CW9+(CO9+CP9)*44/12</f>
        <v>278.082459118681</v>
      </c>
      <c r="CY9" s="120" t="n">
        <f aca="true">AVERAGE(OFFSET($CX$3,0,0,'Données projet'!$E$13+1,1))-AVERAGE(OFFSET($H$3,0,0,'Données projet'!$E$13+1,1))</f>
        <v>207.023069645676</v>
      </c>
      <c r="CZ9" s="120" t="n">
        <f aca="false">$CZ$3</f>
        <v>342.068879333518</v>
      </c>
      <c r="DA9" s="121" t="n">
        <f aca="false">IF(ISNA(VLOOKUP(A9,'Données projet'!$A$139:$I$159,3,0)),0,VLOOKUP(A9,'Données projet'!$A$139:$I$159,3,0))</f>
        <v>0</v>
      </c>
      <c r="DB9" s="121" t="n">
        <f aca="false">IF(ISNA(VLOOKUP(A9,'Données projet'!$A$139:$I$159,4,0)),0,VLOOKUP(A9,'Données projet'!$A$139:$I$159,4,0))</f>
        <v>0</v>
      </c>
      <c r="DC9" s="122" t="n">
        <f aca="false">IF(ISNA(VLOOKUP(A9,'Données projet'!$A$139:$I$159,5,0)),0%,VLOOKUP(A9,'Données projet'!$A$139:$I$159,5,0)*VLOOKUP('Données projet'!$B$13,Paramètres!$A$1:$I$89,7,0))</f>
        <v>0</v>
      </c>
      <c r="DD9" s="122" t="n">
        <f aca="false">IF(ISNA(VLOOKUP(A9,'Données projet'!$A$139:$I$159,6,0)),0%,VLOOKUP(A9,'Données projet'!$A$139:$I$159,6,0)*VLOOKUP('Données projet'!$B$13,Paramètres!$A$1:$I$89,7,0))</f>
        <v>0</v>
      </c>
      <c r="DE9" s="122" t="n">
        <f aca="false">IF(ISNA(VLOOKUP(A9,'Données projet'!$A$139:$I$159,7,0)),0%,VLOOKUP(A9,'Données projet'!$A$139:$I$159,7,0))</f>
        <v>0</v>
      </c>
      <c r="DF9" s="129" t="n">
        <f aca="false">EXP(-LN(2)/35)*DF8+(1-EXP(-LN(2)/35))/(LN(2)/35)*DB9*DC9*VLOOKUP('Données projet'!$B$13,Paramètres!$A$1:$I$89,3,0)*0.475*44/12</f>
        <v>0</v>
      </c>
      <c r="DG9" s="129" t="n">
        <f aca="false">EXP(-LN(2)/25)*DG8+(1-EXP(-LN(2)/25))/(LN(2)/25)*Calculateur!DB9*Calculateur!DD9*VLOOKUP('Données projet'!$B$13,Paramètres!$A$1:$I$89,3,0)*0.475*44/12</f>
        <v>0</v>
      </c>
      <c r="DH9" s="129" t="n">
        <f aca="false">EXP(-LN(2)/2)*DH8+(1-EXP(-LN(2)/2))/(LN(2)/2)*DB9*DE9*VLOOKUP('Données projet'!$B$13,Paramètres!$A$1:$I$89,3,0)*0.475*44/12</f>
        <v>0</v>
      </c>
      <c r="DI9" s="130" t="n">
        <f aca="false">SUM(DF9:DH9)</f>
        <v>0</v>
      </c>
      <c r="DJ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18" t="e">
        <f aca="false">VLOOKUP(A9,'Données projet'!$A$165:$I$185,2,0)</f>
        <v>#N/A</v>
      </c>
      <c r="DM9" s="118" t="e">
        <f aca="false">VLOOKUP(A9,'Données projet'!$A$165:$I$185,9,0)</f>
        <v>#N/A</v>
      </c>
      <c r="DN9" s="118" t="n">
        <f aca="false" t="array" ref="DN9:DN9">INDEX(DM:DM,MIN(IF(ISNUMBER(DM9:DM205),ROW(DM9:DM205),"")))</f>
        <v>3</v>
      </c>
      <c r="DO9" s="118" t="n">
        <f aca="false">IF('Données projet'!$A$166&gt;35,DO8+DN9-DW8,IF(A9&lt;'Données projet'!$A$166,$DL$205^A9,IF(A9='Données projet'!$A$166,'Données projet'!$B$166,DO8+DN9-DW8)))</f>
        <v>6</v>
      </c>
      <c r="DP9" s="125" t="n">
        <f aca="false">DO9*VLOOKUP('Données projet'!$B$14,Paramètres!$A$1:$I$89,3,0)*VLOOKUP('Données projet'!$B$14,Paramètres!$A$1:$I$89,5,0)</f>
        <v>3.588</v>
      </c>
      <c r="DQ9" s="117" t="n">
        <f aca="false">EXP(-1.0587+0.8836*LN(DP9)+0.284)</f>
        <v>1.42501578762178</v>
      </c>
      <c r="DR9" s="128" t="n">
        <f aca="false">(DP9+DQ9)*0.475*44/12</f>
        <v>8.7310024967746</v>
      </c>
      <c r="DS9" s="120" t="n">
        <f aca="false">DR9+(DJ9+DK9)*44/12</f>
        <v>272.731002496775</v>
      </c>
      <c r="DT9" s="120" t="n">
        <f aca="true">AVERAGE(OFFSET($DS$3,0,0,'Données projet'!$E$14+1,1))-AVERAGE(OFFSET($H$3,0,0,'Données projet'!$E$14+1,1))</f>
        <v>549.432320957297</v>
      </c>
      <c r="DU9" s="120" t="n">
        <f aca="false">$DU$3</f>
        <v>280.26155987301</v>
      </c>
      <c r="DV9" s="121" t="n">
        <f aca="false">IF(ISNA(VLOOKUP(A9,'Données projet'!$A$165:$I$185,3,0)),0,VLOOKUP(A9,'Données projet'!$A$165:$I$185,3,0))</f>
        <v>0</v>
      </c>
      <c r="DW9" s="121" t="n">
        <f aca="false">IF(ISNA(VLOOKUP(A9,'Données projet'!$A$165:$I$185,4,0)),0,VLOOKUP(A9,'Données projet'!$A$165:$I$185,4,0))</f>
        <v>0</v>
      </c>
      <c r="DX9" s="122" t="n">
        <f aca="false">IF(ISNA(VLOOKUP(A9,'Données projet'!$A$165:$I$185,5,0)),0%,VLOOKUP(A9,'Données projet'!$A$165:$I$185,5,0)*VLOOKUP('Données projet'!$B$14,Paramètres!$A$1:$I$89,7,0))</f>
        <v>0</v>
      </c>
      <c r="DY9" s="122" t="n">
        <f aca="false">IF(ISNA(VLOOKUP(A9,'Données projet'!$A$165:$I$185,6,0)),0%,VLOOKUP(A9,'Données projet'!$A$165:$I$185,6,0)*VLOOKUP('Données projet'!$B$14,Paramètres!$A$1:$I$89,7,0))</f>
        <v>0</v>
      </c>
      <c r="DZ9" s="122" t="n">
        <f aca="false">IF(ISNA(VLOOKUP(A9,'Données projet'!$A$165:$I$185,7,0)),0%,VLOOKUP(A9,'Données projet'!$A$165:$I$185,7,0))</f>
        <v>0</v>
      </c>
      <c r="EA9" s="129" t="n">
        <f aca="false">EXP(-LN(2)/35)*EA8+(1-EXP(-LN(2)/35))/(LN(2)/35)*DW9*DX9*VLOOKUP('Données projet'!$B$14,Paramètres!$A$1:$I$89,3,0)*0.475*44/12</f>
        <v>0</v>
      </c>
      <c r="EB9" s="129" t="n">
        <f aca="false">EXP(-LN(2)/25)*EB8+(1-EXP(-LN(2)/25))/(LN(2)/25)*Calculateur!DW9*Calculateur!DY9*VLOOKUP('Données projet'!$B$14,Paramètres!$A$1:$I$89,3,0)*0.475*44/12</f>
        <v>0</v>
      </c>
      <c r="EC9" s="129" t="n">
        <f aca="false">EXP(-LN(2)/2)*EC8+(1-EXP(-LN(2)/2))/(LN(2)/2)*DW9*DZ9*VLOOKUP('Données projet'!$B$14,Paramètres!$A$1:$I$89,3,0)*0.475*44/12</f>
        <v>0</v>
      </c>
      <c r="ED9" s="130" t="n">
        <f aca="false">SUM(EA9:EC9)</f>
        <v>0</v>
      </c>
      <c r="EE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18" t="e">
        <f aca="false">VLOOKUP(A9,'Données projet'!$A$191:$I$211,2,0)</f>
        <v>#N/A</v>
      </c>
      <c r="EH9" s="118" t="e">
        <f aca="false">VLOOKUP(A9,'Données projet'!$A$191:$I$211,9,0)</f>
        <v>#N/A</v>
      </c>
      <c r="EI9" s="118" t="n">
        <f aca="false" t="array" ref="EI9:EI9">INDEX(EH:EH,MIN(IF(ISNUMBER(EH9:EH205),ROW(EH9:EH205),"")))</f>
        <v>0</v>
      </c>
      <c r="EJ9" s="118" t="n">
        <f aca="false">IF('Données projet'!$A$192&gt;35,EJ8+EI9-ER8,IF(A9&lt;'Données projet'!$A$192,$EG$205^A9,IF(A9='Données projet'!$A$192,'Données projet'!$B$192,EJ8+EI9-ER8)))</f>
        <v>0</v>
      </c>
      <c r="EK9" s="125" t="e">
        <f aca="false">EJ9*VLOOKUP('Données projet'!$B$15,Paramètres!$A$1:$I$89,3,0)*VLOOKUP('Données projet'!$B$15,Paramètres!$A$1:$I$89,5,0)</f>
        <v>#N/A</v>
      </c>
      <c r="EL9" s="117" t="e">
        <f aca="false">EXP(-1.0587+0.8836*LN(EK9)+0.284)</f>
        <v>#N/A</v>
      </c>
      <c r="EM9" s="128" t="e">
        <f aca="false">(EK9+EL9)*0.475*44/12</f>
        <v>#N/A</v>
      </c>
      <c r="EN9" s="120" t="e">
        <f aca="false">EM9+(EE9+EF9)*44/12</f>
        <v>#N/A</v>
      </c>
      <c r="EO9" s="120" t="e">
        <f aca="true">AVERAGE(OFFSET($EN$3,0,0,'Données projet'!$E$15+1,1))-AVERAGE(OFFSET($H$3,0,0,'Données projet'!$E$15+1,1))</f>
        <v>#N/A</v>
      </c>
      <c r="EP9" s="120" t="e">
        <f aca="false">$EP$3</f>
        <v>#N/A</v>
      </c>
      <c r="EQ9" s="121" t="n">
        <f aca="false">IF(ISNA(VLOOKUP(A9,'Données projet'!$A$191:$I$211,3,0)),0,VLOOKUP(A9,'Données projet'!$A$191:$I$211,3,0))</f>
        <v>0</v>
      </c>
      <c r="ER9" s="121" t="n">
        <f aca="false">IF(ISNA(VLOOKUP(A9,'Données projet'!$A$191:$I$211,4,0)),0,VLOOKUP(A9,'Données projet'!$A$191:$I$211,4,0))</f>
        <v>0</v>
      </c>
      <c r="ES9" s="122" t="n">
        <f aca="false">IF(ISNA(VLOOKUP(A9,'Données projet'!$A$191:$I$211,5,0)),0%,VLOOKUP(A9,'Données projet'!$A$191:$I$211,5,0)*VLOOKUP('Données projet'!$B$15,Paramètres!$A$1:$I$89,7,0))</f>
        <v>0</v>
      </c>
      <c r="ET9" s="122" t="n">
        <f aca="false">IF(ISNA(VLOOKUP(A9,'Données projet'!$A$191:$I$211,6,0)),0%,VLOOKUP(A9,'Données projet'!$A$191:$I$211,6,0)*VLOOKUP('Données projet'!$B$15,Paramètres!$A$1:$I$89,7,0))</f>
        <v>0</v>
      </c>
      <c r="EU9" s="122" t="n">
        <f aca="false">IF(ISNA(VLOOKUP(A9,'Données projet'!$A$191:$I$211,7,0)),0%,VLOOKUP(A9,'Données projet'!$A$191:$I$211,7,0))</f>
        <v>0</v>
      </c>
      <c r="EV9" s="129" t="e">
        <f aca="false">EXP(-LN(2)/35)*EV8+(1-EXP(-LN(2)/35))/(LN(2)/35)*ER9*ES9*VLOOKUP('Données projet'!$B$15,Paramètres!$A$1:$I$89,3,0)*0.475*44/12</f>
        <v>#N/A</v>
      </c>
      <c r="EW9" s="129" t="e">
        <f aca="false">EXP(-LN(2)/25)*EW8+(1-EXP(-LN(2)/25))/(LN(2)/25)*Calculateur!ER9*Calculateur!ET9*VLOOKUP('Données projet'!$B$15,Paramètres!$A$1:$I$89,3,0)*0.475*44/12</f>
        <v>#N/A</v>
      </c>
      <c r="EX9" s="129" t="e">
        <f aca="false">EXP(-LN(2)/2)*EX8+(1-EXP(-LN(2)/2))/(LN(2)/2)*ER9*EU9*VLOOKUP('Données projet'!$B$15,Paramètres!$A$1:$I$89,3,0)*0.475*44/12</f>
        <v>#N/A</v>
      </c>
      <c r="EY9" s="130" t="e">
        <f aca="false">SUM(EV9:EX9)</f>
        <v>#N/A</v>
      </c>
      <c r="EZ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18" t="e">
        <f aca="false">VLOOKUP(A9,'Données projet'!$A$217:$I$237,2,0)</f>
        <v>#N/A</v>
      </c>
      <c r="FC9" s="118" t="e">
        <f aca="false">VLOOKUP(A9,'Données projet'!$A$217:$I$237,9,0)</f>
        <v>#N/A</v>
      </c>
      <c r="FD9" s="118" t="n">
        <f aca="false" t="array" ref="FD9:FD9">INDEX(FC:FC,MIN(IF(ISNUMBER(FC9:FC205),ROW(FC9:FC205),"")))</f>
        <v>0</v>
      </c>
      <c r="FE9" s="118" t="n">
        <f aca="false">IF('Données projet'!$A$218&gt;35,FE8+FD9-FM8,IF(A9&lt;'Données projet'!$A$218,$FB$205^A9,IF(A9='Données projet'!$A$218,'Données projet'!$B$218,FE8+FD9-FM8)))</f>
        <v>0</v>
      </c>
      <c r="FF9" s="125" t="e">
        <f aca="false">FE9*VLOOKUP('Données projet'!$B$16,Paramètres!$A$1:$I$89,3,0)*VLOOKUP('Données projet'!$B$16,Paramètres!$A$1:$I$89,5,0)</f>
        <v>#N/A</v>
      </c>
      <c r="FG9" s="117" t="e">
        <f aca="false">EXP(-1.0587+0.8836*LN(FF9)+0.284)</f>
        <v>#N/A</v>
      </c>
      <c r="FH9" s="128" t="e">
        <f aca="false">(FF9+FG9)*0.475*44/12</f>
        <v>#N/A</v>
      </c>
      <c r="FI9" s="120" t="e">
        <f aca="false">FH9+(EZ9+FA9)*44/12</f>
        <v>#N/A</v>
      </c>
      <c r="FJ9" s="120" t="e">
        <f aca="true">AVERAGE(OFFSET($FI$3,0,0,'Données projet'!$E$16+1,1))-AVERAGE(OFFSET($H$3,0,0,'Données projet'!$E$16+1,1))</f>
        <v>#N/A</v>
      </c>
      <c r="FK9" s="120" t="e">
        <f aca="false">$FK$3</f>
        <v>#N/A</v>
      </c>
      <c r="FL9" s="121" t="n">
        <f aca="false">IF(ISNA(VLOOKUP(A9,'Données projet'!$A$217:$I$237,3,0)),0,VLOOKUP(A9,'Données projet'!$A$217:$I$237,3,0))</f>
        <v>0</v>
      </c>
      <c r="FM9" s="121" t="n">
        <f aca="false">IF(ISNA(VLOOKUP(A9,'Données projet'!$A$217:$I$237,4,0)),0,VLOOKUP(A9,'Données projet'!$A$217:$I$237,4,0))</f>
        <v>0</v>
      </c>
      <c r="FN9" s="122" t="n">
        <f aca="false">IF(ISNA(VLOOKUP(A9,'Données projet'!$A$217:$I$237,5,0)),0%,VLOOKUP(A9,'Données projet'!$A$217:$I$237,5,0)*VLOOKUP('Données projet'!$B$16,Paramètres!$A$1:$I$89,7,0))</f>
        <v>0</v>
      </c>
      <c r="FO9" s="122" t="n">
        <f aca="false">IF(ISNA(VLOOKUP(A9,'Données projet'!$A$217:$I$237,6,0)),0%,VLOOKUP(A9,'Données projet'!$A$217:$I$237,6,0)*VLOOKUP('Données projet'!$B$16,Paramètres!$A$1:$I$89,7,0))</f>
        <v>0</v>
      </c>
      <c r="FP9" s="122" t="n">
        <f aca="false">IF(ISNA(VLOOKUP(A9,'Données projet'!$A$217:$I$237,7,0)),0%,VLOOKUP(A9,'Données projet'!$A$217:$I$237,7,0))</f>
        <v>0</v>
      </c>
      <c r="FQ9" s="129" t="e">
        <f aca="false">EXP(-LN(2)/35)*FQ8+(1-EXP(-LN(2)/35))/(LN(2)/35)*FM9*FN9*VLOOKUP('Données projet'!$B$16,Paramètres!$A$1:$I$89,3,0)*0.475*44/12</f>
        <v>#N/A</v>
      </c>
      <c r="FR9" s="129" t="e">
        <f aca="false">EXP(-LN(2)/25)*FR8+(1-EXP(-LN(2)/25))/(LN(2)/25)*Calculateur!FM9*Calculateur!FO9*VLOOKUP('Données projet'!$B$16,Paramètres!$A$1:$I$89,3,0)*0.475*44/12</f>
        <v>#N/A</v>
      </c>
      <c r="FS9" s="129" t="e">
        <f aca="false">EXP(-LN(2)/2)*FS8+(1-EXP(-LN(2)/2))/(LN(2)/2)*FM9*FP9*VLOOKUP('Données projet'!$B$16,Paramètres!$A$1:$I$89,3,0)*0.475*44/12</f>
        <v>#N/A</v>
      </c>
      <c r="FT9" s="130" t="e">
        <f aca="false">SUM(FQ9:FS9)</f>
        <v>#N/A</v>
      </c>
      <c r="FU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18" t="e">
        <f aca="false">VLOOKUP(A9,'Données projet'!$A$243:$I$263,2,0)</f>
        <v>#N/A</v>
      </c>
      <c r="FX9" s="118" t="e">
        <f aca="false">VLOOKUP(A9,'Données projet'!$A$243:$I$263,9,0)</f>
        <v>#N/A</v>
      </c>
      <c r="FY9" s="118" t="n">
        <f aca="false" t="array" ref="FY9:FY9">INDEX(FX:FX,MIN(IF(ISNUMBER(FX9:FX205),ROW(FX9:FX205),"")))</f>
        <v>0</v>
      </c>
      <c r="FZ9" s="118" t="n">
        <f aca="false">IF('Données projet'!$A$244&gt;35,FZ8+FY9-GH8,IF(A9&lt;'Données projet'!$A$244,$FW$205^A9,IF(A9='Données projet'!$A$244,'Données projet'!$B$244,FZ8+FY9-GH8)))</f>
        <v>0</v>
      </c>
      <c r="GA9" s="125" t="e">
        <f aca="false">FZ9*VLOOKUP('Données projet'!$B$17,Paramètres!$A$1:$I$89,3,0)*VLOOKUP('Données projet'!$B$17,Paramètres!$A$1:$I$89,5,0)</f>
        <v>#N/A</v>
      </c>
      <c r="GB9" s="117" t="e">
        <f aca="false">EXP(-1.0587+0.8836*LN(GA9)+0.284)</f>
        <v>#N/A</v>
      </c>
      <c r="GC9" s="128" t="e">
        <f aca="false">(GA9+GB9)*0.475*44/12</f>
        <v>#N/A</v>
      </c>
      <c r="GD9" s="120" t="e">
        <f aca="false">GC9+(FU9+FV9)*44/12</f>
        <v>#N/A</v>
      </c>
      <c r="GE9" s="120" t="e">
        <f aca="true">AVERAGE(OFFSET($GD$3,0,0,'Données projet'!$E$17+1,1))-AVERAGE(OFFSET($H$3,0,0,'Données projet'!$E$17+1,1))</f>
        <v>#N/A</v>
      </c>
      <c r="GF9" s="120" t="e">
        <f aca="false">$GF$3</f>
        <v>#N/A</v>
      </c>
      <c r="GG9" s="121" t="n">
        <f aca="false">IF(ISNA(VLOOKUP(A9,'Données projet'!$A$243:$I$263,3,0)),0,VLOOKUP(A9,'Données projet'!$A$243:$I$263,3,0))</f>
        <v>0</v>
      </c>
      <c r="GH9" s="121" t="n">
        <f aca="false">IF(ISNA(VLOOKUP(A9,'Données projet'!$A$243:$I$263,4,0)),0,VLOOKUP(A9,'Données projet'!$A$243:$I$263,4,0))</f>
        <v>0</v>
      </c>
      <c r="GI9" s="122" t="n">
        <f aca="false">IF(ISNA(VLOOKUP(A9,'Données projet'!$A$243:$I$263,5,0)),0%,VLOOKUP(A9,'Données projet'!$A$243:$I$263,5,0)*VLOOKUP('Données projet'!$B$17,Paramètres!$A$1:$I$89,7,0))</f>
        <v>0</v>
      </c>
      <c r="GJ9" s="122" t="n">
        <f aca="false">IF(ISNA(VLOOKUP(A9,'Données projet'!$A$243:$I$263,6,0)),0%,VLOOKUP(A9,'Données projet'!$A$243:$I$263,6,0)*VLOOKUP('Données projet'!$B$17,Paramètres!$A$1:$I$89,7,0))</f>
        <v>0</v>
      </c>
      <c r="GK9" s="122" t="n">
        <f aca="false">IF(ISNA(VLOOKUP(A9,'Données projet'!$A$243:$I$263,7,0)),0%,VLOOKUP(A9,'Données projet'!$A$243:$I$263,7,0))</f>
        <v>0</v>
      </c>
      <c r="GL9" s="129" t="e">
        <f aca="false">EXP(-LN(2)/35)*GL8+(1-EXP(-LN(2)/35))/(LN(2)/35)*GH9*GI9*VLOOKUP('Données projet'!$B$17,Paramètres!$A$1:$I$89,3,0)*0.475*44/12</f>
        <v>#N/A</v>
      </c>
      <c r="GM9" s="129" t="e">
        <f aca="false">EXP(-LN(2)/25)*GM8+(1-EXP(-LN(2)/25))/(LN(2)/25)*Calculateur!GH9*Calculateur!GJ9*VLOOKUP('Données projet'!$B$17,Paramètres!$A$1:$I$89,3,0)*0.475*44/12</f>
        <v>#N/A</v>
      </c>
      <c r="GN9" s="129" t="e">
        <f aca="false">EXP(-LN(2)/2)*GN8+(1-EXP(-LN(2)/2))/(LN(2)/2)*GH9*GK9*VLOOKUP('Données projet'!$B$17,Paramètres!$A$1:$I$89,3,0)*0.475*44/12</f>
        <v>#N/A</v>
      </c>
      <c r="GO9" s="129" t="e">
        <f aca="false">SUM(GL9:GN9)</f>
        <v>#N/A</v>
      </c>
      <c r="GP9" s="126" t="n">
        <f aca="false"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8" t="n">
        <f aca="false"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18" t="e">
        <f aca="false">VLOOKUP(A9,'Données projet'!$A$269:$I$289,2,0)</f>
        <v>#N/A</v>
      </c>
      <c r="GS9" s="118" t="e">
        <f aca="false">VLOOKUP(A9,'Données projet'!$A$269:$I$289,9,0)</f>
        <v>#N/A</v>
      </c>
      <c r="GT9" s="118" t="n">
        <f aca="false" t="array" ref="GT9:GT9">INDEX(GS:GS,MIN(IF(ISNUMBER(GS9:GS205),ROW(GS9:GS205),"")))</f>
        <v>0</v>
      </c>
      <c r="GU9" s="118" t="n">
        <f aca="false">IF('Données projet'!$A$270&gt;35,GU8+GT9-HC8,IF(A9&lt;'Données projet'!$A$270,$GR$205^A9,IF(A9='Données projet'!$A$270,'Données projet'!$B$270,GU8+GT9-HC8)))</f>
        <v>0</v>
      </c>
      <c r="GV9" s="125" t="e">
        <f aca="false">GU9*VLOOKUP('Données projet'!$B$18,Paramètres!$A$1:$I$89,3,0)*VLOOKUP('Données projet'!$B$18,Paramètres!$A$1:$I$89,5,0)</f>
        <v>#N/A</v>
      </c>
      <c r="GW9" s="117" t="e">
        <f aca="false">EXP(-1.0587+0.8836*LN(GV9)+0.284)</f>
        <v>#N/A</v>
      </c>
      <c r="GX9" s="128" t="e">
        <f aca="false">(GV9+GW9)*0.475*44/12</f>
        <v>#N/A</v>
      </c>
      <c r="GY9" s="120" t="e">
        <f aca="false">GX9+(GP9+GQ9)*44/12</f>
        <v>#N/A</v>
      </c>
      <c r="GZ9" s="120" t="e">
        <f aca="true">AVERAGE(OFFSET($GY$3,0,0,'Données projet'!$E$18+1,1))-AVERAGE(OFFSET($H$3,0,0,'Données projet'!$E$18+1,1))</f>
        <v>#N/A</v>
      </c>
      <c r="HA9" s="120" t="e">
        <f aca="false">$HA$3</f>
        <v>#N/A</v>
      </c>
      <c r="HB9" s="121" t="n">
        <f aca="false">IF(ISNA(VLOOKUP(A9,'Données projet'!$A$269:$I$289,3,0)),0,VLOOKUP(A9,'Données projet'!$A$269:$I$289,3,0))</f>
        <v>0</v>
      </c>
      <c r="HC9" s="121" t="n">
        <f aca="false">IF(ISNA(VLOOKUP(A9,'Données projet'!$A$269:$I$289,4,0)),0,VLOOKUP(A9,'Données projet'!$A$269:$I$289,4,0))</f>
        <v>0</v>
      </c>
      <c r="HD9" s="122" t="n">
        <f aca="false">IF(ISNA(VLOOKUP(A9,'Données projet'!$A$269:$I$289,5,0)),0%,VLOOKUP(A9,'Données projet'!$A$269:$I$289,5,0)*VLOOKUP('Données projet'!$B$18,Paramètres!$A$1:$I$89,7,0))</f>
        <v>0</v>
      </c>
      <c r="HE9" s="122" t="n">
        <f aca="false">IF(ISNA(VLOOKUP(A9,'Données projet'!$A$269:$I$289,6,0)),0%,VLOOKUP(A9,'Données projet'!$A$269:$I$289,6,0)*VLOOKUP('Données projet'!$B$18,Paramètres!$A$1:$I$89,7,0))</f>
        <v>0</v>
      </c>
      <c r="HF9" s="122" t="n">
        <f aca="false">IF(ISNA(VLOOKUP(A9,'Données projet'!$A$269:$I$289,7,0)),0%,VLOOKUP(A9,'Données projet'!$A$269:$I$289,7,0))</f>
        <v>0</v>
      </c>
      <c r="HG9" s="129" t="e">
        <f aca="false">EXP(-LN(2)/35)*HG8+(1-EXP(-LN(2)/35))/(LN(2)/35)*HC9*HD9*VLOOKUP('Données projet'!$B$18,Paramètres!$A$1:$I$89,3,0)*0.475*44/12</f>
        <v>#N/A</v>
      </c>
      <c r="HH9" s="129" t="e">
        <f aca="false">EXP(-LN(2)/25)*HH8+(1-EXP(-LN(2)/25))/(LN(2)/25)*Calculateur!HC9*Calculateur!HE9*VLOOKUP('Données projet'!$B$18,Paramètres!$A$1:$I$89,3,0)*0.475*44/12</f>
        <v>#N/A</v>
      </c>
      <c r="HI9" s="129" t="e">
        <f aca="false">EXP(-LN(2)/2)*HI8+(1-EXP(-LN(2)/2))/(LN(2)/2)*HC9*HF9*VLOOKUP('Données projet'!$B$18,Paramètres!$A$1:$I$89,3,0)*0.475*44/12</f>
        <v>#N/A</v>
      </c>
      <c r="HJ9" s="130" t="e">
        <f aca="false">SUM(HG9:HI9)</f>
        <v>#N/A</v>
      </c>
    </row>
    <row r="10" customFormat="false" ht="14.25" hidden="false" customHeight="false" outlineLevel="0" collapsed="false">
      <c r="A10" s="112" t="n">
        <f aca="false">A9+1</f>
        <v>7</v>
      </c>
      <c r="B10" s="113" t="n">
        <f aca="false">'Scénario référence'!$B$16*5+'Scénario référence'!$B$17*0+'Scénario référence'!$B$18*5</f>
        <v>0</v>
      </c>
      <c r="C10" s="127" t="n">
        <f aca="false"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4" t="n">
        <f aca="false">IFERROR(EXP(-1.0587+0.8836*LN(C10)+0.284),0)</f>
        <v>0</v>
      </c>
      <c r="E1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" s="114" t="n">
        <f aca="false">IF(OR('Scénario référence'!$F$8&gt;0,'Scénario référence'!$F$9&gt;0),('Scénario référence'!$F$8+'Scénario référence'!$F$9)*10,0)</f>
        <v>0</v>
      </c>
      <c r="G10" s="114" t="n">
        <f aca="false"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15" t="n">
        <f aca="false">(B10+E10+F10)*44/12+(C10+D10)*0.475*44/12</f>
        <v>256.666666666667</v>
      </c>
      <c r="I10" s="11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7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K10" s="118" t="e">
        <f aca="false">VLOOKUP(A10,'Données projet'!$A$35:$I$55,2,0)</f>
        <v>#N/A</v>
      </c>
      <c r="L10" s="118" t="e">
        <f aca="false">VLOOKUP(A10,'Données projet'!$A$35:$I$55,9,0)</f>
        <v>#N/A</v>
      </c>
      <c r="M10" s="118" t="n">
        <f aca="false" t="array" ref="M10:M10">INDEX(L:L,MIN(IF(ISNUMBER(L10:L206),ROW(L10:L206),"")))</f>
        <v>7.9</v>
      </c>
      <c r="N10" s="117" t="n">
        <f aca="false">IF('Données projet'!$A$36&gt;35,N9+M10-V9,IF(A10&lt;'Données projet'!$A$36,$K$205^A10,IF(A10='Données projet'!$A$36,'Données projet'!$B$36,N9+M10-V9)))</f>
        <v>5.882067181221</v>
      </c>
      <c r="O10" s="117" t="n">
        <f aca="false">N10*VLOOKUP('Données projet'!$B$9,Paramètres!$A$1:$I$89,3,0)*VLOOKUP('Données projet'!$B$9,Paramètres!$A$1:$I$89,5,0)</f>
        <v>2.75280744081143</v>
      </c>
      <c r="P10" s="117" t="n">
        <f aca="false">EXP(-1.0587+0.8836*LN(O10)+0.284)</f>
        <v>1.12755566524114</v>
      </c>
      <c r="Q10" s="128" t="n">
        <f aca="false">(O10+P10)*0.475*44/12</f>
        <v>6.7582990763749</v>
      </c>
      <c r="R10" s="120" t="n">
        <f aca="false">Q10+(I10+J10)*44/12</f>
        <v>271.980521298597</v>
      </c>
      <c r="S10" s="120" t="n">
        <f aca="true">AVERAGE(OFFSET($R$3,0,0,'Données projet'!$E$9+1,1))-AVERAGE(OFFSET($H$3,0,0,'Données projet'!$E$9+1,1))</f>
        <v>319.229030946746</v>
      </c>
      <c r="T10" s="120" t="n">
        <f aca="false">$T$3</f>
        <v>254.586909731428</v>
      </c>
      <c r="U10" s="121" t="n">
        <f aca="false">IF(ISNA(VLOOKUP(A10,'Données projet'!$A$35:$I$55,3,0)),0,VLOOKUP(A10,'Données projet'!$A$35:$I$55,3,0))</f>
        <v>0</v>
      </c>
      <c r="V10" s="121" t="n">
        <f aca="false">IF(ISNA(VLOOKUP(A10,'Données projet'!$A$35:$I$55,4,0)),0,VLOOKUP(A10,'Données projet'!$A$35:$I$55,4,0))</f>
        <v>0</v>
      </c>
      <c r="W10" s="122" t="n">
        <f aca="false">IF(ISNA(VLOOKUP(A10,'Données projet'!$A$35:$I$55,5,0)),0%,VLOOKUP(A10,'Données projet'!$A$35:$I$55,5,0)*VLOOKUP('Données projet'!$B$9,Paramètres!$A$1:$I$89,7,0))</f>
        <v>0</v>
      </c>
      <c r="X10" s="122" t="n">
        <f aca="false">IF(ISNA(VLOOKUP(A10,'Données projet'!$A$35:$I$55,6,0)),0%,VLOOKUP(A10,'Données projet'!$A$35:$I$55,6,0)*VLOOKUP('Données projet'!$B$9,Paramètres!$A$1:$I$89,7,0))</f>
        <v>0</v>
      </c>
      <c r="Y10" s="122" t="n">
        <f aca="false">IF(ISNA(VLOOKUP(A10,'Données projet'!$A$35:$I$55,7,0)),0%,VLOOKUP(A10,'Données projet'!$A$35:$I$55,7,0))</f>
        <v>0</v>
      </c>
      <c r="Z10" s="129" t="n">
        <f aca="false">EXP(-LN(2)/35)*Z9+(1-EXP(-LN(2)/35))/(LN(2)/35)*V10*W10*VLOOKUP('Données projet'!$B$9,Paramètres!$A$1:$I$89,3,0)*0.475*44/12</f>
        <v>0</v>
      </c>
      <c r="AA10" s="129" t="n">
        <f aca="false">EXP(-LN(2)/25)*AA9+(1-EXP(-LN(2)/25))/(LN(2)/25)*Calculateur!V10*Calculateur!X10*VLOOKUP('Données projet'!$B$9,Paramètres!$A$1:$I$89,3,0)*0.475*44/12</f>
        <v>0</v>
      </c>
      <c r="AB10" s="129" t="n">
        <f aca="false">EXP(-LN(2)/2)*AB9+(1-EXP(-LN(2)/2))/(LN(2)/2)*V10*Y10*VLOOKUP('Données projet'!$B$9,Paramètres!$A$1:$I$89,3,0)*0.475*44/12</f>
        <v>0</v>
      </c>
      <c r="AC10" s="130" t="n">
        <f aca="false">SUM(Z10:AB10)</f>
        <v>0</v>
      </c>
      <c r="AD10" s="117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7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AF10" s="118" t="e">
        <f aca="false">VLOOKUP(A10,'Données projet'!$A$61:$I$81,2,0)</f>
        <v>#N/A</v>
      </c>
      <c r="AG10" s="118" t="e">
        <f aca="false">VLOOKUP(A10,'Données projet'!$A$61:$I$81,9,0)</f>
        <v>#N/A</v>
      </c>
      <c r="AH10" s="118" t="n">
        <f aca="false" t="array" ref="AH10:AH10">INDEX(AG:AG,MIN(IF(ISNUMBER(AG10:AG206),ROW(AG10:AG206),"")))</f>
        <v>7.04347826086957</v>
      </c>
      <c r="AI10" s="117" t="n">
        <f aca="false">IF('Données projet'!$A$62&gt;35,AI9+AH10-AQ9,IF(A10&lt;'Données projet'!$A$62,$AF$205^A10,IF(A10='Données projet'!$A$62,'Données projet'!$B$62,AI9+AH10-AQ9)))</f>
        <v>4.70393261116506</v>
      </c>
      <c r="AJ10" s="117" t="n">
        <f aca="false">AI10*VLOOKUP('Données projet'!$B$10,Paramètres!$A$1:$I$89,3,0)*VLOOKUP('Données projet'!$B$10,Paramètres!$A$1:$I$89,5,0)</f>
        <v>2.62949832964127</v>
      </c>
      <c r="AK10" s="117" t="n">
        <f aca="false">EXP(-1.0587+0.8836*LN(AJ10)+0.284)</f>
        <v>1.08280875520704</v>
      </c>
      <c r="AL10" s="128" t="n">
        <f aca="false">(AJ10+AK10)*0.475*44/12</f>
        <v>6.4656015061108</v>
      </c>
      <c r="AM10" s="120" t="n">
        <f aca="false">AL10+(AD10+AE10)*44/12</f>
        <v>271.687823728333</v>
      </c>
      <c r="AN10" s="120" t="n">
        <f aca="true">AVERAGE(OFFSET($AM$3,0,0,'Données projet'!$E$10+1,1))-AVERAGE(OFFSET($H$3,0,0,'Données projet'!$E$10+1,1))</f>
        <v>365.705101827279</v>
      </c>
      <c r="AO10" s="120" t="n">
        <f aca="false">$AO$3</f>
        <v>436.238338449625</v>
      </c>
      <c r="AP10" s="121" t="n">
        <f aca="false">IF(ISNA(VLOOKUP(A10,'Données projet'!$A$61:$I$81,3,0)),0,VLOOKUP(A10,'Données projet'!$A$61:$I$81,3,0))</f>
        <v>0</v>
      </c>
      <c r="AQ10" s="121" t="n">
        <f aca="false">IF(ISNA(VLOOKUP(A10,'Données projet'!$A$61:$I$81,4,0)),0,VLOOKUP(A10,'Données projet'!$A$61:$I$81,4,0))</f>
        <v>0</v>
      </c>
      <c r="AR10" s="122" t="n">
        <f aca="false">IF(ISNA(VLOOKUP(A10,'Données projet'!$A$61:$I$81,5,0)),0%,VLOOKUP(A10,'Données projet'!$A$61:$I$81,5,0)*VLOOKUP('Données projet'!$B$10,Paramètres!$A$1:$I$89,7,0))</f>
        <v>0</v>
      </c>
      <c r="AS10" s="122" t="n">
        <f aca="false">IF(ISNA(VLOOKUP(A10,'Données projet'!$A$61:$I$81,6,0)),0%,VLOOKUP(A10,'Données projet'!$A$61:$I$81,6,0)*VLOOKUP('Données projet'!$B$10,Paramètres!$A$1:$I$89,7,0))</f>
        <v>0</v>
      </c>
      <c r="AT10" s="122" t="n">
        <f aca="false">IF(ISNA(VLOOKUP(A10,'Données projet'!$A$61:$I$81,7,0)),0%,VLOOKUP(A10,'Données projet'!$A$61:$I$81,7,0))</f>
        <v>0</v>
      </c>
      <c r="AU10" s="129" t="n">
        <f aca="false">EXP(-LN(2)/35)*AU9+(1-EXP(-LN(2)/35))/(LN(2)/35)*AQ10*AR10*VLOOKUP('Données projet'!$B$10,Paramètres!$A$1:$I$89,3,0)*0.475*44/12</f>
        <v>0</v>
      </c>
      <c r="AV10" s="129" t="n">
        <f aca="false">EXP(-LN(2)/25)*AV9+(1-EXP(-LN(2)/25))/(LN(2)/25)*Calculateur!AQ10*Calculateur!AS10*VLOOKUP('Données projet'!$B$10,Paramètres!$A$1:$I$89,3,0)*0.475*44/12</f>
        <v>0</v>
      </c>
      <c r="AW10" s="129" t="n">
        <f aca="false">EXP(-LN(2)/2)*AW9+(1-EXP(-LN(2)/2))/(LN(2)/2)*AQ10*AT10*VLOOKUP('Données projet'!$B$10,Paramètres!$A$1:$I$89,3,0)*0.475*44/12</f>
        <v>0</v>
      </c>
      <c r="AX10" s="129" t="n">
        <f aca="false">SUM(AU10:AW10)</f>
        <v>0</v>
      </c>
      <c r="AY10" s="124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BA10" s="118" t="e">
        <f aca="false">VLOOKUP(A10,'Données projet'!$A$87:$I$107,2,0)</f>
        <v>#N/A</v>
      </c>
      <c r="BB10" s="118" t="e">
        <f aca="false">VLOOKUP(A10,'Données projet'!$A$87:$I$107,9,0)</f>
        <v>#N/A</v>
      </c>
      <c r="BC10" s="118" t="n">
        <f aca="false" t="array" ref="BC10:BC10">INDEX(BB:BB,MIN(IF(ISNUMBER(BB10:BB206),ROW(BB10:BB206),"")))</f>
        <v>5.8</v>
      </c>
      <c r="BD10" s="118" t="n">
        <f aca="false">IF('Données projet'!$A$88&gt;35,BD9+BC10-BL9,IF(A10&lt;'Données projet'!$A$88,$BA$205^A10,IF(A10='Données projet'!$A$88,'Données projet'!$B$88,BD9+BC10-BL9)))</f>
        <v>8.03727789325392</v>
      </c>
      <c r="BE10" s="117" t="n">
        <f aca="false">BD10*VLOOKUP('Données projet'!$B$11,Paramètres!$A$1:$I$89,3,0)*VLOOKUP('Données projet'!$B$11,Paramètres!$A$1:$I$89,5,0)</f>
        <v>7.02136596754662</v>
      </c>
      <c r="BF10" s="117" t="n">
        <f aca="false">EXP(-1.0587+0.8836*LN(BE10)+0.284)</f>
        <v>2.57899321396032</v>
      </c>
      <c r="BG10" s="128" t="n">
        <f aca="false">(BE10+BF10)*0.475*44/12</f>
        <v>16.7206255744579</v>
      </c>
      <c r="BH10" s="120" t="n">
        <f aca="false">BG10+(AY10+AZ10)*44/12</f>
        <v>281.94284779668</v>
      </c>
      <c r="BI10" s="120" t="n">
        <f aca="true">AVERAGE(OFFSET($BH$3,0,0,'Données projet'!$E$11+1,1))-AVERAGE(OFFSET($H$3,0,0,'Données projet'!$E$11+1,1))</f>
        <v>321.235999689929</v>
      </c>
      <c r="BJ10" s="120" t="n">
        <f aca="false">$BJ$3</f>
        <v>388.051958478005</v>
      </c>
      <c r="BK10" s="121" t="n">
        <f aca="false">IF(ISNA(VLOOKUP(A10,'Données projet'!$A$87:$I$107,3,0)),0,VLOOKUP(A10,'Données projet'!$A$87:$I$107,3,0))</f>
        <v>0</v>
      </c>
      <c r="BL10" s="121" t="n">
        <f aca="false">IF(ISNA(VLOOKUP(A10,'Données projet'!$A$87:$I$107,4,0)),0,VLOOKUP(A10,'Données projet'!$A$87:$I$107,4,0))</f>
        <v>0</v>
      </c>
      <c r="BM10" s="122" t="n">
        <f aca="false">IF(ISNA(VLOOKUP(A10,'Données projet'!$A$87:$I$107,5,0)),0%,VLOOKUP(A10,'Données projet'!$A$87:$I$107,5,0)*VLOOKUP('Données projet'!$B$11,Paramètres!$A$1:$I$89,7,0))</f>
        <v>0</v>
      </c>
      <c r="BN10" s="122" t="n">
        <f aca="false">IF(ISNA(VLOOKUP(A10,'Données projet'!$A$87:$I$107,6,0)),0%,VLOOKUP(A10,'Données projet'!$A$87:$I$107,6,0)*VLOOKUP('Données projet'!$B$11,Paramètres!$A$1:$I$89,7,0))</f>
        <v>0</v>
      </c>
      <c r="BO10" s="122" t="n">
        <f aca="false">IF(ISNA(VLOOKUP(A10,'Données projet'!$A$87:$I$107,7,0)),0%,VLOOKUP(A10,'Données projet'!$A$87:$I$107,7,0))</f>
        <v>0</v>
      </c>
      <c r="BP10" s="129" t="n">
        <f aca="false">EXP(-LN(2)/35)*BP9+(1-EXP(-LN(2)/35))/(LN(2)/35)*BL10*BM10*VLOOKUP('Données projet'!$B$11,Paramètres!$A$1:$I$89,3,0)*0.475*44/12</f>
        <v>0</v>
      </c>
      <c r="BQ10" s="129" t="n">
        <f aca="false">EXP(-LN(2)/25)*BQ9+(1-EXP(-LN(2)/25))/(LN(2)/25)*Calculateur!BL10*Calculateur!BN10*VLOOKUP('Données projet'!$B$11,Paramètres!$A$1:$I$89,3,0)*0.475*44/12</f>
        <v>0</v>
      </c>
      <c r="BR10" s="129" t="n">
        <f aca="false">EXP(-LN(2)/2)*BR9+(1-EXP(-LN(2)/2))/(LN(2)/2)*BL10*BO10*VLOOKUP('Données projet'!$B$11,Paramètres!$A$1:$I$89,3,0)*0.475*44/12</f>
        <v>0</v>
      </c>
      <c r="BS10" s="130" t="n">
        <f aca="false">SUM(BP10:BR10)</f>
        <v>0</v>
      </c>
      <c r="BT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BV10" s="118" t="e">
        <f aca="false">VLOOKUP(A10,'Données projet'!$A$113:$I$133,2,0)</f>
        <v>#N/A</v>
      </c>
      <c r="BW10" s="118" t="e">
        <f aca="false">VLOOKUP(A10,'Données projet'!$A$113:$I$133,9,0)</f>
        <v>#N/A</v>
      </c>
      <c r="BX10" s="118" t="n">
        <f aca="false" t="array" ref="BX10:BX10">INDEX(BW:BW,MIN(IF(ISNUMBER(BW10:BW206),ROW(BW10:BW206),"")))</f>
        <v>6.22222222222222</v>
      </c>
      <c r="BY10" s="118" t="n">
        <f aca="false">IF('Données projet'!$A$114&gt;35,BY9+BX10-CG9,IF(A10&lt;'Données projet'!$A$114,$BV$205^A10,IF(A10='Données projet'!$A$114,'Données projet'!$B$114,BY9+BX10-CG9)))</f>
        <v>6.26495736640278</v>
      </c>
      <c r="BZ10" s="117" t="n">
        <f aca="false">BY10*VLOOKUP('Données projet'!$B$12,Paramètres!$A$1:$I$89,3,0)*VLOOKUP('Données projet'!$B$12,Paramètres!$A$1:$I$89,5,0)</f>
        <v>3.90933339663533</v>
      </c>
      <c r="CA10" s="117" t="n">
        <f aca="false">EXP(-1.0587+0.8836*LN(BZ10)+0.284)</f>
        <v>1.53721289559649</v>
      </c>
      <c r="CB10" s="128" t="n">
        <f aca="false">(BZ10+CA10)*0.475*44/12</f>
        <v>9.4860681256371</v>
      </c>
      <c r="CC10" s="120" t="n">
        <f aca="false">CB10+(BT10+BU10)*44/12</f>
        <v>274.708290347859</v>
      </c>
      <c r="CD10" s="120" t="n">
        <f aca="true">AVERAGE(OFFSET($CC$3,0,0,'Données projet'!$E$12+1,1))-AVERAGE(OFFSET($H$3,0,0,'Données projet'!$E$12+1,1))</f>
        <v>240.228848647662</v>
      </c>
      <c r="CE10" s="120" t="n">
        <f aca="false">$CE$3</f>
        <v>343.237768841432</v>
      </c>
      <c r="CF10" s="121" t="n">
        <f aca="false">IF(ISNA(VLOOKUP(A10,'Données projet'!$A$113:$I$133,3,0)),0,VLOOKUP(A10,'Données projet'!$A$113:$I$133,3,0))</f>
        <v>0</v>
      </c>
      <c r="CG10" s="121" t="n">
        <f aca="false">IF(ISNA(VLOOKUP(A10,'Données projet'!$A$113:$I$133,4,0)),0,VLOOKUP(A10,'Données projet'!$A$113:$I$133,4,0))</f>
        <v>0</v>
      </c>
      <c r="CH10" s="122" t="n">
        <f aca="false">IF(ISNA(VLOOKUP(A10,'Données projet'!$A$113:$I$133,5,0)),0%,VLOOKUP(A10,'Données projet'!$A$113:$I$133,5,0)*VLOOKUP('Données projet'!$B$12,Paramètres!$A$1:$I$89,7,0))</f>
        <v>0</v>
      </c>
      <c r="CI10" s="122" t="n">
        <f aca="false">IF(ISNA(VLOOKUP(A10,'Données projet'!$A$113:$I$133,6,0)),0%,VLOOKUP(A10,'Données projet'!$A$113:$I$133,6,0)*VLOOKUP('Données projet'!$B$12,Paramètres!$A$1:$I$89,7,0))</f>
        <v>0</v>
      </c>
      <c r="CJ10" s="122" t="n">
        <f aca="false">IF(ISNA(VLOOKUP(A10,'Données projet'!$A$113:$I$133,7,0)),0%,VLOOKUP(A10,'Données projet'!$A$113:$I$133,7,0))</f>
        <v>0</v>
      </c>
      <c r="CK10" s="129" t="n">
        <f aca="false">EXP(-LN(2)/35)*CK9+(1-EXP(-LN(2)/35))/(LN(2)/35)*CG10*CH10*VLOOKUP('Données projet'!$B$12,Paramètres!$A$1:$I$89,3,0)*0.475*44/12</f>
        <v>0</v>
      </c>
      <c r="CL10" s="129" t="n">
        <f aca="false">EXP(-LN(2)/25)*CL9+(1-EXP(-LN(2)/25))/(LN(2)/25)*Calculateur!CG10*Calculateur!CI10*VLOOKUP('Données projet'!$B$12,Paramètres!$A$1:$I$89,3,0)*0.475*44/12</f>
        <v>0</v>
      </c>
      <c r="CM10" s="129" t="n">
        <f aca="false">EXP(-LN(2)/2)*CM9+(1-EXP(-LN(2)/2))/(LN(2)/2)*CG10*CJ10*VLOOKUP('Données projet'!$B$12,Paramètres!$A$1:$I$89,3,0)*0.475*44/12</f>
        <v>0</v>
      </c>
      <c r="CN10" s="130" t="n">
        <f aca="false">SUM(CK10:CM10)</f>
        <v>0</v>
      </c>
      <c r="CO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CQ10" s="118" t="e">
        <f aca="false">VLOOKUP(A10,'Données projet'!$A$139:$I$159,2,0)</f>
        <v>#N/A</v>
      </c>
      <c r="CR10" s="118" t="e">
        <f aca="false">VLOOKUP(A10,'Données projet'!$A$139:$I$159,9,0)</f>
        <v>#N/A</v>
      </c>
      <c r="CS10" s="118" t="n">
        <f aca="false" t="array" ref="CS10:CS10">INDEX(CR:CR,MIN(IF(ISNUMBER(CR10:CR206),ROW(CR10:CR206),"")))</f>
        <v>9.66666666666667</v>
      </c>
      <c r="CT10" s="118" t="n">
        <f aca="false">IF('Données projet'!$A$140&gt;35,CT9+CS10-DB9,IF(A10&lt;'Données projet'!$A$140,$CQ$205^A10,IF(A10='Données projet'!$A$140,'Données projet'!$B$140,CT9+CS10-DB9)))</f>
        <v>16.005423146694</v>
      </c>
      <c r="CU10" s="125" t="n">
        <f aca="false">CT10*VLOOKUP('Données projet'!$B$13,Paramètres!$A$1:$I$89,3,0)*VLOOKUP('Données projet'!$B$13,Paramètres!$A$1:$I$89,5,0)</f>
        <v>8.73896103809494</v>
      </c>
      <c r="CV10" s="117" t="n">
        <f aca="false">EXP(-1.0587+0.8836*LN(CU10)+0.284)</f>
        <v>3.12914686392334</v>
      </c>
      <c r="CW10" s="128" t="n">
        <f aca="false">(CU10+CV10)*0.475*44/12</f>
        <v>20.6702879293485</v>
      </c>
      <c r="CX10" s="120" t="n">
        <f aca="false">CW10+(CO10+CP10)*44/12</f>
        <v>285.892510151571</v>
      </c>
      <c r="CY10" s="120" t="n">
        <f aca="true">AVERAGE(OFFSET($CX$3,0,0,'Données projet'!$E$13+1,1))-AVERAGE(OFFSET($H$3,0,0,'Données projet'!$E$13+1,1))</f>
        <v>207.023069645676</v>
      </c>
      <c r="CZ10" s="120" t="n">
        <f aca="false">$CZ$3</f>
        <v>342.068879333518</v>
      </c>
      <c r="DA10" s="121" t="n">
        <f aca="false">IF(ISNA(VLOOKUP(A10,'Données projet'!$A$139:$I$159,3,0)),0,VLOOKUP(A10,'Données projet'!$A$139:$I$159,3,0))</f>
        <v>0</v>
      </c>
      <c r="DB10" s="121" t="n">
        <f aca="false">IF(ISNA(VLOOKUP(A10,'Données projet'!$A$139:$I$159,4,0)),0,VLOOKUP(A10,'Données projet'!$A$139:$I$159,4,0))</f>
        <v>0</v>
      </c>
      <c r="DC10" s="122" t="n">
        <f aca="false">IF(ISNA(VLOOKUP(A10,'Données projet'!$A$139:$I$159,5,0)),0%,VLOOKUP(A10,'Données projet'!$A$139:$I$159,5,0)*VLOOKUP('Données projet'!$B$13,Paramètres!$A$1:$I$89,7,0))</f>
        <v>0</v>
      </c>
      <c r="DD10" s="122" t="n">
        <f aca="false">IF(ISNA(VLOOKUP(A10,'Données projet'!$A$139:$I$159,6,0)),0%,VLOOKUP(A10,'Données projet'!$A$139:$I$159,6,0)*VLOOKUP('Données projet'!$B$13,Paramètres!$A$1:$I$89,7,0))</f>
        <v>0</v>
      </c>
      <c r="DE10" s="122" t="n">
        <f aca="false">IF(ISNA(VLOOKUP(A10,'Données projet'!$A$139:$I$159,7,0)),0%,VLOOKUP(A10,'Données projet'!$A$139:$I$159,7,0))</f>
        <v>0</v>
      </c>
      <c r="DF10" s="129" t="n">
        <f aca="false">EXP(-LN(2)/35)*DF9+(1-EXP(-LN(2)/35))/(LN(2)/35)*DB10*DC10*VLOOKUP('Données projet'!$B$13,Paramètres!$A$1:$I$89,3,0)*0.475*44/12</f>
        <v>0</v>
      </c>
      <c r="DG10" s="129" t="n">
        <f aca="false">EXP(-LN(2)/25)*DG9+(1-EXP(-LN(2)/25))/(LN(2)/25)*Calculateur!DB10*Calculateur!DD10*VLOOKUP('Données projet'!$B$13,Paramètres!$A$1:$I$89,3,0)*0.475*44/12</f>
        <v>0</v>
      </c>
      <c r="DH10" s="129" t="n">
        <f aca="false">EXP(-LN(2)/2)*DH9+(1-EXP(-LN(2)/2))/(LN(2)/2)*DB10*DE10*VLOOKUP('Données projet'!$B$13,Paramètres!$A$1:$I$89,3,0)*0.475*44/12</f>
        <v>0</v>
      </c>
      <c r="DI10" s="130" t="n">
        <f aca="false">SUM(DF10:DH10)</f>
        <v>0</v>
      </c>
      <c r="DJ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DL10" s="118" t="e">
        <f aca="false">VLOOKUP(A10,'Données projet'!$A$165:$I$185,2,0)</f>
        <v>#N/A</v>
      </c>
      <c r="DM10" s="118" t="e">
        <f aca="false">VLOOKUP(A10,'Données projet'!$A$165:$I$185,9,0)</f>
        <v>#N/A</v>
      </c>
      <c r="DN10" s="118" t="n">
        <f aca="false" t="array" ref="DN10:DN10">INDEX(DM:DM,MIN(IF(ISNUMBER(DM10:DM206),ROW(DM10:DM206),"")))</f>
        <v>3</v>
      </c>
      <c r="DO10" s="118" t="n">
        <f aca="false">IF('Données projet'!$A$166&gt;35,DO9+DN10-DW9,IF(A10&lt;'Données projet'!$A$166,$DL$205^A10,IF(A10='Données projet'!$A$166,'Données projet'!$B$166,DO9+DN10-DW9)))</f>
        <v>8.08803692758367</v>
      </c>
      <c r="DP10" s="125" t="n">
        <f aca="false">DO10*VLOOKUP('Données projet'!$B$14,Paramètres!$A$1:$I$89,3,0)*VLOOKUP('Données projet'!$B$14,Paramètres!$A$1:$I$89,5,0)</f>
        <v>4.83664608269503</v>
      </c>
      <c r="DQ10" s="117" t="n">
        <f aca="false">EXP(-1.0587+0.8836*LN(DP10)+0.284)</f>
        <v>1.85530543444702</v>
      </c>
      <c r="DR10" s="128" t="n">
        <f aca="false">(DP10+DQ10)*0.475*44/12</f>
        <v>11.6551488923557</v>
      </c>
      <c r="DS10" s="120" t="n">
        <f aca="false">DR10+(DJ10+DK10)*44/12</f>
        <v>276.877371114578</v>
      </c>
      <c r="DT10" s="120" t="n">
        <f aca="true">AVERAGE(OFFSET($DS$3,0,0,'Données projet'!$E$14+1,1))-AVERAGE(OFFSET($H$3,0,0,'Données projet'!$E$14+1,1))</f>
        <v>549.432320957297</v>
      </c>
      <c r="DU10" s="120" t="n">
        <f aca="false">$DU$3</f>
        <v>280.26155987301</v>
      </c>
      <c r="DV10" s="121" t="n">
        <f aca="false">IF(ISNA(VLOOKUP(A10,'Données projet'!$A$165:$I$185,3,0)),0,VLOOKUP(A10,'Données projet'!$A$165:$I$185,3,0))</f>
        <v>0</v>
      </c>
      <c r="DW10" s="121" t="n">
        <f aca="false">IF(ISNA(VLOOKUP(A10,'Données projet'!$A$165:$I$185,4,0)),0,VLOOKUP(A10,'Données projet'!$A$165:$I$185,4,0))</f>
        <v>0</v>
      </c>
      <c r="DX10" s="122" t="n">
        <f aca="false">IF(ISNA(VLOOKUP(A10,'Données projet'!$A$165:$I$185,5,0)),0%,VLOOKUP(A10,'Données projet'!$A$165:$I$185,5,0)*VLOOKUP('Données projet'!$B$14,Paramètres!$A$1:$I$89,7,0))</f>
        <v>0</v>
      </c>
      <c r="DY10" s="122" t="n">
        <f aca="false">IF(ISNA(VLOOKUP(A10,'Données projet'!$A$165:$I$185,6,0)),0%,VLOOKUP(A10,'Données projet'!$A$165:$I$185,6,0)*VLOOKUP('Données projet'!$B$14,Paramètres!$A$1:$I$89,7,0))</f>
        <v>0</v>
      </c>
      <c r="DZ10" s="122" t="n">
        <f aca="false">IF(ISNA(VLOOKUP(A10,'Données projet'!$A$165:$I$185,7,0)),0%,VLOOKUP(A10,'Données projet'!$A$165:$I$185,7,0))</f>
        <v>0</v>
      </c>
      <c r="EA10" s="129" t="n">
        <f aca="false">EXP(-LN(2)/35)*EA9+(1-EXP(-LN(2)/35))/(LN(2)/35)*DW10*DX10*VLOOKUP('Données projet'!$B$14,Paramètres!$A$1:$I$89,3,0)*0.475*44/12</f>
        <v>0</v>
      </c>
      <c r="EB10" s="129" t="n">
        <f aca="false">EXP(-LN(2)/25)*EB9+(1-EXP(-LN(2)/25))/(LN(2)/25)*Calculateur!DW10*Calculateur!DY10*VLOOKUP('Données projet'!$B$14,Paramètres!$A$1:$I$89,3,0)*0.475*44/12</f>
        <v>0</v>
      </c>
      <c r="EC10" s="129" t="n">
        <f aca="false">EXP(-LN(2)/2)*EC9+(1-EXP(-LN(2)/2))/(LN(2)/2)*DW10*DZ10*VLOOKUP('Données projet'!$B$14,Paramètres!$A$1:$I$89,3,0)*0.475*44/12</f>
        <v>0</v>
      </c>
      <c r="ED10" s="130" t="n">
        <f aca="false">SUM(EA10:EC10)</f>
        <v>0</v>
      </c>
      <c r="EE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EG10" s="118" t="e">
        <f aca="false">VLOOKUP(A10,'Données projet'!$A$191:$I$211,2,0)</f>
        <v>#N/A</v>
      </c>
      <c r="EH10" s="118" t="e">
        <f aca="false">VLOOKUP(A10,'Données projet'!$A$191:$I$211,9,0)</f>
        <v>#N/A</v>
      </c>
      <c r="EI10" s="118" t="n">
        <f aca="false" t="array" ref="EI10:EI10">INDEX(EH:EH,MIN(IF(ISNUMBER(EH10:EH206),ROW(EH10:EH206),"")))</f>
        <v>0</v>
      </c>
      <c r="EJ10" s="118" t="n">
        <f aca="false">IF('Données projet'!$A$192&gt;35,EJ9+EI10-ER9,IF(A10&lt;'Données projet'!$A$192,$EG$205^A10,IF(A10='Données projet'!$A$192,'Données projet'!$B$192,EJ9+EI10-ER9)))</f>
        <v>0</v>
      </c>
      <c r="EK10" s="125" t="e">
        <f aca="false">EJ10*VLOOKUP('Données projet'!$B$15,Paramètres!$A$1:$I$89,3,0)*VLOOKUP('Données projet'!$B$15,Paramètres!$A$1:$I$89,5,0)</f>
        <v>#N/A</v>
      </c>
      <c r="EL10" s="117" t="e">
        <f aca="false">EXP(-1.0587+0.8836*LN(EK10)+0.284)</f>
        <v>#N/A</v>
      </c>
      <c r="EM10" s="128" t="e">
        <f aca="false">(EK10+EL10)*0.475*44/12</f>
        <v>#N/A</v>
      </c>
      <c r="EN10" s="120" t="e">
        <f aca="false">EM10+(EE10+EF10)*44/12</f>
        <v>#N/A</v>
      </c>
      <c r="EO10" s="120" t="e">
        <f aca="true">AVERAGE(OFFSET($EN$3,0,0,'Données projet'!$E$15+1,1))-AVERAGE(OFFSET($H$3,0,0,'Données projet'!$E$15+1,1))</f>
        <v>#N/A</v>
      </c>
      <c r="EP10" s="120" t="e">
        <f aca="false">$EP$3</f>
        <v>#N/A</v>
      </c>
      <c r="EQ10" s="121" t="n">
        <f aca="false">IF(ISNA(VLOOKUP(A10,'Données projet'!$A$191:$I$211,3,0)),0,VLOOKUP(A10,'Données projet'!$A$191:$I$211,3,0))</f>
        <v>0</v>
      </c>
      <c r="ER10" s="121" t="n">
        <f aca="false">IF(ISNA(VLOOKUP(A10,'Données projet'!$A$191:$I$211,4,0)),0,VLOOKUP(A10,'Données projet'!$A$191:$I$211,4,0))</f>
        <v>0</v>
      </c>
      <c r="ES10" s="122" t="n">
        <f aca="false">IF(ISNA(VLOOKUP(A10,'Données projet'!$A$191:$I$211,5,0)),0%,VLOOKUP(A10,'Données projet'!$A$191:$I$211,5,0)*VLOOKUP('Données projet'!$B$15,Paramètres!$A$1:$I$89,7,0))</f>
        <v>0</v>
      </c>
      <c r="ET10" s="122" t="n">
        <f aca="false">IF(ISNA(VLOOKUP(A10,'Données projet'!$A$191:$I$211,6,0)),0%,VLOOKUP(A10,'Données projet'!$A$191:$I$211,6,0)*VLOOKUP('Données projet'!$B$15,Paramètres!$A$1:$I$89,7,0))</f>
        <v>0</v>
      </c>
      <c r="EU10" s="122" t="n">
        <f aca="false">IF(ISNA(VLOOKUP(A10,'Données projet'!$A$191:$I$211,7,0)),0%,VLOOKUP(A10,'Données projet'!$A$191:$I$211,7,0))</f>
        <v>0</v>
      </c>
      <c r="EV10" s="129" t="e">
        <f aca="false">EXP(-LN(2)/35)*EV9+(1-EXP(-LN(2)/35))/(LN(2)/35)*ER10*ES10*VLOOKUP('Données projet'!$B$15,Paramètres!$A$1:$I$89,3,0)*0.475*44/12</f>
        <v>#N/A</v>
      </c>
      <c r="EW10" s="129" t="e">
        <f aca="false">EXP(-LN(2)/25)*EW9+(1-EXP(-LN(2)/25))/(LN(2)/25)*Calculateur!ER10*Calculateur!ET10*VLOOKUP('Données projet'!$B$15,Paramètres!$A$1:$I$89,3,0)*0.475*44/12</f>
        <v>#N/A</v>
      </c>
      <c r="EX10" s="129" t="e">
        <f aca="false">EXP(-LN(2)/2)*EX9+(1-EXP(-LN(2)/2))/(LN(2)/2)*ER10*EU10*VLOOKUP('Données projet'!$B$15,Paramètres!$A$1:$I$89,3,0)*0.475*44/12</f>
        <v>#N/A</v>
      </c>
      <c r="EY10" s="130" t="e">
        <f aca="false">SUM(EV10:EX10)</f>
        <v>#N/A</v>
      </c>
      <c r="EZ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FB10" s="118" t="e">
        <f aca="false">VLOOKUP(A10,'Données projet'!$A$217:$I$237,2,0)</f>
        <v>#N/A</v>
      </c>
      <c r="FC10" s="118" t="e">
        <f aca="false">VLOOKUP(A10,'Données projet'!$A$217:$I$237,9,0)</f>
        <v>#N/A</v>
      </c>
      <c r="FD10" s="118" t="n">
        <f aca="false" t="array" ref="FD10:FD10">INDEX(FC:FC,MIN(IF(ISNUMBER(FC10:FC206),ROW(FC10:FC206),"")))</f>
        <v>0</v>
      </c>
      <c r="FE10" s="118" t="n">
        <f aca="false">IF('Données projet'!$A$218&gt;35,FE9+FD10-FM9,IF(A10&lt;'Données projet'!$A$218,$FB$205^A10,IF(A10='Données projet'!$A$218,'Données projet'!$B$218,FE9+FD10-FM9)))</f>
        <v>0</v>
      </c>
      <c r="FF10" s="125" t="e">
        <f aca="false">FE10*VLOOKUP('Données projet'!$B$16,Paramètres!$A$1:$I$89,3,0)*VLOOKUP('Données projet'!$B$16,Paramètres!$A$1:$I$89,5,0)</f>
        <v>#N/A</v>
      </c>
      <c r="FG10" s="117" t="e">
        <f aca="false">EXP(-1.0587+0.8836*LN(FF10)+0.284)</f>
        <v>#N/A</v>
      </c>
      <c r="FH10" s="128" t="e">
        <f aca="false">(FF10+FG10)*0.475*44/12</f>
        <v>#N/A</v>
      </c>
      <c r="FI10" s="120" t="e">
        <f aca="false">FH10+(EZ10+FA10)*44/12</f>
        <v>#N/A</v>
      </c>
      <c r="FJ10" s="120" t="e">
        <f aca="true">AVERAGE(OFFSET($FI$3,0,0,'Données projet'!$E$16+1,1))-AVERAGE(OFFSET($H$3,0,0,'Données projet'!$E$16+1,1))</f>
        <v>#N/A</v>
      </c>
      <c r="FK10" s="120" t="e">
        <f aca="false">$FK$3</f>
        <v>#N/A</v>
      </c>
      <c r="FL10" s="121" t="n">
        <f aca="false">IF(ISNA(VLOOKUP(A10,'Données projet'!$A$217:$I$237,3,0)),0,VLOOKUP(A10,'Données projet'!$A$217:$I$237,3,0))</f>
        <v>0</v>
      </c>
      <c r="FM10" s="121" t="n">
        <f aca="false">IF(ISNA(VLOOKUP(A10,'Données projet'!$A$217:$I$237,4,0)),0,VLOOKUP(A10,'Données projet'!$A$217:$I$237,4,0))</f>
        <v>0</v>
      </c>
      <c r="FN10" s="122" t="n">
        <f aca="false">IF(ISNA(VLOOKUP(A10,'Données projet'!$A$217:$I$237,5,0)),0%,VLOOKUP(A10,'Données projet'!$A$217:$I$237,5,0)*VLOOKUP('Données projet'!$B$16,Paramètres!$A$1:$I$89,7,0))</f>
        <v>0</v>
      </c>
      <c r="FO10" s="122" t="n">
        <f aca="false">IF(ISNA(VLOOKUP(A10,'Données projet'!$A$217:$I$237,6,0)),0%,VLOOKUP(A10,'Données projet'!$A$217:$I$237,6,0)*VLOOKUP('Données projet'!$B$16,Paramètres!$A$1:$I$89,7,0))</f>
        <v>0</v>
      </c>
      <c r="FP10" s="122" t="n">
        <f aca="false">IF(ISNA(VLOOKUP(A10,'Données projet'!$A$217:$I$237,7,0)),0%,VLOOKUP(A10,'Données projet'!$A$217:$I$237,7,0))</f>
        <v>0</v>
      </c>
      <c r="FQ10" s="129" t="e">
        <f aca="false">EXP(-LN(2)/35)*FQ9+(1-EXP(-LN(2)/35))/(LN(2)/35)*FM10*FN10*VLOOKUP('Données projet'!$B$16,Paramètres!$A$1:$I$89,3,0)*0.475*44/12</f>
        <v>#N/A</v>
      </c>
      <c r="FR10" s="129" t="e">
        <f aca="false">EXP(-LN(2)/25)*FR9+(1-EXP(-LN(2)/25))/(LN(2)/25)*Calculateur!FM10*Calculateur!FO10*VLOOKUP('Données projet'!$B$16,Paramètres!$A$1:$I$89,3,0)*0.475*44/12</f>
        <v>#N/A</v>
      </c>
      <c r="FS10" s="129" t="e">
        <f aca="false">EXP(-LN(2)/2)*FS9+(1-EXP(-LN(2)/2))/(LN(2)/2)*FM10*FP10*VLOOKUP('Données projet'!$B$16,Paramètres!$A$1:$I$89,3,0)*0.475*44/12</f>
        <v>#N/A</v>
      </c>
      <c r="FT10" s="130" t="e">
        <f aca="false">SUM(FQ10:FS10)</f>
        <v>#N/A</v>
      </c>
      <c r="FU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FW10" s="118" t="e">
        <f aca="false">VLOOKUP(A10,'Données projet'!$A$243:$I$263,2,0)</f>
        <v>#N/A</v>
      </c>
      <c r="FX10" s="118" t="e">
        <f aca="false">VLOOKUP(A10,'Données projet'!$A$243:$I$263,9,0)</f>
        <v>#N/A</v>
      </c>
      <c r="FY10" s="118" t="n">
        <f aca="false" t="array" ref="FY10:FY10">INDEX(FX:FX,MIN(IF(ISNUMBER(FX10:FX206),ROW(FX10:FX206),"")))</f>
        <v>0</v>
      </c>
      <c r="FZ10" s="118" t="n">
        <f aca="false">IF('Données projet'!$A$244&gt;35,FZ9+FY10-GH9,IF(A10&lt;'Données projet'!$A$244,$FW$205^A10,IF(A10='Données projet'!$A$244,'Données projet'!$B$244,FZ9+FY10-GH9)))</f>
        <v>0</v>
      </c>
      <c r="GA10" s="125" t="e">
        <f aca="false">FZ10*VLOOKUP('Données projet'!$B$17,Paramètres!$A$1:$I$89,3,0)*VLOOKUP('Données projet'!$B$17,Paramètres!$A$1:$I$89,5,0)</f>
        <v>#N/A</v>
      </c>
      <c r="GB10" s="117" t="e">
        <f aca="false">EXP(-1.0587+0.8836*LN(GA10)+0.284)</f>
        <v>#N/A</v>
      </c>
      <c r="GC10" s="128" t="e">
        <f aca="false">(GA10+GB10)*0.475*44/12</f>
        <v>#N/A</v>
      </c>
      <c r="GD10" s="120" t="e">
        <f aca="false">GC10+(FU10+FV10)*44/12</f>
        <v>#N/A</v>
      </c>
      <c r="GE10" s="120" t="e">
        <f aca="true">AVERAGE(OFFSET($GD$3,0,0,'Données projet'!$E$17+1,1))-AVERAGE(OFFSET($H$3,0,0,'Données projet'!$E$17+1,1))</f>
        <v>#N/A</v>
      </c>
      <c r="GF10" s="120" t="e">
        <f aca="false">$GF$3</f>
        <v>#N/A</v>
      </c>
      <c r="GG10" s="121" t="n">
        <f aca="false">IF(ISNA(VLOOKUP(A10,'Données projet'!$A$243:$I$263,3,0)),0,VLOOKUP(A10,'Données projet'!$A$243:$I$263,3,0))</f>
        <v>0</v>
      </c>
      <c r="GH10" s="121" t="n">
        <f aca="false">IF(ISNA(VLOOKUP(A10,'Données projet'!$A$243:$I$263,4,0)),0,VLOOKUP(A10,'Données projet'!$A$243:$I$263,4,0))</f>
        <v>0</v>
      </c>
      <c r="GI10" s="122" t="n">
        <f aca="false">IF(ISNA(VLOOKUP(A10,'Données projet'!$A$243:$I$263,5,0)),0%,VLOOKUP(A10,'Données projet'!$A$243:$I$263,5,0)*VLOOKUP('Données projet'!$B$17,Paramètres!$A$1:$I$89,7,0))</f>
        <v>0</v>
      </c>
      <c r="GJ10" s="122" t="n">
        <f aca="false">IF(ISNA(VLOOKUP(A10,'Données projet'!$A$243:$I$263,6,0)),0%,VLOOKUP(A10,'Données projet'!$A$243:$I$263,6,0)*VLOOKUP('Données projet'!$B$17,Paramètres!$A$1:$I$89,7,0))</f>
        <v>0</v>
      </c>
      <c r="GK10" s="122" t="n">
        <f aca="false">IF(ISNA(VLOOKUP(A10,'Données projet'!$A$243:$I$263,7,0)),0%,VLOOKUP(A10,'Données projet'!$A$243:$I$263,7,0))</f>
        <v>0</v>
      </c>
      <c r="GL10" s="129" t="e">
        <f aca="false">EXP(-LN(2)/35)*GL9+(1-EXP(-LN(2)/35))/(LN(2)/35)*GH10*GI10*VLOOKUP('Données projet'!$B$17,Paramètres!$A$1:$I$89,3,0)*0.475*44/12</f>
        <v>#N/A</v>
      </c>
      <c r="GM10" s="129" t="e">
        <f aca="false">EXP(-LN(2)/25)*GM9+(1-EXP(-LN(2)/25))/(LN(2)/25)*Calculateur!GH10*Calculateur!GJ10*VLOOKUP('Données projet'!$B$17,Paramètres!$A$1:$I$89,3,0)*0.475*44/12</f>
        <v>#N/A</v>
      </c>
      <c r="GN10" s="129" t="e">
        <f aca="false">EXP(-LN(2)/2)*GN9+(1-EXP(-LN(2)/2))/(LN(2)/2)*GH10*GK10*VLOOKUP('Données projet'!$B$17,Paramètres!$A$1:$I$89,3,0)*0.475*44/12</f>
        <v>#N/A</v>
      </c>
      <c r="GO10" s="129" t="e">
        <f aca="false">SUM(GL10:GN10)</f>
        <v>#N/A</v>
      </c>
      <c r="GP10" s="126" t="n">
        <f aca="false"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8" t="n">
        <f aca="false">IF(A10&gt;30,10,('Scénario référence'!$B$16+'Scénario référence'!$B$17+'Scénario référence'!$B$18+'Scénario référence'!$B$9+'Scénario référence'!$B$10)*A10*10/30+('Scénario référence'!$F$8+'Scénario référence'!$F$9)*10)</f>
        <v>2.33333333333333</v>
      </c>
      <c r="GR10" s="118" t="e">
        <f aca="false">VLOOKUP(A10,'Données projet'!$A$269:$I$289,2,0)</f>
        <v>#N/A</v>
      </c>
      <c r="GS10" s="118" t="e">
        <f aca="false">VLOOKUP(A10,'Données projet'!$A$269:$I$289,9,0)</f>
        <v>#N/A</v>
      </c>
      <c r="GT10" s="118" t="n">
        <f aca="false" t="array" ref="GT10:GT10">INDEX(GS:GS,MIN(IF(ISNUMBER(GS10:GS206),ROW(GS10:GS206),"")))</f>
        <v>0</v>
      </c>
      <c r="GU10" s="118" t="n">
        <f aca="false">IF('Données projet'!$A$270&gt;35,GU9+GT10-HC9,IF(A10&lt;'Données projet'!$A$270,$GR$205^A10,IF(A10='Données projet'!$A$270,'Données projet'!$B$270,GU9+GT10-HC9)))</f>
        <v>0</v>
      </c>
      <c r="GV10" s="125" t="e">
        <f aca="false">GU10*VLOOKUP('Données projet'!$B$18,Paramètres!$A$1:$I$89,3,0)*VLOOKUP('Données projet'!$B$18,Paramètres!$A$1:$I$89,5,0)</f>
        <v>#N/A</v>
      </c>
      <c r="GW10" s="117" t="e">
        <f aca="false">EXP(-1.0587+0.8836*LN(GV10)+0.284)</f>
        <v>#N/A</v>
      </c>
      <c r="GX10" s="128" t="e">
        <f aca="false">(GV10+GW10)*0.475*44/12</f>
        <v>#N/A</v>
      </c>
      <c r="GY10" s="120" t="e">
        <f aca="false">GX10+(GP10+GQ10)*44/12</f>
        <v>#N/A</v>
      </c>
      <c r="GZ10" s="120" t="e">
        <f aca="true">AVERAGE(OFFSET($GY$3,0,0,'Données projet'!$E$18+1,1))-AVERAGE(OFFSET($H$3,0,0,'Données projet'!$E$18+1,1))</f>
        <v>#N/A</v>
      </c>
      <c r="HA10" s="120" t="e">
        <f aca="false">$HA$3</f>
        <v>#N/A</v>
      </c>
      <c r="HB10" s="121" t="n">
        <f aca="false">IF(ISNA(VLOOKUP(A10,'Données projet'!$A$269:$I$289,3,0)),0,VLOOKUP(A10,'Données projet'!$A$269:$I$289,3,0))</f>
        <v>0</v>
      </c>
      <c r="HC10" s="121" t="n">
        <f aca="false">IF(ISNA(VLOOKUP(A10,'Données projet'!$A$269:$I$289,4,0)),0,VLOOKUP(A10,'Données projet'!$A$269:$I$289,4,0))</f>
        <v>0</v>
      </c>
      <c r="HD10" s="122" t="n">
        <f aca="false">IF(ISNA(VLOOKUP(A10,'Données projet'!$A$269:$I$289,5,0)),0%,VLOOKUP(A10,'Données projet'!$A$269:$I$289,5,0)*VLOOKUP('Données projet'!$B$18,Paramètres!$A$1:$I$89,7,0))</f>
        <v>0</v>
      </c>
      <c r="HE10" s="122" t="n">
        <f aca="false">IF(ISNA(VLOOKUP(A10,'Données projet'!$A$269:$I$289,6,0)),0%,VLOOKUP(A10,'Données projet'!$A$269:$I$289,6,0)*VLOOKUP('Données projet'!$B$18,Paramètres!$A$1:$I$89,7,0))</f>
        <v>0</v>
      </c>
      <c r="HF10" s="122" t="n">
        <f aca="false">IF(ISNA(VLOOKUP(A10,'Données projet'!$A$269:$I$289,7,0)),0%,VLOOKUP(A10,'Données projet'!$A$269:$I$289,7,0))</f>
        <v>0</v>
      </c>
      <c r="HG10" s="129" t="e">
        <f aca="false">EXP(-LN(2)/35)*HG9+(1-EXP(-LN(2)/35))/(LN(2)/35)*HC10*HD10*VLOOKUP('Données projet'!$B$18,Paramètres!$A$1:$I$89,3,0)*0.475*44/12</f>
        <v>#N/A</v>
      </c>
      <c r="HH10" s="129" t="e">
        <f aca="false">EXP(-LN(2)/25)*HH9+(1-EXP(-LN(2)/25))/(LN(2)/25)*Calculateur!HC10*Calculateur!HE10*VLOOKUP('Données projet'!$B$18,Paramètres!$A$1:$I$89,3,0)*0.475*44/12</f>
        <v>#N/A</v>
      </c>
      <c r="HI10" s="129" t="e">
        <f aca="false">EXP(-LN(2)/2)*HI9+(1-EXP(-LN(2)/2))/(LN(2)/2)*HC10*HF10*VLOOKUP('Données projet'!$B$18,Paramètres!$A$1:$I$89,3,0)*0.475*44/12</f>
        <v>#N/A</v>
      </c>
      <c r="HJ10" s="130" t="e">
        <f aca="false">SUM(HG10:HI10)</f>
        <v>#N/A</v>
      </c>
    </row>
    <row r="11" customFormat="false" ht="14.25" hidden="false" customHeight="false" outlineLevel="0" collapsed="false">
      <c r="A11" s="112" t="n">
        <f aca="false">A10+1</f>
        <v>8</v>
      </c>
      <c r="B11" s="113" t="n">
        <f aca="false">'Scénario référence'!$B$16*5+'Scénario référence'!$B$17*0+'Scénario référence'!$B$18*5</f>
        <v>0</v>
      </c>
      <c r="C11" s="127" t="n">
        <f aca="false"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4" t="n">
        <f aca="false">IFERROR(EXP(-1.0587+0.8836*LN(C11)+0.284),0)</f>
        <v>0</v>
      </c>
      <c r="E1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" s="114" t="n">
        <f aca="false">IF(OR('Scénario référence'!$F$8&gt;0,'Scénario référence'!$F$9&gt;0),('Scénario référence'!$F$8+'Scénario référence'!$F$9)*10,0)</f>
        <v>0</v>
      </c>
      <c r="G11" s="114" t="n">
        <f aca="false"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15" t="n">
        <f aca="false">(B11+E11+F11)*44/12+(C11+D11)*0.475*44/12</f>
        <v>256.666666666667</v>
      </c>
      <c r="I11" s="11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7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K11" s="118" t="e">
        <f aca="false">VLOOKUP(A11,'Données projet'!$A$35:$I$55,2,0)</f>
        <v>#N/A</v>
      </c>
      <c r="L11" s="118" t="e">
        <f aca="false">VLOOKUP(A11,'Données projet'!$A$35:$I$55,9,0)</f>
        <v>#N/A</v>
      </c>
      <c r="M11" s="118" t="n">
        <f aca="false" t="array" ref="M11:M11">INDEX(L:L,MIN(IF(ISNUMBER(L11:L207),ROW(L11:L207),"")))</f>
        <v>7.9</v>
      </c>
      <c r="N11" s="117" t="n">
        <f aca="false">IF('Données projet'!$A$36&gt;35,N10+M11-V10,IF(A11&lt;'Données projet'!$A$36,$K$205^A11,IF(A11='Données projet'!$A$36,'Données projet'!$B$36,N10+M11-V10)))</f>
        <v>7.57639894241296</v>
      </c>
      <c r="O11" s="117" t="n">
        <f aca="false">N11*VLOOKUP('Données projet'!$B$9,Paramètres!$A$1:$I$89,3,0)*VLOOKUP('Données projet'!$B$9,Paramètres!$A$1:$I$89,5,0)</f>
        <v>3.54575470504926</v>
      </c>
      <c r="P11" s="117" t="n">
        <f aca="false">EXP(-1.0587+0.8836*LN(O11)+0.284)</f>
        <v>1.41018035877876</v>
      </c>
      <c r="Q11" s="128" t="n">
        <f aca="false">(O11+P11)*0.475*44/12</f>
        <v>8.63158690283382</v>
      </c>
      <c r="R11" s="120" t="n">
        <f aca="false">Q11+(I11+J11)*44/12</f>
        <v>275.076031347278</v>
      </c>
      <c r="S11" s="120" t="n">
        <f aca="true">AVERAGE(OFFSET($R$3,0,0,'Données projet'!$E$9+1,1))-AVERAGE(OFFSET($H$3,0,0,'Données projet'!$E$9+1,1))</f>
        <v>319.229030946746</v>
      </c>
      <c r="T11" s="120" t="n">
        <f aca="false">$T$3</f>
        <v>254.586909731428</v>
      </c>
      <c r="U11" s="121" t="n">
        <f aca="false">IF(ISNA(VLOOKUP(A11,'Données projet'!$A$35:$I$55,3,0)),0,VLOOKUP(A11,'Données projet'!$A$35:$I$55,3,0))</f>
        <v>0</v>
      </c>
      <c r="V11" s="121" t="n">
        <f aca="false">IF(ISNA(VLOOKUP(A11,'Données projet'!$A$35:$I$55,4,0)),0,VLOOKUP(A11,'Données projet'!$A$35:$I$55,4,0))</f>
        <v>0</v>
      </c>
      <c r="W11" s="122" t="n">
        <f aca="false">IF(ISNA(VLOOKUP(A11,'Données projet'!$A$35:$I$55,5,0)),0%,VLOOKUP(A11,'Données projet'!$A$35:$I$55,5,0)*VLOOKUP('Données projet'!$B$9,Paramètres!$A$1:$I$89,7,0))</f>
        <v>0</v>
      </c>
      <c r="X11" s="122" t="n">
        <f aca="false">IF(ISNA(VLOOKUP(A11,'Données projet'!$A$35:$I$55,6,0)),0%,VLOOKUP(A11,'Données projet'!$A$35:$I$55,6,0)*VLOOKUP('Données projet'!$B$9,Paramètres!$A$1:$I$89,7,0))</f>
        <v>0</v>
      </c>
      <c r="Y11" s="122" t="n">
        <f aca="false">IF(ISNA(VLOOKUP(A11,'Données projet'!$A$35:$I$55,7,0)),0%,VLOOKUP(A11,'Données projet'!$A$35:$I$55,7,0))</f>
        <v>0</v>
      </c>
      <c r="Z11" s="129" t="n">
        <f aca="false">EXP(-LN(2)/35)*Z10+(1-EXP(-LN(2)/35))/(LN(2)/35)*V11*W11*VLOOKUP('Données projet'!$B$9,Paramètres!$A$1:$I$89,3,0)*0.475*44/12</f>
        <v>0</v>
      </c>
      <c r="AA11" s="129" t="n">
        <f aca="false">EXP(-LN(2)/25)*AA10+(1-EXP(-LN(2)/25))/(LN(2)/25)*Calculateur!V11*Calculateur!X11*VLOOKUP('Données projet'!$B$9,Paramètres!$A$1:$I$89,3,0)*0.475*44/12</f>
        <v>0</v>
      </c>
      <c r="AB11" s="129" t="n">
        <f aca="false">EXP(-LN(2)/2)*AB10+(1-EXP(-LN(2)/2))/(LN(2)/2)*V11*Y11*VLOOKUP('Données projet'!$B$9,Paramètres!$A$1:$I$89,3,0)*0.475*44/12</f>
        <v>0</v>
      </c>
      <c r="AC11" s="130" t="n">
        <f aca="false">SUM(Z11:AB11)</f>
        <v>0</v>
      </c>
      <c r="AD11" s="117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7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AF11" s="118" t="e">
        <f aca="false">VLOOKUP(A11,'Données projet'!$A$61:$I$81,2,0)</f>
        <v>#N/A</v>
      </c>
      <c r="AG11" s="118" t="e">
        <f aca="false">VLOOKUP(A11,'Données projet'!$A$61:$I$81,9,0)</f>
        <v>#N/A</v>
      </c>
      <c r="AH11" s="118" t="n">
        <f aca="false" t="array" ref="AH11:AH11">INDEX(AG:AG,MIN(IF(ISNUMBER(AG11:AG207),ROW(AG11:AG207),"")))</f>
        <v>7.04347826086957</v>
      </c>
      <c r="AI11" s="117" t="n">
        <f aca="false">IF('Données projet'!$A$62&gt;35,AI10+AH11-AQ10,IF(A11&lt;'Données projet'!$A$62,$AF$205^A11,IF(A11='Données projet'!$A$62,'Données projet'!$B$62,AI10+AH11-AQ10)))</f>
        <v>5.86849800905407</v>
      </c>
      <c r="AJ11" s="117" t="n">
        <f aca="false">AI11*VLOOKUP('Données projet'!$B$10,Paramètres!$A$1:$I$89,3,0)*VLOOKUP('Données projet'!$B$10,Paramètres!$A$1:$I$89,5,0)</f>
        <v>3.28049038706123</v>
      </c>
      <c r="AK11" s="117" t="n">
        <f aca="false">EXP(-1.0587+0.8836*LN(AJ11)+0.284)</f>
        <v>1.31654455597252</v>
      </c>
      <c r="AL11" s="128" t="n">
        <f aca="false">(AJ11+AK11)*0.475*44/12</f>
        <v>8.00650252578378</v>
      </c>
      <c r="AM11" s="120" t="n">
        <f aca="false">AL11+(AD11+AE11)*44/12</f>
        <v>274.450946970228</v>
      </c>
      <c r="AN11" s="120" t="n">
        <f aca="true">AVERAGE(OFFSET($AM$3,0,0,'Données projet'!$E$10+1,1))-AVERAGE(OFFSET($H$3,0,0,'Données projet'!$E$10+1,1))</f>
        <v>365.705101827279</v>
      </c>
      <c r="AO11" s="120" t="n">
        <f aca="false">$AO$3</f>
        <v>436.238338449625</v>
      </c>
      <c r="AP11" s="121" t="n">
        <f aca="false">IF(ISNA(VLOOKUP(A11,'Données projet'!$A$61:$I$81,3,0)),0,VLOOKUP(A11,'Données projet'!$A$61:$I$81,3,0))</f>
        <v>0</v>
      </c>
      <c r="AQ11" s="121" t="n">
        <f aca="false">IF(ISNA(VLOOKUP(A11,'Données projet'!$A$61:$I$81,4,0)),0,VLOOKUP(A11,'Données projet'!$A$61:$I$81,4,0))</f>
        <v>0</v>
      </c>
      <c r="AR11" s="122" t="n">
        <f aca="false">IF(ISNA(VLOOKUP(A11,'Données projet'!$A$61:$I$81,5,0)),0%,VLOOKUP(A11,'Données projet'!$A$61:$I$81,5,0)*VLOOKUP('Données projet'!$B$10,Paramètres!$A$1:$I$89,7,0))</f>
        <v>0</v>
      </c>
      <c r="AS11" s="122" t="n">
        <f aca="false">IF(ISNA(VLOOKUP(A11,'Données projet'!$A$61:$I$81,6,0)),0%,VLOOKUP(A11,'Données projet'!$A$61:$I$81,6,0)*VLOOKUP('Données projet'!$B$10,Paramètres!$A$1:$I$89,7,0))</f>
        <v>0</v>
      </c>
      <c r="AT11" s="122" t="n">
        <f aca="false">IF(ISNA(VLOOKUP(A11,'Données projet'!$A$61:$I$81,7,0)),0%,VLOOKUP(A11,'Données projet'!$A$61:$I$81,7,0))</f>
        <v>0</v>
      </c>
      <c r="AU11" s="129" t="n">
        <f aca="false">EXP(-LN(2)/35)*AU10+(1-EXP(-LN(2)/35))/(LN(2)/35)*AQ11*AR11*VLOOKUP('Données projet'!$B$10,Paramètres!$A$1:$I$89,3,0)*0.475*44/12</f>
        <v>0</v>
      </c>
      <c r="AV11" s="129" t="n">
        <f aca="false">EXP(-LN(2)/25)*AV10+(1-EXP(-LN(2)/25))/(LN(2)/25)*Calculateur!AQ11*Calculateur!AS11*VLOOKUP('Données projet'!$B$10,Paramètres!$A$1:$I$89,3,0)*0.475*44/12</f>
        <v>0</v>
      </c>
      <c r="AW11" s="129" t="n">
        <f aca="false">EXP(-LN(2)/2)*AW10+(1-EXP(-LN(2)/2))/(LN(2)/2)*AQ11*AT11*VLOOKUP('Données projet'!$B$10,Paramètres!$A$1:$I$89,3,0)*0.475*44/12</f>
        <v>0</v>
      </c>
      <c r="AX11" s="129" t="n">
        <f aca="false">SUM(AU11:AW11)</f>
        <v>0</v>
      </c>
      <c r="AY11" s="124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BA11" s="118" t="e">
        <f aca="false">VLOOKUP(A11,'Données projet'!$A$87:$I$107,2,0)</f>
        <v>#N/A</v>
      </c>
      <c r="BB11" s="118" t="e">
        <f aca="false">VLOOKUP(A11,'Données projet'!$A$87:$I$107,9,0)</f>
        <v>#N/A</v>
      </c>
      <c r="BC11" s="118" t="n">
        <f aca="false" t="array" ref="BC11:BC11">INDEX(BB:BB,MIN(IF(ISNUMBER(BB11:BB207),ROW(BB11:BB207),"")))</f>
        <v>5.8</v>
      </c>
      <c r="BD11" s="118" t="n">
        <f aca="false">IF('Données projet'!$A$88&gt;35,BD10+BC11-BL10,IF(A11&lt;'Données projet'!$A$88,$BA$205^A11,IF(A11='Données projet'!$A$88,'Données projet'!$B$88,BD10+BC11-BL10)))</f>
        <v>10.8245603991152</v>
      </c>
      <c r="BE11" s="117" t="n">
        <f aca="false">BD11*VLOOKUP('Données projet'!$B$11,Paramètres!$A$1:$I$89,3,0)*VLOOKUP('Données projet'!$B$11,Paramètres!$A$1:$I$89,5,0)</f>
        <v>9.45633596466701</v>
      </c>
      <c r="BF11" s="117" t="n">
        <f aca="false">EXP(-1.0587+0.8836*LN(BE11)+0.284)</f>
        <v>3.35506403452301</v>
      </c>
      <c r="BG11" s="128" t="n">
        <f aca="false">(BE11+BF11)*0.475*44/12</f>
        <v>22.3131883319226</v>
      </c>
      <c r="BH11" s="120" t="n">
        <f aca="false">BG11+(AY11+AZ11)*44/12</f>
        <v>288.757632776367</v>
      </c>
      <c r="BI11" s="120" t="n">
        <f aca="true">AVERAGE(OFFSET($BH$3,0,0,'Données projet'!$E$11+1,1))-AVERAGE(OFFSET($H$3,0,0,'Données projet'!$E$11+1,1))</f>
        <v>321.235999689929</v>
      </c>
      <c r="BJ11" s="120" t="n">
        <f aca="false">$BJ$3</f>
        <v>388.051958478005</v>
      </c>
      <c r="BK11" s="121" t="n">
        <f aca="false">IF(ISNA(VLOOKUP(A11,'Données projet'!$A$87:$I$107,3,0)),0,VLOOKUP(A11,'Données projet'!$A$87:$I$107,3,0))</f>
        <v>0</v>
      </c>
      <c r="BL11" s="121" t="n">
        <f aca="false">IF(ISNA(VLOOKUP(A11,'Données projet'!$A$87:$I$107,4,0)),0,VLOOKUP(A11,'Données projet'!$A$87:$I$107,4,0))</f>
        <v>0</v>
      </c>
      <c r="BM11" s="122" t="n">
        <f aca="false">IF(ISNA(VLOOKUP(A11,'Données projet'!$A$87:$I$107,5,0)),0%,VLOOKUP(A11,'Données projet'!$A$87:$I$107,5,0)*VLOOKUP('Données projet'!$B$11,Paramètres!$A$1:$I$89,7,0))</f>
        <v>0</v>
      </c>
      <c r="BN11" s="122" t="n">
        <f aca="false">IF(ISNA(VLOOKUP(A11,'Données projet'!$A$87:$I$107,6,0)),0%,VLOOKUP(A11,'Données projet'!$A$87:$I$107,6,0)*VLOOKUP('Données projet'!$B$11,Paramètres!$A$1:$I$89,7,0))</f>
        <v>0</v>
      </c>
      <c r="BO11" s="122" t="n">
        <f aca="false">IF(ISNA(VLOOKUP(A11,'Données projet'!$A$87:$I$107,7,0)),0%,VLOOKUP(A11,'Données projet'!$A$87:$I$107,7,0))</f>
        <v>0</v>
      </c>
      <c r="BP11" s="129" t="n">
        <f aca="false">EXP(-LN(2)/35)*BP10+(1-EXP(-LN(2)/35))/(LN(2)/35)*BL11*BM11*VLOOKUP('Données projet'!$B$11,Paramètres!$A$1:$I$89,3,0)*0.475*44/12</f>
        <v>0</v>
      </c>
      <c r="BQ11" s="129" t="n">
        <f aca="false">EXP(-LN(2)/25)*BQ10+(1-EXP(-LN(2)/25))/(LN(2)/25)*Calculateur!BL11*Calculateur!BN11*VLOOKUP('Données projet'!$B$11,Paramètres!$A$1:$I$89,3,0)*0.475*44/12</f>
        <v>0</v>
      </c>
      <c r="BR11" s="129" t="n">
        <f aca="false">EXP(-LN(2)/2)*BR10+(1-EXP(-LN(2)/2))/(LN(2)/2)*BL11*BO11*VLOOKUP('Données projet'!$B$11,Paramètres!$A$1:$I$89,3,0)*0.475*44/12</f>
        <v>0</v>
      </c>
      <c r="BS11" s="130" t="n">
        <f aca="false">SUM(BP11:BR11)</f>
        <v>0</v>
      </c>
      <c r="BT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BV11" s="118" t="e">
        <f aca="false">VLOOKUP(A11,'Données projet'!$A$113:$I$133,2,0)</f>
        <v>#N/A</v>
      </c>
      <c r="BW11" s="118" t="e">
        <f aca="false">VLOOKUP(A11,'Données projet'!$A$113:$I$133,9,0)</f>
        <v>#N/A</v>
      </c>
      <c r="BX11" s="118" t="n">
        <f aca="false" t="array" ref="BX11:BX11">INDEX(BW:BW,MIN(IF(ISNUMBER(BW11:BW207),ROW(BW11:BW207),"")))</f>
        <v>6.22222222222222</v>
      </c>
      <c r="BY11" s="118" t="n">
        <f aca="false">IF('Données projet'!$A$114&gt;35,BY10+BX11-CG10,IF(A11&lt;'Données projet'!$A$114,$BV$205^A11,IF(A11='Données projet'!$A$114,'Données projet'!$B$114,BY10+BX11-CG10)))</f>
        <v>8.14260871365533</v>
      </c>
      <c r="BZ11" s="117" t="n">
        <f aca="false">BY11*VLOOKUP('Données projet'!$B$12,Paramètres!$A$1:$I$89,3,0)*VLOOKUP('Données projet'!$B$12,Paramètres!$A$1:$I$89,5,0)</f>
        <v>5.08098783732093</v>
      </c>
      <c r="CA11" s="117" t="n">
        <f aca="false">EXP(-1.0587+0.8836*LN(BZ11)+0.284)</f>
        <v>1.93788434755841</v>
      </c>
      <c r="CB11" s="128" t="n">
        <f aca="false">(BZ11+CA11)*0.475*44/12</f>
        <v>12.2245357219982</v>
      </c>
      <c r="CC11" s="120" t="n">
        <f aca="false">CB11+(BT11+BU11)*44/12</f>
        <v>278.668980166443</v>
      </c>
      <c r="CD11" s="120" t="n">
        <f aca="true">AVERAGE(OFFSET($CC$3,0,0,'Données projet'!$E$12+1,1))-AVERAGE(OFFSET($H$3,0,0,'Données projet'!$E$12+1,1))</f>
        <v>240.228848647662</v>
      </c>
      <c r="CE11" s="120" t="n">
        <f aca="false">$CE$3</f>
        <v>343.237768841432</v>
      </c>
      <c r="CF11" s="121" t="n">
        <f aca="false">IF(ISNA(VLOOKUP(A11,'Données projet'!$A$113:$I$133,3,0)),0,VLOOKUP(A11,'Données projet'!$A$113:$I$133,3,0))</f>
        <v>0</v>
      </c>
      <c r="CG11" s="121" t="n">
        <f aca="false">IF(ISNA(VLOOKUP(A11,'Données projet'!$A$113:$I$133,4,0)),0,VLOOKUP(A11,'Données projet'!$A$113:$I$133,4,0))</f>
        <v>0</v>
      </c>
      <c r="CH11" s="122" t="n">
        <f aca="false">IF(ISNA(VLOOKUP(A11,'Données projet'!$A$113:$I$133,5,0)),0%,VLOOKUP(A11,'Données projet'!$A$113:$I$133,5,0)*VLOOKUP('Données projet'!$B$12,Paramètres!$A$1:$I$89,7,0))</f>
        <v>0</v>
      </c>
      <c r="CI11" s="122" t="n">
        <f aca="false">IF(ISNA(VLOOKUP(A11,'Données projet'!$A$113:$I$133,6,0)),0%,VLOOKUP(A11,'Données projet'!$A$113:$I$133,6,0)*VLOOKUP('Données projet'!$B$12,Paramètres!$A$1:$I$89,7,0))</f>
        <v>0</v>
      </c>
      <c r="CJ11" s="122" t="n">
        <f aca="false">IF(ISNA(VLOOKUP(A11,'Données projet'!$A$113:$I$133,7,0)),0%,VLOOKUP(A11,'Données projet'!$A$113:$I$133,7,0))</f>
        <v>0</v>
      </c>
      <c r="CK11" s="129" t="n">
        <f aca="false">EXP(-LN(2)/35)*CK10+(1-EXP(-LN(2)/35))/(LN(2)/35)*CG11*CH11*VLOOKUP('Données projet'!$B$12,Paramètres!$A$1:$I$89,3,0)*0.475*44/12</f>
        <v>0</v>
      </c>
      <c r="CL11" s="129" t="n">
        <f aca="false">EXP(-LN(2)/25)*CL10+(1-EXP(-LN(2)/25))/(LN(2)/25)*Calculateur!CG11*Calculateur!CI11*VLOOKUP('Données projet'!$B$12,Paramètres!$A$1:$I$89,3,0)*0.475*44/12</f>
        <v>0</v>
      </c>
      <c r="CM11" s="129" t="n">
        <f aca="false">EXP(-LN(2)/2)*CM10+(1-EXP(-LN(2)/2))/(LN(2)/2)*CG11*CJ11*VLOOKUP('Données projet'!$B$12,Paramètres!$A$1:$I$89,3,0)*0.475*44/12</f>
        <v>0</v>
      </c>
      <c r="CN11" s="130" t="n">
        <f aca="false">SUM(CK11:CM11)</f>
        <v>0</v>
      </c>
      <c r="CO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CQ11" s="118" t="e">
        <f aca="false">VLOOKUP(A11,'Données projet'!$A$139:$I$159,2,0)</f>
        <v>#N/A</v>
      </c>
      <c r="CR11" s="118" t="e">
        <f aca="false">VLOOKUP(A11,'Données projet'!$A$139:$I$159,9,0)</f>
        <v>#N/A</v>
      </c>
      <c r="CS11" s="118" t="n">
        <f aca="false" t="array" ref="CS11:CS11">INDEX(CR:CR,MIN(IF(ISNUMBER(CR11:CR207),ROW(CR11:CR207),"")))</f>
        <v>9.66666666666667</v>
      </c>
      <c r="CT11" s="118" t="n">
        <f aca="false">IF('Données projet'!$A$140&gt;35,CT10+CS11-DB10,IF(A11&lt;'Données projet'!$A$140,$CQ$205^A11,IF(A11='Données projet'!$A$140,'Données projet'!$B$140,CT10+CS11-DB10)))</f>
        <v>23.7851188663102</v>
      </c>
      <c r="CU11" s="125" t="n">
        <f aca="false">CT11*VLOOKUP('Données projet'!$B$13,Paramètres!$A$1:$I$89,3,0)*VLOOKUP('Données projet'!$B$13,Paramètres!$A$1:$I$89,5,0)</f>
        <v>12.9866749010054</v>
      </c>
      <c r="CV11" s="117" t="n">
        <f aca="false">EXP(-1.0587+0.8836*LN(CU11)+0.284)</f>
        <v>4.44057152956019</v>
      </c>
      <c r="CW11" s="128" t="n">
        <f aca="false">(CU11+CV11)*0.475*44/12</f>
        <v>30.3524541999017</v>
      </c>
      <c r="CX11" s="120" t="n">
        <f aca="false">CW11+(CO11+CP11)*44/12</f>
        <v>296.796898644346</v>
      </c>
      <c r="CY11" s="120" t="n">
        <f aca="true">AVERAGE(OFFSET($CX$3,0,0,'Données projet'!$E$13+1,1))-AVERAGE(OFFSET($H$3,0,0,'Données projet'!$E$13+1,1))</f>
        <v>207.023069645676</v>
      </c>
      <c r="CZ11" s="120" t="n">
        <f aca="false">$CZ$3</f>
        <v>342.068879333518</v>
      </c>
      <c r="DA11" s="121" t="n">
        <f aca="false">IF(ISNA(VLOOKUP(A11,'Données projet'!$A$139:$I$159,3,0)),0,VLOOKUP(A11,'Données projet'!$A$139:$I$159,3,0))</f>
        <v>0</v>
      </c>
      <c r="DB11" s="121" t="n">
        <f aca="false">IF(ISNA(VLOOKUP(A11,'Données projet'!$A$139:$I$159,4,0)),0,VLOOKUP(A11,'Données projet'!$A$139:$I$159,4,0))</f>
        <v>0</v>
      </c>
      <c r="DC11" s="122" t="n">
        <f aca="false">IF(ISNA(VLOOKUP(A11,'Données projet'!$A$139:$I$159,5,0)),0%,VLOOKUP(A11,'Données projet'!$A$139:$I$159,5,0)*VLOOKUP('Données projet'!$B$13,Paramètres!$A$1:$I$89,7,0))</f>
        <v>0</v>
      </c>
      <c r="DD11" s="122" t="n">
        <f aca="false">IF(ISNA(VLOOKUP(A11,'Données projet'!$A$139:$I$159,6,0)),0%,VLOOKUP(A11,'Données projet'!$A$139:$I$159,6,0)*VLOOKUP('Données projet'!$B$13,Paramètres!$A$1:$I$89,7,0))</f>
        <v>0</v>
      </c>
      <c r="DE11" s="122" t="n">
        <f aca="false">IF(ISNA(VLOOKUP(A11,'Données projet'!$A$139:$I$159,7,0)),0%,VLOOKUP(A11,'Données projet'!$A$139:$I$159,7,0))</f>
        <v>0</v>
      </c>
      <c r="DF11" s="129" t="n">
        <f aca="false">EXP(-LN(2)/35)*DF10+(1-EXP(-LN(2)/35))/(LN(2)/35)*DB11*DC11*VLOOKUP('Données projet'!$B$13,Paramètres!$A$1:$I$89,3,0)*0.475*44/12</f>
        <v>0</v>
      </c>
      <c r="DG11" s="129" t="n">
        <f aca="false">EXP(-LN(2)/25)*DG10+(1-EXP(-LN(2)/25))/(LN(2)/25)*Calculateur!DB11*Calculateur!DD11*VLOOKUP('Données projet'!$B$13,Paramètres!$A$1:$I$89,3,0)*0.475*44/12</f>
        <v>0</v>
      </c>
      <c r="DH11" s="129" t="n">
        <f aca="false">EXP(-LN(2)/2)*DH10+(1-EXP(-LN(2)/2))/(LN(2)/2)*DB11*DE11*VLOOKUP('Données projet'!$B$13,Paramètres!$A$1:$I$89,3,0)*0.475*44/12</f>
        <v>0</v>
      </c>
      <c r="DI11" s="130" t="n">
        <f aca="false">SUM(DF11:DH11)</f>
        <v>0</v>
      </c>
      <c r="DJ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DL11" s="118" t="e">
        <f aca="false">VLOOKUP(A11,'Données projet'!$A$165:$I$185,2,0)</f>
        <v>#N/A</v>
      </c>
      <c r="DM11" s="118" t="e">
        <f aca="false">VLOOKUP(A11,'Données projet'!$A$165:$I$185,9,0)</f>
        <v>#N/A</v>
      </c>
      <c r="DN11" s="118" t="n">
        <f aca="false" t="array" ref="DN11:DN11">INDEX(DM:DM,MIN(IF(ISNUMBER(DM11:DM207),ROW(DM11:DM207),"")))</f>
        <v>3</v>
      </c>
      <c r="DO11" s="118" t="n">
        <f aca="false">IF('Données projet'!$A$166&gt;35,DO10+DN11-DW10,IF(A11&lt;'Données projet'!$A$166,$DL$205^A11,IF(A11='Données projet'!$A$166,'Données projet'!$B$166,DO10+DN11-DW10)))</f>
        <v>10.9027235569928</v>
      </c>
      <c r="DP11" s="125" t="n">
        <f aca="false">DO11*VLOOKUP('Données projet'!$B$14,Paramètres!$A$1:$I$89,3,0)*VLOOKUP('Données projet'!$B$14,Paramètres!$A$1:$I$89,5,0)</f>
        <v>6.51982868708172</v>
      </c>
      <c r="DQ11" s="117" t="n">
        <f aca="false">EXP(-1.0587+0.8836*LN(DP11)+0.284)</f>
        <v>2.41552289103637</v>
      </c>
      <c r="DR11" s="128" t="n">
        <f aca="false">(DP11+DQ11)*0.475*44/12</f>
        <v>15.5624039985557</v>
      </c>
      <c r="DS11" s="120" t="n">
        <f aca="false">DR11+(DJ11+DK11)*44/12</f>
        <v>282.006848443</v>
      </c>
      <c r="DT11" s="120" t="n">
        <f aca="true">AVERAGE(OFFSET($DS$3,0,0,'Données projet'!$E$14+1,1))-AVERAGE(OFFSET($H$3,0,0,'Données projet'!$E$14+1,1))</f>
        <v>549.432320957297</v>
      </c>
      <c r="DU11" s="120" t="n">
        <f aca="false">$DU$3</f>
        <v>280.26155987301</v>
      </c>
      <c r="DV11" s="121" t="n">
        <f aca="false">IF(ISNA(VLOOKUP(A11,'Données projet'!$A$165:$I$185,3,0)),0,VLOOKUP(A11,'Données projet'!$A$165:$I$185,3,0))</f>
        <v>0</v>
      </c>
      <c r="DW11" s="121" t="n">
        <f aca="false">IF(ISNA(VLOOKUP(A11,'Données projet'!$A$165:$I$185,4,0)),0,VLOOKUP(A11,'Données projet'!$A$165:$I$185,4,0))</f>
        <v>0</v>
      </c>
      <c r="DX11" s="122" t="n">
        <f aca="false">IF(ISNA(VLOOKUP(A11,'Données projet'!$A$165:$I$185,5,0)),0%,VLOOKUP(A11,'Données projet'!$A$165:$I$185,5,0)*VLOOKUP('Données projet'!$B$14,Paramètres!$A$1:$I$89,7,0))</f>
        <v>0</v>
      </c>
      <c r="DY11" s="122" t="n">
        <f aca="false">IF(ISNA(VLOOKUP(A11,'Données projet'!$A$165:$I$185,6,0)),0%,VLOOKUP(A11,'Données projet'!$A$165:$I$185,6,0)*VLOOKUP('Données projet'!$B$14,Paramètres!$A$1:$I$89,7,0))</f>
        <v>0</v>
      </c>
      <c r="DZ11" s="122" t="n">
        <f aca="false">IF(ISNA(VLOOKUP(A11,'Données projet'!$A$165:$I$185,7,0)),0%,VLOOKUP(A11,'Données projet'!$A$165:$I$185,7,0))</f>
        <v>0</v>
      </c>
      <c r="EA11" s="129" t="n">
        <f aca="false">EXP(-LN(2)/35)*EA10+(1-EXP(-LN(2)/35))/(LN(2)/35)*DW11*DX11*VLOOKUP('Données projet'!$B$14,Paramètres!$A$1:$I$89,3,0)*0.475*44/12</f>
        <v>0</v>
      </c>
      <c r="EB11" s="129" t="n">
        <f aca="false">EXP(-LN(2)/25)*EB10+(1-EXP(-LN(2)/25))/(LN(2)/25)*Calculateur!DW11*Calculateur!DY11*VLOOKUP('Données projet'!$B$14,Paramètres!$A$1:$I$89,3,0)*0.475*44/12</f>
        <v>0</v>
      </c>
      <c r="EC11" s="129" t="n">
        <f aca="false">EXP(-LN(2)/2)*EC10+(1-EXP(-LN(2)/2))/(LN(2)/2)*DW11*DZ11*VLOOKUP('Données projet'!$B$14,Paramètres!$A$1:$I$89,3,0)*0.475*44/12</f>
        <v>0</v>
      </c>
      <c r="ED11" s="130" t="n">
        <f aca="false">SUM(EA11:EC11)</f>
        <v>0</v>
      </c>
      <c r="EE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EG11" s="118" t="e">
        <f aca="false">VLOOKUP(A11,'Données projet'!$A$191:$I$211,2,0)</f>
        <v>#N/A</v>
      </c>
      <c r="EH11" s="118" t="e">
        <f aca="false">VLOOKUP(A11,'Données projet'!$A$191:$I$211,9,0)</f>
        <v>#N/A</v>
      </c>
      <c r="EI11" s="118" t="n">
        <f aca="false" t="array" ref="EI11:EI11">INDEX(EH:EH,MIN(IF(ISNUMBER(EH11:EH207),ROW(EH11:EH207),"")))</f>
        <v>0</v>
      </c>
      <c r="EJ11" s="118" t="n">
        <f aca="false">IF('Données projet'!$A$192&gt;35,EJ10+EI11-ER10,IF(A11&lt;'Données projet'!$A$192,$EG$205^A11,IF(A11='Données projet'!$A$192,'Données projet'!$B$192,EJ10+EI11-ER10)))</f>
        <v>0</v>
      </c>
      <c r="EK11" s="125" t="e">
        <f aca="false">EJ11*VLOOKUP('Données projet'!$B$15,Paramètres!$A$1:$I$89,3,0)*VLOOKUP('Données projet'!$B$15,Paramètres!$A$1:$I$89,5,0)</f>
        <v>#N/A</v>
      </c>
      <c r="EL11" s="117" t="e">
        <f aca="false">EXP(-1.0587+0.8836*LN(EK11)+0.284)</f>
        <v>#N/A</v>
      </c>
      <c r="EM11" s="128" t="e">
        <f aca="false">(EK11+EL11)*0.475*44/12</f>
        <v>#N/A</v>
      </c>
      <c r="EN11" s="120" t="e">
        <f aca="false">EM11+(EE11+EF11)*44/12</f>
        <v>#N/A</v>
      </c>
      <c r="EO11" s="120" t="e">
        <f aca="true">AVERAGE(OFFSET($EN$3,0,0,'Données projet'!$E$15+1,1))-AVERAGE(OFFSET($H$3,0,0,'Données projet'!$E$15+1,1))</f>
        <v>#N/A</v>
      </c>
      <c r="EP11" s="120" t="e">
        <f aca="false">$EP$3</f>
        <v>#N/A</v>
      </c>
      <c r="EQ11" s="121" t="n">
        <f aca="false">IF(ISNA(VLOOKUP(A11,'Données projet'!$A$191:$I$211,3,0)),0,VLOOKUP(A11,'Données projet'!$A$191:$I$211,3,0))</f>
        <v>0</v>
      </c>
      <c r="ER11" s="121" t="n">
        <f aca="false">IF(ISNA(VLOOKUP(A11,'Données projet'!$A$191:$I$211,4,0)),0,VLOOKUP(A11,'Données projet'!$A$191:$I$211,4,0))</f>
        <v>0</v>
      </c>
      <c r="ES11" s="122" t="n">
        <f aca="false">IF(ISNA(VLOOKUP(A11,'Données projet'!$A$191:$I$211,5,0)),0%,VLOOKUP(A11,'Données projet'!$A$191:$I$211,5,0)*VLOOKUP('Données projet'!$B$15,Paramètres!$A$1:$I$89,7,0))</f>
        <v>0</v>
      </c>
      <c r="ET11" s="122" t="n">
        <f aca="false">IF(ISNA(VLOOKUP(A11,'Données projet'!$A$191:$I$211,6,0)),0%,VLOOKUP(A11,'Données projet'!$A$191:$I$211,6,0)*VLOOKUP('Données projet'!$B$15,Paramètres!$A$1:$I$89,7,0))</f>
        <v>0</v>
      </c>
      <c r="EU11" s="122" t="n">
        <f aca="false">IF(ISNA(VLOOKUP(A11,'Données projet'!$A$191:$I$211,7,0)),0%,VLOOKUP(A11,'Données projet'!$A$191:$I$211,7,0))</f>
        <v>0</v>
      </c>
      <c r="EV11" s="129" t="e">
        <f aca="false">EXP(-LN(2)/35)*EV10+(1-EXP(-LN(2)/35))/(LN(2)/35)*ER11*ES11*VLOOKUP('Données projet'!$B$15,Paramètres!$A$1:$I$89,3,0)*0.475*44/12</f>
        <v>#N/A</v>
      </c>
      <c r="EW11" s="129" t="e">
        <f aca="false">EXP(-LN(2)/25)*EW10+(1-EXP(-LN(2)/25))/(LN(2)/25)*Calculateur!ER11*Calculateur!ET11*VLOOKUP('Données projet'!$B$15,Paramètres!$A$1:$I$89,3,0)*0.475*44/12</f>
        <v>#N/A</v>
      </c>
      <c r="EX11" s="129" t="e">
        <f aca="false">EXP(-LN(2)/2)*EX10+(1-EXP(-LN(2)/2))/(LN(2)/2)*ER11*EU11*VLOOKUP('Données projet'!$B$15,Paramètres!$A$1:$I$89,3,0)*0.475*44/12</f>
        <v>#N/A</v>
      </c>
      <c r="EY11" s="130" t="e">
        <f aca="false">SUM(EV11:EX11)</f>
        <v>#N/A</v>
      </c>
      <c r="EZ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FB11" s="118" t="e">
        <f aca="false">VLOOKUP(A11,'Données projet'!$A$217:$I$237,2,0)</f>
        <v>#N/A</v>
      </c>
      <c r="FC11" s="118" t="e">
        <f aca="false">VLOOKUP(A11,'Données projet'!$A$217:$I$237,9,0)</f>
        <v>#N/A</v>
      </c>
      <c r="FD11" s="118" t="n">
        <f aca="false" t="array" ref="FD11:FD11">INDEX(FC:FC,MIN(IF(ISNUMBER(FC11:FC207),ROW(FC11:FC207),"")))</f>
        <v>0</v>
      </c>
      <c r="FE11" s="118" t="n">
        <f aca="false">IF('Données projet'!$A$218&gt;35,FE10+FD11-FM10,IF(A11&lt;'Données projet'!$A$218,$FB$205^A11,IF(A11='Données projet'!$A$218,'Données projet'!$B$218,FE10+FD11-FM10)))</f>
        <v>0</v>
      </c>
      <c r="FF11" s="125" t="e">
        <f aca="false">FE11*VLOOKUP('Données projet'!$B$16,Paramètres!$A$1:$I$89,3,0)*VLOOKUP('Données projet'!$B$16,Paramètres!$A$1:$I$89,5,0)</f>
        <v>#N/A</v>
      </c>
      <c r="FG11" s="117" t="e">
        <f aca="false">EXP(-1.0587+0.8836*LN(FF11)+0.284)</f>
        <v>#N/A</v>
      </c>
      <c r="FH11" s="128" t="e">
        <f aca="false">(FF11+FG11)*0.475*44/12</f>
        <v>#N/A</v>
      </c>
      <c r="FI11" s="120" t="e">
        <f aca="false">FH11+(EZ11+FA11)*44/12</f>
        <v>#N/A</v>
      </c>
      <c r="FJ11" s="120" t="e">
        <f aca="true">AVERAGE(OFFSET($FI$3,0,0,'Données projet'!$E$16+1,1))-AVERAGE(OFFSET($H$3,0,0,'Données projet'!$E$16+1,1))</f>
        <v>#N/A</v>
      </c>
      <c r="FK11" s="120" t="e">
        <f aca="false">$FK$3</f>
        <v>#N/A</v>
      </c>
      <c r="FL11" s="121" t="n">
        <f aca="false">IF(ISNA(VLOOKUP(A11,'Données projet'!$A$217:$I$237,3,0)),0,VLOOKUP(A11,'Données projet'!$A$217:$I$237,3,0))</f>
        <v>0</v>
      </c>
      <c r="FM11" s="121" t="n">
        <f aca="false">IF(ISNA(VLOOKUP(A11,'Données projet'!$A$217:$I$237,4,0)),0,VLOOKUP(A11,'Données projet'!$A$217:$I$237,4,0))</f>
        <v>0</v>
      </c>
      <c r="FN11" s="122" t="n">
        <f aca="false">IF(ISNA(VLOOKUP(A11,'Données projet'!$A$217:$I$237,5,0)),0%,VLOOKUP(A11,'Données projet'!$A$217:$I$237,5,0)*VLOOKUP('Données projet'!$B$16,Paramètres!$A$1:$I$89,7,0))</f>
        <v>0</v>
      </c>
      <c r="FO11" s="122" t="n">
        <f aca="false">IF(ISNA(VLOOKUP(A11,'Données projet'!$A$217:$I$237,6,0)),0%,VLOOKUP(A11,'Données projet'!$A$217:$I$237,6,0)*VLOOKUP('Données projet'!$B$16,Paramètres!$A$1:$I$89,7,0))</f>
        <v>0</v>
      </c>
      <c r="FP11" s="122" t="n">
        <f aca="false">IF(ISNA(VLOOKUP(A11,'Données projet'!$A$217:$I$237,7,0)),0%,VLOOKUP(A11,'Données projet'!$A$217:$I$237,7,0))</f>
        <v>0</v>
      </c>
      <c r="FQ11" s="129" t="e">
        <f aca="false">EXP(-LN(2)/35)*FQ10+(1-EXP(-LN(2)/35))/(LN(2)/35)*FM11*FN11*VLOOKUP('Données projet'!$B$16,Paramètres!$A$1:$I$89,3,0)*0.475*44/12</f>
        <v>#N/A</v>
      </c>
      <c r="FR11" s="129" t="e">
        <f aca="false">EXP(-LN(2)/25)*FR10+(1-EXP(-LN(2)/25))/(LN(2)/25)*Calculateur!FM11*Calculateur!FO11*VLOOKUP('Données projet'!$B$16,Paramètres!$A$1:$I$89,3,0)*0.475*44/12</f>
        <v>#N/A</v>
      </c>
      <c r="FS11" s="129" t="e">
        <f aca="false">EXP(-LN(2)/2)*FS10+(1-EXP(-LN(2)/2))/(LN(2)/2)*FM11*FP11*VLOOKUP('Données projet'!$B$16,Paramètres!$A$1:$I$89,3,0)*0.475*44/12</f>
        <v>#N/A</v>
      </c>
      <c r="FT11" s="130" t="e">
        <f aca="false">SUM(FQ11:FS11)</f>
        <v>#N/A</v>
      </c>
      <c r="FU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FW11" s="118" t="e">
        <f aca="false">VLOOKUP(A11,'Données projet'!$A$243:$I$263,2,0)</f>
        <v>#N/A</v>
      </c>
      <c r="FX11" s="118" t="e">
        <f aca="false">VLOOKUP(A11,'Données projet'!$A$243:$I$263,9,0)</f>
        <v>#N/A</v>
      </c>
      <c r="FY11" s="118" t="n">
        <f aca="false" t="array" ref="FY11:FY11">INDEX(FX:FX,MIN(IF(ISNUMBER(FX11:FX207),ROW(FX11:FX207),"")))</f>
        <v>0</v>
      </c>
      <c r="FZ11" s="118" t="n">
        <f aca="false">IF('Données projet'!$A$244&gt;35,FZ10+FY11-GH10,IF(A11&lt;'Données projet'!$A$244,$FW$205^A11,IF(A11='Données projet'!$A$244,'Données projet'!$B$244,FZ10+FY11-GH10)))</f>
        <v>0</v>
      </c>
      <c r="GA11" s="125" t="e">
        <f aca="false">FZ11*VLOOKUP('Données projet'!$B$17,Paramètres!$A$1:$I$89,3,0)*VLOOKUP('Données projet'!$B$17,Paramètres!$A$1:$I$89,5,0)</f>
        <v>#N/A</v>
      </c>
      <c r="GB11" s="117" t="e">
        <f aca="false">EXP(-1.0587+0.8836*LN(GA11)+0.284)</f>
        <v>#N/A</v>
      </c>
      <c r="GC11" s="128" t="e">
        <f aca="false">(GA11+GB11)*0.475*44/12</f>
        <v>#N/A</v>
      </c>
      <c r="GD11" s="120" t="e">
        <f aca="false">GC11+(FU11+FV11)*44/12</f>
        <v>#N/A</v>
      </c>
      <c r="GE11" s="120" t="e">
        <f aca="true">AVERAGE(OFFSET($GD$3,0,0,'Données projet'!$E$17+1,1))-AVERAGE(OFFSET($H$3,0,0,'Données projet'!$E$17+1,1))</f>
        <v>#N/A</v>
      </c>
      <c r="GF11" s="120" t="e">
        <f aca="false">$GF$3</f>
        <v>#N/A</v>
      </c>
      <c r="GG11" s="121" t="n">
        <f aca="false">IF(ISNA(VLOOKUP(A11,'Données projet'!$A$243:$I$263,3,0)),0,VLOOKUP(A11,'Données projet'!$A$243:$I$263,3,0))</f>
        <v>0</v>
      </c>
      <c r="GH11" s="121" t="n">
        <f aca="false">IF(ISNA(VLOOKUP(A11,'Données projet'!$A$243:$I$263,4,0)),0,VLOOKUP(A11,'Données projet'!$A$243:$I$263,4,0))</f>
        <v>0</v>
      </c>
      <c r="GI11" s="122" t="n">
        <f aca="false">IF(ISNA(VLOOKUP(A11,'Données projet'!$A$243:$I$263,5,0)),0%,VLOOKUP(A11,'Données projet'!$A$243:$I$263,5,0)*VLOOKUP('Données projet'!$B$17,Paramètres!$A$1:$I$89,7,0))</f>
        <v>0</v>
      </c>
      <c r="GJ11" s="122" t="n">
        <f aca="false">IF(ISNA(VLOOKUP(A11,'Données projet'!$A$243:$I$263,6,0)),0%,VLOOKUP(A11,'Données projet'!$A$243:$I$263,6,0)*VLOOKUP('Données projet'!$B$17,Paramètres!$A$1:$I$89,7,0))</f>
        <v>0</v>
      </c>
      <c r="GK11" s="122" t="n">
        <f aca="false">IF(ISNA(VLOOKUP(A11,'Données projet'!$A$243:$I$263,7,0)),0%,VLOOKUP(A11,'Données projet'!$A$243:$I$263,7,0))</f>
        <v>0</v>
      </c>
      <c r="GL11" s="129" t="e">
        <f aca="false">EXP(-LN(2)/35)*GL10+(1-EXP(-LN(2)/35))/(LN(2)/35)*GH11*GI11*VLOOKUP('Données projet'!$B$17,Paramètres!$A$1:$I$89,3,0)*0.475*44/12</f>
        <v>#N/A</v>
      </c>
      <c r="GM11" s="129" t="e">
        <f aca="false">EXP(-LN(2)/25)*GM10+(1-EXP(-LN(2)/25))/(LN(2)/25)*Calculateur!GH11*Calculateur!GJ11*VLOOKUP('Données projet'!$B$17,Paramètres!$A$1:$I$89,3,0)*0.475*44/12</f>
        <v>#N/A</v>
      </c>
      <c r="GN11" s="129" t="e">
        <f aca="false">EXP(-LN(2)/2)*GN10+(1-EXP(-LN(2)/2))/(LN(2)/2)*GH11*GK11*VLOOKUP('Données projet'!$B$17,Paramètres!$A$1:$I$89,3,0)*0.475*44/12</f>
        <v>#N/A</v>
      </c>
      <c r="GO11" s="129" t="e">
        <f aca="false">SUM(GL11:GN11)</f>
        <v>#N/A</v>
      </c>
      <c r="GP11" s="126" t="n">
        <f aca="false"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8" t="n">
        <f aca="false">IF(A11&gt;30,10,('Scénario référence'!$B$16+'Scénario référence'!$B$17+'Scénario référence'!$B$18+'Scénario référence'!$B$9+'Scénario référence'!$B$10)*A11*10/30+('Scénario référence'!$F$8+'Scénario référence'!$F$9)*10)</f>
        <v>2.66666666666667</v>
      </c>
      <c r="GR11" s="118" t="e">
        <f aca="false">VLOOKUP(A11,'Données projet'!$A$269:$I$289,2,0)</f>
        <v>#N/A</v>
      </c>
      <c r="GS11" s="118" t="e">
        <f aca="false">VLOOKUP(A11,'Données projet'!$A$269:$I$289,9,0)</f>
        <v>#N/A</v>
      </c>
      <c r="GT11" s="118" t="n">
        <f aca="false" t="array" ref="GT11:GT11">INDEX(GS:GS,MIN(IF(ISNUMBER(GS11:GS207),ROW(GS11:GS207),"")))</f>
        <v>0</v>
      </c>
      <c r="GU11" s="118" t="n">
        <f aca="false">IF('Données projet'!$A$270&gt;35,GU10+GT11-HC10,IF(A11&lt;'Données projet'!$A$270,$GR$205^A11,IF(A11='Données projet'!$A$270,'Données projet'!$B$270,GU10+GT11-HC10)))</f>
        <v>0</v>
      </c>
      <c r="GV11" s="125" t="e">
        <f aca="false">GU11*VLOOKUP('Données projet'!$B$18,Paramètres!$A$1:$I$89,3,0)*VLOOKUP('Données projet'!$B$18,Paramètres!$A$1:$I$89,5,0)</f>
        <v>#N/A</v>
      </c>
      <c r="GW11" s="117" t="e">
        <f aca="false">EXP(-1.0587+0.8836*LN(GV11)+0.284)</f>
        <v>#N/A</v>
      </c>
      <c r="GX11" s="128" t="e">
        <f aca="false">(GV11+GW11)*0.475*44/12</f>
        <v>#N/A</v>
      </c>
      <c r="GY11" s="120" t="e">
        <f aca="false">GX11+(GP11+GQ11)*44/12</f>
        <v>#N/A</v>
      </c>
      <c r="GZ11" s="120" t="e">
        <f aca="true">AVERAGE(OFFSET($GY$3,0,0,'Données projet'!$E$18+1,1))-AVERAGE(OFFSET($H$3,0,0,'Données projet'!$E$18+1,1))</f>
        <v>#N/A</v>
      </c>
      <c r="HA11" s="120" t="e">
        <f aca="false">$HA$3</f>
        <v>#N/A</v>
      </c>
      <c r="HB11" s="121" t="n">
        <f aca="false">IF(ISNA(VLOOKUP(A11,'Données projet'!$A$269:$I$289,3,0)),0,VLOOKUP(A11,'Données projet'!$A$269:$I$289,3,0))</f>
        <v>0</v>
      </c>
      <c r="HC11" s="121" t="n">
        <f aca="false">IF(ISNA(VLOOKUP(A11,'Données projet'!$A$269:$I$289,4,0)),0,VLOOKUP(A11,'Données projet'!$A$269:$I$289,4,0))</f>
        <v>0</v>
      </c>
      <c r="HD11" s="122" t="n">
        <f aca="false">IF(ISNA(VLOOKUP(A11,'Données projet'!$A$269:$I$289,5,0)),0%,VLOOKUP(A11,'Données projet'!$A$269:$I$289,5,0)*VLOOKUP('Données projet'!$B$18,Paramètres!$A$1:$I$89,7,0))</f>
        <v>0</v>
      </c>
      <c r="HE11" s="122" t="n">
        <f aca="false">IF(ISNA(VLOOKUP(A11,'Données projet'!$A$269:$I$289,6,0)),0%,VLOOKUP(A11,'Données projet'!$A$269:$I$289,6,0)*VLOOKUP('Données projet'!$B$18,Paramètres!$A$1:$I$89,7,0))</f>
        <v>0</v>
      </c>
      <c r="HF11" s="122" t="n">
        <f aca="false">IF(ISNA(VLOOKUP(A11,'Données projet'!$A$269:$I$289,7,0)),0%,VLOOKUP(A11,'Données projet'!$A$269:$I$289,7,0))</f>
        <v>0</v>
      </c>
      <c r="HG11" s="129" t="e">
        <f aca="false">EXP(-LN(2)/35)*HG10+(1-EXP(-LN(2)/35))/(LN(2)/35)*HC11*HD11*VLOOKUP('Données projet'!$B$18,Paramètres!$A$1:$I$89,3,0)*0.475*44/12</f>
        <v>#N/A</v>
      </c>
      <c r="HH11" s="129" t="e">
        <f aca="false">EXP(-LN(2)/25)*HH10+(1-EXP(-LN(2)/25))/(LN(2)/25)*Calculateur!HC11*Calculateur!HE11*VLOOKUP('Données projet'!$B$18,Paramètres!$A$1:$I$89,3,0)*0.475*44/12</f>
        <v>#N/A</v>
      </c>
      <c r="HI11" s="129" t="e">
        <f aca="false">EXP(-LN(2)/2)*HI10+(1-EXP(-LN(2)/2))/(LN(2)/2)*HC11*HF11*VLOOKUP('Données projet'!$B$18,Paramètres!$A$1:$I$89,3,0)*0.475*44/12</f>
        <v>#N/A</v>
      </c>
      <c r="HJ11" s="130" t="e">
        <f aca="false">SUM(HG11:HI11)</f>
        <v>#N/A</v>
      </c>
    </row>
    <row r="12" customFormat="false" ht="14.25" hidden="false" customHeight="false" outlineLevel="0" collapsed="false">
      <c r="A12" s="112" t="n">
        <f aca="false">A11+1</f>
        <v>9</v>
      </c>
      <c r="B12" s="113" t="n">
        <f aca="false">'Scénario référence'!$B$16*5+'Scénario référence'!$B$17*0+'Scénario référence'!$B$18*5</f>
        <v>0</v>
      </c>
      <c r="C12" s="127" t="n">
        <f aca="false"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4" t="n">
        <f aca="false">IFERROR(EXP(-1.0587+0.8836*LN(C12)+0.284),0)</f>
        <v>0</v>
      </c>
      <c r="E1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" s="114" t="n">
        <f aca="false">IF(OR('Scénario référence'!$F$8&gt;0,'Scénario référence'!$F$9&gt;0),('Scénario référence'!$F$8+'Scénario référence'!$F$9)*10,0)</f>
        <v>0</v>
      </c>
      <c r="G12" s="114" t="n">
        <f aca="false"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15" t="n">
        <f aca="false">(B12+E12+F12)*44/12+(C12+D12)*0.475*44/12</f>
        <v>256.666666666667</v>
      </c>
      <c r="I12" s="11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7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18" t="e">
        <f aca="false">VLOOKUP(A12,'Données projet'!$A$35:$I$55,2,0)</f>
        <v>#N/A</v>
      </c>
      <c r="L12" s="118" t="e">
        <f aca="false">VLOOKUP(A12,'Données projet'!$A$35:$I$55,9,0)</f>
        <v>#N/A</v>
      </c>
      <c r="M12" s="118" t="n">
        <f aca="false" t="array" ref="M12:M12">INDEX(L:L,MIN(IF(ISNUMBER(L12:L208),ROW(L12:L208),"")))</f>
        <v>7.9</v>
      </c>
      <c r="N12" s="117" t="n">
        <f aca="false">IF('Données projet'!$A$36&gt;35,N11+M12-V11,IF(A12&lt;'Données projet'!$A$36,$K$205^A12,IF(A12='Données projet'!$A$36,'Données projet'!$B$36,N11+M12-V11)))</f>
        <v>9.75878363270932</v>
      </c>
      <c r="O12" s="117" t="n">
        <f aca="false">N12*VLOOKUP('Données projet'!$B$9,Paramètres!$A$1:$I$89,3,0)*VLOOKUP('Données projet'!$B$9,Paramètres!$A$1:$I$89,5,0)</f>
        <v>4.56711074010796</v>
      </c>
      <c r="P12" s="117" t="n">
        <f aca="false">EXP(-1.0587+0.8836*LN(O12)+0.284)</f>
        <v>1.76364565013304</v>
      </c>
      <c r="Q12" s="128" t="n">
        <f aca="false">(O12+P12)*0.475*44/12</f>
        <v>11.0260673796697</v>
      </c>
      <c r="R12" s="120" t="n">
        <f aca="false">Q12+(I12+J12)*44/12</f>
        <v>278.692734046336</v>
      </c>
      <c r="S12" s="120" t="n">
        <f aca="true">AVERAGE(OFFSET($R$3,0,0,'Données projet'!$E$9+1,1))-AVERAGE(OFFSET($H$3,0,0,'Données projet'!$E$9+1,1))</f>
        <v>319.229030946746</v>
      </c>
      <c r="T12" s="120" t="n">
        <f aca="false">$T$3</f>
        <v>254.586909731428</v>
      </c>
      <c r="U12" s="121" t="n">
        <f aca="false">IF(ISNA(VLOOKUP(A12,'Données projet'!$A$35:$I$55,3,0)),0,VLOOKUP(A12,'Données projet'!$A$35:$I$55,3,0))</f>
        <v>0</v>
      </c>
      <c r="V12" s="121" t="n">
        <f aca="false">IF(ISNA(VLOOKUP(A12,'Données projet'!$A$35:$I$55,4,0)),0,VLOOKUP(A12,'Données projet'!$A$35:$I$55,4,0))</f>
        <v>0</v>
      </c>
      <c r="W12" s="122" t="n">
        <f aca="false">IF(ISNA(VLOOKUP(A12,'Données projet'!$A$35:$I$55,5,0)),0%,VLOOKUP(A12,'Données projet'!$A$35:$I$55,5,0)*VLOOKUP('Données projet'!$B$9,Paramètres!$A$1:$I$89,7,0))</f>
        <v>0</v>
      </c>
      <c r="X12" s="122" t="n">
        <f aca="false">IF(ISNA(VLOOKUP(A12,'Données projet'!$A$35:$I$55,6,0)),0%,VLOOKUP(A12,'Données projet'!$A$35:$I$55,6,0)*VLOOKUP('Données projet'!$B$9,Paramètres!$A$1:$I$89,7,0))</f>
        <v>0</v>
      </c>
      <c r="Y12" s="122" t="n">
        <f aca="false">IF(ISNA(VLOOKUP(A12,'Données projet'!$A$35:$I$55,7,0)),0%,VLOOKUP(A12,'Données projet'!$A$35:$I$55,7,0))</f>
        <v>0</v>
      </c>
      <c r="Z12" s="129" t="n">
        <f aca="false">EXP(-LN(2)/35)*Z11+(1-EXP(-LN(2)/35))/(LN(2)/35)*V12*W12*VLOOKUP('Données projet'!$B$9,Paramètres!$A$1:$I$89,3,0)*0.475*44/12</f>
        <v>0</v>
      </c>
      <c r="AA12" s="129" t="n">
        <f aca="false">EXP(-LN(2)/25)*AA11+(1-EXP(-LN(2)/25))/(LN(2)/25)*Calculateur!V12*Calculateur!X12*VLOOKUP('Données projet'!$B$9,Paramètres!$A$1:$I$89,3,0)*0.475*44/12</f>
        <v>0</v>
      </c>
      <c r="AB12" s="129" t="n">
        <f aca="false">EXP(-LN(2)/2)*AB11+(1-EXP(-LN(2)/2))/(LN(2)/2)*V12*Y12*VLOOKUP('Données projet'!$B$9,Paramètres!$A$1:$I$89,3,0)*0.475*44/12</f>
        <v>0</v>
      </c>
      <c r="AC12" s="130" t="n">
        <f aca="false">SUM(Z12:AB12)</f>
        <v>0</v>
      </c>
      <c r="AD12" s="117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7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18" t="e">
        <f aca="false">VLOOKUP(A12,'Données projet'!$A$61:$I$81,2,0)</f>
        <v>#N/A</v>
      </c>
      <c r="AG12" s="118" t="e">
        <f aca="false">VLOOKUP(A12,'Données projet'!$A$61:$I$81,9,0)</f>
        <v>#N/A</v>
      </c>
      <c r="AH12" s="118" t="n">
        <f aca="false" t="array" ref="AH12:AH12">INDEX(AG:AG,MIN(IF(ISNUMBER(AG12:AG208),ROW(AG12:AG208),"")))</f>
        <v>7.04347826086957</v>
      </c>
      <c r="AI12" s="117" t="n">
        <f aca="false">IF('Données projet'!$A$62&gt;35,AI11+AH12-AQ11,IF(A12&lt;'Données projet'!$A$62,$AF$205^A12,IF(A12='Données projet'!$A$62,'Données projet'!$B$62,AI11+AH12-AQ11)))</f>
        <v>7.32137803176176</v>
      </c>
      <c r="AJ12" s="117" t="n">
        <f aca="false">AI12*VLOOKUP('Données projet'!$B$10,Paramètres!$A$1:$I$89,3,0)*VLOOKUP('Données projet'!$B$10,Paramètres!$A$1:$I$89,5,0)</f>
        <v>4.09265031975483</v>
      </c>
      <c r="AK12" s="117" t="n">
        <f aca="false">EXP(-1.0587+0.8836*LN(AJ12)+0.284)</f>
        <v>1.60073471841246</v>
      </c>
      <c r="AL12" s="128" t="n">
        <f aca="false">(AJ12+AK12)*0.475*44/12</f>
        <v>9.91597894147469</v>
      </c>
      <c r="AM12" s="120" t="n">
        <f aca="false">AL12+(AD12+AE12)*44/12</f>
        <v>277.582645608141</v>
      </c>
      <c r="AN12" s="120" t="n">
        <f aca="true">AVERAGE(OFFSET($AM$3,0,0,'Données projet'!$E$10+1,1))-AVERAGE(OFFSET($H$3,0,0,'Données projet'!$E$10+1,1))</f>
        <v>365.705101827279</v>
      </c>
      <c r="AO12" s="120" t="n">
        <f aca="false">$AO$3</f>
        <v>436.238338449625</v>
      </c>
      <c r="AP12" s="121" t="n">
        <f aca="false">IF(ISNA(VLOOKUP(A12,'Données projet'!$A$61:$I$81,3,0)),0,VLOOKUP(A12,'Données projet'!$A$61:$I$81,3,0))</f>
        <v>0</v>
      </c>
      <c r="AQ12" s="121" t="n">
        <f aca="false">IF(ISNA(VLOOKUP(A12,'Données projet'!$A$61:$I$81,4,0)),0,VLOOKUP(A12,'Données projet'!$A$61:$I$81,4,0))</f>
        <v>0</v>
      </c>
      <c r="AR12" s="122" t="n">
        <f aca="false">IF(ISNA(VLOOKUP(A12,'Données projet'!$A$61:$I$81,5,0)),0%,VLOOKUP(A12,'Données projet'!$A$61:$I$81,5,0)*VLOOKUP('Données projet'!$B$10,Paramètres!$A$1:$I$89,7,0))</f>
        <v>0</v>
      </c>
      <c r="AS12" s="122" t="n">
        <f aca="false">IF(ISNA(VLOOKUP(A12,'Données projet'!$A$61:$I$81,6,0)),0%,VLOOKUP(A12,'Données projet'!$A$61:$I$81,6,0)*VLOOKUP('Données projet'!$B$10,Paramètres!$A$1:$I$89,7,0))</f>
        <v>0</v>
      </c>
      <c r="AT12" s="122" t="n">
        <f aca="false">IF(ISNA(VLOOKUP(A12,'Données projet'!$A$61:$I$81,7,0)),0%,VLOOKUP(A12,'Données projet'!$A$61:$I$81,7,0))</f>
        <v>0</v>
      </c>
      <c r="AU12" s="129" t="n">
        <f aca="false">EXP(-LN(2)/35)*AU11+(1-EXP(-LN(2)/35))/(LN(2)/35)*AQ12*AR12*VLOOKUP('Données projet'!$B$10,Paramètres!$A$1:$I$89,3,0)*0.475*44/12</f>
        <v>0</v>
      </c>
      <c r="AV12" s="129" t="n">
        <f aca="false">EXP(-LN(2)/25)*AV11+(1-EXP(-LN(2)/25))/(LN(2)/25)*Calculateur!AQ12*Calculateur!AS12*VLOOKUP('Données projet'!$B$10,Paramètres!$A$1:$I$89,3,0)*0.475*44/12</f>
        <v>0</v>
      </c>
      <c r="AW12" s="129" t="n">
        <f aca="false">EXP(-LN(2)/2)*AW11+(1-EXP(-LN(2)/2))/(LN(2)/2)*AQ12*AT12*VLOOKUP('Données projet'!$B$10,Paramètres!$A$1:$I$89,3,0)*0.475*44/12</f>
        <v>0</v>
      </c>
      <c r="AX12" s="129" t="n">
        <f aca="false">SUM(AU12:AW12)</f>
        <v>0</v>
      </c>
      <c r="AY12" s="124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18" t="e">
        <f aca="false">VLOOKUP(A12,'Données projet'!$A$87:$I$107,2,0)</f>
        <v>#N/A</v>
      </c>
      <c r="BB12" s="118" t="e">
        <f aca="false">VLOOKUP(A12,'Données projet'!$A$87:$I$107,9,0)</f>
        <v>#N/A</v>
      </c>
      <c r="BC12" s="118" t="n">
        <f aca="false" t="array" ref="BC12:BC12">INDEX(BB:BB,MIN(IF(ISNUMBER(BB12:BB208),ROW(BB12:BB208),"")))</f>
        <v>5.8</v>
      </c>
      <c r="BD12" s="118" t="n">
        <f aca="false">IF('Données projet'!$A$88&gt;35,BD11+BC12-BL11,IF(A12&lt;'Données projet'!$A$88,$BA$205^A12,IF(A12='Données projet'!$A$88,'Données projet'!$B$88,BD11+BC12-BL11)))</f>
        <v>14.5784567101307</v>
      </c>
      <c r="BE12" s="117" t="n">
        <f aca="false">BD12*VLOOKUP('Données projet'!$B$11,Paramètres!$A$1:$I$89,3,0)*VLOOKUP('Données projet'!$B$11,Paramètres!$A$1:$I$89,5,0)</f>
        <v>12.7357397819701</v>
      </c>
      <c r="BF12" s="117" t="n">
        <f aca="false">EXP(-1.0587+0.8836*LN(BE12)+0.284)</f>
        <v>4.36467014136277</v>
      </c>
      <c r="BG12" s="128" t="n">
        <f aca="false">(BE12+BF12)*0.475*44/12</f>
        <v>29.7832139498048</v>
      </c>
      <c r="BH12" s="120" t="n">
        <f aca="false">BG12+(AY12+AZ12)*44/12</f>
        <v>297.449880616471</v>
      </c>
      <c r="BI12" s="120" t="n">
        <f aca="true">AVERAGE(OFFSET($BH$3,0,0,'Données projet'!$E$11+1,1))-AVERAGE(OFFSET($H$3,0,0,'Données projet'!$E$11+1,1))</f>
        <v>321.235999689929</v>
      </c>
      <c r="BJ12" s="120" t="n">
        <f aca="false">$BJ$3</f>
        <v>388.051958478005</v>
      </c>
      <c r="BK12" s="121" t="n">
        <f aca="false">IF(ISNA(VLOOKUP(A12,'Données projet'!$A$87:$I$107,3,0)),0,VLOOKUP(A12,'Données projet'!$A$87:$I$107,3,0))</f>
        <v>0</v>
      </c>
      <c r="BL12" s="121" t="n">
        <f aca="false">IF(ISNA(VLOOKUP(A12,'Données projet'!$A$87:$I$107,4,0)),0,VLOOKUP(A12,'Données projet'!$A$87:$I$107,4,0))</f>
        <v>0</v>
      </c>
      <c r="BM12" s="122" t="n">
        <f aca="false">IF(ISNA(VLOOKUP(A12,'Données projet'!$A$87:$I$107,5,0)),0%,VLOOKUP(A12,'Données projet'!$A$87:$I$107,5,0)*VLOOKUP('Données projet'!$B$11,Paramètres!$A$1:$I$89,7,0))</f>
        <v>0</v>
      </c>
      <c r="BN12" s="122" t="n">
        <f aca="false">IF(ISNA(VLOOKUP(A12,'Données projet'!$A$87:$I$107,6,0)),0%,VLOOKUP(A12,'Données projet'!$A$87:$I$107,6,0)*VLOOKUP('Données projet'!$B$11,Paramètres!$A$1:$I$89,7,0))</f>
        <v>0</v>
      </c>
      <c r="BO12" s="122" t="n">
        <f aca="false">IF(ISNA(VLOOKUP(A12,'Données projet'!$A$87:$I$107,7,0)),0%,VLOOKUP(A12,'Données projet'!$A$87:$I$107,7,0))</f>
        <v>0</v>
      </c>
      <c r="BP12" s="129" t="n">
        <f aca="false">EXP(-LN(2)/35)*BP11+(1-EXP(-LN(2)/35))/(LN(2)/35)*BL12*BM12*VLOOKUP('Données projet'!$B$11,Paramètres!$A$1:$I$89,3,0)*0.475*44/12</f>
        <v>0</v>
      </c>
      <c r="BQ12" s="129" t="n">
        <f aca="false">EXP(-LN(2)/25)*BQ11+(1-EXP(-LN(2)/25))/(LN(2)/25)*Calculateur!BL12*Calculateur!BN12*VLOOKUP('Données projet'!$B$11,Paramètres!$A$1:$I$89,3,0)*0.475*44/12</f>
        <v>0</v>
      </c>
      <c r="BR12" s="129" t="n">
        <f aca="false">EXP(-LN(2)/2)*BR11+(1-EXP(-LN(2)/2))/(LN(2)/2)*BL12*BO12*VLOOKUP('Données projet'!$B$11,Paramètres!$A$1:$I$89,3,0)*0.475*44/12</f>
        <v>0</v>
      </c>
      <c r="BS12" s="130" t="n">
        <f aca="false">SUM(BP12:BR12)</f>
        <v>0</v>
      </c>
      <c r="BT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18" t="e">
        <f aca="false">VLOOKUP(A12,'Données projet'!$A$113:$I$133,2,0)</f>
        <v>#N/A</v>
      </c>
      <c r="BW12" s="118" t="e">
        <f aca="false">VLOOKUP(A12,'Données projet'!$A$113:$I$133,9,0)</f>
        <v>#N/A</v>
      </c>
      <c r="BX12" s="118" t="n">
        <f aca="false" t="array" ref="BX12:BX12">INDEX(BW:BW,MIN(IF(ISNUMBER(BW12:BW208),ROW(BW12:BW208),"")))</f>
        <v>6.22222222222222</v>
      </c>
      <c r="BY12" s="118" t="n">
        <f aca="false">IF('Données projet'!$A$114&gt;35,BY11+BX12-CG11,IF(A12&lt;'Données projet'!$A$114,$BV$205^A12,IF(A12='Données projet'!$A$114,'Données projet'!$B$114,BY11+BX12-CG11)))</f>
        <v>10.5830052442584</v>
      </c>
      <c r="BZ12" s="117" t="n">
        <f aca="false">BY12*VLOOKUP('Données projet'!$B$12,Paramètres!$A$1:$I$89,3,0)*VLOOKUP('Données projet'!$B$12,Paramètres!$A$1:$I$89,5,0)</f>
        <v>6.60379527241722</v>
      </c>
      <c r="CA12" s="117" t="n">
        <f aca="false">EXP(-1.0587+0.8836*LN(BZ12)+0.284)</f>
        <v>2.44299000826081</v>
      </c>
      <c r="CB12" s="128" t="n">
        <f aca="false">(BZ12+CA12)*0.475*44/12</f>
        <v>15.7564843638476</v>
      </c>
      <c r="CC12" s="120" t="n">
        <f aca="false">CB12+(BT12+BU12)*44/12</f>
        <v>283.423151030514</v>
      </c>
      <c r="CD12" s="120" t="n">
        <f aca="true">AVERAGE(OFFSET($CC$3,0,0,'Données projet'!$E$12+1,1))-AVERAGE(OFFSET($H$3,0,0,'Données projet'!$E$12+1,1))</f>
        <v>240.228848647662</v>
      </c>
      <c r="CE12" s="120" t="n">
        <f aca="false">$CE$3</f>
        <v>343.237768841432</v>
      </c>
      <c r="CF12" s="121" t="n">
        <f aca="false">IF(ISNA(VLOOKUP(A12,'Données projet'!$A$113:$I$133,3,0)),0,VLOOKUP(A12,'Données projet'!$A$113:$I$133,3,0))</f>
        <v>0</v>
      </c>
      <c r="CG12" s="121" t="n">
        <f aca="false">IF(ISNA(VLOOKUP(A12,'Données projet'!$A$113:$I$133,4,0)),0,VLOOKUP(A12,'Données projet'!$A$113:$I$133,4,0))</f>
        <v>0</v>
      </c>
      <c r="CH12" s="122" t="n">
        <f aca="false">IF(ISNA(VLOOKUP(A12,'Données projet'!$A$113:$I$133,5,0)),0%,VLOOKUP(A12,'Données projet'!$A$113:$I$133,5,0)*VLOOKUP('Données projet'!$B$12,Paramètres!$A$1:$I$89,7,0))</f>
        <v>0</v>
      </c>
      <c r="CI12" s="122" t="n">
        <f aca="false">IF(ISNA(VLOOKUP(A12,'Données projet'!$A$113:$I$133,6,0)),0%,VLOOKUP(A12,'Données projet'!$A$113:$I$133,6,0)*VLOOKUP('Données projet'!$B$12,Paramètres!$A$1:$I$89,7,0))</f>
        <v>0</v>
      </c>
      <c r="CJ12" s="122" t="n">
        <f aca="false">IF(ISNA(VLOOKUP(A12,'Données projet'!$A$113:$I$133,7,0)),0%,VLOOKUP(A12,'Données projet'!$A$113:$I$133,7,0))</f>
        <v>0</v>
      </c>
      <c r="CK12" s="129" t="n">
        <f aca="false">EXP(-LN(2)/35)*CK11+(1-EXP(-LN(2)/35))/(LN(2)/35)*CG12*CH12*VLOOKUP('Données projet'!$B$12,Paramètres!$A$1:$I$89,3,0)*0.475*44/12</f>
        <v>0</v>
      </c>
      <c r="CL12" s="129" t="n">
        <f aca="false">EXP(-LN(2)/25)*CL11+(1-EXP(-LN(2)/25))/(LN(2)/25)*Calculateur!CG12*Calculateur!CI12*VLOOKUP('Données projet'!$B$12,Paramètres!$A$1:$I$89,3,0)*0.475*44/12</f>
        <v>0</v>
      </c>
      <c r="CM12" s="129" t="n">
        <f aca="false">EXP(-LN(2)/2)*CM11+(1-EXP(-LN(2)/2))/(LN(2)/2)*CG12*CJ12*VLOOKUP('Données projet'!$B$12,Paramètres!$A$1:$I$89,3,0)*0.475*44/12</f>
        <v>0</v>
      </c>
      <c r="CN12" s="130" t="n">
        <f aca="false">SUM(CK12:CM12)</f>
        <v>0</v>
      </c>
      <c r="CO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18" t="e">
        <f aca="false">VLOOKUP(A12,'Données projet'!$A$139:$I$159,2,0)</f>
        <v>#N/A</v>
      </c>
      <c r="CR12" s="118" t="e">
        <f aca="false">VLOOKUP(A12,'Données projet'!$A$139:$I$159,9,0)</f>
        <v>#N/A</v>
      </c>
      <c r="CS12" s="118" t="n">
        <f aca="false" t="array" ref="CS12:CS12">INDEX(CR:CR,MIN(IF(ISNUMBER(CR12:CR208),ROW(CR12:CR208),"")))</f>
        <v>9.66666666666667</v>
      </c>
      <c r="CT12" s="118" t="n">
        <f aca="false">IF('Données projet'!$A$140&gt;35,CT11+CS12-DB11,IF(A12&lt;'Données projet'!$A$140,$CQ$205^A12,IF(A12='Données projet'!$A$140,'Données projet'!$B$140,CT11+CS12-DB11)))</f>
        <v>35.3462619700472</v>
      </c>
      <c r="CU12" s="125" t="n">
        <f aca="false">CT12*VLOOKUP('Données projet'!$B$13,Paramètres!$A$1:$I$89,3,0)*VLOOKUP('Données projet'!$B$13,Paramètres!$A$1:$I$89,5,0)</f>
        <v>19.2990590356458</v>
      </c>
      <c r="CV12" s="117" t="n">
        <f aca="false">EXP(-1.0587+0.8836*LN(CU12)+0.284)</f>
        <v>6.30161394355814</v>
      </c>
      <c r="CW12" s="128" t="n">
        <f aca="false">(CU12+CV12)*0.475*44/12</f>
        <v>44.5878387721135</v>
      </c>
      <c r="CX12" s="120" t="n">
        <f aca="false">CW12+(CO12+CP12)*44/12</f>
        <v>312.25450543878</v>
      </c>
      <c r="CY12" s="120" t="n">
        <f aca="true">AVERAGE(OFFSET($CX$3,0,0,'Données projet'!$E$13+1,1))-AVERAGE(OFFSET($H$3,0,0,'Données projet'!$E$13+1,1))</f>
        <v>207.023069645676</v>
      </c>
      <c r="CZ12" s="120" t="n">
        <f aca="false">$CZ$3</f>
        <v>342.068879333518</v>
      </c>
      <c r="DA12" s="121" t="n">
        <f aca="false">IF(ISNA(VLOOKUP(A12,'Données projet'!$A$139:$I$159,3,0)),0,VLOOKUP(A12,'Données projet'!$A$139:$I$159,3,0))</f>
        <v>0</v>
      </c>
      <c r="DB12" s="121" t="n">
        <f aca="false">IF(ISNA(VLOOKUP(A12,'Données projet'!$A$139:$I$159,4,0)),0,VLOOKUP(A12,'Données projet'!$A$139:$I$159,4,0))</f>
        <v>0</v>
      </c>
      <c r="DC12" s="122" t="n">
        <f aca="false">IF(ISNA(VLOOKUP(A12,'Données projet'!$A$139:$I$159,5,0)),0%,VLOOKUP(A12,'Données projet'!$A$139:$I$159,5,0)*VLOOKUP('Données projet'!$B$13,Paramètres!$A$1:$I$89,7,0))</f>
        <v>0</v>
      </c>
      <c r="DD12" s="122" t="n">
        <f aca="false">IF(ISNA(VLOOKUP(A12,'Données projet'!$A$139:$I$159,6,0)),0%,VLOOKUP(A12,'Données projet'!$A$139:$I$159,6,0)*VLOOKUP('Données projet'!$B$13,Paramètres!$A$1:$I$89,7,0))</f>
        <v>0</v>
      </c>
      <c r="DE12" s="122" t="n">
        <f aca="false">IF(ISNA(VLOOKUP(A12,'Données projet'!$A$139:$I$159,7,0)),0%,VLOOKUP(A12,'Données projet'!$A$139:$I$159,7,0))</f>
        <v>0</v>
      </c>
      <c r="DF12" s="129" t="n">
        <f aca="false">EXP(-LN(2)/35)*DF11+(1-EXP(-LN(2)/35))/(LN(2)/35)*DB12*DC12*VLOOKUP('Données projet'!$B$13,Paramètres!$A$1:$I$89,3,0)*0.475*44/12</f>
        <v>0</v>
      </c>
      <c r="DG12" s="129" t="n">
        <f aca="false">EXP(-LN(2)/25)*DG11+(1-EXP(-LN(2)/25))/(LN(2)/25)*Calculateur!DB12*Calculateur!DD12*VLOOKUP('Données projet'!$B$13,Paramètres!$A$1:$I$89,3,0)*0.475*44/12</f>
        <v>0</v>
      </c>
      <c r="DH12" s="129" t="n">
        <f aca="false">EXP(-LN(2)/2)*DH11+(1-EXP(-LN(2)/2))/(LN(2)/2)*DB12*DE12*VLOOKUP('Données projet'!$B$13,Paramètres!$A$1:$I$89,3,0)*0.475*44/12</f>
        <v>0</v>
      </c>
      <c r="DI12" s="130" t="n">
        <f aca="false">SUM(DF12:DH12)</f>
        <v>0</v>
      </c>
      <c r="DJ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18" t="e">
        <f aca="false">VLOOKUP(A12,'Données projet'!$A$165:$I$185,2,0)</f>
        <v>#N/A</v>
      </c>
      <c r="DM12" s="118" t="e">
        <f aca="false">VLOOKUP(A12,'Données projet'!$A$165:$I$185,9,0)</f>
        <v>#N/A</v>
      </c>
      <c r="DN12" s="118" t="n">
        <f aca="false" t="array" ref="DN12:DN12">INDEX(DM:DM,MIN(IF(ISNUMBER(DM12:DM208),ROW(DM12:DM208),"")))</f>
        <v>3</v>
      </c>
      <c r="DO12" s="118" t="n">
        <f aca="false">IF('Données projet'!$A$166&gt;35,DO11+DN12-DW11,IF(A12&lt;'Données projet'!$A$166,$DL$205^A12,IF(A12='Données projet'!$A$166,'Données projet'!$B$166,DO11+DN12-DW11)))</f>
        <v>14.6969384566991</v>
      </c>
      <c r="DP12" s="125" t="n">
        <f aca="false">DO12*VLOOKUP('Données projet'!$B$14,Paramètres!$A$1:$I$89,3,0)*VLOOKUP('Données projet'!$B$14,Paramètres!$A$1:$I$89,5,0)</f>
        <v>8.78876919710604</v>
      </c>
      <c r="DQ12" s="117" t="n">
        <f aca="false">EXP(-1.0587+0.8836*LN(DP12)+0.284)</f>
        <v>3.14490041843692</v>
      </c>
      <c r="DR12" s="128" t="n">
        <f aca="false">(DP12+DQ12)*0.475*44/12</f>
        <v>20.784474580404</v>
      </c>
      <c r="DS12" s="120" t="n">
        <f aca="false">DR12+(DJ12+DK12)*44/12</f>
        <v>288.451141247071</v>
      </c>
      <c r="DT12" s="120" t="n">
        <f aca="true">AVERAGE(OFFSET($DS$3,0,0,'Données projet'!$E$14+1,1))-AVERAGE(OFFSET($H$3,0,0,'Données projet'!$E$14+1,1))</f>
        <v>549.432320957297</v>
      </c>
      <c r="DU12" s="120" t="n">
        <f aca="false">$DU$3</f>
        <v>280.26155987301</v>
      </c>
      <c r="DV12" s="121" t="n">
        <f aca="false">IF(ISNA(VLOOKUP(A12,'Données projet'!$A$165:$I$185,3,0)),0,VLOOKUP(A12,'Données projet'!$A$165:$I$185,3,0))</f>
        <v>0</v>
      </c>
      <c r="DW12" s="121" t="n">
        <f aca="false">IF(ISNA(VLOOKUP(A12,'Données projet'!$A$165:$I$185,4,0)),0,VLOOKUP(A12,'Données projet'!$A$165:$I$185,4,0))</f>
        <v>0</v>
      </c>
      <c r="DX12" s="122" t="n">
        <f aca="false">IF(ISNA(VLOOKUP(A12,'Données projet'!$A$165:$I$185,5,0)),0%,VLOOKUP(A12,'Données projet'!$A$165:$I$185,5,0)*VLOOKUP('Données projet'!$B$14,Paramètres!$A$1:$I$89,7,0))</f>
        <v>0</v>
      </c>
      <c r="DY12" s="122" t="n">
        <f aca="false">IF(ISNA(VLOOKUP(A12,'Données projet'!$A$165:$I$185,6,0)),0%,VLOOKUP(A12,'Données projet'!$A$165:$I$185,6,0)*VLOOKUP('Données projet'!$B$14,Paramètres!$A$1:$I$89,7,0))</f>
        <v>0</v>
      </c>
      <c r="DZ12" s="122" t="n">
        <f aca="false">IF(ISNA(VLOOKUP(A12,'Données projet'!$A$165:$I$185,7,0)),0%,VLOOKUP(A12,'Données projet'!$A$165:$I$185,7,0))</f>
        <v>0</v>
      </c>
      <c r="EA12" s="129" t="n">
        <f aca="false">EXP(-LN(2)/35)*EA11+(1-EXP(-LN(2)/35))/(LN(2)/35)*DW12*DX12*VLOOKUP('Données projet'!$B$14,Paramètres!$A$1:$I$89,3,0)*0.475*44/12</f>
        <v>0</v>
      </c>
      <c r="EB12" s="129" t="n">
        <f aca="false">EXP(-LN(2)/25)*EB11+(1-EXP(-LN(2)/25))/(LN(2)/25)*Calculateur!DW12*Calculateur!DY12*VLOOKUP('Données projet'!$B$14,Paramètres!$A$1:$I$89,3,0)*0.475*44/12</f>
        <v>0</v>
      </c>
      <c r="EC12" s="129" t="n">
        <f aca="false">EXP(-LN(2)/2)*EC11+(1-EXP(-LN(2)/2))/(LN(2)/2)*DW12*DZ12*VLOOKUP('Données projet'!$B$14,Paramètres!$A$1:$I$89,3,0)*0.475*44/12</f>
        <v>0</v>
      </c>
      <c r="ED12" s="130" t="n">
        <f aca="false">SUM(EA12:EC12)</f>
        <v>0</v>
      </c>
      <c r="EE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18" t="e">
        <f aca="false">VLOOKUP(A12,'Données projet'!$A$191:$I$211,2,0)</f>
        <v>#N/A</v>
      </c>
      <c r="EH12" s="118" t="e">
        <f aca="false">VLOOKUP(A12,'Données projet'!$A$191:$I$211,9,0)</f>
        <v>#N/A</v>
      </c>
      <c r="EI12" s="118" t="n">
        <f aca="false" t="array" ref="EI12:EI12">INDEX(EH:EH,MIN(IF(ISNUMBER(EH12:EH208),ROW(EH12:EH208),"")))</f>
        <v>0</v>
      </c>
      <c r="EJ12" s="118" t="n">
        <f aca="false">IF('Données projet'!$A$192&gt;35,EJ11+EI12-ER11,IF(A12&lt;'Données projet'!$A$192,$EG$205^A12,IF(A12='Données projet'!$A$192,'Données projet'!$B$192,EJ11+EI12-ER11)))</f>
        <v>0</v>
      </c>
      <c r="EK12" s="125" t="e">
        <f aca="false">EJ12*VLOOKUP('Données projet'!$B$15,Paramètres!$A$1:$I$89,3,0)*VLOOKUP('Données projet'!$B$15,Paramètres!$A$1:$I$89,5,0)</f>
        <v>#N/A</v>
      </c>
      <c r="EL12" s="117" t="e">
        <f aca="false">EXP(-1.0587+0.8836*LN(EK12)+0.284)</f>
        <v>#N/A</v>
      </c>
      <c r="EM12" s="128" t="e">
        <f aca="false">(EK12+EL12)*0.475*44/12</f>
        <v>#N/A</v>
      </c>
      <c r="EN12" s="120" t="e">
        <f aca="false">EM12+(EE12+EF12)*44/12</f>
        <v>#N/A</v>
      </c>
      <c r="EO12" s="120" t="e">
        <f aca="true">AVERAGE(OFFSET($EN$3,0,0,'Données projet'!$E$15+1,1))-AVERAGE(OFFSET($H$3,0,0,'Données projet'!$E$15+1,1))</f>
        <v>#N/A</v>
      </c>
      <c r="EP12" s="120" t="e">
        <f aca="false">$EP$3</f>
        <v>#N/A</v>
      </c>
      <c r="EQ12" s="121" t="n">
        <f aca="false">IF(ISNA(VLOOKUP(A12,'Données projet'!$A$191:$I$211,3,0)),0,VLOOKUP(A12,'Données projet'!$A$191:$I$211,3,0))</f>
        <v>0</v>
      </c>
      <c r="ER12" s="121" t="n">
        <f aca="false">IF(ISNA(VLOOKUP(A12,'Données projet'!$A$191:$I$211,4,0)),0,VLOOKUP(A12,'Données projet'!$A$191:$I$211,4,0))</f>
        <v>0</v>
      </c>
      <c r="ES12" s="122" t="n">
        <f aca="false">IF(ISNA(VLOOKUP(A12,'Données projet'!$A$191:$I$211,5,0)),0%,VLOOKUP(A12,'Données projet'!$A$191:$I$211,5,0)*VLOOKUP('Données projet'!$B$15,Paramètres!$A$1:$I$89,7,0))</f>
        <v>0</v>
      </c>
      <c r="ET12" s="122" t="n">
        <f aca="false">IF(ISNA(VLOOKUP(A12,'Données projet'!$A$191:$I$211,6,0)),0%,VLOOKUP(A12,'Données projet'!$A$191:$I$211,6,0)*VLOOKUP('Données projet'!$B$15,Paramètres!$A$1:$I$89,7,0))</f>
        <v>0</v>
      </c>
      <c r="EU12" s="122" t="n">
        <f aca="false">IF(ISNA(VLOOKUP(A12,'Données projet'!$A$191:$I$211,7,0)),0%,VLOOKUP(A12,'Données projet'!$A$191:$I$211,7,0))</f>
        <v>0</v>
      </c>
      <c r="EV12" s="129" t="e">
        <f aca="false">EXP(-LN(2)/35)*EV11+(1-EXP(-LN(2)/35))/(LN(2)/35)*ER12*ES12*VLOOKUP('Données projet'!$B$15,Paramètres!$A$1:$I$89,3,0)*0.475*44/12</f>
        <v>#N/A</v>
      </c>
      <c r="EW12" s="129" t="e">
        <f aca="false">EXP(-LN(2)/25)*EW11+(1-EXP(-LN(2)/25))/(LN(2)/25)*Calculateur!ER12*Calculateur!ET12*VLOOKUP('Données projet'!$B$15,Paramètres!$A$1:$I$89,3,0)*0.475*44/12</f>
        <v>#N/A</v>
      </c>
      <c r="EX12" s="129" t="e">
        <f aca="false">EXP(-LN(2)/2)*EX11+(1-EXP(-LN(2)/2))/(LN(2)/2)*ER12*EU12*VLOOKUP('Données projet'!$B$15,Paramètres!$A$1:$I$89,3,0)*0.475*44/12</f>
        <v>#N/A</v>
      </c>
      <c r="EY12" s="130" t="e">
        <f aca="false">SUM(EV12:EX12)</f>
        <v>#N/A</v>
      </c>
      <c r="EZ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18" t="e">
        <f aca="false">VLOOKUP(A12,'Données projet'!$A$217:$I$237,2,0)</f>
        <v>#N/A</v>
      </c>
      <c r="FC12" s="118" t="e">
        <f aca="false">VLOOKUP(A12,'Données projet'!$A$217:$I$237,9,0)</f>
        <v>#N/A</v>
      </c>
      <c r="FD12" s="118" t="n">
        <f aca="false" t="array" ref="FD12:FD12">INDEX(FC:FC,MIN(IF(ISNUMBER(FC12:FC208),ROW(FC12:FC208),"")))</f>
        <v>0</v>
      </c>
      <c r="FE12" s="118" t="n">
        <f aca="false">IF('Données projet'!$A$218&gt;35,FE11+FD12-FM11,IF(A12&lt;'Données projet'!$A$218,$FB$205^A12,IF(A12='Données projet'!$A$218,'Données projet'!$B$218,FE11+FD12-FM11)))</f>
        <v>0</v>
      </c>
      <c r="FF12" s="125" t="e">
        <f aca="false">FE12*VLOOKUP('Données projet'!$B$16,Paramètres!$A$1:$I$89,3,0)*VLOOKUP('Données projet'!$B$16,Paramètres!$A$1:$I$89,5,0)</f>
        <v>#N/A</v>
      </c>
      <c r="FG12" s="117" t="e">
        <f aca="false">EXP(-1.0587+0.8836*LN(FF12)+0.284)</f>
        <v>#N/A</v>
      </c>
      <c r="FH12" s="128" t="e">
        <f aca="false">(FF12+FG12)*0.475*44/12</f>
        <v>#N/A</v>
      </c>
      <c r="FI12" s="120" t="e">
        <f aca="false">FH12+(EZ12+FA12)*44/12</f>
        <v>#N/A</v>
      </c>
      <c r="FJ12" s="120" t="e">
        <f aca="true">AVERAGE(OFFSET($FI$3,0,0,'Données projet'!$E$16+1,1))-AVERAGE(OFFSET($H$3,0,0,'Données projet'!$E$16+1,1))</f>
        <v>#N/A</v>
      </c>
      <c r="FK12" s="120" t="e">
        <f aca="false">$FK$3</f>
        <v>#N/A</v>
      </c>
      <c r="FL12" s="121" t="n">
        <f aca="false">IF(ISNA(VLOOKUP(A12,'Données projet'!$A$217:$I$237,3,0)),0,VLOOKUP(A12,'Données projet'!$A$217:$I$237,3,0))</f>
        <v>0</v>
      </c>
      <c r="FM12" s="121" t="n">
        <f aca="false">IF(ISNA(VLOOKUP(A12,'Données projet'!$A$217:$I$237,4,0)),0,VLOOKUP(A12,'Données projet'!$A$217:$I$237,4,0))</f>
        <v>0</v>
      </c>
      <c r="FN12" s="122" t="n">
        <f aca="false">IF(ISNA(VLOOKUP(A12,'Données projet'!$A$217:$I$237,5,0)),0%,VLOOKUP(A12,'Données projet'!$A$217:$I$237,5,0)*VLOOKUP('Données projet'!$B$16,Paramètres!$A$1:$I$89,7,0))</f>
        <v>0</v>
      </c>
      <c r="FO12" s="122" t="n">
        <f aca="false">IF(ISNA(VLOOKUP(A12,'Données projet'!$A$217:$I$237,6,0)),0%,VLOOKUP(A12,'Données projet'!$A$217:$I$237,6,0)*VLOOKUP('Données projet'!$B$16,Paramètres!$A$1:$I$89,7,0))</f>
        <v>0</v>
      </c>
      <c r="FP12" s="122" t="n">
        <f aca="false">IF(ISNA(VLOOKUP(A12,'Données projet'!$A$217:$I$237,7,0)),0%,VLOOKUP(A12,'Données projet'!$A$217:$I$237,7,0))</f>
        <v>0</v>
      </c>
      <c r="FQ12" s="129" t="e">
        <f aca="false">EXP(-LN(2)/35)*FQ11+(1-EXP(-LN(2)/35))/(LN(2)/35)*FM12*FN12*VLOOKUP('Données projet'!$B$16,Paramètres!$A$1:$I$89,3,0)*0.475*44/12</f>
        <v>#N/A</v>
      </c>
      <c r="FR12" s="129" t="e">
        <f aca="false">EXP(-LN(2)/25)*FR11+(1-EXP(-LN(2)/25))/(LN(2)/25)*Calculateur!FM12*Calculateur!FO12*VLOOKUP('Données projet'!$B$16,Paramètres!$A$1:$I$89,3,0)*0.475*44/12</f>
        <v>#N/A</v>
      </c>
      <c r="FS12" s="129" t="e">
        <f aca="false">EXP(-LN(2)/2)*FS11+(1-EXP(-LN(2)/2))/(LN(2)/2)*FM12*FP12*VLOOKUP('Données projet'!$B$16,Paramètres!$A$1:$I$89,3,0)*0.475*44/12</f>
        <v>#N/A</v>
      </c>
      <c r="FT12" s="130" t="e">
        <f aca="false">SUM(FQ12:FS12)</f>
        <v>#N/A</v>
      </c>
      <c r="FU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18" t="e">
        <f aca="false">VLOOKUP(A12,'Données projet'!$A$243:$I$263,2,0)</f>
        <v>#N/A</v>
      </c>
      <c r="FX12" s="118" t="e">
        <f aca="false">VLOOKUP(A12,'Données projet'!$A$243:$I$263,9,0)</f>
        <v>#N/A</v>
      </c>
      <c r="FY12" s="118" t="n">
        <f aca="false" t="array" ref="FY12:FY12">INDEX(FX:FX,MIN(IF(ISNUMBER(FX12:FX208),ROW(FX12:FX208),"")))</f>
        <v>0</v>
      </c>
      <c r="FZ12" s="118" t="n">
        <f aca="false">IF('Données projet'!$A$244&gt;35,FZ11+FY12-GH11,IF(A12&lt;'Données projet'!$A$244,$FW$205^A12,IF(A12='Données projet'!$A$244,'Données projet'!$B$244,FZ11+FY12-GH11)))</f>
        <v>0</v>
      </c>
      <c r="GA12" s="125" t="e">
        <f aca="false">FZ12*VLOOKUP('Données projet'!$B$17,Paramètres!$A$1:$I$89,3,0)*VLOOKUP('Données projet'!$B$17,Paramètres!$A$1:$I$89,5,0)</f>
        <v>#N/A</v>
      </c>
      <c r="GB12" s="117" t="e">
        <f aca="false">EXP(-1.0587+0.8836*LN(GA12)+0.284)</f>
        <v>#N/A</v>
      </c>
      <c r="GC12" s="128" t="e">
        <f aca="false">(GA12+GB12)*0.475*44/12</f>
        <v>#N/A</v>
      </c>
      <c r="GD12" s="120" t="e">
        <f aca="false">GC12+(FU12+FV12)*44/12</f>
        <v>#N/A</v>
      </c>
      <c r="GE12" s="120" t="e">
        <f aca="true">AVERAGE(OFFSET($GD$3,0,0,'Données projet'!$E$17+1,1))-AVERAGE(OFFSET($H$3,0,0,'Données projet'!$E$17+1,1))</f>
        <v>#N/A</v>
      </c>
      <c r="GF12" s="120" t="e">
        <f aca="false">$GF$3</f>
        <v>#N/A</v>
      </c>
      <c r="GG12" s="121" t="n">
        <f aca="false">IF(ISNA(VLOOKUP(A12,'Données projet'!$A$243:$I$263,3,0)),0,VLOOKUP(A12,'Données projet'!$A$243:$I$263,3,0))</f>
        <v>0</v>
      </c>
      <c r="GH12" s="121" t="n">
        <f aca="false">IF(ISNA(VLOOKUP(A12,'Données projet'!$A$243:$I$263,4,0)),0,VLOOKUP(A12,'Données projet'!$A$243:$I$263,4,0))</f>
        <v>0</v>
      </c>
      <c r="GI12" s="122" t="n">
        <f aca="false">IF(ISNA(VLOOKUP(A12,'Données projet'!$A$243:$I$263,5,0)),0%,VLOOKUP(A12,'Données projet'!$A$243:$I$263,5,0)*VLOOKUP('Données projet'!$B$17,Paramètres!$A$1:$I$89,7,0))</f>
        <v>0</v>
      </c>
      <c r="GJ12" s="122" t="n">
        <f aca="false">IF(ISNA(VLOOKUP(A12,'Données projet'!$A$243:$I$263,6,0)),0%,VLOOKUP(A12,'Données projet'!$A$243:$I$263,6,0)*VLOOKUP('Données projet'!$B$17,Paramètres!$A$1:$I$89,7,0))</f>
        <v>0</v>
      </c>
      <c r="GK12" s="122" t="n">
        <f aca="false">IF(ISNA(VLOOKUP(A12,'Données projet'!$A$243:$I$263,7,0)),0%,VLOOKUP(A12,'Données projet'!$A$243:$I$263,7,0))</f>
        <v>0</v>
      </c>
      <c r="GL12" s="129" t="e">
        <f aca="false">EXP(-LN(2)/35)*GL11+(1-EXP(-LN(2)/35))/(LN(2)/35)*GH12*GI12*VLOOKUP('Données projet'!$B$17,Paramètres!$A$1:$I$89,3,0)*0.475*44/12</f>
        <v>#N/A</v>
      </c>
      <c r="GM12" s="129" t="e">
        <f aca="false">EXP(-LN(2)/25)*GM11+(1-EXP(-LN(2)/25))/(LN(2)/25)*Calculateur!GH12*Calculateur!GJ12*VLOOKUP('Données projet'!$B$17,Paramètres!$A$1:$I$89,3,0)*0.475*44/12</f>
        <v>#N/A</v>
      </c>
      <c r="GN12" s="129" t="e">
        <f aca="false">EXP(-LN(2)/2)*GN11+(1-EXP(-LN(2)/2))/(LN(2)/2)*GH12*GK12*VLOOKUP('Données projet'!$B$17,Paramètres!$A$1:$I$89,3,0)*0.475*44/12</f>
        <v>#N/A</v>
      </c>
      <c r="GO12" s="129" t="e">
        <f aca="false">SUM(GL12:GN12)</f>
        <v>#N/A</v>
      </c>
      <c r="GP12" s="126" t="n">
        <f aca="false"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8" t="n">
        <f aca="false"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18" t="e">
        <f aca="false">VLOOKUP(A12,'Données projet'!$A$269:$I$289,2,0)</f>
        <v>#N/A</v>
      </c>
      <c r="GS12" s="118" t="e">
        <f aca="false">VLOOKUP(A12,'Données projet'!$A$269:$I$289,9,0)</f>
        <v>#N/A</v>
      </c>
      <c r="GT12" s="118" t="n">
        <f aca="false" t="array" ref="GT12:GT12">INDEX(GS:GS,MIN(IF(ISNUMBER(GS12:GS208),ROW(GS12:GS208),"")))</f>
        <v>0</v>
      </c>
      <c r="GU12" s="118" t="n">
        <f aca="false">IF('Données projet'!$A$270&gt;35,GU11+GT12-HC11,IF(A12&lt;'Données projet'!$A$270,$GR$205^A12,IF(A12='Données projet'!$A$270,'Données projet'!$B$270,GU11+GT12-HC11)))</f>
        <v>0</v>
      </c>
      <c r="GV12" s="125" t="e">
        <f aca="false">GU12*VLOOKUP('Données projet'!$B$18,Paramètres!$A$1:$I$89,3,0)*VLOOKUP('Données projet'!$B$18,Paramètres!$A$1:$I$89,5,0)</f>
        <v>#N/A</v>
      </c>
      <c r="GW12" s="117" t="e">
        <f aca="false">EXP(-1.0587+0.8836*LN(GV12)+0.284)</f>
        <v>#N/A</v>
      </c>
      <c r="GX12" s="128" t="e">
        <f aca="false">(GV12+GW12)*0.475*44/12</f>
        <v>#N/A</v>
      </c>
      <c r="GY12" s="120" t="e">
        <f aca="false">GX12+(GP12+GQ12)*44/12</f>
        <v>#N/A</v>
      </c>
      <c r="GZ12" s="120" t="e">
        <f aca="true">AVERAGE(OFFSET($GY$3,0,0,'Données projet'!$E$18+1,1))-AVERAGE(OFFSET($H$3,0,0,'Données projet'!$E$18+1,1))</f>
        <v>#N/A</v>
      </c>
      <c r="HA12" s="120" t="e">
        <f aca="false">$HA$3</f>
        <v>#N/A</v>
      </c>
      <c r="HB12" s="121" t="n">
        <f aca="false">IF(ISNA(VLOOKUP(A12,'Données projet'!$A$269:$I$289,3,0)),0,VLOOKUP(A12,'Données projet'!$A$269:$I$289,3,0))</f>
        <v>0</v>
      </c>
      <c r="HC12" s="121" t="n">
        <f aca="false">IF(ISNA(VLOOKUP(A12,'Données projet'!$A$269:$I$289,4,0)),0,VLOOKUP(A12,'Données projet'!$A$269:$I$289,4,0))</f>
        <v>0</v>
      </c>
      <c r="HD12" s="122" t="n">
        <f aca="false">IF(ISNA(VLOOKUP(A12,'Données projet'!$A$269:$I$289,5,0)),0%,VLOOKUP(A12,'Données projet'!$A$269:$I$289,5,0)*VLOOKUP('Données projet'!$B$18,Paramètres!$A$1:$I$89,7,0))</f>
        <v>0</v>
      </c>
      <c r="HE12" s="122" t="n">
        <f aca="false">IF(ISNA(VLOOKUP(A12,'Données projet'!$A$269:$I$289,6,0)),0%,VLOOKUP(A12,'Données projet'!$A$269:$I$289,6,0)*VLOOKUP('Données projet'!$B$18,Paramètres!$A$1:$I$89,7,0))</f>
        <v>0</v>
      </c>
      <c r="HF12" s="122" t="n">
        <f aca="false">IF(ISNA(VLOOKUP(A12,'Données projet'!$A$269:$I$289,7,0)),0%,VLOOKUP(A12,'Données projet'!$A$269:$I$289,7,0))</f>
        <v>0</v>
      </c>
      <c r="HG12" s="129" t="e">
        <f aca="false">EXP(-LN(2)/35)*HG11+(1-EXP(-LN(2)/35))/(LN(2)/35)*HC12*HD12*VLOOKUP('Données projet'!$B$18,Paramètres!$A$1:$I$89,3,0)*0.475*44/12</f>
        <v>#N/A</v>
      </c>
      <c r="HH12" s="129" t="e">
        <f aca="false">EXP(-LN(2)/25)*HH11+(1-EXP(-LN(2)/25))/(LN(2)/25)*Calculateur!HC12*Calculateur!HE12*VLOOKUP('Données projet'!$B$18,Paramètres!$A$1:$I$89,3,0)*0.475*44/12</f>
        <v>#N/A</v>
      </c>
      <c r="HI12" s="129" t="e">
        <f aca="false">EXP(-LN(2)/2)*HI11+(1-EXP(-LN(2)/2))/(LN(2)/2)*HC12*HF12*VLOOKUP('Données projet'!$B$18,Paramètres!$A$1:$I$89,3,0)*0.475*44/12</f>
        <v>#N/A</v>
      </c>
      <c r="HJ12" s="130" t="e">
        <f aca="false">SUM(HG12:HI12)</f>
        <v>#N/A</v>
      </c>
    </row>
    <row r="13" customFormat="false" ht="14.25" hidden="false" customHeight="false" outlineLevel="0" collapsed="false">
      <c r="A13" s="112" t="n">
        <f aca="false">A12+1</f>
        <v>10</v>
      </c>
      <c r="B13" s="113" t="n">
        <f aca="false">'Scénario référence'!$B$16*5+'Scénario référence'!$B$17*0+'Scénario référence'!$B$18*5</f>
        <v>0</v>
      </c>
      <c r="C13" s="127" t="n">
        <f aca="false"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4" t="n">
        <f aca="false">IFERROR(EXP(-1.0587+0.8836*LN(C13)+0.284),0)</f>
        <v>0</v>
      </c>
      <c r="E1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" s="114" t="n">
        <f aca="false">IF(OR('Scénario référence'!$F$8&gt;0,'Scénario référence'!$F$9&gt;0),('Scénario référence'!$F$8+'Scénario référence'!$F$9)*10,0)</f>
        <v>0</v>
      </c>
      <c r="G13" s="114" t="n">
        <f aca="false"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15" t="n">
        <f aca="false">(B13+E13+F13)*44/12+(C13+D13)*0.475*44/12</f>
        <v>256.666666666667</v>
      </c>
      <c r="I13" s="11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7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K13" s="118" t="e">
        <f aca="false">VLOOKUP(A13,'Données projet'!$A$35:$I$55,2,0)</f>
        <v>#N/A</v>
      </c>
      <c r="L13" s="118" t="e">
        <f aca="false">VLOOKUP(A13,'Données projet'!$A$35:$I$55,9,0)</f>
        <v>#N/A</v>
      </c>
      <c r="M13" s="118" t="n">
        <f aca="false" t="array" ref="M13:M13">INDEX(L:L,MIN(IF(ISNUMBER(L13:L209),ROW(L13:L209),"")))</f>
        <v>7.9</v>
      </c>
      <c r="N13" s="117" t="n">
        <f aca="false">IF('Données projet'!$A$36&gt;35,N12+M13-V12,IF(A13&lt;'Données projet'!$A$36,$K$205^A13,IF(A13='Données projet'!$A$36,'Données projet'!$B$36,N12+M13-V12)))</f>
        <v>12.5698050899765</v>
      </c>
      <c r="O13" s="117" t="n">
        <f aca="false">N13*VLOOKUP('Données projet'!$B$9,Paramètres!$A$1:$I$89,3,0)*VLOOKUP('Données projet'!$B$9,Paramètres!$A$1:$I$89,5,0)</f>
        <v>5.88266878210902</v>
      </c>
      <c r="P13" s="117" t="n">
        <f aca="false">EXP(-1.0587+0.8836*LN(O13)+0.284)</f>
        <v>2.20570791521084</v>
      </c>
      <c r="Q13" s="128" t="n">
        <f aca="false">(O13+P13)*0.475*44/12</f>
        <v>14.0872560811654</v>
      </c>
      <c r="R13" s="120" t="n">
        <f aca="false">Q13+(I13+J13)*44/12</f>
        <v>282.976144970054</v>
      </c>
      <c r="S13" s="120" t="n">
        <f aca="true">AVERAGE(OFFSET($R$3,0,0,'Données projet'!$E$9+1,1))-AVERAGE(OFFSET($H$3,0,0,'Données projet'!$E$9+1,1))</f>
        <v>319.229030946746</v>
      </c>
      <c r="T13" s="120" t="n">
        <f aca="false">$T$3</f>
        <v>254.586909731428</v>
      </c>
      <c r="U13" s="121" t="n">
        <f aca="false">IF(ISNA(VLOOKUP(A13,'Données projet'!$A$35:$I$55,3,0)),0,VLOOKUP(A13,'Données projet'!$A$35:$I$55,3,0))</f>
        <v>0</v>
      </c>
      <c r="V13" s="121" t="n">
        <f aca="false">IF(ISNA(VLOOKUP(A13,'Données projet'!$A$35:$I$55,4,0)),0,VLOOKUP(A13,'Données projet'!$A$35:$I$55,4,0))</f>
        <v>0</v>
      </c>
      <c r="W13" s="122" t="n">
        <f aca="false">IF(ISNA(VLOOKUP(A13,'Données projet'!$A$35:$I$55,5,0)),0%,VLOOKUP(A13,'Données projet'!$A$35:$I$55,5,0)*VLOOKUP('Données projet'!$B$9,Paramètres!$A$1:$I$89,7,0))</f>
        <v>0</v>
      </c>
      <c r="X13" s="122" t="n">
        <f aca="false">IF(ISNA(VLOOKUP(A13,'Données projet'!$A$35:$I$55,6,0)),0%,VLOOKUP(A13,'Données projet'!$A$35:$I$55,6,0)*VLOOKUP('Données projet'!$B$9,Paramètres!$A$1:$I$89,7,0))</f>
        <v>0</v>
      </c>
      <c r="Y13" s="122" t="n">
        <f aca="false">IF(ISNA(VLOOKUP(A13,'Données projet'!$A$35:$I$55,7,0)),0%,VLOOKUP(A13,'Données projet'!$A$35:$I$55,7,0))</f>
        <v>0</v>
      </c>
      <c r="Z13" s="129" t="n">
        <f aca="false">EXP(-LN(2)/35)*Z12+(1-EXP(-LN(2)/35))/(LN(2)/35)*V13*W13*VLOOKUP('Données projet'!$B$9,Paramètres!$A$1:$I$89,3,0)*0.475*44/12</f>
        <v>0</v>
      </c>
      <c r="AA13" s="129" t="n">
        <f aca="false">EXP(-LN(2)/25)*AA12+(1-EXP(-LN(2)/25))/(LN(2)/25)*Calculateur!V13*Calculateur!X13*VLOOKUP('Données projet'!$B$9,Paramètres!$A$1:$I$89,3,0)*0.475*44/12</f>
        <v>0</v>
      </c>
      <c r="AB13" s="129" t="n">
        <f aca="false">EXP(-LN(2)/2)*AB12+(1-EXP(-LN(2)/2))/(LN(2)/2)*V13*Y13*VLOOKUP('Données projet'!$B$9,Paramètres!$A$1:$I$89,3,0)*0.475*44/12</f>
        <v>0</v>
      </c>
      <c r="AC13" s="130" t="n">
        <f aca="false">SUM(Z13:AB13)</f>
        <v>0</v>
      </c>
      <c r="AD13" s="117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7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AF13" s="118" t="e">
        <f aca="false">VLOOKUP(A13,'Données projet'!$A$61:$I$81,2,0)</f>
        <v>#N/A</v>
      </c>
      <c r="AG13" s="118" t="e">
        <f aca="false">VLOOKUP(A13,'Données projet'!$A$61:$I$81,9,0)</f>
        <v>#N/A</v>
      </c>
      <c r="AH13" s="118" t="n">
        <f aca="false" t="array" ref="AH13:AH13">INDEX(AG:AG,MIN(IF(ISNUMBER(AG13:AG209),ROW(AG13:AG209),"")))</f>
        <v>7.04347826086957</v>
      </c>
      <c r="AI13" s="117" t="n">
        <f aca="false">IF('Données projet'!$A$62&gt;35,AI12+AH13-AQ12,IF(A13&lt;'Données projet'!$A$62,$AF$205^A13,IF(A13='Données projet'!$A$62,'Données projet'!$B$62,AI12+AH13-AQ12)))</f>
        <v>9.13395151557763</v>
      </c>
      <c r="AJ13" s="117" t="n">
        <f aca="false">AI13*VLOOKUP('Données projet'!$B$10,Paramètres!$A$1:$I$89,3,0)*VLOOKUP('Données projet'!$B$10,Paramètres!$A$1:$I$89,5,0)</f>
        <v>5.10587889720789</v>
      </c>
      <c r="AK13" s="117" t="n">
        <f aca="false">EXP(-1.0587+0.8836*LN(AJ13)+0.284)</f>
        <v>1.94627035378855</v>
      </c>
      <c r="AL13" s="128" t="n">
        <f aca="false">(AJ13+AK13)*0.475*44/12</f>
        <v>12.2824932788188</v>
      </c>
      <c r="AM13" s="120" t="n">
        <f aca="false">AL13+(AD13+AE13)*44/12</f>
        <v>281.171382167708</v>
      </c>
      <c r="AN13" s="120" t="n">
        <f aca="true">AVERAGE(OFFSET($AM$3,0,0,'Données projet'!$E$10+1,1))-AVERAGE(OFFSET($H$3,0,0,'Données projet'!$E$10+1,1))</f>
        <v>365.705101827279</v>
      </c>
      <c r="AO13" s="120" t="n">
        <f aca="false">$AO$3</f>
        <v>436.238338449625</v>
      </c>
      <c r="AP13" s="121" t="n">
        <f aca="false">IF(ISNA(VLOOKUP(A13,'Données projet'!$A$61:$I$81,3,0)),0,VLOOKUP(A13,'Données projet'!$A$61:$I$81,3,0))</f>
        <v>0</v>
      </c>
      <c r="AQ13" s="121" t="n">
        <f aca="false">IF(ISNA(VLOOKUP(A13,'Données projet'!$A$61:$I$81,4,0)),0,VLOOKUP(A13,'Données projet'!$A$61:$I$81,4,0))</f>
        <v>0</v>
      </c>
      <c r="AR13" s="122" t="n">
        <f aca="false">IF(ISNA(VLOOKUP(A13,'Données projet'!$A$61:$I$81,5,0)),0%,VLOOKUP(A13,'Données projet'!$A$61:$I$81,5,0)*VLOOKUP('Données projet'!$B$10,Paramètres!$A$1:$I$89,7,0))</f>
        <v>0</v>
      </c>
      <c r="AS13" s="122" t="n">
        <f aca="false">IF(ISNA(VLOOKUP(A13,'Données projet'!$A$61:$I$81,6,0)),0%,VLOOKUP(A13,'Données projet'!$A$61:$I$81,6,0)*VLOOKUP('Données projet'!$B$10,Paramètres!$A$1:$I$89,7,0))</f>
        <v>0</v>
      </c>
      <c r="AT13" s="122" t="n">
        <f aca="false">IF(ISNA(VLOOKUP(A13,'Données projet'!$A$61:$I$81,7,0)),0%,VLOOKUP(A13,'Données projet'!$A$61:$I$81,7,0))</f>
        <v>0</v>
      </c>
      <c r="AU13" s="129" t="n">
        <f aca="false">EXP(-LN(2)/35)*AU12+(1-EXP(-LN(2)/35))/(LN(2)/35)*AQ13*AR13*VLOOKUP('Données projet'!$B$10,Paramètres!$A$1:$I$89,3,0)*0.475*44/12</f>
        <v>0</v>
      </c>
      <c r="AV13" s="129" t="n">
        <f aca="false">EXP(-LN(2)/25)*AV12+(1-EXP(-LN(2)/25))/(LN(2)/25)*Calculateur!AQ13*Calculateur!AS13*VLOOKUP('Données projet'!$B$10,Paramètres!$A$1:$I$89,3,0)*0.475*44/12</f>
        <v>0</v>
      </c>
      <c r="AW13" s="129" t="n">
        <f aca="false">EXP(-LN(2)/2)*AW12+(1-EXP(-LN(2)/2))/(LN(2)/2)*AQ13*AT13*VLOOKUP('Données projet'!$B$10,Paramètres!$A$1:$I$89,3,0)*0.475*44/12</f>
        <v>0</v>
      </c>
      <c r="AX13" s="129" t="n">
        <f aca="false">SUM(AU13:AW13)</f>
        <v>0</v>
      </c>
      <c r="AY13" s="124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BA13" s="118" t="e">
        <f aca="false">VLOOKUP(A13,'Données projet'!$A$87:$I$107,2,0)</f>
        <v>#N/A</v>
      </c>
      <c r="BB13" s="118" t="e">
        <f aca="false">VLOOKUP(A13,'Données projet'!$A$87:$I$107,9,0)</f>
        <v>#N/A</v>
      </c>
      <c r="BC13" s="118" t="n">
        <f aca="false" t="array" ref="BC13:BC13">INDEX(BB:BB,MIN(IF(ISNUMBER(BB13:BB209),ROW(BB13:BB209),"")))</f>
        <v>5.8</v>
      </c>
      <c r="BD13" s="118" t="n">
        <f aca="false">IF('Données projet'!$A$88&gt;35,BD12+BC13-BL12,IF(A13&lt;'Données projet'!$A$88,$BA$205^A13,IF(A13='Données projet'!$A$88,'Données projet'!$B$88,BD12+BC13-BL12)))</f>
        <v>19.6341830257168</v>
      </c>
      <c r="BE13" s="117" t="n">
        <f aca="false">BD13*VLOOKUP('Données projet'!$B$11,Paramètres!$A$1:$I$89,3,0)*VLOOKUP('Données projet'!$B$11,Paramètres!$A$1:$I$89,5,0)</f>
        <v>17.1524222912662</v>
      </c>
      <c r="BF13" s="117" t="n">
        <f aca="false">EXP(-1.0587+0.8836*LN(BE13)+0.284)</f>
        <v>5.67808698936266</v>
      </c>
      <c r="BG13" s="128" t="n">
        <f aca="false">(BE13+BF13)*0.475*44/12</f>
        <v>39.7631369970953</v>
      </c>
      <c r="BH13" s="120" t="n">
        <f aca="false">BG13+(AY13+AZ13)*44/12</f>
        <v>308.652025885984</v>
      </c>
      <c r="BI13" s="120" t="n">
        <f aca="true">AVERAGE(OFFSET($BH$3,0,0,'Données projet'!$E$11+1,1))-AVERAGE(OFFSET($H$3,0,0,'Données projet'!$E$11+1,1))</f>
        <v>321.235999689929</v>
      </c>
      <c r="BJ13" s="120" t="n">
        <f aca="false">$BJ$3</f>
        <v>388.051958478005</v>
      </c>
      <c r="BK13" s="121" t="n">
        <f aca="false">IF(ISNA(VLOOKUP(A13,'Données projet'!$A$87:$I$107,3,0)),0,VLOOKUP(A13,'Données projet'!$A$87:$I$107,3,0))</f>
        <v>0</v>
      </c>
      <c r="BL13" s="121" t="n">
        <f aca="false">IF(ISNA(VLOOKUP(A13,'Données projet'!$A$87:$I$107,4,0)),0,VLOOKUP(A13,'Données projet'!$A$87:$I$107,4,0))</f>
        <v>0</v>
      </c>
      <c r="BM13" s="122" t="n">
        <f aca="false">IF(ISNA(VLOOKUP(A13,'Données projet'!$A$87:$I$107,5,0)),0%,VLOOKUP(A13,'Données projet'!$A$87:$I$107,5,0)*VLOOKUP('Données projet'!$B$11,Paramètres!$A$1:$I$89,7,0))</f>
        <v>0</v>
      </c>
      <c r="BN13" s="122" t="n">
        <f aca="false">IF(ISNA(VLOOKUP(A13,'Données projet'!$A$87:$I$107,6,0)),0%,VLOOKUP(A13,'Données projet'!$A$87:$I$107,6,0)*VLOOKUP('Données projet'!$B$11,Paramètres!$A$1:$I$89,7,0))</f>
        <v>0</v>
      </c>
      <c r="BO13" s="122" t="n">
        <f aca="false">IF(ISNA(VLOOKUP(A13,'Données projet'!$A$87:$I$107,7,0)),0%,VLOOKUP(A13,'Données projet'!$A$87:$I$107,7,0))</f>
        <v>0</v>
      </c>
      <c r="BP13" s="129" t="n">
        <f aca="false">EXP(-LN(2)/35)*BP12+(1-EXP(-LN(2)/35))/(LN(2)/35)*BL13*BM13*VLOOKUP('Données projet'!$B$11,Paramètres!$A$1:$I$89,3,0)*0.475*44/12</f>
        <v>0</v>
      </c>
      <c r="BQ13" s="129" t="n">
        <f aca="false">EXP(-LN(2)/25)*BQ12+(1-EXP(-LN(2)/25))/(LN(2)/25)*Calculateur!BL13*Calculateur!BN13*VLOOKUP('Données projet'!$B$11,Paramètres!$A$1:$I$89,3,0)*0.475*44/12</f>
        <v>0</v>
      </c>
      <c r="BR13" s="129" t="n">
        <f aca="false">EXP(-LN(2)/2)*BR12+(1-EXP(-LN(2)/2))/(LN(2)/2)*BL13*BO13*VLOOKUP('Données projet'!$B$11,Paramètres!$A$1:$I$89,3,0)*0.475*44/12</f>
        <v>0</v>
      </c>
      <c r="BS13" s="130" t="n">
        <f aca="false">SUM(BP13:BR13)</f>
        <v>0</v>
      </c>
      <c r="BT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BV13" s="118" t="e">
        <f aca="false">VLOOKUP(A13,'Données projet'!$A$113:$I$133,2,0)</f>
        <v>#N/A</v>
      </c>
      <c r="BW13" s="118" t="e">
        <f aca="false">VLOOKUP(A13,'Données projet'!$A$113:$I$133,9,0)</f>
        <v>#N/A</v>
      </c>
      <c r="BX13" s="118" t="n">
        <f aca="false" t="array" ref="BX13:BX13">INDEX(BW:BW,MIN(IF(ISNUMBER(BW13:BW209),ROW(BW13:BW209),"")))</f>
        <v>6.22222222222222</v>
      </c>
      <c r="BY13" s="118" t="n">
        <f aca="false">IF('Données projet'!$A$114&gt;35,BY12+BX13-CG12,IF(A13&lt;'Données projet'!$A$114,$BV$205^A13,IF(A13='Données projet'!$A$114,'Données projet'!$B$114,BY12+BX13-CG12)))</f>
        <v>13.7548056082044</v>
      </c>
      <c r="BZ13" s="117" t="n">
        <f aca="false">BY13*VLOOKUP('Données projet'!$B$12,Paramètres!$A$1:$I$89,3,0)*VLOOKUP('Données projet'!$B$12,Paramètres!$A$1:$I$89,5,0)</f>
        <v>8.58299869951953</v>
      </c>
      <c r="CA13" s="117" t="n">
        <f aca="false">EXP(-1.0587+0.8836*LN(BZ13)+0.284)</f>
        <v>3.07975044433463</v>
      </c>
      <c r="CB13" s="128" t="n">
        <f aca="false">(BZ13+CA13)*0.475*44/12</f>
        <v>20.312621425546</v>
      </c>
      <c r="CC13" s="120" t="n">
        <f aca="false">CB13+(BT13+BU13)*44/12</f>
        <v>289.201510314435</v>
      </c>
      <c r="CD13" s="120" t="n">
        <f aca="true">AVERAGE(OFFSET($CC$3,0,0,'Données projet'!$E$12+1,1))-AVERAGE(OFFSET($H$3,0,0,'Données projet'!$E$12+1,1))</f>
        <v>240.228848647662</v>
      </c>
      <c r="CE13" s="120" t="n">
        <f aca="false">$CE$3</f>
        <v>343.237768841432</v>
      </c>
      <c r="CF13" s="121" t="n">
        <f aca="false">IF(ISNA(VLOOKUP(A13,'Données projet'!$A$113:$I$133,3,0)),0,VLOOKUP(A13,'Données projet'!$A$113:$I$133,3,0))</f>
        <v>0</v>
      </c>
      <c r="CG13" s="121" t="n">
        <f aca="false">IF(ISNA(VLOOKUP(A13,'Données projet'!$A$113:$I$133,4,0)),0,VLOOKUP(A13,'Données projet'!$A$113:$I$133,4,0))</f>
        <v>0</v>
      </c>
      <c r="CH13" s="122" t="n">
        <f aca="false">IF(ISNA(VLOOKUP(A13,'Données projet'!$A$113:$I$133,5,0)),0%,VLOOKUP(A13,'Données projet'!$A$113:$I$133,5,0)*VLOOKUP('Données projet'!$B$12,Paramètres!$A$1:$I$89,7,0))</f>
        <v>0</v>
      </c>
      <c r="CI13" s="122" t="n">
        <f aca="false">IF(ISNA(VLOOKUP(A13,'Données projet'!$A$113:$I$133,6,0)),0%,VLOOKUP(A13,'Données projet'!$A$113:$I$133,6,0)*VLOOKUP('Données projet'!$B$12,Paramètres!$A$1:$I$89,7,0))</f>
        <v>0</v>
      </c>
      <c r="CJ13" s="122" t="n">
        <f aca="false">IF(ISNA(VLOOKUP(A13,'Données projet'!$A$113:$I$133,7,0)),0%,VLOOKUP(A13,'Données projet'!$A$113:$I$133,7,0))</f>
        <v>0</v>
      </c>
      <c r="CK13" s="129" t="n">
        <f aca="false">EXP(-LN(2)/35)*CK12+(1-EXP(-LN(2)/35))/(LN(2)/35)*CG13*CH13*VLOOKUP('Données projet'!$B$12,Paramètres!$A$1:$I$89,3,0)*0.475*44/12</f>
        <v>0</v>
      </c>
      <c r="CL13" s="129" t="n">
        <f aca="false">EXP(-LN(2)/25)*CL12+(1-EXP(-LN(2)/25))/(LN(2)/25)*Calculateur!CG13*Calculateur!CI13*VLOOKUP('Données projet'!$B$12,Paramètres!$A$1:$I$89,3,0)*0.475*44/12</f>
        <v>0</v>
      </c>
      <c r="CM13" s="129" t="n">
        <f aca="false">EXP(-LN(2)/2)*CM12+(1-EXP(-LN(2)/2))/(LN(2)/2)*CG13*CJ13*VLOOKUP('Données projet'!$B$12,Paramètres!$A$1:$I$89,3,0)*0.475*44/12</f>
        <v>0</v>
      </c>
      <c r="CN13" s="130" t="n">
        <f aca="false">SUM(CK13:CM13)</f>
        <v>0</v>
      </c>
      <c r="CO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CQ13" s="118" t="e">
        <f aca="false">VLOOKUP(A13,'Données projet'!$A$139:$I$159,2,0)</f>
        <v>#N/A</v>
      </c>
      <c r="CR13" s="118" t="e">
        <f aca="false">VLOOKUP(A13,'Données projet'!$A$139:$I$159,9,0)</f>
        <v>#N/A</v>
      </c>
      <c r="CS13" s="118" t="n">
        <f aca="false" t="array" ref="CS13:CS13">INDEX(CR:CR,MIN(IF(ISNUMBER(CR13:CR209),ROW(CR13:CR209),"")))</f>
        <v>9.66666666666667</v>
      </c>
      <c r="CT13" s="118" t="n">
        <f aca="false">IF('Données projet'!$A$140&gt;35,CT12+CS13-DB12,IF(A13&lt;'Données projet'!$A$140,$CQ$205^A13,IF(A13='Données projet'!$A$140,'Données projet'!$B$140,CT12+CS13-DB12)))</f>
        <v>52.5268863392071</v>
      </c>
      <c r="CU13" s="125" t="n">
        <f aca="false">CT13*VLOOKUP('Données projet'!$B$13,Paramètres!$A$1:$I$89,3,0)*VLOOKUP('Données projet'!$B$13,Paramètres!$A$1:$I$89,5,0)</f>
        <v>28.6796799412071</v>
      </c>
      <c r="CV13" s="117" t="n">
        <f aca="false">EXP(-1.0587+0.8836*LN(CU13)+0.284)</f>
        <v>8.94261876636844</v>
      </c>
      <c r="CW13" s="128" t="n">
        <f aca="false">(CU13+CV13)*0.475*44/12</f>
        <v>65.5255035823607</v>
      </c>
      <c r="CX13" s="120" t="n">
        <f aca="false">CW13+(CO13+CP13)*44/12</f>
        <v>334.41439247125</v>
      </c>
      <c r="CY13" s="120" t="n">
        <f aca="true">AVERAGE(OFFSET($CX$3,0,0,'Données projet'!$E$13+1,1))-AVERAGE(OFFSET($H$3,0,0,'Données projet'!$E$13+1,1))</f>
        <v>207.023069645676</v>
      </c>
      <c r="CZ13" s="120" t="n">
        <f aca="false">$CZ$3</f>
        <v>342.068879333518</v>
      </c>
      <c r="DA13" s="121" t="n">
        <f aca="false">IF(ISNA(VLOOKUP(A13,'Données projet'!$A$139:$I$159,3,0)),0,VLOOKUP(A13,'Données projet'!$A$139:$I$159,3,0))</f>
        <v>0</v>
      </c>
      <c r="DB13" s="121" t="n">
        <f aca="false">IF(ISNA(VLOOKUP(A13,'Données projet'!$A$139:$I$159,4,0)),0,VLOOKUP(A13,'Données projet'!$A$139:$I$159,4,0))</f>
        <v>0</v>
      </c>
      <c r="DC13" s="122" t="n">
        <f aca="false">IF(ISNA(VLOOKUP(A13,'Données projet'!$A$139:$I$159,5,0)),0%,VLOOKUP(A13,'Données projet'!$A$139:$I$159,5,0)*VLOOKUP('Données projet'!$B$13,Paramètres!$A$1:$I$89,7,0))</f>
        <v>0</v>
      </c>
      <c r="DD13" s="122" t="n">
        <f aca="false">IF(ISNA(VLOOKUP(A13,'Données projet'!$A$139:$I$159,6,0)),0%,VLOOKUP(A13,'Données projet'!$A$139:$I$159,6,0)*VLOOKUP('Données projet'!$B$13,Paramètres!$A$1:$I$89,7,0))</f>
        <v>0</v>
      </c>
      <c r="DE13" s="122" t="n">
        <f aca="false">IF(ISNA(VLOOKUP(A13,'Données projet'!$A$139:$I$159,7,0)),0%,VLOOKUP(A13,'Données projet'!$A$139:$I$159,7,0))</f>
        <v>0</v>
      </c>
      <c r="DF13" s="129" t="n">
        <f aca="false">EXP(-LN(2)/35)*DF12+(1-EXP(-LN(2)/35))/(LN(2)/35)*DB13*DC13*VLOOKUP('Données projet'!$B$13,Paramètres!$A$1:$I$89,3,0)*0.475*44/12</f>
        <v>0</v>
      </c>
      <c r="DG13" s="129" t="n">
        <f aca="false">EXP(-LN(2)/25)*DG12+(1-EXP(-LN(2)/25))/(LN(2)/25)*Calculateur!DB13*Calculateur!DD13*VLOOKUP('Données projet'!$B$13,Paramètres!$A$1:$I$89,3,0)*0.475*44/12</f>
        <v>0</v>
      </c>
      <c r="DH13" s="129" t="n">
        <f aca="false">EXP(-LN(2)/2)*DH12+(1-EXP(-LN(2)/2))/(LN(2)/2)*DB13*DE13*VLOOKUP('Données projet'!$B$13,Paramètres!$A$1:$I$89,3,0)*0.475*44/12</f>
        <v>0</v>
      </c>
      <c r="DI13" s="130" t="n">
        <f aca="false">SUM(DF13:DH13)</f>
        <v>0</v>
      </c>
      <c r="DJ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DL13" s="118" t="e">
        <f aca="false">VLOOKUP(A13,'Données projet'!$A$165:$I$185,2,0)</f>
        <v>#N/A</v>
      </c>
      <c r="DM13" s="118" t="e">
        <f aca="false">VLOOKUP(A13,'Données projet'!$A$165:$I$185,9,0)</f>
        <v>#N/A</v>
      </c>
      <c r="DN13" s="118" t="n">
        <f aca="false" t="array" ref="DN13:DN13">INDEX(DM:DM,MIN(IF(ISNUMBER(DM13:DM209),ROW(DM13:DM209),"")))</f>
        <v>3</v>
      </c>
      <c r="DO13" s="118" t="n">
        <f aca="false">IF('Données projet'!$A$166&gt;35,DO12+DN13-DW12,IF(A13&lt;'Données projet'!$A$166,$DL$205^A13,IF(A13='Données projet'!$A$166,'Données projet'!$B$166,DO12+DN13-DW12)))</f>
        <v>19.8115634933678</v>
      </c>
      <c r="DP13" s="125" t="n">
        <f aca="false">DO13*VLOOKUP('Données projet'!$B$14,Paramètres!$A$1:$I$89,3,0)*VLOOKUP('Données projet'!$B$14,Paramètres!$A$1:$I$89,5,0)</f>
        <v>11.8473149690339</v>
      </c>
      <c r="DQ13" s="117" t="n">
        <f aca="false">EXP(-1.0587+0.8836*LN(DP13)+0.284)</f>
        <v>4.09451662767777</v>
      </c>
      <c r="DR13" s="128" t="n">
        <f aca="false">(DP13+DQ13)*0.475*44/12</f>
        <v>27.7653566976062</v>
      </c>
      <c r="DS13" s="120" t="n">
        <f aca="false">DR13+(DJ13+DK13)*44/12</f>
        <v>296.654245586495</v>
      </c>
      <c r="DT13" s="120" t="n">
        <f aca="true">AVERAGE(OFFSET($DS$3,0,0,'Données projet'!$E$14+1,1))-AVERAGE(OFFSET($H$3,0,0,'Données projet'!$E$14+1,1))</f>
        <v>549.432320957297</v>
      </c>
      <c r="DU13" s="120" t="n">
        <f aca="false">$DU$3</f>
        <v>280.26155987301</v>
      </c>
      <c r="DV13" s="121" t="n">
        <f aca="false">IF(ISNA(VLOOKUP(A13,'Données projet'!$A$165:$I$185,3,0)),0,VLOOKUP(A13,'Données projet'!$A$165:$I$185,3,0))</f>
        <v>0</v>
      </c>
      <c r="DW13" s="121" t="n">
        <f aca="false">IF(ISNA(VLOOKUP(A13,'Données projet'!$A$165:$I$185,4,0)),0,VLOOKUP(A13,'Données projet'!$A$165:$I$185,4,0))</f>
        <v>0</v>
      </c>
      <c r="DX13" s="122" t="n">
        <f aca="false">IF(ISNA(VLOOKUP(A13,'Données projet'!$A$165:$I$185,5,0)),0%,VLOOKUP(A13,'Données projet'!$A$165:$I$185,5,0)*VLOOKUP('Données projet'!$B$14,Paramètres!$A$1:$I$89,7,0))</f>
        <v>0</v>
      </c>
      <c r="DY13" s="122" t="n">
        <f aca="false">IF(ISNA(VLOOKUP(A13,'Données projet'!$A$165:$I$185,6,0)),0%,VLOOKUP(A13,'Données projet'!$A$165:$I$185,6,0)*VLOOKUP('Données projet'!$B$14,Paramètres!$A$1:$I$89,7,0))</f>
        <v>0</v>
      </c>
      <c r="DZ13" s="122" t="n">
        <f aca="false">IF(ISNA(VLOOKUP(A13,'Données projet'!$A$165:$I$185,7,0)),0%,VLOOKUP(A13,'Données projet'!$A$165:$I$185,7,0))</f>
        <v>0</v>
      </c>
      <c r="EA13" s="129" t="n">
        <f aca="false">EXP(-LN(2)/35)*EA12+(1-EXP(-LN(2)/35))/(LN(2)/35)*DW13*DX13*VLOOKUP('Données projet'!$B$14,Paramètres!$A$1:$I$89,3,0)*0.475*44/12</f>
        <v>0</v>
      </c>
      <c r="EB13" s="129" t="n">
        <f aca="false">EXP(-LN(2)/25)*EB12+(1-EXP(-LN(2)/25))/(LN(2)/25)*Calculateur!DW13*Calculateur!DY13*VLOOKUP('Données projet'!$B$14,Paramètres!$A$1:$I$89,3,0)*0.475*44/12</f>
        <v>0</v>
      </c>
      <c r="EC13" s="129" t="n">
        <f aca="false">EXP(-LN(2)/2)*EC12+(1-EXP(-LN(2)/2))/(LN(2)/2)*DW13*DZ13*VLOOKUP('Données projet'!$B$14,Paramètres!$A$1:$I$89,3,0)*0.475*44/12</f>
        <v>0</v>
      </c>
      <c r="ED13" s="130" t="n">
        <f aca="false">SUM(EA13:EC13)</f>
        <v>0</v>
      </c>
      <c r="EE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EG13" s="118" t="e">
        <f aca="false">VLOOKUP(A13,'Données projet'!$A$191:$I$211,2,0)</f>
        <v>#N/A</v>
      </c>
      <c r="EH13" s="118" t="e">
        <f aca="false">VLOOKUP(A13,'Données projet'!$A$191:$I$211,9,0)</f>
        <v>#N/A</v>
      </c>
      <c r="EI13" s="118" t="n">
        <f aca="false" t="array" ref="EI13:EI13">INDEX(EH:EH,MIN(IF(ISNUMBER(EH13:EH209),ROW(EH13:EH209),"")))</f>
        <v>0</v>
      </c>
      <c r="EJ13" s="118" t="n">
        <f aca="false">IF('Données projet'!$A$192&gt;35,EJ12+EI13-ER12,IF(A13&lt;'Données projet'!$A$192,$EG$205^A13,IF(A13='Données projet'!$A$192,'Données projet'!$B$192,EJ12+EI13-ER12)))</f>
        <v>0</v>
      </c>
      <c r="EK13" s="125" t="e">
        <f aca="false">EJ13*VLOOKUP('Données projet'!$B$15,Paramètres!$A$1:$I$89,3,0)*VLOOKUP('Données projet'!$B$15,Paramètres!$A$1:$I$89,5,0)</f>
        <v>#N/A</v>
      </c>
      <c r="EL13" s="117" t="e">
        <f aca="false">EXP(-1.0587+0.8836*LN(EK13)+0.284)</f>
        <v>#N/A</v>
      </c>
      <c r="EM13" s="128" t="e">
        <f aca="false">(EK13+EL13)*0.475*44/12</f>
        <v>#N/A</v>
      </c>
      <c r="EN13" s="120" t="e">
        <f aca="false">EM13+(EE13+EF13)*44/12</f>
        <v>#N/A</v>
      </c>
      <c r="EO13" s="120" t="e">
        <f aca="true">AVERAGE(OFFSET($EN$3,0,0,'Données projet'!$E$15+1,1))-AVERAGE(OFFSET($H$3,0,0,'Données projet'!$E$15+1,1))</f>
        <v>#N/A</v>
      </c>
      <c r="EP13" s="120" t="e">
        <f aca="false">$EP$3</f>
        <v>#N/A</v>
      </c>
      <c r="EQ13" s="121" t="n">
        <f aca="false">IF(ISNA(VLOOKUP(A13,'Données projet'!$A$191:$I$211,3,0)),0,VLOOKUP(A13,'Données projet'!$A$191:$I$211,3,0))</f>
        <v>0</v>
      </c>
      <c r="ER13" s="121" t="n">
        <f aca="false">IF(ISNA(VLOOKUP(A13,'Données projet'!$A$191:$I$211,4,0)),0,VLOOKUP(A13,'Données projet'!$A$191:$I$211,4,0))</f>
        <v>0</v>
      </c>
      <c r="ES13" s="122" t="n">
        <f aca="false">IF(ISNA(VLOOKUP(A13,'Données projet'!$A$191:$I$211,5,0)),0%,VLOOKUP(A13,'Données projet'!$A$191:$I$211,5,0)*VLOOKUP('Données projet'!$B$15,Paramètres!$A$1:$I$89,7,0))</f>
        <v>0</v>
      </c>
      <c r="ET13" s="122" t="n">
        <f aca="false">IF(ISNA(VLOOKUP(A13,'Données projet'!$A$191:$I$211,6,0)),0%,VLOOKUP(A13,'Données projet'!$A$191:$I$211,6,0)*VLOOKUP('Données projet'!$B$15,Paramètres!$A$1:$I$89,7,0))</f>
        <v>0</v>
      </c>
      <c r="EU13" s="122" t="n">
        <f aca="false">IF(ISNA(VLOOKUP(A13,'Données projet'!$A$191:$I$211,7,0)),0%,VLOOKUP(A13,'Données projet'!$A$191:$I$211,7,0))</f>
        <v>0</v>
      </c>
      <c r="EV13" s="129" t="e">
        <f aca="false">EXP(-LN(2)/35)*EV12+(1-EXP(-LN(2)/35))/(LN(2)/35)*ER13*ES13*VLOOKUP('Données projet'!$B$15,Paramètres!$A$1:$I$89,3,0)*0.475*44/12</f>
        <v>#N/A</v>
      </c>
      <c r="EW13" s="129" t="e">
        <f aca="false">EXP(-LN(2)/25)*EW12+(1-EXP(-LN(2)/25))/(LN(2)/25)*Calculateur!ER13*Calculateur!ET13*VLOOKUP('Données projet'!$B$15,Paramètres!$A$1:$I$89,3,0)*0.475*44/12</f>
        <v>#N/A</v>
      </c>
      <c r="EX13" s="129" t="e">
        <f aca="false">EXP(-LN(2)/2)*EX12+(1-EXP(-LN(2)/2))/(LN(2)/2)*ER13*EU13*VLOOKUP('Données projet'!$B$15,Paramètres!$A$1:$I$89,3,0)*0.475*44/12</f>
        <v>#N/A</v>
      </c>
      <c r="EY13" s="130" t="e">
        <f aca="false">SUM(EV13:EX13)</f>
        <v>#N/A</v>
      </c>
      <c r="EZ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FB13" s="118" t="e">
        <f aca="false">VLOOKUP(A13,'Données projet'!$A$217:$I$237,2,0)</f>
        <v>#N/A</v>
      </c>
      <c r="FC13" s="118" t="e">
        <f aca="false">VLOOKUP(A13,'Données projet'!$A$217:$I$237,9,0)</f>
        <v>#N/A</v>
      </c>
      <c r="FD13" s="118" t="n">
        <f aca="false" t="array" ref="FD13:FD13">INDEX(FC:FC,MIN(IF(ISNUMBER(FC13:FC209),ROW(FC13:FC209),"")))</f>
        <v>0</v>
      </c>
      <c r="FE13" s="118" t="n">
        <f aca="false">IF('Données projet'!$A$218&gt;35,FE12+FD13-FM12,IF(A13&lt;'Données projet'!$A$218,$FB$205^A13,IF(A13='Données projet'!$A$218,'Données projet'!$B$218,FE12+FD13-FM12)))</f>
        <v>0</v>
      </c>
      <c r="FF13" s="125" t="e">
        <f aca="false">FE13*VLOOKUP('Données projet'!$B$16,Paramètres!$A$1:$I$89,3,0)*VLOOKUP('Données projet'!$B$16,Paramètres!$A$1:$I$89,5,0)</f>
        <v>#N/A</v>
      </c>
      <c r="FG13" s="117" t="e">
        <f aca="false">EXP(-1.0587+0.8836*LN(FF13)+0.284)</f>
        <v>#N/A</v>
      </c>
      <c r="FH13" s="128" t="e">
        <f aca="false">(FF13+FG13)*0.475*44/12</f>
        <v>#N/A</v>
      </c>
      <c r="FI13" s="120" t="e">
        <f aca="false">FH13+(EZ13+FA13)*44/12</f>
        <v>#N/A</v>
      </c>
      <c r="FJ13" s="120" t="e">
        <f aca="true">AVERAGE(OFFSET($FI$3,0,0,'Données projet'!$E$16+1,1))-AVERAGE(OFFSET($H$3,0,0,'Données projet'!$E$16+1,1))</f>
        <v>#N/A</v>
      </c>
      <c r="FK13" s="120" t="e">
        <f aca="false">$FK$3</f>
        <v>#N/A</v>
      </c>
      <c r="FL13" s="121" t="n">
        <f aca="false">IF(ISNA(VLOOKUP(A13,'Données projet'!$A$217:$I$237,3,0)),0,VLOOKUP(A13,'Données projet'!$A$217:$I$237,3,0))</f>
        <v>0</v>
      </c>
      <c r="FM13" s="121" t="n">
        <f aca="false">IF(ISNA(VLOOKUP(A13,'Données projet'!$A$217:$I$237,4,0)),0,VLOOKUP(A13,'Données projet'!$A$217:$I$237,4,0))</f>
        <v>0</v>
      </c>
      <c r="FN13" s="122" t="n">
        <f aca="false">IF(ISNA(VLOOKUP(A13,'Données projet'!$A$217:$I$237,5,0)),0%,VLOOKUP(A13,'Données projet'!$A$217:$I$237,5,0)*VLOOKUP('Données projet'!$B$16,Paramètres!$A$1:$I$89,7,0))</f>
        <v>0</v>
      </c>
      <c r="FO13" s="122" t="n">
        <f aca="false">IF(ISNA(VLOOKUP(A13,'Données projet'!$A$217:$I$237,6,0)),0%,VLOOKUP(A13,'Données projet'!$A$217:$I$237,6,0)*VLOOKUP('Données projet'!$B$16,Paramètres!$A$1:$I$89,7,0))</f>
        <v>0</v>
      </c>
      <c r="FP13" s="122" t="n">
        <f aca="false">IF(ISNA(VLOOKUP(A13,'Données projet'!$A$217:$I$237,7,0)),0%,VLOOKUP(A13,'Données projet'!$A$217:$I$237,7,0))</f>
        <v>0</v>
      </c>
      <c r="FQ13" s="129" t="e">
        <f aca="false">EXP(-LN(2)/35)*FQ12+(1-EXP(-LN(2)/35))/(LN(2)/35)*FM13*FN13*VLOOKUP('Données projet'!$B$16,Paramètres!$A$1:$I$89,3,0)*0.475*44/12</f>
        <v>#N/A</v>
      </c>
      <c r="FR13" s="129" t="e">
        <f aca="false">EXP(-LN(2)/25)*FR12+(1-EXP(-LN(2)/25))/(LN(2)/25)*Calculateur!FM13*Calculateur!FO13*VLOOKUP('Données projet'!$B$16,Paramètres!$A$1:$I$89,3,0)*0.475*44/12</f>
        <v>#N/A</v>
      </c>
      <c r="FS13" s="129" t="e">
        <f aca="false">EXP(-LN(2)/2)*FS12+(1-EXP(-LN(2)/2))/(LN(2)/2)*FM13*FP13*VLOOKUP('Données projet'!$B$16,Paramètres!$A$1:$I$89,3,0)*0.475*44/12</f>
        <v>#N/A</v>
      </c>
      <c r="FT13" s="130" t="e">
        <f aca="false">SUM(FQ13:FS13)</f>
        <v>#N/A</v>
      </c>
      <c r="FU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FW13" s="118" t="e">
        <f aca="false">VLOOKUP(A13,'Données projet'!$A$243:$I$263,2,0)</f>
        <v>#N/A</v>
      </c>
      <c r="FX13" s="118" t="e">
        <f aca="false">VLOOKUP(A13,'Données projet'!$A$243:$I$263,9,0)</f>
        <v>#N/A</v>
      </c>
      <c r="FY13" s="118" t="n">
        <f aca="false" t="array" ref="FY13:FY13">INDEX(FX:FX,MIN(IF(ISNUMBER(FX13:FX209),ROW(FX13:FX209),"")))</f>
        <v>0</v>
      </c>
      <c r="FZ13" s="118" t="n">
        <f aca="false">IF('Données projet'!$A$244&gt;35,FZ12+FY13-GH12,IF(A13&lt;'Données projet'!$A$244,$FW$205^A13,IF(A13='Données projet'!$A$244,'Données projet'!$B$244,FZ12+FY13-GH12)))</f>
        <v>0</v>
      </c>
      <c r="GA13" s="125" t="e">
        <f aca="false">FZ13*VLOOKUP('Données projet'!$B$17,Paramètres!$A$1:$I$89,3,0)*VLOOKUP('Données projet'!$B$17,Paramètres!$A$1:$I$89,5,0)</f>
        <v>#N/A</v>
      </c>
      <c r="GB13" s="117" t="e">
        <f aca="false">EXP(-1.0587+0.8836*LN(GA13)+0.284)</f>
        <v>#N/A</v>
      </c>
      <c r="GC13" s="128" t="e">
        <f aca="false">(GA13+GB13)*0.475*44/12</f>
        <v>#N/A</v>
      </c>
      <c r="GD13" s="120" t="e">
        <f aca="false">GC13+(FU13+FV13)*44/12</f>
        <v>#N/A</v>
      </c>
      <c r="GE13" s="120" t="e">
        <f aca="true">AVERAGE(OFFSET($GD$3,0,0,'Données projet'!$E$17+1,1))-AVERAGE(OFFSET($H$3,0,0,'Données projet'!$E$17+1,1))</f>
        <v>#N/A</v>
      </c>
      <c r="GF13" s="120" t="e">
        <f aca="false">$GF$3</f>
        <v>#N/A</v>
      </c>
      <c r="GG13" s="121" t="n">
        <f aca="false">IF(ISNA(VLOOKUP(A13,'Données projet'!$A$243:$I$263,3,0)),0,VLOOKUP(A13,'Données projet'!$A$243:$I$263,3,0))</f>
        <v>0</v>
      </c>
      <c r="GH13" s="121" t="n">
        <f aca="false">IF(ISNA(VLOOKUP(A13,'Données projet'!$A$243:$I$263,4,0)),0,VLOOKUP(A13,'Données projet'!$A$243:$I$263,4,0))</f>
        <v>0</v>
      </c>
      <c r="GI13" s="122" t="n">
        <f aca="false">IF(ISNA(VLOOKUP(A13,'Données projet'!$A$243:$I$263,5,0)),0%,VLOOKUP(A13,'Données projet'!$A$243:$I$263,5,0)*VLOOKUP('Données projet'!$B$17,Paramètres!$A$1:$I$89,7,0))</f>
        <v>0</v>
      </c>
      <c r="GJ13" s="122" t="n">
        <f aca="false">IF(ISNA(VLOOKUP(A13,'Données projet'!$A$243:$I$263,6,0)),0%,VLOOKUP(A13,'Données projet'!$A$243:$I$263,6,0)*VLOOKUP('Données projet'!$B$17,Paramètres!$A$1:$I$89,7,0))</f>
        <v>0</v>
      </c>
      <c r="GK13" s="122" t="n">
        <f aca="false">IF(ISNA(VLOOKUP(A13,'Données projet'!$A$243:$I$263,7,0)),0%,VLOOKUP(A13,'Données projet'!$A$243:$I$263,7,0))</f>
        <v>0</v>
      </c>
      <c r="GL13" s="129" t="e">
        <f aca="false">EXP(-LN(2)/35)*GL12+(1-EXP(-LN(2)/35))/(LN(2)/35)*GH13*GI13*VLOOKUP('Données projet'!$B$17,Paramètres!$A$1:$I$89,3,0)*0.475*44/12</f>
        <v>#N/A</v>
      </c>
      <c r="GM13" s="129" t="e">
        <f aca="false">EXP(-LN(2)/25)*GM12+(1-EXP(-LN(2)/25))/(LN(2)/25)*Calculateur!GH13*Calculateur!GJ13*VLOOKUP('Données projet'!$B$17,Paramètres!$A$1:$I$89,3,0)*0.475*44/12</f>
        <v>#N/A</v>
      </c>
      <c r="GN13" s="129" t="e">
        <f aca="false">EXP(-LN(2)/2)*GN12+(1-EXP(-LN(2)/2))/(LN(2)/2)*GH13*GK13*VLOOKUP('Données projet'!$B$17,Paramètres!$A$1:$I$89,3,0)*0.475*44/12</f>
        <v>#N/A</v>
      </c>
      <c r="GO13" s="129" t="e">
        <f aca="false">SUM(GL13:GN13)</f>
        <v>#N/A</v>
      </c>
      <c r="GP13" s="126" t="n">
        <f aca="false"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8" t="n">
        <f aca="false">IF(A13&gt;30,10,('Scénario référence'!$B$16+'Scénario référence'!$B$17+'Scénario référence'!$B$18+'Scénario référence'!$B$9+'Scénario référence'!$B$10)*A13*10/30+('Scénario référence'!$F$8+'Scénario référence'!$F$9)*10)</f>
        <v>3.33333333333333</v>
      </c>
      <c r="GR13" s="118" t="e">
        <f aca="false">VLOOKUP(A13,'Données projet'!$A$269:$I$289,2,0)</f>
        <v>#N/A</v>
      </c>
      <c r="GS13" s="118" t="e">
        <f aca="false">VLOOKUP(A13,'Données projet'!$A$269:$I$289,9,0)</f>
        <v>#N/A</v>
      </c>
      <c r="GT13" s="118" t="n">
        <f aca="false" t="array" ref="GT13:GT13">INDEX(GS:GS,MIN(IF(ISNUMBER(GS13:GS209),ROW(GS13:GS209),"")))</f>
        <v>0</v>
      </c>
      <c r="GU13" s="118" t="n">
        <f aca="false">IF('Données projet'!$A$270&gt;35,GU12+GT13-HC12,IF(A13&lt;'Données projet'!$A$270,$GR$205^A13,IF(A13='Données projet'!$A$270,'Données projet'!$B$270,GU12+GT13-HC12)))</f>
        <v>0</v>
      </c>
      <c r="GV13" s="125" t="e">
        <f aca="false">GU13*VLOOKUP('Données projet'!$B$18,Paramètres!$A$1:$I$89,3,0)*VLOOKUP('Données projet'!$B$18,Paramètres!$A$1:$I$89,5,0)</f>
        <v>#N/A</v>
      </c>
      <c r="GW13" s="117" t="e">
        <f aca="false">EXP(-1.0587+0.8836*LN(GV13)+0.284)</f>
        <v>#N/A</v>
      </c>
      <c r="GX13" s="128" t="e">
        <f aca="false">(GV13+GW13)*0.475*44/12</f>
        <v>#N/A</v>
      </c>
      <c r="GY13" s="120" t="e">
        <f aca="false">GX13+(GP13+GQ13)*44/12</f>
        <v>#N/A</v>
      </c>
      <c r="GZ13" s="120" t="e">
        <f aca="true">AVERAGE(OFFSET($GY$3,0,0,'Données projet'!$E$18+1,1))-AVERAGE(OFFSET($H$3,0,0,'Données projet'!$E$18+1,1))</f>
        <v>#N/A</v>
      </c>
      <c r="HA13" s="120" t="e">
        <f aca="false">$HA$3</f>
        <v>#N/A</v>
      </c>
      <c r="HB13" s="121" t="n">
        <f aca="false">IF(ISNA(VLOOKUP(A13,'Données projet'!$A$269:$I$289,3,0)),0,VLOOKUP(A13,'Données projet'!$A$269:$I$289,3,0))</f>
        <v>0</v>
      </c>
      <c r="HC13" s="121" t="n">
        <f aca="false">IF(ISNA(VLOOKUP(A13,'Données projet'!$A$269:$I$289,4,0)),0,VLOOKUP(A13,'Données projet'!$A$269:$I$289,4,0))</f>
        <v>0</v>
      </c>
      <c r="HD13" s="122" t="n">
        <f aca="false">IF(ISNA(VLOOKUP(A13,'Données projet'!$A$269:$I$289,5,0)),0%,VLOOKUP(A13,'Données projet'!$A$269:$I$289,5,0)*VLOOKUP('Données projet'!$B$18,Paramètres!$A$1:$I$89,7,0))</f>
        <v>0</v>
      </c>
      <c r="HE13" s="122" t="n">
        <f aca="false">IF(ISNA(VLOOKUP(A13,'Données projet'!$A$269:$I$289,6,0)),0%,VLOOKUP(A13,'Données projet'!$A$269:$I$289,6,0)*VLOOKUP('Données projet'!$B$18,Paramètres!$A$1:$I$89,7,0))</f>
        <v>0</v>
      </c>
      <c r="HF13" s="122" t="n">
        <f aca="false">IF(ISNA(VLOOKUP(A13,'Données projet'!$A$269:$I$289,7,0)),0%,VLOOKUP(A13,'Données projet'!$A$269:$I$289,7,0))</f>
        <v>0</v>
      </c>
      <c r="HG13" s="129" t="e">
        <f aca="false">EXP(-LN(2)/35)*HG12+(1-EXP(-LN(2)/35))/(LN(2)/35)*HC13*HD13*VLOOKUP('Données projet'!$B$18,Paramètres!$A$1:$I$89,3,0)*0.475*44/12</f>
        <v>#N/A</v>
      </c>
      <c r="HH13" s="129" t="e">
        <f aca="false">EXP(-LN(2)/25)*HH12+(1-EXP(-LN(2)/25))/(LN(2)/25)*Calculateur!HC13*Calculateur!HE13*VLOOKUP('Données projet'!$B$18,Paramètres!$A$1:$I$89,3,0)*0.475*44/12</f>
        <v>#N/A</v>
      </c>
      <c r="HI13" s="129" t="e">
        <f aca="false">EXP(-LN(2)/2)*HI12+(1-EXP(-LN(2)/2))/(LN(2)/2)*HC13*HF13*VLOOKUP('Données projet'!$B$18,Paramètres!$A$1:$I$89,3,0)*0.475*44/12</f>
        <v>#N/A</v>
      </c>
      <c r="HJ13" s="130" t="e">
        <f aca="false">SUM(HG13:HI13)</f>
        <v>#N/A</v>
      </c>
    </row>
    <row r="14" customFormat="false" ht="14.25" hidden="false" customHeight="false" outlineLevel="0" collapsed="false">
      <c r="A14" s="112" t="n">
        <f aca="false">A13+1</f>
        <v>11</v>
      </c>
      <c r="B14" s="113" t="n">
        <f aca="false">'Scénario référence'!$B$16*5+'Scénario référence'!$B$17*0+'Scénario référence'!$B$18*5</f>
        <v>0</v>
      </c>
      <c r="C14" s="127" t="n">
        <f aca="false"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4" t="n">
        <f aca="false">IFERROR(EXP(-1.0587+0.8836*LN(C14)+0.284),0)</f>
        <v>0</v>
      </c>
      <c r="E1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" s="114" t="n">
        <f aca="false">IF(OR('Scénario référence'!$F$8&gt;0,'Scénario référence'!$F$9&gt;0),('Scénario référence'!$F$8+'Scénario référence'!$F$9)*10,0)</f>
        <v>0</v>
      </c>
      <c r="G14" s="114" t="n">
        <f aca="false"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15" t="n">
        <f aca="false">(B14+E14+F14)*44/12+(C14+D14)*0.475*44/12</f>
        <v>256.666666666667</v>
      </c>
      <c r="I14" s="11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7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K14" s="118" t="e">
        <f aca="false">VLOOKUP(A14,'Données projet'!$A$35:$I$55,2,0)</f>
        <v>#N/A</v>
      </c>
      <c r="L14" s="118" t="e">
        <f aca="false">VLOOKUP(A14,'Données projet'!$A$35:$I$55,9,0)</f>
        <v>#N/A</v>
      </c>
      <c r="M14" s="118" t="n">
        <f aca="false" t="array" ref="M14:M14">INDEX(L:L,MIN(IF(ISNUMBER(L14:L210),ROW(L14:L210),"")))</f>
        <v>7.9</v>
      </c>
      <c r="N14" s="117" t="n">
        <f aca="false">IF('Données projet'!$A$36&gt;35,N13+M14-V13,IF(A14&lt;'Données projet'!$A$36,$K$205^A14,IF(A14='Données projet'!$A$36,'Données projet'!$B$36,N13+M14-V13)))</f>
        <v>16.1905423817799</v>
      </c>
      <c r="O14" s="117" t="n">
        <f aca="false">N14*VLOOKUP('Données projet'!$B$9,Paramètres!$A$1:$I$89,3,0)*VLOOKUP('Données projet'!$B$9,Paramètres!$A$1:$I$89,5,0)</f>
        <v>7.57717383467299</v>
      </c>
      <c r="P14" s="117" t="n">
        <f aca="false">EXP(-1.0587+0.8836*LN(O14)+0.284)</f>
        <v>2.75857421067364</v>
      </c>
      <c r="Q14" s="128" t="n">
        <f aca="false">(O14+P14)*0.475*44/12</f>
        <v>18.0014278456454</v>
      </c>
      <c r="R14" s="120" t="n">
        <f aca="false">Q14+(I14+J14)*44/12</f>
        <v>288.112538956757</v>
      </c>
      <c r="S14" s="120" t="n">
        <f aca="true">AVERAGE(OFFSET($R$3,0,0,'Données projet'!$E$9+1,1))-AVERAGE(OFFSET($H$3,0,0,'Données projet'!$E$9+1,1))</f>
        <v>319.229030946746</v>
      </c>
      <c r="T14" s="120" t="n">
        <f aca="false">$T$3</f>
        <v>254.586909731428</v>
      </c>
      <c r="U14" s="121" t="n">
        <f aca="false">IF(ISNA(VLOOKUP(A14,'Données projet'!$A$35:$I$55,3,0)),0,VLOOKUP(A14,'Données projet'!$A$35:$I$55,3,0))</f>
        <v>0</v>
      </c>
      <c r="V14" s="121" t="n">
        <f aca="false">IF(ISNA(VLOOKUP(A14,'Données projet'!$A$35:$I$55,4,0)),0,VLOOKUP(A14,'Données projet'!$A$35:$I$55,4,0))</f>
        <v>0</v>
      </c>
      <c r="W14" s="122" t="n">
        <f aca="false">IF(ISNA(VLOOKUP(A14,'Données projet'!$A$35:$I$55,5,0)),0%,VLOOKUP(A14,'Données projet'!$A$35:$I$55,5,0)*VLOOKUP('Données projet'!$B$9,Paramètres!$A$1:$I$89,7,0))</f>
        <v>0</v>
      </c>
      <c r="X14" s="122" t="n">
        <f aca="false">IF(ISNA(VLOOKUP(A14,'Données projet'!$A$35:$I$55,6,0)),0%,VLOOKUP(A14,'Données projet'!$A$35:$I$55,6,0)*VLOOKUP('Données projet'!$B$9,Paramètres!$A$1:$I$89,7,0))</f>
        <v>0</v>
      </c>
      <c r="Y14" s="122" t="n">
        <f aca="false">IF(ISNA(VLOOKUP(A14,'Données projet'!$A$35:$I$55,7,0)),0%,VLOOKUP(A14,'Données projet'!$A$35:$I$55,7,0))</f>
        <v>0</v>
      </c>
      <c r="Z14" s="129" t="n">
        <f aca="false">EXP(-LN(2)/35)*Z13+(1-EXP(-LN(2)/35))/(LN(2)/35)*V14*W14*VLOOKUP('Données projet'!$B$9,Paramètres!$A$1:$I$89,3,0)*0.475*44/12</f>
        <v>0</v>
      </c>
      <c r="AA14" s="129" t="n">
        <f aca="false">EXP(-LN(2)/25)*AA13+(1-EXP(-LN(2)/25))/(LN(2)/25)*Calculateur!V14*Calculateur!X14*VLOOKUP('Données projet'!$B$9,Paramètres!$A$1:$I$89,3,0)*0.475*44/12</f>
        <v>0</v>
      </c>
      <c r="AB14" s="129" t="n">
        <f aca="false">EXP(-LN(2)/2)*AB13+(1-EXP(-LN(2)/2))/(LN(2)/2)*V14*Y14*VLOOKUP('Données projet'!$B$9,Paramètres!$A$1:$I$89,3,0)*0.475*44/12</f>
        <v>0</v>
      </c>
      <c r="AC14" s="130" t="n">
        <f aca="false">SUM(Z14:AB14)</f>
        <v>0</v>
      </c>
      <c r="AD14" s="117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7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AF14" s="118" t="e">
        <f aca="false">VLOOKUP(A14,'Données projet'!$A$61:$I$81,2,0)</f>
        <v>#N/A</v>
      </c>
      <c r="AG14" s="118" t="e">
        <f aca="false">VLOOKUP(A14,'Données projet'!$A$61:$I$81,9,0)</f>
        <v>#N/A</v>
      </c>
      <c r="AH14" s="118" t="n">
        <f aca="false" t="array" ref="AH14:AH14">INDEX(AG:AG,MIN(IF(ISNUMBER(AG14:AG210),ROW(AG14:AG210),"")))</f>
        <v>7.04347826086957</v>
      </c>
      <c r="AI14" s="117" t="n">
        <f aca="false">IF('Données projet'!$A$62&gt;35,AI13+AH14-AQ13,IF(A14&lt;'Données projet'!$A$62,$AF$205^A14,IF(A14='Données projet'!$A$62,'Données projet'!$B$62,AI13+AH14-AQ13)))</f>
        <v>11.3952687495426</v>
      </c>
      <c r="AJ14" s="117" t="n">
        <f aca="false">AI14*VLOOKUP('Données projet'!$B$10,Paramètres!$A$1:$I$89,3,0)*VLOOKUP('Données projet'!$B$10,Paramètres!$A$1:$I$89,5,0)</f>
        <v>6.36995523099434</v>
      </c>
      <c r="AK14" s="117" t="n">
        <f aca="false">EXP(-1.0587+0.8836*LN(AJ14)+0.284)</f>
        <v>2.36639353570899</v>
      </c>
      <c r="AL14" s="128" t="n">
        <f aca="false">(AJ14+AK14)*0.475*44/12</f>
        <v>15.2158074353416</v>
      </c>
      <c r="AM14" s="120" t="n">
        <f aca="false">AL14+(AD14+AE14)*44/12</f>
        <v>285.326918546453</v>
      </c>
      <c r="AN14" s="120" t="n">
        <f aca="true">AVERAGE(OFFSET($AM$3,0,0,'Données projet'!$E$10+1,1))-AVERAGE(OFFSET($H$3,0,0,'Données projet'!$E$10+1,1))</f>
        <v>365.705101827279</v>
      </c>
      <c r="AO14" s="120" t="n">
        <f aca="false">$AO$3</f>
        <v>436.238338449625</v>
      </c>
      <c r="AP14" s="121" t="n">
        <f aca="false">IF(ISNA(VLOOKUP(A14,'Données projet'!$A$61:$I$81,3,0)),0,VLOOKUP(A14,'Données projet'!$A$61:$I$81,3,0))</f>
        <v>0</v>
      </c>
      <c r="AQ14" s="121" t="n">
        <f aca="false">IF(ISNA(VLOOKUP(A14,'Données projet'!$A$61:$I$81,4,0)),0,VLOOKUP(A14,'Données projet'!$A$61:$I$81,4,0))</f>
        <v>0</v>
      </c>
      <c r="AR14" s="122" t="n">
        <f aca="false">IF(ISNA(VLOOKUP(A14,'Données projet'!$A$61:$I$81,5,0)),0%,VLOOKUP(A14,'Données projet'!$A$61:$I$81,5,0)*VLOOKUP('Données projet'!$B$10,Paramètres!$A$1:$I$89,7,0))</f>
        <v>0</v>
      </c>
      <c r="AS14" s="122" t="n">
        <f aca="false">IF(ISNA(VLOOKUP(A14,'Données projet'!$A$61:$I$81,6,0)),0%,VLOOKUP(A14,'Données projet'!$A$61:$I$81,6,0)*VLOOKUP('Données projet'!$B$10,Paramètres!$A$1:$I$89,7,0))</f>
        <v>0</v>
      </c>
      <c r="AT14" s="122" t="n">
        <f aca="false">IF(ISNA(VLOOKUP(A14,'Données projet'!$A$61:$I$81,7,0)),0%,VLOOKUP(A14,'Données projet'!$A$61:$I$81,7,0))</f>
        <v>0</v>
      </c>
      <c r="AU14" s="129" t="n">
        <f aca="false">EXP(-LN(2)/35)*AU13+(1-EXP(-LN(2)/35))/(LN(2)/35)*AQ14*AR14*VLOOKUP('Données projet'!$B$10,Paramètres!$A$1:$I$89,3,0)*0.475*44/12</f>
        <v>0</v>
      </c>
      <c r="AV14" s="129" t="n">
        <f aca="false">EXP(-LN(2)/25)*AV13+(1-EXP(-LN(2)/25))/(LN(2)/25)*Calculateur!AQ14*Calculateur!AS14*VLOOKUP('Données projet'!$B$10,Paramètres!$A$1:$I$89,3,0)*0.475*44/12</f>
        <v>0</v>
      </c>
      <c r="AW14" s="129" t="n">
        <f aca="false">EXP(-LN(2)/2)*AW13+(1-EXP(-LN(2)/2))/(LN(2)/2)*AQ14*AT14*VLOOKUP('Données projet'!$B$10,Paramètres!$A$1:$I$89,3,0)*0.475*44/12</f>
        <v>0</v>
      </c>
      <c r="AX14" s="129" t="n">
        <f aca="false">SUM(AU14:AW14)</f>
        <v>0</v>
      </c>
      <c r="AY14" s="124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BA14" s="118" t="e">
        <f aca="false">VLOOKUP(A14,'Données projet'!$A$87:$I$107,2,0)</f>
        <v>#N/A</v>
      </c>
      <c r="BB14" s="118" t="e">
        <f aca="false">VLOOKUP(A14,'Données projet'!$A$87:$I$107,9,0)</f>
        <v>#N/A</v>
      </c>
      <c r="BC14" s="118" t="n">
        <f aca="false" t="array" ref="BC14:BC14">INDEX(BB:BB,MIN(IF(ISNUMBER(BB14:BB210),ROW(BB14:BB210),"")))</f>
        <v>5.8</v>
      </c>
      <c r="BD14" s="118" t="n">
        <f aca="false">IF('Données projet'!$A$88&gt;35,BD13+BC14-BL13,IF(A14&lt;'Données projet'!$A$88,$BA$205^A14,IF(A14='Données projet'!$A$88,'Données projet'!$B$88,BD13+BC14-BL13)))</f>
        <v>26.4432066269031</v>
      </c>
      <c r="BE14" s="117" t="n">
        <f aca="false">BD14*VLOOKUP('Données projet'!$B$11,Paramètres!$A$1:$I$89,3,0)*VLOOKUP('Données projet'!$B$11,Paramètres!$A$1:$I$89,5,0)</f>
        <v>23.1007853092625</v>
      </c>
      <c r="BF14" s="117" t="n">
        <f aca="false">EXP(-1.0587+0.8836*LN(BE14)+0.284)</f>
        <v>7.38673732826533</v>
      </c>
      <c r="BG14" s="128" t="n">
        <f aca="false">(BE14+BF14)*0.475*44/12</f>
        <v>53.0991019270277</v>
      </c>
      <c r="BH14" s="120" t="n">
        <f aca="false">BG14+(AY14+AZ14)*44/12</f>
        <v>323.210213038139</v>
      </c>
      <c r="BI14" s="120" t="n">
        <f aca="true">AVERAGE(OFFSET($BH$3,0,0,'Données projet'!$E$11+1,1))-AVERAGE(OFFSET($H$3,0,0,'Données projet'!$E$11+1,1))</f>
        <v>321.235999689929</v>
      </c>
      <c r="BJ14" s="120" t="n">
        <f aca="false">$BJ$3</f>
        <v>388.051958478005</v>
      </c>
      <c r="BK14" s="121" t="n">
        <f aca="false">IF(ISNA(VLOOKUP(A14,'Données projet'!$A$87:$I$107,3,0)),0,VLOOKUP(A14,'Données projet'!$A$87:$I$107,3,0))</f>
        <v>0</v>
      </c>
      <c r="BL14" s="121" t="n">
        <f aca="false">IF(ISNA(VLOOKUP(A14,'Données projet'!$A$87:$I$107,4,0)),0,VLOOKUP(A14,'Données projet'!$A$87:$I$107,4,0))</f>
        <v>0</v>
      </c>
      <c r="BM14" s="122" t="n">
        <f aca="false">IF(ISNA(VLOOKUP(A14,'Données projet'!$A$87:$I$107,5,0)),0%,VLOOKUP(A14,'Données projet'!$A$87:$I$107,5,0)*VLOOKUP('Données projet'!$B$11,Paramètres!$A$1:$I$89,7,0))</f>
        <v>0</v>
      </c>
      <c r="BN14" s="122" t="n">
        <f aca="false">IF(ISNA(VLOOKUP(A14,'Données projet'!$A$87:$I$107,6,0)),0%,VLOOKUP(A14,'Données projet'!$A$87:$I$107,6,0)*VLOOKUP('Données projet'!$B$11,Paramètres!$A$1:$I$89,7,0))</f>
        <v>0</v>
      </c>
      <c r="BO14" s="122" t="n">
        <f aca="false">IF(ISNA(VLOOKUP(A14,'Données projet'!$A$87:$I$107,7,0)),0%,VLOOKUP(A14,'Données projet'!$A$87:$I$107,7,0))</f>
        <v>0</v>
      </c>
      <c r="BP14" s="129" t="n">
        <f aca="false">EXP(-LN(2)/35)*BP13+(1-EXP(-LN(2)/35))/(LN(2)/35)*BL14*BM14*VLOOKUP('Données projet'!$B$11,Paramètres!$A$1:$I$89,3,0)*0.475*44/12</f>
        <v>0</v>
      </c>
      <c r="BQ14" s="129" t="n">
        <f aca="false">EXP(-LN(2)/25)*BQ13+(1-EXP(-LN(2)/25))/(LN(2)/25)*Calculateur!BL14*Calculateur!BN14*VLOOKUP('Données projet'!$B$11,Paramètres!$A$1:$I$89,3,0)*0.475*44/12</f>
        <v>0</v>
      </c>
      <c r="BR14" s="129" t="n">
        <f aca="false">EXP(-LN(2)/2)*BR13+(1-EXP(-LN(2)/2))/(LN(2)/2)*BL14*BO14*VLOOKUP('Données projet'!$B$11,Paramètres!$A$1:$I$89,3,0)*0.475*44/12</f>
        <v>0</v>
      </c>
      <c r="BS14" s="130" t="n">
        <f aca="false">SUM(BP14:BR14)</f>
        <v>0</v>
      </c>
      <c r="BT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BV14" s="118" t="e">
        <f aca="false">VLOOKUP(A14,'Données projet'!$A$113:$I$133,2,0)</f>
        <v>#N/A</v>
      </c>
      <c r="BW14" s="118" t="e">
        <f aca="false">VLOOKUP(A14,'Données projet'!$A$113:$I$133,9,0)</f>
        <v>#N/A</v>
      </c>
      <c r="BX14" s="118" t="n">
        <f aca="false" t="array" ref="BX14:BX14">INDEX(BW:BW,MIN(IF(ISNUMBER(BW14:BW210),ROW(BW14:BW210),"")))</f>
        <v>6.22222222222222</v>
      </c>
      <c r="BY14" s="118" t="n">
        <f aca="false">IF('Données projet'!$A$114&gt;35,BY13+BX14-CG13,IF(A14&lt;'Données projet'!$A$114,$BV$205^A14,IF(A14='Données projet'!$A$114,'Données projet'!$B$114,BY13+BX14-CG13)))</f>
        <v>17.877216627303</v>
      </c>
      <c r="BZ14" s="117" t="n">
        <f aca="false">BY14*VLOOKUP('Données projet'!$B$12,Paramètres!$A$1:$I$89,3,0)*VLOOKUP('Données projet'!$B$12,Paramètres!$A$1:$I$89,5,0)</f>
        <v>11.1553831754371</v>
      </c>
      <c r="CA14" s="117" t="n">
        <f aca="false">EXP(-1.0587+0.8836*LN(BZ14)+0.284)</f>
        <v>3.88248120839909</v>
      </c>
      <c r="CB14" s="128" t="n">
        <f aca="false">(BZ14+CA14)*0.475*44/12</f>
        <v>26.1909471351813</v>
      </c>
      <c r="CC14" s="120" t="n">
        <f aca="false">CB14+(BT14+BU14)*44/12</f>
        <v>296.302058246292</v>
      </c>
      <c r="CD14" s="120" t="n">
        <f aca="true">AVERAGE(OFFSET($CC$3,0,0,'Données projet'!$E$12+1,1))-AVERAGE(OFFSET($H$3,0,0,'Données projet'!$E$12+1,1))</f>
        <v>240.228848647662</v>
      </c>
      <c r="CE14" s="120" t="n">
        <f aca="false">$CE$3</f>
        <v>343.237768841432</v>
      </c>
      <c r="CF14" s="121" t="n">
        <f aca="false">IF(ISNA(VLOOKUP(A14,'Données projet'!$A$113:$I$133,3,0)),0,VLOOKUP(A14,'Données projet'!$A$113:$I$133,3,0))</f>
        <v>0</v>
      </c>
      <c r="CG14" s="121" t="n">
        <f aca="false">IF(ISNA(VLOOKUP(A14,'Données projet'!$A$113:$I$133,4,0)),0,VLOOKUP(A14,'Données projet'!$A$113:$I$133,4,0))</f>
        <v>0</v>
      </c>
      <c r="CH14" s="122" t="n">
        <f aca="false">IF(ISNA(VLOOKUP(A14,'Données projet'!$A$113:$I$133,5,0)),0%,VLOOKUP(A14,'Données projet'!$A$113:$I$133,5,0)*VLOOKUP('Données projet'!$B$12,Paramètres!$A$1:$I$89,7,0))</f>
        <v>0</v>
      </c>
      <c r="CI14" s="122" t="n">
        <f aca="false">IF(ISNA(VLOOKUP(A14,'Données projet'!$A$113:$I$133,6,0)),0%,VLOOKUP(A14,'Données projet'!$A$113:$I$133,6,0)*VLOOKUP('Données projet'!$B$12,Paramètres!$A$1:$I$89,7,0))</f>
        <v>0</v>
      </c>
      <c r="CJ14" s="122" t="n">
        <f aca="false">IF(ISNA(VLOOKUP(A14,'Données projet'!$A$113:$I$133,7,0)),0%,VLOOKUP(A14,'Données projet'!$A$113:$I$133,7,0))</f>
        <v>0</v>
      </c>
      <c r="CK14" s="129" t="n">
        <f aca="false">EXP(-LN(2)/35)*CK13+(1-EXP(-LN(2)/35))/(LN(2)/35)*CG14*CH14*VLOOKUP('Données projet'!$B$12,Paramètres!$A$1:$I$89,3,0)*0.475*44/12</f>
        <v>0</v>
      </c>
      <c r="CL14" s="129" t="n">
        <f aca="false">EXP(-LN(2)/25)*CL13+(1-EXP(-LN(2)/25))/(LN(2)/25)*Calculateur!CG14*Calculateur!CI14*VLOOKUP('Données projet'!$B$12,Paramètres!$A$1:$I$89,3,0)*0.475*44/12</f>
        <v>0</v>
      </c>
      <c r="CM14" s="129" t="n">
        <f aca="false">EXP(-LN(2)/2)*CM13+(1-EXP(-LN(2)/2))/(LN(2)/2)*CG14*CJ14*VLOOKUP('Données projet'!$B$12,Paramètres!$A$1:$I$89,3,0)*0.475*44/12</f>
        <v>0</v>
      </c>
      <c r="CN14" s="130" t="n">
        <f aca="false">SUM(CK14:CM14)</f>
        <v>0</v>
      </c>
      <c r="CO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CQ14" s="118" t="e">
        <f aca="false">VLOOKUP(A14,'Données projet'!$A$139:$I$159,2,0)</f>
        <v>#N/A</v>
      </c>
      <c r="CR14" s="118" t="e">
        <f aca="false">VLOOKUP(A14,'Données projet'!$A$139:$I$159,9,0)</f>
        <v>#N/A</v>
      </c>
      <c r="CS14" s="118" t="n">
        <f aca="false" t="array" ref="CS14:CS14">INDEX(CR:CR,MIN(IF(ISNUMBER(CR14:CR210),ROW(CR14:CR210),"")))</f>
        <v>9.66666666666667</v>
      </c>
      <c r="CT14" s="118" t="n">
        <f aca="false">IF('Données projet'!$A$140&gt;35,CT13+CS14-DB13,IF(A14&lt;'Données projet'!$A$140,$CQ$205^A14,IF(A14='Données projet'!$A$140,'Données projet'!$B$140,CT13+CS14-DB13)))</f>
        <v>78.0584320579656</v>
      </c>
      <c r="CU14" s="125" t="n">
        <f aca="false">CT14*VLOOKUP('Données projet'!$B$13,Paramètres!$A$1:$I$89,3,0)*VLOOKUP('Données projet'!$B$13,Paramètres!$A$1:$I$89,5,0)</f>
        <v>42.6199039036492</v>
      </c>
      <c r="CV14" s="117" t="n">
        <f aca="false">EXP(-1.0587+0.8836*LN(CU14)+0.284)</f>
        <v>12.6904680478491</v>
      </c>
      <c r="CW14" s="128" t="n">
        <f aca="false">(CU14+CV14)*0.475*44/12</f>
        <v>96.3322311488595</v>
      </c>
      <c r="CX14" s="120" t="n">
        <f aca="false">CW14+(CO14+CP14)*44/12</f>
        <v>366.443342259971</v>
      </c>
      <c r="CY14" s="120" t="n">
        <f aca="true">AVERAGE(OFFSET($CX$3,0,0,'Données projet'!$E$13+1,1))-AVERAGE(OFFSET($H$3,0,0,'Données projet'!$E$13+1,1))</f>
        <v>207.023069645676</v>
      </c>
      <c r="CZ14" s="120" t="n">
        <f aca="false">$CZ$3</f>
        <v>342.068879333518</v>
      </c>
      <c r="DA14" s="121" t="n">
        <f aca="false">IF(ISNA(VLOOKUP(A14,'Données projet'!$A$139:$I$159,3,0)),0,VLOOKUP(A14,'Données projet'!$A$139:$I$159,3,0))</f>
        <v>0</v>
      </c>
      <c r="DB14" s="121" t="n">
        <f aca="false">IF(ISNA(VLOOKUP(A14,'Données projet'!$A$139:$I$159,4,0)),0,VLOOKUP(A14,'Données projet'!$A$139:$I$159,4,0))</f>
        <v>0</v>
      </c>
      <c r="DC14" s="122" t="n">
        <f aca="false">IF(ISNA(VLOOKUP(A14,'Données projet'!$A$139:$I$159,5,0)),0%,VLOOKUP(A14,'Données projet'!$A$139:$I$159,5,0)*VLOOKUP('Données projet'!$B$13,Paramètres!$A$1:$I$89,7,0))</f>
        <v>0</v>
      </c>
      <c r="DD14" s="122" t="n">
        <f aca="false">IF(ISNA(VLOOKUP(A14,'Données projet'!$A$139:$I$159,6,0)),0%,VLOOKUP(A14,'Données projet'!$A$139:$I$159,6,0)*VLOOKUP('Données projet'!$B$13,Paramètres!$A$1:$I$89,7,0))</f>
        <v>0</v>
      </c>
      <c r="DE14" s="122" t="n">
        <f aca="false">IF(ISNA(VLOOKUP(A14,'Données projet'!$A$139:$I$159,7,0)),0%,VLOOKUP(A14,'Données projet'!$A$139:$I$159,7,0))</f>
        <v>0</v>
      </c>
      <c r="DF14" s="129" t="n">
        <f aca="false">EXP(-LN(2)/35)*DF13+(1-EXP(-LN(2)/35))/(LN(2)/35)*DB14*DC14*VLOOKUP('Données projet'!$B$13,Paramètres!$A$1:$I$89,3,0)*0.475*44/12</f>
        <v>0</v>
      </c>
      <c r="DG14" s="129" t="n">
        <f aca="false">EXP(-LN(2)/25)*DG13+(1-EXP(-LN(2)/25))/(LN(2)/25)*Calculateur!DB14*Calculateur!DD14*VLOOKUP('Données projet'!$B$13,Paramètres!$A$1:$I$89,3,0)*0.475*44/12</f>
        <v>0</v>
      </c>
      <c r="DH14" s="129" t="n">
        <f aca="false">EXP(-LN(2)/2)*DH13+(1-EXP(-LN(2)/2))/(LN(2)/2)*DB14*DE14*VLOOKUP('Données projet'!$B$13,Paramètres!$A$1:$I$89,3,0)*0.475*44/12</f>
        <v>0</v>
      </c>
      <c r="DI14" s="130" t="n">
        <f aca="false">SUM(DF14:DH14)</f>
        <v>0</v>
      </c>
      <c r="DJ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DL14" s="118" t="e">
        <f aca="false">VLOOKUP(A14,'Données projet'!$A$165:$I$185,2,0)</f>
        <v>#N/A</v>
      </c>
      <c r="DM14" s="118" t="e">
        <f aca="false">VLOOKUP(A14,'Données projet'!$A$165:$I$185,9,0)</f>
        <v>#N/A</v>
      </c>
      <c r="DN14" s="118" t="n">
        <f aca="false" t="array" ref="DN14:DN14">INDEX(DM:DM,MIN(IF(ISNUMBER(DM14:DM210),ROW(DM14:DM210),"")))</f>
        <v>3</v>
      </c>
      <c r="DO14" s="118" t="n">
        <f aca="false">IF('Données projet'!$A$166&gt;35,DO13+DN14-DW13,IF(A14&lt;'Données projet'!$A$166,$DL$205^A14,IF(A14='Données projet'!$A$166,'Données projet'!$B$166,DO13+DN14-DW13)))</f>
        <v>26.7061095212545</v>
      </c>
      <c r="DP14" s="125" t="n">
        <f aca="false">DO14*VLOOKUP('Données projet'!$B$14,Paramètres!$A$1:$I$89,3,0)*VLOOKUP('Données projet'!$B$14,Paramètres!$A$1:$I$89,5,0)</f>
        <v>15.9702534937102</v>
      </c>
      <c r="DQ14" s="117" t="n">
        <f aca="false">EXP(-1.0587+0.8836*LN(DP14)+0.284)</f>
        <v>5.33087353610463</v>
      </c>
      <c r="DR14" s="128" t="n">
        <f aca="false">(DP14+DQ14)*0.475*44/12</f>
        <v>37.0994629102608</v>
      </c>
      <c r="DS14" s="120" t="n">
        <f aca="false">DR14+(DJ14+DK14)*44/12</f>
        <v>307.210574021372</v>
      </c>
      <c r="DT14" s="120" t="n">
        <f aca="true">AVERAGE(OFFSET($DS$3,0,0,'Données projet'!$E$14+1,1))-AVERAGE(OFFSET($H$3,0,0,'Données projet'!$E$14+1,1))</f>
        <v>549.432320957297</v>
      </c>
      <c r="DU14" s="120" t="n">
        <f aca="false">$DU$3</f>
        <v>280.26155987301</v>
      </c>
      <c r="DV14" s="121" t="n">
        <f aca="false">IF(ISNA(VLOOKUP(A14,'Données projet'!$A$165:$I$185,3,0)),0,VLOOKUP(A14,'Données projet'!$A$165:$I$185,3,0))</f>
        <v>0</v>
      </c>
      <c r="DW14" s="121" t="n">
        <f aca="false">IF(ISNA(VLOOKUP(A14,'Données projet'!$A$165:$I$185,4,0)),0,VLOOKUP(A14,'Données projet'!$A$165:$I$185,4,0))</f>
        <v>0</v>
      </c>
      <c r="DX14" s="122" t="n">
        <f aca="false">IF(ISNA(VLOOKUP(A14,'Données projet'!$A$165:$I$185,5,0)),0%,VLOOKUP(A14,'Données projet'!$A$165:$I$185,5,0)*VLOOKUP('Données projet'!$B$14,Paramètres!$A$1:$I$89,7,0))</f>
        <v>0</v>
      </c>
      <c r="DY14" s="122" t="n">
        <f aca="false">IF(ISNA(VLOOKUP(A14,'Données projet'!$A$165:$I$185,6,0)),0%,VLOOKUP(A14,'Données projet'!$A$165:$I$185,6,0)*VLOOKUP('Données projet'!$B$14,Paramètres!$A$1:$I$89,7,0))</f>
        <v>0</v>
      </c>
      <c r="DZ14" s="122" t="n">
        <f aca="false">IF(ISNA(VLOOKUP(A14,'Données projet'!$A$165:$I$185,7,0)),0%,VLOOKUP(A14,'Données projet'!$A$165:$I$185,7,0))</f>
        <v>0</v>
      </c>
      <c r="EA14" s="129" t="n">
        <f aca="false">EXP(-LN(2)/35)*EA13+(1-EXP(-LN(2)/35))/(LN(2)/35)*DW14*DX14*VLOOKUP('Données projet'!$B$14,Paramètres!$A$1:$I$89,3,0)*0.475*44/12</f>
        <v>0</v>
      </c>
      <c r="EB14" s="129" t="n">
        <f aca="false">EXP(-LN(2)/25)*EB13+(1-EXP(-LN(2)/25))/(LN(2)/25)*Calculateur!DW14*Calculateur!DY14*VLOOKUP('Données projet'!$B$14,Paramètres!$A$1:$I$89,3,0)*0.475*44/12</f>
        <v>0</v>
      </c>
      <c r="EC14" s="129" t="n">
        <f aca="false">EXP(-LN(2)/2)*EC13+(1-EXP(-LN(2)/2))/(LN(2)/2)*DW14*DZ14*VLOOKUP('Données projet'!$B$14,Paramètres!$A$1:$I$89,3,0)*0.475*44/12</f>
        <v>0</v>
      </c>
      <c r="ED14" s="130" t="n">
        <f aca="false">SUM(EA14:EC14)</f>
        <v>0</v>
      </c>
      <c r="EE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EG14" s="118" t="e">
        <f aca="false">VLOOKUP(A14,'Données projet'!$A$191:$I$211,2,0)</f>
        <v>#N/A</v>
      </c>
      <c r="EH14" s="118" t="e">
        <f aca="false">VLOOKUP(A14,'Données projet'!$A$191:$I$211,9,0)</f>
        <v>#N/A</v>
      </c>
      <c r="EI14" s="118" t="n">
        <f aca="false" t="array" ref="EI14:EI14">INDEX(EH:EH,MIN(IF(ISNUMBER(EH14:EH210),ROW(EH14:EH210),"")))</f>
        <v>0</v>
      </c>
      <c r="EJ14" s="118" t="n">
        <f aca="false">IF('Données projet'!$A$192&gt;35,EJ13+EI14-ER13,IF(A14&lt;'Données projet'!$A$192,$EG$205^A14,IF(A14='Données projet'!$A$192,'Données projet'!$B$192,EJ13+EI14-ER13)))</f>
        <v>0</v>
      </c>
      <c r="EK14" s="125" t="e">
        <f aca="false">EJ14*VLOOKUP('Données projet'!$B$15,Paramètres!$A$1:$I$89,3,0)*VLOOKUP('Données projet'!$B$15,Paramètres!$A$1:$I$89,5,0)</f>
        <v>#N/A</v>
      </c>
      <c r="EL14" s="117" t="e">
        <f aca="false">EXP(-1.0587+0.8836*LN(EK14)+0.284)</f>
        <v>#N/A</v>
      </c>
      <c r="EM14" s="128" t="e">
        <f aca="false">(EK14+EL14)*0.475*44/12</f>
        <v>#N/A</v>
      </c>
      <c r="EN14" s="120" t="e">
        <f aca="false">EM14+(EE14+EF14)*44/12</f>
        <v>#N/A</v>
      </c>
      <c r="EO14" s="120" t="e">
        <f aca="true">AVERAGE(OFFSET($EN$3,0,0,'Données projet'!$E$15+1,1))-AVERAGE(OFFSET($H$3,0,0,'Données projet'!$E$15+1,1))</f>
        <v>#N/A</v>
      </c>
      <c r="EP14" s="120" t="e">
        <f aca="false">$EP$3</f>
        <v>#N/A</v>
      </c>
      <c r="EQ14" s="121" t="n">
        <f aca="false">IF(ISNA(VLOOKUP(A14,'Données projet'!$A$191:$I$211,3,0)),0,VLOOKUP(A14,'Données projet'!$A$191:$I$211,3,0))</f>
        <v>0</v>
      </c>
      <c r="ER14" s="121" t="n">
        <f aca="false">IF(ISNA(VLOOKUP(A14,'Données projet'!$A$191:$I$211,4,0)),0,VLOOKUP(A14,'Données projet'!$A$191:$I$211,4,0))</f>
        <v>0</v>
      </c>
      <c r="ES14" s="122" t="n">
        <f aca="false">IF(ISNA(VLOOKUP(A14,'Données projet'!$A$191:$I$211,5,0)),0%,VLOOKUP(A14,'Données projet'!$A$191:$I$211,5,0)*VLOOKUP('Données projet'!$B$15,Paramètres!$A$1:$I$89,7,0))</f>
        <v>0</v>
      </c>
      <c r="ET14" s="122" t="n">
        <f aca="false">IF(ISNA(VLOOKUP(A14,'Données projet'!$A$191:$I$211,6,0)),0%,VLOOKUP(A14,'Données projet'!$A$191:$I$211,6,0)*VLOOKUP('Données projet'!$B$15,Paramètres!$A$1:$I$89,7,0))</f>
        <v>0</v>
      </c>
      <c r="EU14" s="122" t="n">
        <f aca="false">IF(ISNA(VLOOKUP(A14,'Données projet'!$A$191:$I$211,7,0)),0%,VLOOKUP(A14,'Données projet'!$A$191:$I$211,7,0))</f>
        <v>0</v>
      </c>
      <c r="EV14" s="129" t="e">
        <f aca="false">EXP(-LN(2)/35)*EV13+(1-EXP(-LN(2)/35))/(LN(2)/35)*ER14*ES14*VLOOKUP('Données projet'!$B$15,Paramètres!$A$1:$I$89,3,0)*0.475*44/12</f>
        <v>#N/A</v>
      </c>
      <c r="EW14" s="129" t="e">
        <f aca="false">EXP(-LN(2)/25)*EW13+(1-EXP(-LN(2)/25))/(LN(2)/25)*Calculateur!ER14*Calculateur!ET14*VLOOKUP('Données projet'!$B$15,Paramètres!$A$1:$I$89,3,0)*0.475*44/12</f>
        <v>#N/A</v>
      </c>
      <c r="EX14" s="129" t="e">
        <f aca="false">EXP(-LN(2)/2)*EX13+(1-EXP(-LN(2)/2))/(LN(2)/2)*ER14*EU14*VLOOKUP('Données projet'!$B$15,Paramètres!$A$1:$I$89,3,0)*0.475*44/12</f>
        <v>#N/A</v>
      </c>
      <c r="EY14" s="130" t="e">
        <f aca="false">SUM(EV14:EX14)</f>
        <v>#N/A</v>
      </c>
      <c r="EZ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FB14" s="118" t="e">
        <f aca="false">VLOOKUP(A14,'Données projet'!$A$217:$I$237,2,0)</f>
        <v>#N/A</v>
      </c>
      <c r="FC14" s="118" t="e">
        <f aca="false">VLOOKUP(A14,'Données projet'!$A$217:$I$237,9,0)</f>
        <v>#N/A</v>
      </c>
      <c r="FD14" s="118" t="n">
        <f aca="false" t="array" ref="FD14:FD14">INDEX(FC:FC,MIN(IF(ISNUMBER(FC14:FC210),ROW(FC14:FC210),"")))</f>
        <v>0</v>
      </c>
      <c r="FE14" s="118" t="n">
        <f aca="false">IF('Données projet'!$A$218&gt;35,FE13+FD14-FM13,IF(A14&lt;'Données projet'!$A$218,$FB$205^A14,IF(A14='Données projet'!$A$218,'Données projet'!$B$218,FE13+FD14-FM13)))</f>
        <v>0</v>
      </c>
      <c r="FF14" s="125" t="e">
        <f aca="false">FE14*VLOOKUP('Données projet'!$B$16,Paramètres!$A$1:$I$89,3,0)*VLOOKUP('Données projet'!$B$16,Paramètres!$A$1:$I$89,5,0)</f>
        <v>#N/A</v>
      </c>
      <c r="FG14" s="117" t="e">
        <f aca="false">EXP(-1.0587+0.8836*LN(FF14)+0.284)</f>
        <v>#N/A</v>
      </c>
      <c r="FH14" s="128" t="e">
        <f aca="false">(FF14+FG14)*0.475*44/12</f>
        <v>#N/A</v>
      </c>
      <c r="FI14" s="120" t="e">
        <f aca="false">FH14+(EZ14+FA14)*44/12</f>
        <v>#N/A</v>
      </c>
      <c r="FJ14" s="120" t="e">
        <f aca="true">AVERAGE(OFFSET($FI$3,0,0,'Données projet'!$E$16+1,1))-AVERAGE(OFFSET($H$3,0,0,'Données projet'!$E$16+1,1))</f>
        <v>#N/A</v>
      </c>
      <c r="FK14" s="120" t="e">
        <f aca="false">$FK$3</f>
        <v>#N/A</v>
      </c>
      <c r="FL14" s="121" t="n">
        <f aca="false">IF(ISNA(VLOOKUP(A14,'Données projet'!$A$217:$I$237,3,0)),0,VLOOKUP(A14,'Données projet'!$A$217:$I$237,3,0))</f>
        <v>0</v>
      </c>
      <c r="FM14" s="121" t="n">
        <f aca="false">IF(ISNA(VLOOKUP(A14,'Données projet'!$A$217:$I$237,4,0)),0,VLOOKUP(A14,'Données projet'!$A$217:$I$237,4,0))</f>
        <v>0</v>
      </c>
      <c r="FN14" s="122" t="n">
        <f aca="false">IF(ISNA(VLOOKUP(A14,'Données projet'!$A$217:$I$237,5,0)),0%,VLOOKUP(A14,'Données projet'!$A$217:$I$237,5,0)*VLOOKUP('Données projet'!$B$16,Paramètres!$A$1:$I$89,7,0))</f>
        <v>0</v>
      </c>
      <c r="FO14" s="122" t="n">
        <f aca="false">IF(ISNA(VLOOKUP(A14,'Données projet'!$A$217:$I$237,6,0)),0%,VLOOKUP(A14,'Données projet'!$A$217:$I$237,6,0)*VLOOKUP('Données projet'!$B$16,Paramètres!$A$1:$I$89,7,0))</f>
        <v>0</v>
      </c>
      <c r="FP14" s="122" t="n">
        <f aca="false">IF(ISNA(VLOOKUP(A14,'Données projet'!$A$217:$I$237,7,0)),0%,VLOOKUP(A14,'Données projet'!$A$217:$I$237,7,0))</f>
        <v>0</v>
      </c>
      <c r="FQ14" s="129" t="e">
        <f aca="false">EXP(-LN(2)/35)*FQ13+(1-EXP(-LN(2)/35))/(LN(2)/35)*FM14*FN14*VLOOKUP('Données projet'!$B$16,Paramètres!$A$1:$I$89,3,0)*0.475*44/12</f>
        <v>#N/A</v>
      </c>
      <c r="FR14" s="129" t="e">
        <f aca="false">EXP(-LN(2)/25)*FR13+(1-EXP(-LN(2)/25))/(LN(2)/25)*Calculateur!FM14*Calculateur!FO14*VLOOKUP('Données projet'!$B$16,Paramètres!$A$1:$I$89,3,0)*0.475*44/12</f>
        <v>#N/A</v>
      </c>
      <c r="FS14" s="129" t="e">
        <f aca="false">EXP(-LN(2)/2)*FS13+(1-EXP(-LN(2)/2))/(LN(2)/2)*FM14*FP14*VLOOKUP('Données projet'!$B$16,Paramètres!$A$1:$I$89,3,0)*0.475*44/12</f>
        <v>#N/A</v>
      </c>
      <c r="FT14" s="130" t="e">
        <f aca="false">SUM(FQ14:FS14)</f>
        <v>#N/A</v>
      </c>
      <c r="FU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FW14" s="118" t="e">
        <f aca="false">VLOOKUP(A14,'Données projet'!$A$243:$I$263,2,0)</f>
        <v>#N/A</v>
      </c>
      <c r="FX14" s="118" t="e">
        <f aca="false">VLOOKUP(A14,'Données projet'!$A$243:$I$263,9,0)</f>
        <v>#N/A</v>
      </c>
      <c r="FY14" s="118" t="n">
        <f aca="false" t="array" ref="FY14:FY14">INDEX(FX:FX,MIN(IF(ISNUMBER(FX14:FX210),ROW(FX14:FX210),"")))</f>
        <v>0</v>
      </c>
      <c r="FZ14" s="118" t="n">
        <f aca="false">IF('Données projet'!$A$244&gt;35,FZ13+FY14-GH13,IF(A14&lt;'Données projet'!$A$244,$FW$205^A14,IF(A14='Données projet'!$A$244,'Données projet'!$B$244,FZ13+FY14-GH13)))</f>
        <v>0</v>
      </c>
      <c r="GA14" s="125" t="e">
        <f aca="false">FZ14*VLOOKUP('Données projet'!$B$17,Paramètres!$A$1:$I$89,3,0)*VLOOKUP('Données projet'!$B$17,Paramètres!$A$1:$I$89,5,0)</f>
        <v>#N/A</v>
      </c>
      <c r="GB14" s="117" t="e">
        <f aca="false">EXP(-1.0587+0.8836*LN(GA14)+0.284)</f>
        <v>#N/A</v>
      </c>
      <c r="GC14" s="128" t="e">
        <f aca="false">(GA14+GB14)*0.475*44/12</f>
        <v>#N/A</v>
      </c>
      <c r="GD14" s="120" t="e">
        <f aca="false">GC14+(FU14+FV14)*44/12</f>
        <v>#N/A</v>
      </c>
      <c r="GE14" s="120" t="e">
        <f aca="true">AVERAGE(OFFSET($GD$3,0,0,'Données projet'!$E$17+1,1))-AVERAGE(OFFSET($H$3,0,0,'Données projet'!$E$17+1,1))</f>
        <v>#N/A</v>
      </c>
      <c r="GF14" s="120" t="e">
        <f aca="false">$GF$3</f>
        <v>#N/A</v>
      </c>
      <c r="GG14" s="121" t="n">
        <f aca="false">IF(ISNA(VLOOKUP(A14,'Données projet'!$A$243:$I$263,3,0)),0,VLOOKUP(A14,'Données projet'!$A$243:$I$263,3,0))</f>
        <v>0</v>
      </c>
      <c r="GH14" s="121" t="n">
        <f aca="false">IF(ISNA(VLOOKUP(A14,'Données projet'!$A$243:$I$263,4,0)),0,VLOOKUP(A14,'Données projet'!$A$243:$I$263,4,0))</f>
        <v>0</v>
      </c>
      <c r="GI14" s="122" t="n">
        <f aca="false">IF(ISNA(VLOOKUP(A14,'Données projet'!$A$243:$I$263,5,0)),0%,VLOOKUP(A14,'Données projet'!$A$243:$I$263,5,0)*VLOOKUP('Données projet'!$B$17,Paramètres!$A$1:$I$89,7,0))</f>
        <v>0</v>
      </c>
      <c r="GJ14" s="122" t="n">
        <f aca="false">IF(ISNA(VLOOKUP(A14,'Données projet'!$A$243:$I$263,6,0)),0%,VLOOKUP(A14,'Données projet'!$A$243:$I$263,6,0)*VLOOKUP('Données projet'!$B$17,Paramètres!$A$1:$I$89,7,0))</f>
        <v>0</v>
      </c>
      <c r="GK14" s="122" t="n">
        <f aca="false">IF(ISNA(VLOOKUP(A14,'Données projet'!$A$243:$I$263,7,0)),0%,VLOOKUP(A14,'Données projet'!$A$243:$I$263,7,0))</f>
        <v>0</v>
      </c>
      <c r="GL14" s="129" t="e">
        <f aca="false">EXP(-LN(2)/35)*GL13+(1-EXP(-LN(2)/35))/(LN(2)/35)*GH14*GI14*VLOOKUP('Données projet'!$B$17,Paramètres!$A$1:$I$89,3,0)*0.475*44/12</f>
        <v>#N/A</v>
      </c>
      <c r="GM14" s="129" t="e">
        <f aca="false">EXP(-LN(2)/25)*GM13+(1-EXP(-LN(2)/25))/(LN(2)/25)*Calculateur!GH14*Calculateur!GJ14*VLOOKUP('Données projet'!$B$17,Paramètres!$A$1:$I$89,3,0)*0.475*44/12</f>
        <v>#N/A</v>
      </c>
      <c r="GN14" s="129" t="e">
        <f aca="false">EXP(-LN(2)/2)*GN13+(1-EXP(-LN(2)/2))/(LN(2)/2)*GH14*GK14*VLOOKUP('Données projet'!$B$17,Paramètres!$A$1:$I$89,3,0)*0.475*44/12</f>
        <v>#N/A</v>
      </c>
      <c r="GO14" s="129" t="e">
        <f aca="false">SUM(GL14:GN14)</f>
        <v>#N/A</v>
      </c>
      <c r="GP14" s="126" t="n">
        <f aca="false"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8" t="n">
        <f aca="false">IF(A14&gt;30,10,('Scénario référence'!$B$16+'Scénario référence'!$B$17+'Scénario référence'!$B$18+'Scénario référence'!$B$9+'Scénario référence'!$B$10)*A14*10/30+('Scénario référence'!$F$8+'Scénario référence'!$F$9)*10)</f>
        <v>3.66666666666667</v>
      </c>
      <c r="GR14" s="118" t="e">
        <f aca="false">VLOOKUP(A14,'Données projet'!$A$269:$I$289,2,0)</f>
        <v>#N/A</v>
      </c>
      <c r="GS14" s="118" t="e">
        <f aca="false">VLOOKUP(A14,'Données projet'!$A$269:$I$289,9,0)</f>
        <v>#N/A</v>
      </c>
      <c r="GT14" s="118" t="n">
        <f aca="false" t="array" ref="GT14:GT14">INDEX(GS:GS,MIN(IF(ISNUMBER(GS14:GS210),ROW(GS14:GS210),"")))</f>
        <v>0</v>
      </c>
      <c r="GU14" s="118" t="n">
        <f aca="false">IF('Données projet'!$A$270&gt;35,GU13+GT14-HC13,IF(A14&lt;'Données projet'!$A$270,$GR$205^A14,IF(A14='Données projet'!$A$270,'Données projet'!$B$270,GU13+GT14-HC13)))</f>
        <v>0</v>
      </c>
      <c r="GV14" s="125" t="e">
        <f aca="false">GU14*VLOOKUP('Données projet'!$B$18,Paramètres!$A$1:$I$89,3,0)*VLOOKUP('Données projet'!$B$18,Paramètres!$A$1:$I$89,5,0)</f>
        <v>#N/A</v>
      </c>
      <c r="GW14" s="117" t="e">
        <f aca="false">EXP(-1.0587+0.8836*LN(GV14)+0.284)</f>
        <v>#N/A</v>
      </c>
      <c r="GX14" s="128" t="e">
        <f aca="false">(GV14+GW14)*0.475*44/12</f>
        <v>#N/A</v>
      </c>
      <c r="GY14" s="120" t="e">
        <f aca="false">GX14+(GP14+GQ14)*44/12</f>
        <v>#N/A</v>
      </c>
      <c r="GZ14" s="120" t="e">
        <f aca="true">AVERAGE(OFFSET($GY$3,0,0,'Données projet'!$E$18+1,1))-AVERAGE(OFFSET($H$3,0,0,'Données projet'!$E$18+1,1))</f>
        <v>#N/A</v>
      </c>
      <c r="HA14" s="120" t="e">
        <f aca="false">$HA$3</f>
        <v>#N/A</v>
      </c>
      <c r="HB14" s="121" t="n">
        <f aca="false">IF(ISNA(VLOOKUP(A14,'Données projet'!$A$269:$I$289,3,0)),0,VLOOKUP(A14,'Données projet'!$A$269:$I$289,3,0))</f>
        <v>0</v>
      </c>
      <c r="HC14" s="121" t="n">
        <f aca="false">IF(ISNA(VLOOKUP(A14,'Données projet'!$A$269:$I$289,4,0)),0,VLOOKUP(A14,'Données projet'!$A$269:$I$289,4,0))</f>
        <v>0</v>
      </c>
      <c r="HD14" s="122" t="n">
        <f aca="false">IF(ISNA(VLOOKUP(A14,'Données projet'!$A$269:$I$289,5,0)),0%,VLOOKUP(A14,'Données projet'!$A$269:$I$289,5,0)*VLOOKUP('Données projet'!$B$18,Paramètres!$A$1:$I$89,7,0))</f>
        <v>0</v>
      </c>
      <c r="HE14" s="122" t="n">
        <f aca="false">IF(ISNA(VLOOKUP(A14,'Données projet'!$A$269:$I$289,6,0)),0%,VLOOKUP(A14,'Données projet'!$A$269:$I$289,6,0)*VLOOKUP('Données projet'!$B$18,Paramètres!$A$1:$I$89,7,0))</f>
        <v>0</v>
      </c>
      <c r="HF14" s="122" t="n">
        <f aca="false">IF(ISNA(VLOOKUP(A14,'Données projet'!$A$269:$I$289,7,0)),0%,VLOOKUP(A14,'Données projet'!$A$269:$I$289,7,0))</f>
        <v>0</v>
      </c>
      <c r="HG14" s="129" t="e">
        <f aca="false">EXP(-LN(2)/35)*HG13+(1-EXP(-LN(2)/35))/(LN(2)/35)*HC14*HD14*VLOOKUP('Données projet'!$B$18,Paramètres!$A$1:$I$89,3,0)*0.475*44/12</f>
        <v>#N/A</v>
      </c>
      <c r="HH14" s="129" t="e">
        <f aca="false">EXP(-LN(2)/25)*HH13+(1-EXP(-LN(2)/25))/(LN(2)/25)*Calculateur!HC14*Calculateur!HE14*VLOOKUP('Données projet'!$B$18,Paramètres!$A$1:$I$89,3,0)*0.475*44/12</f>
        <v>#N/A</v>
      </c>
      <c r="HI14" s="129" t="e">
        <f aca="false">EXP(-LN(2)/2)*HI13+(1-EXP(-LN(2)/2))/(LN(2)/2)*HC14*HF14*VLOOKUP('Données projet'!$B$18,Paramètres!$A$1:$I$89,3,0)*0.475*44/12</f>
        <v>#N/A</v>
      </c>
      <c r="HJ14" s="130" t="e">
        <f aca="false">SUM(HG14:HI14)</f>
        <v>#N/A</v>
      </c>
    </row>
    <row r="15" customFormat="false" ht="14.25" hidden="false" customHeight="false" outlineLevel="0" collapsed="false">
      <c r="A15" s="112" t="n">
        <f aca="false">A14+1</f>
        <v>12</v>
      </c>
      <c r="B15" s="113" t="n">
        <f aca="false">'Scénario référence'!$B$16*5+'Scénario référence'!$B$17*0+'Scénario référence'!$B$18*5</f>
        <v>0</v>
      </c>
      <c r="C15" s="127" t="n">
        <f aca="false"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4" t="n">
        <f aca="false">IFERROR(EXP(-1.0587+0.8836*LN(C15)+0.284),0)</f>
        <v>0</v>
      </c>
      <c r="E1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" s="114" t="n">
        <f aca="false">IF(OR('Scénario référence'!$F$8&gt;0,'Scénario référence'!$F$9&gt;0),('Scénario référence'!$F$8+'Scénario référence'!$F$9)*10,0)</f>
        <v>0</v>
      </c>
      <c r="G15" s="114" t="n">
        <f aca="false"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15" t="n">
        <f aca="false">(B15+E15+F15)*44/12+(C15+D15)*0.475*44/12</f>
        <v>256.666666666667</v>
      </c>
      <c r="I15" s="11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7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18" t="e">
        <f aca="false">VLOOKUP(A15,'Données projet'!$A$35:$I$55,2,0)</f>
        <v>#N/A</v>
      </c>
      <c r="L15" s="118" t="e">
        <f aca="false">VLOOKUP(A15,'Données projet'!$A$35:$I$55,9,0)</f>
        <v>#N/A</v>
      </c>
      <c r="M15" s="118" t="n">
        <f aca="false" t="array" ref="M15:M15">INDEX(L:L,MIN(IF(ISNUMBER(L15:L211),ROW(L15:L211),"")))</f>
        <v>7.9</v>
      </c>
      <c r="N15" s="117" t="n">
        <f aca="false">IF('Données projet'!$A$36&gt;35,N14+M15-V14,IF(A15&lt;'Données projet'!$A$36,$K$205^A15,IF(A15='Données projet'!$A$36,'Données projet'!$B$36,N14+M15-V14)))</f>
        <v>20.854234472199</v>
      </c>
      <c r="O15" s="117" t="n">
        <f aca="false">N15*VLOOKUP('Données projet'!$B$9,Paramètres!$A$1:$I$89,3,0)*VLOOKUP('Données projet'!$B$9,Paramètres!$A$1:$I$89,5,0)</f>
        <v>9.75978173298912</v>
      </c>
      <c r="P15" s="117" t="n">
        <f aca="false">EXP(-1.0587+0.8836*LN(O15)+0.284)</f>
        <v>3.45001784838148</v>
      </c>
      <c r="Q15" s="128" t="n">
        <f aca="false">(O15+P15)*0.475*44/12</f>
        <v>23.0070676042205</v>
      </c>
      <c r="R15" s="120" t="n">
        <f aca="false">Q15+(I15+J15)*44/12</f>
        <v>294.340400937554</v>
      </c>
      <c r="S15" s="120" t="n">
        <f aca="true">AVERAGE(OFFSET($R$3,0,0,'Données projet'!$E$9+1,1))-AVERAGE(OFFSET($H$3,0,0,'Données projet'!$E$9+1,1))</f>
        <v>319.229030946746</v>
      </c>
      <c r="T15" s="120" t="n">
        <f aca="false">$T$3</f>
        <v>254.586909731428</v>
      </c>
      <c r="U15" s="121" t="n">
        <f aca="false">IF(ISNA(VLOOKUP(A15,'Données projet'!$A$35:$I$55,3,0)),0,VLOOKUP(A15,'Données projet'!$A$35:$I$55,3,0))</f>
        <v>0</v>
      </c>
      <c r="V15" s="121" t="n">
        <f aca="false">IF(ISNA(VLOOKUP(A15,'Données projet'!$A$35:$I$55,4,0)),0,VLOOKUP(A15,'Données projet'!$A$35:$I$55,4,0))</f>
        <v>0</v>
      </c>
      <c r="W15" s="122" t="n">
        <f aca="false">IF(ISNA(VLOOKUP(A15,'Données projet'!$A$35:$I$55,5,0)),0%,VLOOKUP(A15,'Données projet'!$A$35:$I$55,5,0)*VLOOKUP('Données projet'!$B$9,Paramètres!$A$1:$I$89,7,0))</f>
        <v>0</v>
      </c>
      <c r="X15" s="122" t="n">
        <f aca="false">IF(ISNA(VLOOKUP(A15,'Données projet'!$A$35:$I$55,6,0)),0%,VLOOKUP(A15,'Données projet'!$A$35:$I$55,6,0)*VLOOKUP('Données projet'!$B$9,Paramètres!$A$1:$I$89,7,0))</f>
        <v>0</v>
      </c>
      <c r="Y15" s="122" t="n">
        <f aca="false">IF(ISNA(VLOOKUP(A15,'Données projet'!$A$35:$I$55,7,0)),0%,VLOOKUP(A15,'Données projet'!$A$35:$I$55,7,0))</f>
        <v>0</v>
      </c>
      <c r="Z15" s="129" t="n">
        <f aca="false">EXP(-LN(2)/35)*Z14+(1-EXP(-LN(2)/35))/(LN(2)/35)*V15*W15*VLOOKUP('Données projet'!$B$9,Paramètres!$A$1:$I$89,3,0)*0.475*44/12</f>
        <v>0</v>
      </c>
      <c r="AA15" s="129" t="n">
        <f aca="false">EXP(-LN(2)/25)*AA14+(1-EXP(-LN(2)/25))/(LN(2)/25)*Calculateur!V15*Calculateur!X15*VLOOKUP('Données projet'!$B$9,Paramètres!$A$1:$I$89,3,0)*0.475*44/12</f>
        <v>0</v>
      </c>
      <c r="AB15" s="129" t="n">
        <f aca="false">EXP(-LN(2)/2)*AB14+(1-EXP(-LN(2)/2))/(LN(2)/2)*V15*Y15*VLOOKUP('Données projet'!$B$9,Paramètres!$A$1:$I$89,3,0)*0.475*44/12</f>
        <v>0</v>
      </c>
      <c r="AC15" s="130" t="n">
        <f aca="false">SUM(Z15:AB15)</f>
        <v>0</v>
      </c>
      <c r="AD15" s="117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7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18" t="e">
        <f aca="false">VLOOKUP(A15,'Données projet'!$A$61:$I$81,2,0)</f>
        <v>#N/A</v>
      </c>
      <c r="AG15" s="118" t="e">
        <f aca="false">VLOOKUP(A15,'Données projet'!$A$61:$I$81,9,0)</f>
        <v>#N/A</v>
      </c>
      <c r="AH15" s="118" t="n">
        <f aca="false" t="array" ref="AH15:AH15">INDEX(AG:AG,MIN(IF(ISNUMBER(AG15:AG211),ROW(AG15:AG211),"")))</f>
        <v>7.04347826086957</v>
      </c>
      <c r="AI15" s="117" t="n">
        <f aca="false">IF('Données projet'!$A$62&gt;35,AI14+AH15-AQ14,IF(A15&lt;'Données projet'!$A$62,$AF$205^A15,IF(A15='Données projet'!$A$62,'Données projet'!$B$62,AI14+AH15-AQ14)))</f>
        <v>14.2164264450983</v>
      </c>
      <c r="AJ15" s="117" t="n">
        <f aca="false">AI15*VLOOKUP('Données projet'!$B$10,Paramètres!$A$1:$I$89,3,0)*VLOOKUP('Données projet'!$B$10,Paramètres!$A$1:$I$89,5,0)</f>
        <v>7.94698238280992</v>
      </c>
      <c r="AK15" s="117" t="n">
        <f aca="false">EXP(-1.0587+0.8836*LN(AJ15)+0.284)</f>
        <v>2.87720478038668</v>
      </c>
      <c r="AL15" s="128" t="n">
        <f aca="false">(AJ15+AK15)*0.475*44/12</f>
        <v>18.8521259759008</v>
      </c>
      <c r="AM15" s="120" t="n">
        <f aca="false">AL15+(AD15+AE15)*44/12</f>
        <v>290.185459309234</v>
      </c>
      <c r="AN15" s="120" t="n">
        <f aca="true">AVERAGE(OFFSET($AM$3,0,0,'Données projet'!$E$10+1,1))-AVERAGE(OFFSET($H$3,0,0,'Données projet'!$E$10+1,1))</f>
        <v>365.705101827279</v>
      </c>
      <c r="AO15" s="120" t="n">
        <f aca="false">$AO$3</f>
        <v>436.238338449625</v>
      </c>
      <c r="AP15" s="121" t="n">
        <f aca="false">IF(ISNA(VLOOKUP(A15,'Données projet'!$A$61:$I$81,3,0)),0,VLOOKUP(A15,'Données projet'!$A$61:$I$81,3,0))</f>
        <v>0</v>
      </c>
      <c r="AQ15" s="121" t="n">
        <f aca="false">IF(ISNA(VLOOKUP(A15,'Données projet'!$A$61:$I$81,4,0)),0,VLOOKUP(A15,'Données projet'!$A$61:$I$81,4,0))</f>
        <v>0</v>
      </c>
      <c r="AR15" s="122" t="n">
        <f aca="false">IF(ISNA(VLOOKUP(A15,'Données projet'!$A$61:$I$81,5,0)),0%,VLOOKUP(A15,'Données projet'!$A$61:$I$81,5,0)*VLOOKUP('Données projet'!$B$10,Paramètres!$A$1:$I$89,7,0))</f>
        <v>0</v>
      </c>
      <c r="AS15" s="122" t="n">
        <f aca="false">IF(ISNA(VLOOKUP(A15,'Données projet'!$A$61:$I$81,6,0)),0%,VLOOKUP(A15,'Données projet'!$A$61:$I$81,6,0)*VLOOKUP('Données projet'!$B$10,Paramètres!$A$1:$I$89,7,0))</f>
        <v>0</v>
      </c>
      <c r="AT15" s="122" t="n">
        <f aca="false">IF(ISNA(VLOOKUP(A15,'Données projet'!$A$61:$I$81,7,0)),0%,VLOOKUP(A15,'Données projet'!$A$61:$I$81,7,0))</f>
        <v>0</v>
      </c>
      <c r="AU15" s="129" t="n">
        <f aca="false">EXP(-LN(2)/35)*AU14+(1-EXP(-LN(2)/35))/(LN(2)/35)*AQ15*AR15*VLOOKUP('Données projet'!$B$10,Paramètres!$A$1:$I$89,3,0)*0.475*44/12</f>
        <v>0</v>
      </c>
      <c r="AV15" s="129" t="n">
        <f aca="false">EXP(-LN(2)/25)*AV14+(1-EXP(-LN(2)/25))/(LN(2)/25)*Calculateur!AQ15*Calculateur!AS15*VLOOKUP('Données projet'!$B$10,Paramètres!$A$1:$I$89,3,0)*0.475*44/12</f>
        <v>0</v>
      </c>
      <c r="AW15" s="129" t="n">
        <f aca="false">EXP(-LN(2)/2)*AW14+(1-EXP(-LN(2)/2))/(LN(2)/2)*AQ15*AT15*VLOOKUP('Données projet'!$B$10,Paramètres!$A$1:$I$89,3,0)*0.475*44/12</f>
        <v>0</v>
      </c>
      <c r="AX15" s="129" t="n">
        <f aca="false">SUM(AU15:AW15)</f>
        <v>0</v>
      </c>
      <c r="AY15" s="124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18" t="e">
        <f aca="false">VLOOKUP(A15,'Données projet'!$A$87:$I$107,2,0)</f>
        <v>#N/A</v>
      </c>
      <c r="BB15" s="118" t="e">
        <f aca="false">VLOOKUP(A15,'Données projet'!$A$87:$I$107,9,0)</f>
        <v>#N/A</v>
      </c>
      <c r="BC15" s="118" t="n">
        <f aca="false" t="array" ref="BC15:BC15">INDEX(BB:BB,MIN(IF(ISNUMBER(BB15:BB211),ROW(BB15:BB211),"")))</f>
        <v>5.8</v>
      </c>
      <c r="BD15" s="118" t="n">
        <f aca="false">IF('Données projet'!$A$88&gt;35,BD14+BC15-BL14,IF(A15&lt;'Données projet'!$A$88,$BA$205^A15,IF(A15='Données projet'!$A$88,'Données projet'!$B$88,BD14+BC15-BL14)))</f>
        <v>35.6135610937936</v>
      </c>
      <c r="BE15" s="117" t="n">
        <f aca="false">BD15*VLOOKUP('Données projet'!$B$11,Paramètres!$A$1:$I$89,3,0)*VLOOKUP('Données projet'!$B$11,Paramètres!$A$1:$I$89,5,0)</f>
        <v>31.1120069715381</v>
      </c>
      <c r="BF15" s="117" t="n">
        <f aca="false">EXP(-1.0587+0.8836*LN(BE15)+0.284)</f>
        <v>9.60955484813963</v>
      </c>
      <c r="BG15" s="128" t="n">
        <f aca="false">(BE15+BF15)*0.475*44/12</f>
        <v>70.9233868359387</v>
      </c>
      <c r="BH15" s="120" t="n">
        <f aca="false">BG15+(AY15+AZ15)*44/12</f>
        <v>342.256720169272</v>
      </c>
      <c r="BI15" s="120" t="n">
        <f aca="true">AVERAGE(OFFSET($BH$3,0,0,'Données projet'!$E$11+1,1))-AVERAGE(OFFSET($H$3,0,0,'Données projet'!$E$11+1,1))</f>
        <v>321.235999689929</v>
      </c>
      <c r="BJ15" s="120" t="n">
        <f aca="false">$BJ$3</f>
        <v>388.051958478005</v>
      </c>
      <c r="BK15" s="121" t="n">
        <f aca="false">IF(ISNA(VLOOKUP(A15,'Données projet'!$A$87:$I$107,3,0)),0,VLOOKUP(A15,'Données projet'!$A$87:$I$107,3,0))</f>
        <v>0</v>
      </c>
      <c r="BL15" s="121" t="n">
        <f aca="false">IF(ISNA(VLOOKUP(A15,'Données projet'!$A$87:$I$107,4,0)),0,VLOOKUP(A15,'Données projet'!$A$87:$I$107,4,0))</f>
        <v>0</v>
      </c>
      <c r="BM15" s="122" t="n">
        <f aca="false">IF(ISNA(VLOOKUP(A15,'Données projet'!$A$87:$I$107,5,0)),0%,VLOOKUP(A15,'Données projet'!$A$87:$I$107,5,0)*VLOOKUP('Données projet'!$B$11,Paramètres!$A$1:$I$89,7,0))</f>
        <v>0</v>
      </c>
      <c r="BN15" s="122" t="n">
        <f aca="false">IF(ISNA(VLOOKUP(A15,'Données projet'!$A$87:$I$107,6,0)),0%,VLOOKUP(A15,'Données projet'!$A$87:$I$107,6,0)*VLOOKUP('Données projet'!$B$11,Paramètres!$A$1:$I$89,7,0))</f>
        <v>0</v>
      </c>
      <c r="BO15" s="122" t="n">
        <f aca="false">IF(ISNA(VLOOKUP(A15,'Données projet'!$A$87:$I$107,7,0)),0%,VLOOKUP(A15,'Données projet'!$A$87:$I$107,7,0))</f>
        <v>0</v>
      </c>
      <c r="BP15" s="129" t="n">
        <f aca="false">EXP(-LN(2)/35)*BP14+(1-EXP(-LN(2)/35))/(LN(2)/35)*BL15*BM15*VLOOKUP('Données projet'!$B$11,Paramètres!$A$1:$I$89,3,0)*0.475*44/12</f>
        <v>0</v>
      </c>
      <c r="BQ15" s="129" t="n">
        <f aca="false">EXP(-LN(2)/25)*BQ14+(1-EXP(-LN(2)/25))/(LN(2)/25)*Calculateur!BL15*Calculateur!BN15*VLOOKUP('Données projet'!$B$11,Paramètres!$A$1:$I$89,3,0)*0.475*44/12</f>
        <v>0</v>
      </c>
      <c r="BR15" s="129" t="n">
        <f aca="false">EXP(-LN(2)/2)*BR14+(1-EXP(-LN(2)/2))/(LN(2)/2)*BL15*BO15*VLOOKUP('Données projet'!$B$11,Paramètres!$A$1:$I$89,3,0)*0.475*44/12</f>
        <v>0</v>
      </c>
      <c r="BS15" s="130" t="n">
        <f aca="false">SUM(BP15:BR15)</f>
        <v>0</v>
      </c>
      <c r="BT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18" t="e">
        <f aca="false">VLOOKUP(A15,'Données projet'!$A$113:$I$133,2,0)</f>
        <v>#N/A</v>
      </c>
      <c r="BW15" s="118" t="e">
        <f aca="false">VLOOKUP(A15,'Données projet'!$A$113:$I$133,9,0)</f>
        <v>#N/A</v>
      </c>
      <c r="BX15" s="118" t="n">
        <f aca="false" t="array" ref="BX15:BX15">INDEX(BW:BW,MIN(IF(ISNUMBER(BW15:BW211),ROW(BW15:BW211),"")))</f>
        <v>6.22222222222222</v>
      </c>
      <c r="BY15" s="118" t="n">
        <f aca="false">IF('Données projet'!$A$114&gt;35,BY14+BX15-CG14,IF(A15&lt;'Données projet'!$A$114,$BV$205^A15,IF(A15='Données projet'!$A$114,'Données projet'!$B$114,BY14+BX15-CG14)))</f>
        <v>23.2351429342548</v>
      </c>
      <c r="BZ15" s="117" t="n">
        <f aca="false">BY15*VLOOKUP('Données projet'!$B$12,Paramètres!$A$1:$I$89,3,0)*VLOOKUP('Données projet'!$B$12,Paramètres!$A$1:$I$89,5,0)</f>
        <v>14.498729190975</v>
      </c>
      <c r="CA15" s="117" t="n">
        <f aca="false">EXP(-1.0587+0.8836*LN(BZ15)+0.284)</f>
        <v>4.89444213290104</v>
      </c>
      <c r="CB15" s="128" t="n">
        <f aca="false">(BZ15+CA15)*0.475*44/12</f>
        <v>33.7764400557508</v>
      </c>
      <c r="CC15" s="120" t="n">
        <f aca="false">CB15+(BT15+BU15)*44/12</f>
        <v>305.109773389084</v>
      </c>
      <c r="CD15" s="120" t="n">
        <f aca="true">AVERAGE(OFFSET($CC$3,0,0,'Données projet'!$E$12+1,1))-AVERAGE(OFFSET($H$3,0,0,'Données projet'!$E$12+1,1))</f>
        <v>240.228848647662</v>
      </c>
      <c r="CE15" s="120" t="n">
        <f aca="false">$CE$3</f>
        <v>343.237768841432</v>
      </c>
      <c r="CF15" s="121" t="n">
        <f aca="false">IF(ISNA(VLOOKUP(A15,'Données projet'!$A$113:$I$133,3,0)),0,VLOOKUP(A15,'Données projet'!$A$113:$I$133,3,0))</f>
        <v>0</v>
      </c>
      <c r="CG15" s="121" t="n">
        <f aca="false">IF(ISNA(VLOOKUP(A15,'Données projet'!$A$113:$I$133,4,0)),0,VLOOKUP(A15,'Données projet'!$A$113:$I$133,4,0))</f>
        <v>0</v>
      </c>
      <c r="CH15" s="122" t="n">
        <f aca="false">IF(ISNA(VLOOKUP(A15,'Données projet'!$A$113:$I$133,5,0)),0%,VLOOKUP(A15,'Données projet'!$A$113:$I$133,5,0)*VLOOKUP('Données projet'!$B$12,Paramètres!$A$1:$I$89,7,0))</f>
        <v>0</v>
      </c>
      <c r="CI15" s="122" t="n">
        <f aca="false">IF(ISNA(VLOOKUP(A15,'Données projet'!$A$113:$I$133,6,0)),0%,VLOOKUP(A15,'Données projet'!$A$113:$I$133,6,0)*VLOOKUP('Données projet'!$B$12,Paramètres!$A$1:$I$89,7,0))</f>
        <v>0</v>
      </c>
      <c r="CJ15" s="122" t="n">
        <f aca="false">IF(ISNA(VLOOKUP(A15,'Données projet'!$A$113:$I$133,7,0)),0%,VLOOKUP(A15,'Données projet'!$A$113:$I$133,7,0))</f>
        <v>0</v>
      </c>
      <c r="CK15" s="129" t="n">
        <f aca="false">EXP(-LN(2)/35)*CK14+(1-EXP(-LN(2)/35))/(LN(2)/35)*CG15*CH15*VLOOKUP('Données projet'!$B$12,Paramètres!$A$1:$I$89,3,0)*0.475*44/12</f>
        <v>0</v>
      </c>
      <c r="CL15" s="129" t="n">
        <f aca="false">EXP(-LN(2)/25)*CL14+(1-EXP(-LN(2)/25))/(LN(2)/25)*Calculateur!CG15*Calculateur!CI15*VLOOKUP('Données projet'!$B$12,Paramètres!$A$1:$I$89,3,0)*0.475*44/12</f>
        <v>0</v>
      </c>
      <c r="CM15" s="129" t="n">
        <f aca="false">EXP(-LN(2)/2)*CM14+(1-EXP(-LN(2)/2))/(LN(2)/2)*CG15*CJ15*VLOOKUP('Données projet'!$B$12,Paramètres!$A$1:$I$89,3,0)*0.475*44/12</f>
        <v>0</v>
      </c>
      <c r="CN15" s="130" t="n">
        <f aca="false">SUM(CK15:CM15)</f>
        <v>0</v>
      </c>
      <c r="CO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18" t="n">
        <f aca="false">VLOOKUP(A15,'Données projet'!$A$139:$I$159,2,0)</f>
        <v>116</v>
      </c>
      <c r="CR15" s="118" t="n">
        <f aca="false">VLOOKUP(A15,'Données projet'!$A$139:$I$159,9,0)</f>
        <v>9.66666666666667</v>
      </c>
      <c r="CS15" s="118" t="n">
        <f aca="false" t="array" ref="CS15:CS15">INDEX(CR:CR,MIN(IF(ISNUMBER(CR15:CR211),ROW(CR15:CR211),"")))</f>
        <v>9.66666666666667</v>
      </c>
      <c r="CT15" s="118" t="n">
        <f aca="false">IF('Données projet'!$A$140&gt;35,CT14+CS15-DB14,IF(A15&lt;'Données projet'!$A$140,$CQ$205^A15,IF(A15='Données projet'!$A$140,'Données projet'!$B$140,CT14+CS15-DB14)))</f>
        <v>116</v>
      </c>
      <c r="CU15" s="125" t="n">
        <f aca="false">CT15*VLOOKUP('Données projet'!$B$13,Paramètres!$A$1:$I$89,3,0)*VLOOKUP('Données projet'!$B$13,Paramètres!$A$1:$I$89,5,0)</f>
        <v>63.336</v>
      </c>
      <c r="CV15" s="117" t="n">
        <f aca="false">EXP(-1.0587+0.8836*LN(CU15)+0.284)</f>
        <v>18.0090400229462</v>
      </c>
      <c r="CW15" s="128" t="n">
        <f aca="false">(CU15+CV15)*0.475*44/12</f>
        <v>141.675944706631</v>
      </c>
      <c r="CX15" s="120" t="n">
        <f aca="false">CW15+(CO15+CP15)*44/12</f>
        <v>413.009278039965</v>
      </c>
      <c r="CY15" s="120" t="n">
        <f aca="true">AVERAGE(OFFSET($CX$3,0,0,'Données projet'!$E$13+1,1))-AVERAGE(OFFSET($H$3,0,0,'Données projet'!$E$13+1,1))</f>
        <v>207.023069645676</v>
      </c>
      <c r="CZ15" s="120" t="n">
        <f aca="false">$CZ$3</f>
        <v>342.068879333518</v>
      </c>
      <c r="DA15" s="121" t="n">
        <f aca="false">IF(ISNA(VLOOKUP(A15,'Données projet'!$A$139:$I$159,3,0)),0,VLOOKUP(A15,'Données projet'!$A$139:$I$159,3,0))</f>
        <v>1</v>
      </c>
      <c r="DB15" s="121" t="n">
        <f aca="false">IF(ISNA(VLOOKUP(A15,'Données projet'!$A$139:$I$159,4,0)),0,VLOOKUP(A15,'Données projet'!$A$139:$I$159,4,0))</f>
        <v>21</v>
      </c>
      <c r="DC15" s="122" t="n">
        <f aca="false">IF(ISNA(VLOOKUP(A15,'Données projet'!$A$139:$I$159,5,0)),0%,VLOOKUP(A15,'Données projet'!$A$139:$I$159,5,0)*VLOOKUP('Données projet'!$B$13,Paramètres!$A$1:$I$89,7,0))</f>
        <v>0</v>
      </c>
      <c r="DD15" s="122" t="n">
        <f aca="false">IF(ISNA(VLOOKUP(A15,'Données projet'!$A$139:$I$159,6,0)),0%,VLOOKUP(A15,'Données projet'!$A$139:$I$159,6,0)*VLOOKUP('Données projet'!$B$13,Paramètres!$A$1:$I$89,7,0))</f>
        <v>0</v>
      </c>
      <c r="DE15" s="122" t="n">
        <f aca="false">IF(ISNA(VLOOKUP(A15,'Données projet'!$A$139:$I$159,7,0)),0%,VLOOKUP(A15,'Données projet'!$A$139:$I$159,7,0))</f>
        <v>0</v>
      </c>
      <c r="DF15" s="129" t="n">
        <f aca="false">EXP(-LN(2)/35)*DF14+(1-EXP(-LN(2)/35))/(LN(2)/35)*DB15*DC15*VLOOKUP('Données projet'!$B$13,Paramètres!$A$1:$I$89,3,0)*0.475*44/12</f>
        <v>0</v>
      </c>
      <c r="DG15" s="129" t="n">
        <f aca="false">EXP(-LN(2)/25)*DG14+(1-EXP(-LN(2)/25))/(LN(2)/25)*Calculateur!DB15*Calculateur!DD15*VLOOKUP('Données projet'!$B$13,Paramètres!$A$1:$I$89,3,0)*0.475*44/12</f>
        <v>0</v>
      </c>
      <c r="DH15" s="129" t="n">
        <f aca="false">EXP(-LN(2)/2)*DH14+(1-EXP(-LN(2)/2))/(LN(2)/2)*DB15*DE15*VLOOKUP('Données projet'!$B$13,Paramètres!$A$1:$I$89,3,0)*0.475*44/12</f>
        <v>0</v>
      </c>
      <c r="DI15" s="130" t="n">
        <f aca="false">SUM(DF15:DH15)</f>
        <v>0</v>
      </c>
      <c r="DJ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18" t="n">
        <f aca="false">VLOOKUP(A15,'Données projet'!$A$165:$I$185,2,0)</f>
        <v>36</v>
      </c>
      <c r="DM15" s="118" t="n">
        <f aca="false">VLOOKUP(A15,'Données projet'!$A$165:$I$185,9,0)</f>
        <v>3</v>
      </c>
      <c r="DN15" s="118" t="n">
        <f aca="false" t="array" ref="DN15:DN15">INDEX(DM:DM,MIN(IF(ISNUMBER(DM15:DM211),ROW(DM15:DM211),"")))</f>
        <v>3</v>
      </c>
      <c r="DO15" s="118" t="n">
        <f aca="false">IF('Données projet'!$A$166&gt;35,DO14+DN15-DW14,IF(A15&lt;'Données projet'!$A$166,$DL$205^A15,IF(A15='Données projet'!$A$166,'Données projet'!$B$166,DO14+DN15-DW14)))</f>
        <v>36</v>
      </c>
      <c r="DP15" s="125" t="n">
        <f aca="false">DO15*VLOOKUP('Données projet'!$B$14,Paramètres!$A$1:$I$89,3,0)*VLOOKUP('Données projet'!$B$14,Paramètres!$A$1:$I$89,5,0)</f>
        <v>21.528</v>
      </c>
      <c r="DQ15" s="117" t="n">
        <f aca="false">EXP(-1.0587+0.8836*LN(DP15)+0.284)</f>
        <v>6.94055373126136</v>
      </c>
      <c r="DR15" s="128" t="n">
        <f aca="false">(DP15+DQ15)*0.475*44/12</f>
        <v>49.5827310819469</v>
      </c>
      <c r="DS15" s="120" t="n">
        <f aca="false">DR15+(DJ15+DK15)*44/12</f>
        <v>320.91606441528</v>
      </c>
      <c r="DT15" s="120" t="n">
        <f aca="true">AVERAGE(OFFSET($DS$3,0,0,'Données projet'!$E$14+1,1))-AVERAGE(OFFSET($H$3,0,0,'Données projet'!$E$14+1,1))</f>
        <v>549.432320957297</v>
      </c>
      <c r="DU15" s="120" t="n">
        <f aca="false">$DU$3</f>
        <v>280.26155987301</v>
      </c>
      <c r="DV15" s="121" t="n">
        <f aca="false">IF(ISNA(VLOOKUP(A15,'Données projet'!$A$165:$I$185,3,0)),0,VLOOKUP(A15,'Données projet'!$A$165:$I$185,3,0))</f>
        <v>1</v>
      </c>
      <c r="DW15" s="121" t="n">
        <f aca="false">IF(ISNA(VLOOKUP(A15,'Données projet'!$A$165:$I$185,4,0)),0,VLOOKUP(A15,'Données projet'!$A$165:$I$185,4,0))</f>
        <v>0</v>
      </c>
      <c r="DX15" s="122" t="n">
        <f aca="false">IF(ISNA(VLOOKUP(A15,'Données projet'!$A$165:$I$185,5,0)),0%,VLOOKUP(A15,'Données projet'!$A$165:$I$185,5,0)*VLOOKUP('Données projet'!$B$14,Paramètres!$A$1:$I$89,7,0))</f>
        <v>0</v>
      </c>
      <c r="DY15" s="122" t="n">
        <f aca="false">IF(ISNA(VLOOKUP(A15,'Données projet'!$A$165:$I$185,6,0)),0%,VLOOKUP(A15,'Données projet'!$A$165:$I$185,6,0)*VLOOKUP('Données projet'!$B$14,Paramètres!$A$1:$I$89,7,0))</f>
        <v>0</v>
      </c>
      <c r="DZ15" s="122" t="n">
        <f aca="false">IF(ISNA(VLOOKUP(A15,'Données projet'!$A$165:$I$185,7,0)),0%,VLOOKUP(A15,'Données projet'!$A$165:$I$185,7,0))</f>
        <v>0</v>
      </c>
      <c r="EA15" s="129" t="n">
        <f aca="false">EXP(-LN(2)/35)*EA14+(1-EXP(-LN(2)/35))/(LN(2)/35)*DW15*DX15*VLOOKUP('Données projet'!$B$14,Paramètres!$A$1:$I$89,3,0)*0.475*44/12</f>
        <v>0</v>
      </c>
      <c r="EB15" s="129" t="n">
        <f aca="false">EXP(-LN(2)/25)*EB14+(1-EXP(-LN(2)/25))/(LN(2)/25)*Calculateur!DW15*Calculateur!DY15*VLOOKUP('Données projet'!$B$14,Paramètres!$A$1:$I$89,3,0)*0.475*44/12</f>
        <v>0</v>
      </c>
      <c r="EC15" s="129" t="n">
        <f aca="false">EXP(-LN(2)/2)*EC14+(1-EXP(-LN(2)/2))/(LN(2)/2)*DW15*DZ15*VLOOKUP('Données projet'!$B$14,Paramètres!$A$1:$I$89,3,0)*0.475*44/12</f>
        <v>0</v>
      </c>
      <c r="ED15" s="130" t="n">
        <f aca="false">SUM(EA15:EC15)</f>
        <v>0</v>
      </c>
      <c r="EE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18" t="e">
        <f aca="false">VLOOKUP(A15,'Données projet'!$A$191:$I$211,2,0)</f>
        <v>#N/A</v>
      </c>
      <c r="EH15" s="118" t="e">
        <f aca="false">VLOOKUP(A15,'Données projet'!$A$191:$I$211,9,0)</f>
        <v>#N/A</v>
      </c>
      <c r="EI15" s="118" t="n">
        <f aca="false" t="array" ref="EI15:EI15">INDEX(EH:EH,MIN(IF(ISNUMBER(EH15:EH211),ROW(EH15:EH211),"")))</f>
        <v>0</v>
      </c>
      <c r="EJ15" s="118" t="n">
        <f aca="false">IF('Données projet'!$A$192&gt;35,EJ14+EI15-ER14,IF(A15&lt;'Données projet'!$A$192,$EG$205^A15,IF(A15='Données projet'!$A$192,'Données projet'!$B$192,EJ14+EI15-ER14)))</f>
        <v>0</v>
      </c>
      <c r="EK15" s="125" t="e">
        <f aca="false">EJ15*VLOOKUP('Données projet'!$B$15,Paramètres!$A$1:$I$89,3,0)*VLOOKUP('Données projet'!$B$15,Paramètres!$A$1:$I$89,5,0)</f>
        <v>#N/A</v>
      </c>
      <c r="EL15" s="117" t="e">
        <f aca="false">EXP(-1.0587+0.8836*LN(EK15)+0.284)</f>
        <v>#N/A</v>
      </c>
      <c r="EM15" s="128" t="e">
        <f aca="false">(EK15+EL15)*0.475*44/12</f>
        <v>#N/A</v>
      </c>
      <c r="EN15" s="120" t="e">
        <f aca="false">EM15+(EE15+EF15)*44/12</f>
        <v>#N/A</v>
      </c>
      <c r="EO15" s="120" t="e">
        <f aca="true">AVERAGE(OFFSET($EN$3,0,0,'Données projet'!$E$15+1,1))-AVERAGE(OFFSET($H$3,0,0,'Données projet'!$E$15+1,1))</f>
        <v>#N/A</v>
      </c>
      <c r="EP15" s="120" t="e">
        <f aca="false">$EP$3</f>
        <v>#N/A</v>
      </c>
      <c r="EQ15" s="121" t="n">
        <f aca="false">IF(ISNA(VLOOKUP(A15,'Données projet'!$A$191:$I$211,3,0)),0,VLOOKUP(A15,'Données projet'!$A$191:$I$211,3,0))</f>
        <v>0</v>
      </c>
      <c r="ER15" s="121" t="n">
        <f aca="false">IF(ISNA(VLOOKUP(A15,'Données projet'!$A$191:$I$211,4,0)),0,VLOOKUP(A15,'Données projet'!$A$191:$I$211,4,0))</f>
        <v>0</v>
      </c>
      <c r="ES15" s="122" t="n">
        <f aca="false">IF(ISNA(VLOOKUP(A15,'Données projet'!$A$191:$I$211,5,0)),0%,VLOOKUP(A15,'Données projet'!$A$191:$I$211,5,0)*VLOOKUP('Données projet'!$B$15,Paramètres!$A$1:$I$89,7,0))</f>
        <v>0</v>
      </c>
      <c r="ET15" s="122" t="n">
        <f aca="false">IF(ISNA(VLOOKUP(A15,'Données projet'!$A$191:$I$211,6,0)),0%,VLOOKUP(A15,'Données projet'!$A$191:$I$211,6,0)*VLOOKUP('Données projet'!$B$15,Paramètres!$A$1:$I$89,7,0))</f>
        <v>0</v>
      </c>
      <c r="EU15" s="122" t="n">
        <f aca="false">IF(ISNA(VLOOKUP(A15,'Données projet'!$A$191:$I$211,7,0)),0%,VLOOKUP(A15,'Données projet'!$A$191:$I$211,7,0))</f>
        <v>0</v>
      </c>
      <c r="EV15" s="129" t="e">
        <f aca="false">EXP(-LN(2)/35)*EV14+(1-EXP(-LN(2)/35))/(LN(2)/35)*ER15*ES15*VLOOKUP('Données projet'!$B$15,Paramètres!$A$1:$I$89,3,0)*0.475*44/12</f>
        <v>#N/A</v>
      </c>
      <c r="EW15" s="129" t="e">
        <f aca="false">EXP(-LN(2)/25)*EW14+(1-EXP(-LN(2)/25))/(LN(2)/25)*Calculateur!ER15*Calculateur!ET15*VLOOKUP('Données projet'!$B$15,Paramètres!$A$1:$I$89,3,0)*0.475*44/12</f>
        <v>#N/A</v>
      </c>
      <c r="EX15" s="129" t="e">
        <f aca="false">EXP(-LN(2)/2)*EX14+(1-EXP(-LN(2)/2))/(LN(2)/2)*ER15*EU15*VLOOKUP('Données projet'!$B$15,Paramètres!$A$1:$I$89,3,0)*0.475*44/12</f>
        <v>#N/A</v>
      </c>
      <c r="EY15" s="130" t="e">
        <f aca="false">SUM(EV15:EX15)</f>
        <v>#N/A</v>
      </c>
      <c r="EZ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18" t="e">
        <f aca="false">VLOOKUP(A15,'Données projet'!$A$217:$I$237,2,0)</f>
        <v>#N/A</v>
      </c>
      <c r="FC15" s="118" t="e">
        <f aca="false">VLOOKUP(A15,'Données projet'!$A$217:$I$237,9,0)</f>
        <v>#N/A</v>
      </c>
      <c r="FD15" s="118" t="n">
        <f aca="false" t="array" ref="FD15:FD15">INDEX(FC:FC,MIN(IF(ISNUMBER(FC15:FC211),ROW(FC15:FC211),"")))</f>
        <v>0</v>
      </c>
      <c r="FE15" s="118" t="n">
        <f aca="false">IF('Données projet'!$A$218&gt;35,FE14+FD15-FM14,IF(A15&lt;'Données projet'!$A$218,$FB$205^A15,IF(A15='Données projet'!$A$218,'Données projet'!$B$218,FE14+FD15-FM14)))</f>
        <v>0</v>
      </c>
      <c r="FF15" s="125" t="e">
        <f aca="false">FE15*VLOOKUP('Données projet'!$B$16,Paramètres!$A$1:$I$89,3,0)*VLOOKUP('Données projet'!$B$16,Paramètres!$A$1:$I$89,5,0)</f>
        <v>#N/A</v>
      </c>
      <c r="FG15" s="117" t="e">
        <f aca="false">EXP(-1.0587+0.8836*LN(FF15)+0.284)</f>
        <v>#N/A</v>
      </c>
      <c r="FH15" s="128" t="e">
        <f aca="false">(FF15+FG15)*0.475*44/12</f>
        <v>#N/A</v>
      </c>
      <c r="FI15" s="120" t="e">
        <f aca="false">FH15+(EZ15+FA15)*44/12</f>
        <v>#N/A</v>
      </c>
      <c r="FJ15" s="120" t="e">
        <f aca="true">AVERAGE(OFFSET($FI$3,0,0,'Données projet'!$E$16+1,1))-AVERAGE(OFFSET($H$3,0,0,'Données projet'!$E$16+1,1))</f>
        <v>#N/A</v>
      </c>
      <c r="FK15" s="120" t="e">
        <f aca="false">$FK$3</f>
        <v>#N/A</v>
      </c>
      <c r="FL15" s="121" t="n">
        <f aca="false">IF(ISNA(VLOOKUP(A15,'Données projet'!$A$217:$I$237,3,0)),0,VLOOKUP(A15,'Données projet'!$A$217:$I$237,3,0))</f>
        <v>0</v>
      </c>
      <c r="FM15" s="121" t="n">
        <f aca="false">IF(ISNA(VLOOKUP(A15,'Données projet'!$A$217:$I$237,4,0)),0,VLOOKUP(A15,'Données projet'!$A$217:$I$237,4,0))</f>
        <v>0</v>
      </c>
      <c r="FN15" s="122" t="n">
        <f aca="false">IF(ISNA(VLOOKUP(A15,'Données projet'!$A$217:$I$237,5,0)),0%,VLOOKUP(A15,'Données projet'!$A$217:$I$237,5,0)*VLOOKUP('Données projet'!$B$16,Paramètres!$A$1:$I$89,7,0))</f>
        <v>0</v>
      </c>
      <c r="FO15" s="122" t="n">
        <f aca="false">IF(ISNA(VLOOKUP(A15,'Données projet'!$A$217:$I$237,6,0)),0%,VLOOKUP(A15,'Données projet'!$A$217:$I$237,6,0)*VLOOKUP('Données projet'!$B$16,Paramètres!$A$1:$I$89,7,0))</f>
        <v>0</v>
      </c>
      <c r="FP15" s="122" t="n">
        <f aca="false">IF(ISNA(VLOOKUP(A15,'Données projet'!$A$217:$I$237,7,0)),0%,VLOOKUP(A15,'Données projet'!$A$217:$I$237,7,0))</f>
        <v>0</v>
      </c>
      <c r="FQ15" s="129" t="e">
        <f aca="false">EXP(-LN(2)/35)*FQ14+(1-EXP(-LN(2)/35))/(LN(2)/35)*FM15*FN15*VLOOKUP('Données projet'!$B$16,Paramètres!$A$1:$I$89,3,0)*0.475*44/12</f>
        <v>#N/A</v>
      </c>
      <c r="FR15" s="129" t="e">
        <f aca="false">EXP(-LN(2)/25)*FR14+(1-EXP(-LN(2)/25))/(LN(2)/25)*Calculateur!FM15*Calculateur!FO15*VLOOKUP('Données projet'!$B$16,Paramètres!$A$1:$I$89,3,0)*0.475*44/12</f>
        <v>#N/A</v>
      </c>
      <c r="FS15" s="129" t="e">
        <f aca="false">EXP(-LN(2)/2)*FS14+(1-EXP(-LN(2)/2))/(LN(2)/2)*FM15*FP15*VLOOKUP('Données projet'!$B$16,Paramètres!$A$1:$I$89,3,0)*0.475*44/12</f>
        <v>#N/A</v>
      </c>
      <c r="FT15" s="130" t="e">
        <f aca="false">SUM(FQ15:FS15)</f>
        <v>#N/A</v>
      </c>
      <c r="FU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18" t="e">
        <f aca="false">VLOOKUP(A15,'Données projet'!$A$243:$I$263,2,0)</f>
        <v>#N/A</v>
      </c>
      <c r="FX15" s="118" t="e">
        <f aca="false">VLOOKUP(A15,'Données projet'!$A$243:$I$263,9,0)</f>
        <v>#N/A</v>
      </c>
      <c r="FY15" s="118" t="n">
        <f aca="false" t="array" ref="FY15:FY15">INDEX(FX:FX,MIN(IF(ISNUMBER(FX15:FX211),ROW(FX15:FX211),"")))</f>
        <v>0</v>
      </c>
      <c r="FZ15" s="118" t="n">
        <f aca="false">IF('Données projet'!$A$244&gt;35,FZ14+FY15-GH14,IF(A15&lt;'Données projet'!$A$244,$FW$205^A15,IF(A15='Données projet'!$A$244,'Données projet'!$B$244,FZ14+FY15-GH14)))</f>
        <v>0</v>
      </c>
      <c r="GA15" s="125" t="e">
        <f aca="false">FZ15*VLOOKUP('Données projet'!$B$17,Paramètres!$A$1:$I$89,3,0)*VLOOKUP('Données projet'!$B$17,Paramètres!$A$1:$I$89,5,0)</f>
        <v>#N/A</v>
      </c>
      <c r="GB15" s="117" t="e">
        <f aca="false">EXP(-1.0587+0.8836*LN(GA15)+0.284)</f>
        <v>#N/A</v>
      </c>
      <c r="GC15" s="128" t="e">
        <f aca="false">(GA15+GB15)*0.475*44/12</f>
        <v>#N/A</v>
      </c>
      <c r="GD15" s="120" t="e">
        <f aca="false">GC15+(FU15+FV15)*44/12</f>
        <v>#N/A</v>
      </c>
      <c r="GE15" s="120" t="e">
        <f aca="true">AVERAGE(OFFSET($GD$3,0,0,'Données projet'!$E$17+1,1))-AVERAGE(OFFSET($H$3,0,0,'Données projet'!$E$17+1,1))</f>
        <v>#N/A</v>
      </c>
      <c r="GF15" s="120" t="e">
        <f aca="false">$GF$3</f>
        <v>#N/A</v>
      </c>
      <c r="GG15" s="121" t="n">
        <f aca="false">IF(ISNA(VLOOKUP(A15,'Données projet'!$A$243:$I$263,3,0)),0,VLOOKUP(A15,'Données projet'!$A$243:$I$263,3,0))</f>
        <v>0</v>
      </c>
      <c r="GH15" s="121" t="n">
        <f aca="false">IF(ISNA(VLOOKUP(A15,'Données projet'!$A$243:$I$263,4,0)),0,VLOOKUP(A15,'Données projet'!$A$243:$I$263,4,0))</f>
        <v>0</v>
      </c>
      <c r="GI15" s="122" t="n">
        <f aca="false">IF(ISNA(VLOOKUP(A15,'Données projet'!$A$243:$I$263,5,0)),0%,VLOOKUP(A15,'Données projet'!$A$243:$I$263,5,0)*VLOOKUP('Données projet'!$B$17,Paramètres!$A$1:$I$89,7,0))</f>
        <v>0</v>
      </c>
      <c r="GJ15" s="122" t="n">
        <f aca="false">IF(ISNA(VLOOKUP(A15,'Données projet'!$A$243:$I$263,6,0)),0%,VLOOKUP(A15,'Données projet'!$A$243:$I$263,6,0)*VLOOKUP('Données projet'!$B$17,Paramètres!$A$1:$I$89,7,0))</f>
        <v>0</v>
      </c>
      <c r="GK15" s="122" t="n">
        <f aca="false">IF(ISNA(VLOOKUP(A15,'Données projet'!$A$243:$I$263,7,0)),0%,VLOOKUP(A15,'Données projet'!$A$243:$I$263,7,0))</f>
        <v>0</v>
      </c>
      <c r="GL15" s="129" t="e">
        <f aca="false">EXP(-LN(2)/35)*GL14+(1-EXP(-LN(2)/35))/(LN(2)/35)*GH15*GI15*VLOOKUP('Données projet'!$B$17,Paramètres!$A$1:$I$89,3,0)*0.475*44/12</f>
        <v>#N/A</v>
      </c>
      <c r="GM15" s="129" t="e">
        <f aca="false">EXP(-LN(2)/25)*GM14+(1-EXP(-LN(2)/25))/(LN(2)/25)*Calculateur!GH15*Calculateur!GJ15*VLOOKUP('Données projet'!$B$17,Paramètres!$A$1:$I$89,3,0)*0.475*44/12</f>
        <v>#N/A</v>
      </c>
      <c r="GN15" s="129" t="e">
        <f aca="false">EXP(-LN(2)/2)*GN14+(1-EXP(-LN(2)/2))/(LN(2)/2)*GH15*GK15*VLOOKUP('Données projet'!$B$17,Paramètres!$A$1:$I$89,3,0)*0.475*44/12</f>
        <v>#N/A</v>
      </c>
      <c r="GO15" s="129" t="e">
        <f aca="false">SUM(GL15:GN15)</f>
        <v>#N/A</v>
      </c>
      <c r="GP15" s="126" t="n">
        <f aca="false"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8" t="n">
        <f aca="false"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18" t="e">
        <f aca="false">VLOOKUP(A15,'Données projet'!$A$269:$I$289,2,0)</f>
        <v>#N/A</v>
      </c>
      <c r="GS15" s="118" t="e">
        <f aca="false">VLOOKUP(A15,'Données projet'!$A$269:$I$289,9,0)</f>
        <v>#N/A</v>
      </c>
      <c r="GT15" s="118" t="n">
        <f aca="false" t="array" ref="GT15:GT15">INDEX(GS:GS,MIN(IF(ISNUMBER(GS15:GS211),ROW(GS15:GS211),"")))</f>
        <v>0</v>
      </c>
      <c r="GU15" s="118" t="n">
        <f aca="false">IF('Données projet'!$A$270&gt;35,GU14+GT15-HC14,IF(A15&lt;'Données projet'!$A$270,$GR$205^A15,IF(A15='Données projet'!$A$270,'Données projet'!$B$270,GU14+GT15-HC14)))</f>
        <v>0</v>
      </c>
      <c r="GV15" s="125" t="e">
        <f aca="false">GU15*VLOOKUP('Données projet'!$B$18,Paramètres!$A$1:$I$89,3,0)*VLOOKUP('Données projet'!$B$18,Paramètres!$A$1:$I$89,5,0)</f>
        <v>#N/A</v>
      </c>
      <c r="GW15" s="117" t="e">
        <f aca="false">EXP(-1.0587+0.8836*LN(GV15)+0.284)</f>
        <v>#N/A</v>
      </c>
      <c r="GX15" s="128" t="e">
        <f aca="false">(GV15+GW15)*0.475*44/12</f>
        <v>#N/A</v>
      </c>
      <c r="GY15" s="120" t="e">
        <f aca="false">GX15+(GP15+GQ15)*44/12</f>
        <v>#N/A</v>
      </c>
      <c r="GZ15" s="120" t="e">
        <f aca="true">AVERAGE(OFFSET($GY$3,0,0,'Données projet'!$E$18+1,1))-AVERAGE(OFFSET($H$3,0,0,'Données projet'!$E$18+1,1))</f>
        <v>#N/A</v>
      </c>
      <c r="HA15" s="120" t="e">
        <f aca="false">$HA$3</f>
        <v>#N/A</v>
      </c>
      <c r="HB15" s="121" t="n">
        <f aca="false">IF(ISNA(VLOOKUP(A15,'Données projet'!$A$269:$I$289,3,0)),0,VLOOKUP(A15,'Données projet'!$A$269:$I$289,3,0))</f>
        <v>0</v>
      </c>
      <c r="HC15" s="121" t="n">
        <f aca="false">IF(ISNA(VLOOKUP(A15,'Données projet'!$A$269:$I$289,4,0)),0,VLOOKUP(A15,'Données projet'!$A$269:$I$289,4,0))</f>
        <v>0</v>
      </c>
      <c r="HD15" s="122" t="n">
        <f aca="false">IF(ISNA(VLOOKUP(A15,'Données projet'!$A$269:$I$289,5,0)),0%,VLOOKUP(A15,'Données projet'!$A$269:$I$289,5,0)*VLOOKUP('Données projet'!$B$18,Paramètres!$A$1:$I$89,7,0))</f>
        <v>0</v>
      </c>
      <c r="HE15" s="122" t="n">
        <f aca="false">IF(ISNA(VLOOKUP(A15,'Données projet'!$A$269:$I$289,6,0)),0%,VLOOKUP(A15,'Données projet'!$A$269:$I$289,6,0)*VLOOKUP('Données projet'!$B$18,Paramètres!$A$1:$I$89,7,0))</f>
        <v>0</v>
      </c>
      <c r="HF15" s="122" t="n">
        <f aca="false">IF(ISNA(VLOOKUP(A15,'Données projet'!$A$269:$I$289,7,0)),0%,VLOOKUP(A15,'Données projet'!$A$269:$I$289,7,0))</f>
        <v>0</v>
      </c>
      <c r="HG15" s="129" t="e">
        <f aca="false">EXP(-LN(2)/35)*HG14+(1-EXP(-LN(2)/35))/(LN(2)/35)*HC15*HD15*VLOOKUP('Données projet'!$B$18,Paramètres!$A$1:$I$89,3,0)*0.475*44/12</f>
        <v>#N/A</v>
      </c>
      <c r="HH15" s="129" t="e">
        <f aca="false">EXP(-LN(2)/25)*HH14+(1-EXP(-LN(2)/25))/(LN(2)/25)*Calculateur!HC15*Calculateur!HE15*VLOOKUP('Données projet'!$B$18,Paramètres!$A$1:$I$89,3,0)*0.475*44/12</f>
        <v>#N/A</v>
      </c>
      <c r="HI15" s="129" t="e">
        <f aca="false">EXP(-LN(2)/2)*HI14+(1-EXP(-LN(2)/2))/(LN(2)/2)*HC15*HF15*VLOOKUP('Données projet'!$B$18,Paramètres!$A$1:$I$89,3,0)*0.475*44/12</f>
        <v>#N/A</v>
      </c>
      <c r="HJ15" s="130" t="e">
        <f aca="false">SUM(HG15:HI15)</f>
        <v>#N/A</v>
      </c>
    </row>
    <row r="16" customFormat="false" ht="14.25" hidden="false" customHeight="false" outlineLevel="0" collapsed="false">
      <c r="A16" s="112" t="n">
        <f aca="false">A15+1</f>
        <v>13</v>
      </c>
      <c r="B16" s="113" t="n">
        <f aca="false">'Scénario référence'!$B$16*5+'Scénario référence'!$B$17*0+'Scénario référence'!$B$18*5</f>
        <v>0</v>
      </c>
      <c r="C16" s="127" t="n">
        <f aca="false"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4" t="n">
        <f aca="false">IFERROR(EXP(-1.0587+0.8836*LN(C16)+0.284),0)</f>
        <v>0</v>
      </c>
      <c r="E1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" s="114" t="n">
        <f aca="false">IF(OR('Scénario référence'!$F$8&gt;0,'Scénario référence'!$F$9&gt;0),('Scénario référence'!$F$8+'Scénario référence'!$F$9)*10,0)</f>
        <v>0</v>
      </c>
      <c r="G16" s="114" t="n">
        <f aca="false"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15" t="n">
        <f aca="false">(B16+E16+F16)*44/12+(C16+D16)*0.475*44/12</f>
        <v>256.666666666667</v>
      </c>
      <c r="I16" s="11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7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K16" s="118" t="e">
        <f aca="false">VLOOKUP(A16,'Données projet'!$A$35:$I$55,2,0)</f>
        <v>#N/A</v>
      </c>
      <c r="L16" s="118" t="e">
        <f aca="false">VLOOKUP(A16,'Données projet'!$A$35:$I$55,9,0)</f>
        <v>#N/A</v>
      </c>
      <c r="M16" s="118" t="n">
        <f aca="false" t="array" ref="M16:M16">INDEX(L:L,MIN(IF(ISNUMBER(L16:L212),ROW(L16:L212),"")))</f>
        <v>7.9</v>
      </c>
      <c r="N16" s="117" t="n">
        <f aca="false">IF('Données projet'!$A$36&gt;35,N15+M16-V15,IF(A16&lt;'Données projet'!$A$36,$K$205^A16,IF(A16='Données projet'!$A$36,'Données projet'!$B$36,N15+M16-V15)))</f>
        <v>26.8613049004997</v>
      </c>
      <c r="O16" s="117" t="n">
        <f aca="false">N16*VLOOKUP('Données projet'!$B$9,Paramètres!$A$1:$I$89,3,0)*VLOOKUP('Données projet'!$B$9,Paramètres!$A$1:$I$89,5,0)</f>
        <v>12.5710906934339</v>
      </c>
      <c r="P16" s="117" t="n">
        <f aca="false">EXP(-1.0587+0.8836*LN(O16)+0.284)</f>
        <v>4.31477359140691</v>
      </c>
      <c r="Q16" s="128" t="n">
        <f aca="false">(O16+P16)*0.475*44/12</f>
        <v>29.4095469627643</v>
      </c>
      <c r="R16" s="120" t="n">
        <f aca="false">Q16+(I16+J16)*44/12</f>
        <v>301.96510251832</v>
      </c>
      <c r="S16" s="120" t="n">
        <f aca="true">AVERAGE(OFFSET($R$3,0,0,'Données projet'!$E$9+1,1))-AVERAGE(OFFSET($H$3,0,0,'Données projet'!$E$9+1,1))</f>
        <v>319.229030946746</v>
      </c>
      <c r="T16" s="120" t="n">
        <f aca="false">$T$3</f>
        <v>254.586909731428</v>
      </c>
      <c r="U16" s="121" t="n">
        <f aca="false">IF(ISNA(VLOOKUP(A16,'Données projet'!$A$35:$I$55,3,0)),0,VLOOKUP(A16,'Données projet'!$A$35:$I$55,3,0))</f>
        <v>0</v>
      </c>
      <c r="V16" s="121" t="n">
        <f aca="false">IF(ISNA(VLOOKUP(A16,'Données projet'!$A$35:$I$55,4,0)),0,VLOOKUP(A16,'Données projet'!$A$35:$I$55,4,0))</f>
        <v>0</v>
      </c>
      <c r="W16" s="122" t="n">
        <f aca="false">IF(ISNA(VLOOKUP(A16,'Données projet'!$A$35:$I$55,5,0)),0%,VLOOKUP(A16,'Données projet'!$A$35:$I$55,5,0)*VLOOKUP('Données projet'!$B$9,Paramètres!$A$1:$I$89,7,0))</f>
        <v>0</v>
      </c>
      <c r="X16" s="122" t="n">
        <f aca="false">IF(ISNA(VLOOKUP(A16,'Données projet'!$A$35:$I$55,6,0)),0%,VLOOKUP(A16,'Données projet'!$A$35:$I$55,6,0)*VLOOKUP('Données projet'!$B$9,Paramètres!$A$1:$I$89,7,0))</f>
        <v>0</v>
      </c>
      <c r="Y16" s="122" t="n">
        <f aca="false">IF(ISNA(VLOOKUP(A16,'Données projet'!$A$35:$I$55,7,0)),0%,VLOOKUP(A16,'Données projet'!$A$35:$I$55,7,0))</f>
        <v>0</v>
      </c>
      <c r="Z16" s="129" t="n">
        <f aca="false">EXP(-LN(2)/35)*Z15+(1-EXP(-LN(2)/35))/(LN(2)/35)*V16*W16*VLOOKUP('Données projet'!$B$9,Paramètres!$A$1:$I$89,3,0)*0.475*44/12</f>
        <v>0</v>
      </c>
      <c r="AA16" s="129" t="n">
        <f aca="false">EXP(-LN(2)/25)*AA15+(1-EXP(-LN(2)/25))/(LN(2)/25)*Calculateur!V16*Calculateur!X16*VLOOKUP('Données projet'!$B$9,Paramètres!$A$1:$I$89,3,0)*0.475*44/12</f>
        <v>0</v>
      </c>
      <c r="AB16" s="129" t="n">
        <f aca="false">EXP(-LN(2)/2)*AB15+(1-EXP(-LN(2)/2))/(LN(2)/2)*V16*Y16*VLOOKUP('Données projet'!$B$9,Paramètres!$A$1:$I$89,3,0)*0.475*44/12</f>
        <v>0</v>
      </c>
      <c r="AC16" s="130" t="n">
        <f aca="false">SUM(Z16:AB16)</f>
        <v>0</v>
      </c>
      <c r="AD16" s="117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7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AF16" s="118" t="e">
        <f aca="false">VLOOKUP(A16,'Données projet'!$A$61:$I$81,2,0)</f>
        <v>#N/A</v>
      </c>
      <c r="AG16" s="118" t="e">
        <f aca="false">VLOOKUP(A16,'Données projet'!$A$61:$I$81,9,0)</f>
        <v>#N/A</v>
      </c>
      <c r="AH16" s="118" t="n">
        <f aca="false" t="array" ref="AH16:AH16">INDEX(AG:AG,MIN(IF(ISNUMBER(AG16:AG212),ROW(AG16:AG212),"")))</f>
        <v>7.04347826086957</v>
      </c>
      <c r="AI16" s="117" t="n">
        <f aca="false">IF('Données projet'!$A$62&gt;35,AI15+AH16-AQ15,IF(A16&lt;'Données projet'!$A$62,$AF$205^A16,IF(A16='Données projet'!$A$62,'Données projet'!$B$62,AI15+AH16-AQ15)))</f>
        <v>17.7360258288775</v>
      </c>
      <c r="AJ16" s="117" t="n">
        <f aca="false">AI16*VLOOKUP('Données projet'!$B$10,Paramètres!$A$1:$I$89,3,0)*VLOOKUP('Données projet'!$B$10,Paramètres!$A$1:$I$89,5,0)</f>
        <v>9.91443843834253</v>
      </c>
      <c r="AK16" s="117" t="n">
        <f aca="false">EXP(-1.0587+0.8836*LN(AJ16)+0.284)</f>
        <v>3.49828007191531</v>
      </c>
      <c r="AL16" s="128" t="n">
        <f aca="false">(AJ16+AK16)*0.475*44/12</f>
        <v>23.3604847386991</v>
      </c>
      <c r="AM16" s="120" t="n">
        <f aca="false">AL16+(AD16+AE16)*44/12</f>
        <v>295.916040294255</v>
      </c>
      <c r="AN16" s="120" t="n">
        <f aca="true">AVERAGE(OFFSET($AM$3,0,0,'Données projet'!$E$10+1,1))-AVERAGE(OFFSET($H$3,0,0,'Données projet'!$E$10+1,1))</f>
        <v>365.705101827279</v>
      </c>
      <c r="AO16" s="120" t="n">
        <f aca="false">$AO$3</f>
        <v>436.238338449625</v>
      </c>
      <c r="AP16" s="121" t="n">
        <f aca="false">IF(ISNA(VLOOKUP(A16,'Données projet'!$A$61:$I$81,3,0)),0,VLOOKUP(A16,'Données projet'!$A$61:$I$81,3,0))</f>
        <v>0</v>
      </c>
      <c r="AQ16" s="121" t="n">
        <f aca="false">IF(ISNA(VLOOKUP(A16,'Données projet'!$A$61:$I$81,4,0)),0,VLOOKUP(A16,'Données projet'!$A$61:$I$81,4,0))</f>
        <v>0</v>
      </c>
      <c r="AR16" s="122" t="n">
        <f aca="false">IF(ISNA(VLOOKUP(A16,'Données projet'!$A$61:$I$81,5,0)),0%,VLOOKUP(A16,'Données projet'!$A$61:$I$81,5,0)*VLOOKUP('Données projet'!$B$10,Paramètres!$A$1:$I$89,7,0))</f>
        <v>0</v>
      </c>
      <c r="AS16" s="122" t="n">
        <f aca="false">IF(ISNA(VLOOKUP(A16,'Données projet'!$A$61:$I$81,6,0)),0%,VLOOKUP(A16,'Données projet'!$A$61:$I$81,6,0)*VLOOKUP('Données projet'!$B$10,Paramètres!$A$1:$I$89,7,0))</f>
        <v>0</v>
      </c>
      <c r="AT16" s="122" t="n">
        <f aca="false">IF(ISNA(VLOOKUP(A16,'Données projet'!$A$61:$I$81,7,0)),0%,VLOOKUP(A16,'Données projet'!$A$61:$I$81,7,0))</f>
        <v>0</v>
      </c>
      <c r="AU16" s="129" t="n">
        <f aca="false">EXP(-LN(2)/35)*AU15+(1-EXP(-LN(2)/35))/(LN(2)/35)*AQ16*AR16*VLOOKUP('Données projet'!$B$10,Paramètres!$A$1:$I$89,3,0)*0.475*44/12</f>
        <v>0</v>
      </c>
      <c r="AV16" s="129" t="n">
        <f aca="false">EXP(-LN(2)/25)*AV15+(1-EXP(-LN(2)/25))/(LN(2)/25)*Calculateur!AQ16*Calculateur!AS16*VLOOKUP('Données projet'!$B$10,Paramètres!$A$1:$I$89,3,0)*0.475*44/12</f>
        <v>0</v>
      </c>
      <c r="AW16" s="129" t="n">
        <f aca="false">EXP(-LN(2)/2)*AW15+(1-EXP(-LN(2)/2))/(LN(2)/2)*AQ16*AT16*VLOOKUP('Données projet'!$B$10,Paramètres!$A$1:$I$89,3,0)*0.475*44/12</f>
        <v>0</v>
      </c>
      <c r="AX16" s="129" t="n">
        <f aca="false">SUM(AU16:AW16)</f>
        <v>0</v>
      </c>
      <c r="AY16" s="124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BA16" s="118" t="e">
        <f aca="false">VLOOKUP(A16,'Données projet'!$A$87:$I$107,2,0)</f>
        <v>#N/A</v>
      </c>
      <c r="BB16" s="118" t="e">
        <f aca="false">VLOOKUP(A16,'Données projet'!$A$87:$I$107,9,0)</f>
        <v>#N/A</v>
      </c>
      <c r="BC16" s="118" t="n">
        <f aca="false" t="array" ref="BC16:BC16">INDEX(BB:BB,MIN(IF(ISNUMBER(BB16:BB212),ROW(BB16:BB212),"")))</f>
        <v>5.8</v>
      </c>
      <c r="BD16" s="118" t="n">
        <f aca="false">IF('Données projet'!$A$88&gt;35,BD15+BC16-BL15,IF(A16&lt;'Données projet'!$A$88,$BA$205^A16,IF(A16='Données projet'!$A$88,'Données projet'!$B$88,BD15+BC16-BL15)))</f>
        <v>47.9641426123784</v>
      </c>
      <c r="BE16" s="117" t="n">
        <f aca="false">BD16*VLOOKUP('Données projet'!$B$11,Paramètres!$A$1:$I$89,3,0)*VLOOKUP('Données projet'!$B$11,Paramètres!$A$1:$I$89,5,0)</f>
        <v>41.9014749861738</v>
      </c>
      <c r="BF16" s="117" t="n">
        <f aca="false">EXP(-1.0587+0.8836*LN(BE16)+0.284)</f>
        <v>12.5012627734915</v>
      </c>
      <c r="BG16" s="128" t="n">
        <f aca="false">(BE16+BF16)*0.475*44/12</f>
        <v>94.7514349314171</v>
      </c>
      <c r="BH16" s="120" t="n">
        <f aca="false">BG16+(AY16+AZ16)*44/12</f>
        <v>367.306990486973</v>
      </c>
      <c r="BI16" s="120" t="n">
        <f aca="true">AVERAGE(OFFSET($BH$3,0,0,'Données projet'!$E$11+1,1))-AVERAGE(OFFSET($H$3,0,0,'Données projet'!$E$11+1,1))</f>
        <v>321.235999689929</v>
      </c>
      <c r="BJ16" s="120" t="n">
        <f aca="false">$BJ$3</f>
        <v>388.051958478005</v>
      </c>
      <c r="BK16" s="121" t="n">
        <f aca="false">IF(ISNA(VLOOKUP(A16,'Données projet'!$A$87:$I$107,3,0)),0,VLOOKUP(A16,'Données projet'!$A$87:$I$107,3,0))</f>
        <v>0</v>
      </c>
      <c r="BL16" s="121" t="n">
        <f aca="false">IF(ISNA(VLOOKUP(A16,'Données projet'!$A$87:$I$107,4,0)),0,VLOOKUP(A16,'Données projet'!$A$87:$I$107,4,0))</f>
        <v>0</v>
      </c>
      <c r="BM16" s="122" t="n">
        <f aca="false">IF(ISNA(VLOOKUP(A16,'Données projet'!$A$87:$I$107,5,0)),0%,VLOOKUP(A16,'Données projet'!$A$87:$I$107,5,0)*VLOOKUP('Données projet'!$B$11,Paramètres!$A$1:$I$89,7,0))</f>
        <v>0</v>
      </c>
      <c r="BN16" s="122" t="n">
        <f aca="false">IF(ISNA(VLOOKUP(A16,'Données projet'!$A$87:$I$107,6,0)),0%,VLOOKUP(A16,'Données projet'!$A$87:$I$107,6,0)*VLOOKUP('Données projet'!$B$11,Paramètres!$A$1:$I$89,7,0))</f>
        <v>0</v>
      </c>
      <c r="BO16" s="122" t="n">
        <f aca="false">IF(ISNA(VLOOKUP(A16,'Données projet'!$A$87:$I$107,7,0)),0%,VLOOKUP(A16,'Données projet'!$A$87:$I$107,7,0))</f>
        <v>0</v>
      </c>
      <c r="BP16" s="129" t="n">
        <f aca="false">EXP(-LN(2)/35)*BP15+(1-EXP(-LN(2)/35))/(LN(2)/35)*BL16*BM16*VLOOKUP('Données projet'!$B$11,Paramètres!$A$1:$I$89,3,0)*0.475*44/12</f>
        <v>0</v>
      </c>
      <c r="BQ16" s="129" t="n">
        <f aca="false">EXP(-LN(2)/25)*BQ15+(1-EXP(-LN(2)/25))/(LN(2)/25)*Calculateur!BL16*Calculateur!BN16*VLOOKUP('Données projet'!$B$11,Paramètres!$A$1:$I$89,3,0)*0.475*44/12</f>
        <v>0</v>
      </c>
      <c r="BR16" s="129" t="n">
        <f aca="false">EXP(-LN(2)/2)*BR15+(1-EXP(-LN(2)/2))/(LN(2)/2)*BL16*BO16*VLOOKUP('Données projet'!$B$11,Paramètres!$A$1:$I$89,3,0)*0.475*44/12</f>
        <v>0</v>
      </c>
      <c r="BS16" s="130" t="n">
        <f aca="false">SUM(BP16:BR16)</f>
        <v>0</v>
      </c>
      <c r="BT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BV16" s="118" t="e">
        <f aca="false">VLOOKUP(A16,'Données projet'!$A$113:$I$133,2,0)</f>
        <v>#N/A</v>
      </c>
      <c r="BW16" s="118" t="e">
        <f aca="false">VLOOKUP(A16,'Données projet'!$A$113:$I$133,9,0)</f>
        <v>#N/A</v>
      </c>
      <c r="BX16" s="118" t="n">
        <f aca="false" t="array" ref="BX16:BX16">INDEX(BW:BW,MIN(IF(ISNUMBER(BW16:BW212),ROW(BW16:BW212),"")))</f>
        <v>6.22222222222222</v>
      </c>
      <c r="BY16" s="118" t="n">
        <f aca="false">IF('Données projet'!$A$114&gt;35,BY15+BX16-CG15,IF(A16&lt;'Données projet'!$A$114,$BV$205^A16,IF(A16='Données projet'!$A$114,'Données projet'!$B$114,BY15+BX16-CG15)))</f>
        <v>30.1988770640466</v>
      </c>
      <c r="BZ16" s="117" t="n">
        <f aca="false">BY16*VLOOKUP('Données projet'!$B$12,Paramètres!$A$1:$I$89,3,0)*VLOOKUP('Données projet'!$B$12,Paramètres!$A$1:$I$89,5,0)</f>
        <v>18.8440992879651</v>
      </c>
      <c r="CA16" s="117" t="n">
        <f aca="false">EXP(-1.0587+0.8836*LN(BZ16)+0.284)</f>
        <v>6.17016863867699</v>
      </c>
      <c r="CB16" s="128" t="n">
        <f aca="false">(BZ16+CA16)*0.475*44/12</f>
        <v>43.5665166389016</v>
      </c>
      <c r="CC16" s="120" t="n">
        <f aca="false">CB16+(BT16+BU16)*44/12</f>
        <v>316.122072194457</v>
      </c>
      <c r="CD16" s="120" t="n">
        <f aca="true">AVERAGE(OFFSET($CC$3,0,0,'Données projet'!$E$12+1,1))-AVERAGE(OFFSET($H$3,0,0,'Données projet'!$E$12+1,1))</f>
        <v>240.228848647662</v>
      </c>
      <c r="CE16" s="120" t="n">
        <f aca="false">$CE$3</f>
        <v>343.237768841432</v>
      </c>
      <c r="CF16" s="121" t="n">
        <f aca="false">IF(ISNA(VLOOKUP(A16,'Données projet'!$A$113:$I$133,3,0)),0,VLOOKUP(A16,'Données projet'!$A$113:$I$133,3,0))</f>
        <v>0</v>
      </c>
      <c r="CG16" s="121" t="n">
        <f aca="false">IF(ISNA(VLOOKUP(A16,'Données projet'!$A$113:$I$133,4,0)),0,VLOOKUP(A16,'Données projet'!$A$113:$I$133,4,0))</f>
        <v>0</v>
      </c>
      <c r="CH16" s="122" t="n">
        <f aca="false">IF(ISNA(VLOOKUP(A16,'Données projet'!$A$113:$I$133,5,0)),0%,VLOOKUP(A16,'Données projet'!$A$113:$I$133,5,0)*VLOOKUP('Données projet'!$B$12,Paramètres!$A$1:$I$89,7,0))</f>
        <v>0</v>
      </c>
      <c r="CI16" s="122" t="n">
        <f aca="false">IF(ISNA(VLOOKUP(A16,'Données projet'!$A$113:$I$133,6,0)),0%,VLOOKUP(A16,'Données projet'!$A$113:$I$133,6,0)*VLOOKUP('Données projet'!$B$12,Paramètres!$A$1:$I$89,7,0))</f>
        <v>0</v>
      </c>
      <c r="CJ16" s="122" t="n">
        <f aca="false">IF(ISNA(VLOOKUP(A16,'Données projet'!$A$113:$I$133,7,0)),0%,VLOOKUP(A16,'Données projet'!$A$113:$I$133,7,0))</f>
        <v>0</v>
      </c>
      <c r="CK16" s="129" t="n">
        <f aca="false">EXP(-LN(2)/35)*CK15+(1-EXP(-LN(2)/35))/(LN(2)/35)*CG16*CH16*VLOOKUP('Données projet'!$B$12,Paramètres!$A$1:$I$89,3,0)*0.475*44/12</f>
        <v>0</v>
      </c>
      <c r="CL16" s="129" t="n">
        <f aca="false">EXP(-LN(2)/25)*CL15+(1-EXP(-LN(2)/25))/(LN(2)/25)*Calculateur!CG16*Calculateur!CI16*VLOOKUP('Données projet'!$B$12,Paramètres!$A$1:$I$89,3,0)*0.475*44/12</f>
        <v>0</v>
      </c>
      <c r="CM16" s="129" t="n">
        <f aca="false">EXP(-LN(2)/2)*CM15+(1-EXP(-LN(2)/2))/(LN(2)/2)*CG16*CJ16*VLOOKUP('Données projet'!$B$12,Paramètres!$A$1:$I$89,3,0)*0.475*44/12</f>
        <v>0</v>
      </c>
      <c r="CN16" s="130" t="n">
        <f aca="false">SUM(CK16:CM16)</f>
        <v>0</v>
      </c>
      <c r="CO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CQ16" s="118" t="e">
        <f aca="false">VLOOKUP(A16,'Données projet'!$A$139:$I$159,2,0)</f>
        <v>#N/A</v>
      </c>
      <c r="CR16" s="118" t="e">
        <f aca="false">VLOOKUP(A16,'Données projet'!$A$139:$I$159,9,0)</f>
        <v>#N/A</v>
      </c>
      <c r="CS16" s="118" t="n">
        <f aca="false" t="array" ref="CS16:CS16">INDEX(CR:CR,MIN(IF(ISNUMBER(CR16:CR212),ROW(CR16:CR212),"")))</f>
        <v>24.3333333333333</v>
      </c>
      <c r="CT16" s="118" t="n">
        <f aca="false">IF('Données projet'!$A$140&gt;35,CT15+CS16-DB15,IF(A16&lt;'Données projet'!$A$140,$CQ$205^A16,IF(A16='Données projet'!$A$140,'Données projet'!$B$140,CT15+CS16-DB15)))</f>
        <v>119.333333333333</v>
      </c>
      <c r="CU16" s="125" t="n">
        <f aca="false">CT16*VLOOKUP('Données projet'!$B$13,Paramètres!$A$1:$I$89,3,0)*VLOOKUP('Données projet'!$B$13,Paramètres!$A$1:$I$89,5,0)</f>
        <v>65.156</v>
      </c>
      <c r="CV16" s="117" t="n">
        <f aca="false">EXP(-1.0587+0.8836*LN(CU16)+0.284)</f>
        <v>18.4655473600432</v>
      </c>
      <c r="CW16" s="128" t="n">
        <f aca="false">(CU16+CV16)*0.475*44/12</f>
        <v>145.640861652075</v>
      </c>
      <c r="CX16" s="120" t="n">
        <f aca="false">CW16+(CO16+CP16)*44/12</f>
        <v>418.196417207631</v>
      </c>
      <c r="CY16" s="120" t="n">
        <f aca="true">AVERAGE(OFFSET($CX$3,0,0,'Données projet'!$E$13+1,1))-AVERAGE(OFFSET($H$3,0,0,'Données projet'!$E$13+1,1))</f>
        <v>207.023069645676</v>
      </c>
      <c r="CZ16" s="120" t="n">
        <f aca="false">$CZ$3</f>
        <v>342.068879333518</v>
      </c>
      <c r="DA16" s="121" t="n">
        <f aca="false">IF(ISNA(VLOOKUP(A16,'Données projet'!$A$139:$I$159,3,0)),0,VLOOKUP(A16,'Données projet'!$A$139:$I$159,3,0))</f>
        <v>0</v>
      </c>
      <c r="DB16" s="121" t="n">
        <f aca="false">IF(ISNA(VLOOKUP(A16,'Données projet'!$A$139:$I$159,4,0)),0,VLOOKUP(A16,'Données projet'!$A$139:$I$159,4,0))</f>
        <v>0</v>
      </c>
      <c r="DC16" s="122" t="n">
        <f aca="false">IF(ISNA(VLOOKUP(A16,'Données projet'!$A$139:$I$159,5,0)),0%,VLOOKUP(A16,'Données projet'!$A$139:$I$159,5,0)*VLOOKUP('Données projet'!$B$13,Paramètres!$A$1:$I$89,7,0))</f>
        <v>0</v>
      </c>
      <c r="DD16" s="122" t="n">
        <f aca="false">IF(ISNA(VLOOKUP(A16,'Données projet'!$A$139:$I$159,6,0)),0%,VLOOKUP(A16,'Données projet'!$A$139:$I$159,6,0)*VLOOKUP('Données projet'!$B$13,Paramètres!$A$1:$I$89,7,0))</f>
        <v>0</v>
      </c>
      <c r="DE16" s="122" t="n">
        <f aca="false">IF(ISNA(VLOOKUP(A16,'Données projet'!$A$139:$I$159,7,0)),0%,VLOOKUP(A16,'Données projet'!$A$139:$I$159,7,0))</f>
        <v>0</v>
      </c>
      <c r="DF16" s="129" t="n">
        <f aca="false">EXP(-LN(2)/35)*DF15+(1-EXP(-LN(2)/35))/(LN(2)/35)*DB16*DC16*VLOOKUP('Données projet'!$B$13,Paramètres!$A$1:$I$89,3,0)*0.475*44/12</f>
        <v>0</v>
      </c>
      <c r="DG16" s="129" t="n">
        <f aca="false">EXP(-LN(2)/25)*DG15+(1-EXP(-LN(2)/25))/(LN(2)/25)*Calculateur!DB16*Calculateur!DD16*VLOOKUP('Données projet'!$B$13,Paramètres!$A$1:$I$89,3,0)*0.475*44/12</f>
        <v>0</v>
      </c>
      <c r="DH16" s="129" t="n">
        <f aca="false">EXP(-LN(2)/2)*DH15+(1-EXP(-LN(2)/2))/(LN(2)/2)*DB16*DE16*VLOOKUP('Données projet'!$B$13,Paramètres!$A$1:$I$89,3,0)*0.475*44/12</f>
        <v>0</v>
      </c>
      <c r="DI16" s="130" t="n">
        <f aca="false">SUM(DF16:DH16)</f>
        <v>0</v>
      </c>
      <c r="DJ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DL16" s="118" t="e">
        <f aca="false">VLOOKUP(A16,'Données projet'!$A$165:$I$185,2,0)</f>
        <v>#N/A</v>
      </c>
      <c r="DM16" s="118" t="e">
        <f aca="false">VLOOKUP(A16,'Données projet'!$A$165:$I$185,9,0)</f>
        <v>#N/A</v>
      </c>
      <c r="DN16" s="118" t="n">
        <f aca="false" t="array" ref="DN16:DN16">INDEX(DM:DM,MIN(IF(ISNUMBER(DM16:DM212),ROW(DM16:DM212),"")))</f>
        <v>11.25</v>
      </c>
      <c r="DO16" s="118" t="n">
        <f aca="false">IF('Données projet'!$A$166&gt;35,DO15+DN16-DW15,IF(A16&lt;'Données projet'!$A$166,$DL$205^A16,IF(A16='Données projet'!$A$166,'Données projet'!$B$166,DO15+DN16-DW15)))</f>
        <v>47.25</v>
      </c>
      <c r="DP16" s="125" t="n">
        <f aca="false">DO16*VLOOKUP('Données projet'!$B$14,Paramètres!$A$1:$I$89,3,0)*VLOOKUP('Données projet'!$B$14,Paramètres!$A$1:$I$89,5,0)</f>
        <v>28.2555</v>
      </c>
      <c r="DQ16" s="117" t="n">
        <f aca="false">EXP(-1.0587+0.8836*LN(DP16)+0.284)</f>
        <v>8.82564943697106</v>
      </c>
      <c r="DR16" s="128" t="n">
        <f aca="false">(DP16+DQ16)*0.475*44/12</f>
        <v>64.5830019360579</v>
      </c>
      <c r="DS16" s="120" t="n">
        <f aca="false">DR16+(DJ16+DK16)*44/12</f>
        <v>337.138557491613</v>
      </c>
      <c r="DT16" s="120" t="n">
        <f aca="true">AVERAGE(OFFSET($DS$3,0,0,'Données projet'!$E$14+1,1))-AVERAGE(OFFSET($H$3,0,0,'Données projet'!$E$14+1,1))</f>
        <v>549.432320957297</v>
      </c>
      <c r="DU16" s="120" t="n">
        <f aca="false">$DU$3</f>
        <v>280.26155987301</v>
      </c>
      <c r="DV16" s="121" t="n">
        <f aca="false">IF(ISNA(VLOOKUP(A16,'Données projet'!$A$165:$I$185,3,0)),0,VLOOKUP(A16,'Données projet'!$A$165:$I$185,3,0))</f>
        <v>0</v>
      </c>
      <c r="DW16" s="121" t="n">
        <f aca="false">IF(ISNA(VLOOKUP(A16,'Données projet'!$A$165:$I$185,4,0)),0,VLOOKUP(A16,'Données projet'!$A$165:$I$185,4,0))</f>
        <v>0</v>
      </c>
      <c r="DX16" s="122" t="n">
        <f aca="false">IF(ISNA(VLOOKUP(A16,'Données projet'!$A$165:$I$185,5,0)),0%,VLOOKUP(A16,'Données projet'!$A$165:$I$185,5,0)*VLOOKUP('Données projet'!$B$14,Paramètres!$A$1:$I$89,7,0))</f>
        <v>0</v>
      </c>
      <c r="DY16" s="122" t="n">
        <f aca="false">IF(ISNA(VLOOKUP(A16,'Données projet'!$A$165:$I$185,6,0)),0%,VLOOKUP(A16,'Données projet'!$A$165:$I$185,6,0)*VLOOKUP('Données projet'!$B$14,Paramètres!$A$1:$I$89,7,0))</f>
        <v>0</v>
      </c>
      <c r="DZ16" s="122" t="n">
        <f aca="false">IF(ISNA(VLOOKUP(A16,'Données projet'!$A$165:$I$185,7,0)),0%,VLOOKUP(A16,'Données projet'!$A$165:$I$185,7,0))</f>
        <v>0</v>
      </c>
      <c r="EA16" s="129" t="n">
        <f aca="false">EXP(-LN(2)/35)*EA15+(1-EXP(-LN(2)/35))/(LN(2)/35)*DW16*DX16*VLOOKUP('Données projet'!$B$14,Paramètres!$A$1:$I$89,3,0)*0.475*44/12</f>
        <v>0</v>
      </c>
      <c r="EB16" s="129" t="n">
        <f aca="false">EXP(-LN(2)/25)*EB15+(1-EXP(-LN(2)/25))/(LN(2)/25)*Calculateur!DW16*Calculateur!DY16*VLOOKUP('Données projet'!$B$14,Paramètres!$A$1:$I$89,3,0)*0.475*44/12</f>
        <v>0</v>
      </c>
      <c r="EC16" s="129" t="n">
        <f aca="false">EXP(-LN(2)/2)*EC15+(1-EXP(-LN(2)/2))/(LN(2)/2)*DW16*DZ16*VLOOKUP('Données projet'!$B$14,Paramètres!$A$1:$I$89,3,0)*0.475*44/12</f>
        <v>0</v>
      </c>
      <c r="ED16" s="130" t="n">
        <f aca="false">SUM(EA16:EC16)</f>
        <v>0</v>
      </c>
      <c r="EE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EG16" s="118" t="e">
        <f aca="false">VLOOKUP(A16,'Données projet'!$A$191:$I$211,2,0)</f>
        <v>#N/A</v>
      </c>
      <c r="EH16" s="118" t="e">
        <f aca="false">VLOOKUP(A16,'Données projet'!$A$191:$I$211,9,0)</f>
        <v>#N/A</v>
      </c>
      <c r="EI16" s="118" t="n">
        <f aca="false" t="array" ref="EI16:EI16">INDEX(EH:EH,MIN(IF(ISNUMBER(EH16:EH212),ROW(EH16:EH212),"")))</f>
        <v>0</v>
      </c>
      <c r="EJ16" s="118" t="n">
        <f aca="false">IF('Données projet'!$A$192&gt;35,EJ15+EI16-ER15,IF(A16&lt;'Données projet'!$A$192,$EG$205^A16,IF(A16='Données projet'!$A$192,'Données projet'!$B$192,EJ15+EI16-ER15)))</f>
        <v>0</v>
      </c>
      <c r="EK16" s="125" t="e">
        <f aca="false">EJ16*VLOOKUP('Données projet'!$B$15,Paramètres!$A$1:$I$89,3,0)*VLOOKUP('Données projet'!$B$15,Paramètres!$A$1:$I$89,5,0)</f>
        <v>#N/A</v>
      </c>
      <c r="EL16" s="117" t="e">
        <f aca="false">EXP(-1.0587+0.8836*LN(EK16)+0.284)</f>
        <v>#N/A</v>
      </c>
      <c r="EM16" s="128" t="e">
        <f aca="false">(EK16+EL16)*0.475*44/12</f>
        <v>#N/A</v>
      </c>
      <c r="EN16" s="120" t="e">
        <f aca="false">EM16+(EE16+EF16)*44/12</f>
        <v>#N/A</v>
      </c>
      <c r="EO16" s="120" t="e">
        <f aca="true">AVERAGE(OFFSET($EN$3,0,0,'Données projet'!$E$15+1,1))-AVERAGE(OFFSET($H$3,0,0,'Données projet'!$E$15+1,1))</f>
        <v>#N/A</v>
      </c>
      <c r="EP16" s="120" t="e">
        <f aca="false">$EP$3</f>
        <v>#N/A</v>
      </c>
      <c r="EQ16" s="121" t="n">
        <f aca="false">IF(ISNA(VLOOKUP(A16,'Données projet'!$A$191:$I$211,3,0)),0,VLOOKUP(A16,'Données projet'!$A$191:$I$211,3,0))</f>
        <v>0</v>
      </c>
      <c r="ER16" s="121" t="n">
        <f aca="false">IF(ISNA(VLOOKUP(A16,'Données projet'!$A$191:$I$211,4,0)),0,VLOOKUP(A16,'Données projet'!$A$191:$I$211,4,0))</f>
        <v>0</v>
      </c>
      <c r="ES16" s="122" t="n">
        <f aca="false">IF(ISNA(VLOOKUP(A16,'Données projet'!$A$191:$I$211,5,0)),0%,VLOOKUP(A16,'Données projet'!$A$191:$I$211,5,0)*VLOOKUP('Données projet'!$B$15,Paramètres!$A$1:$I$89,7,0))</f>
        <v>0</v>
      </c>
      <c r="ET16" s="122" t="n">
        <f aca="false">IF(ISNA(VLOOKUP(A16,'Données projet'!$A$191:$I$211,6,0)),0%,VLOOKUP(A16,'Données projet'!$A$191:$I$211,6,0)*VLOOKUP('Données projet'!$B$15,Paramètres!$A$1:$I$89,7,0))</f>
        <v>0</v>
      </c>
      <c r="EU16" s="122" t="n">
        <f aca="false">IF(ISNA(VLOOKUP(A16,'Données projet'!$A$191:$I$211,7,0)),0%,VLOOKUP(A16,'Données projet'!$A$191:$I$211,7,0))</f>
        <v>0</v>
      </c>
      <c r="EV16" s="129" t="e">
        <f aca="false">EXP(-LN(2)/35)*EV15+(1-EXP(-LN(2)/35))/(LN(2)/35)*ER16*ES16*VLOOKUP('Données projet'!$B$15,Paramètres!$A$1:$I$89,3,0)*0.475*44/12</f>
        <v>#N/A</v>
      </c>
      <c r="EW16" s="129" t="e">
        <f aca="false">EXP(-LN(2)/25)*EW15+(1-EXP(-LN(2)/25))/(LN(2)/25)*Calculateur!ER16*Calculateur!ET16*VLOOKUP('Données projet'!$B$15,Paramètres!$A$1:$I$89,3,0)*0.475*44/12</f>
        <v>#N/A</v>
      </c>
      <c r="EX16" s="129" t="e">
        <f aca="false">EXP(-LN(2)/2)*EX15+(1-EXP(-LN(2)/2))/(LN(2)/2)*ER16*EU16*VLOOKUP('Données projet'!$B$15,Paramètres!$A$1:$I$89,3,0)*0.475*44/12</f>
        <v>#N/A</v>
      </c>
      <c r="EY16" s="130" t="e">
        <f aca="false">SUM(EV16:EX16)</f>
        <v>#N/A</v>
      </c>
      <c r="EZ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FB16" s="118" t="e">
        <f aca="false">VLOOKUP(A16,'Données projet'!$A$217:$I$237,2,0)</f>
        <v>#N/A</v>
      </c>
      <c r="FC16" s="118" t="e">
        <f aca="false">VLOOKUP(A16,'Données projet'!$A$217:$I$237,9,0)</f>
        <v>#N/A</v>
      </c>
      <c r="FD16" s="118" t="n">
        <f aca="false" t="array" ref="FD16:FD16">INDEX(FC:FC,MIN(IF(ISNUMBER(FC16:FC212),ROW(FC16:FC212),"")))</f>
        <v>0</v>
      </c>
      <c r="FE16" s="118" t="n">
        <f aca="false">IF('Données projet'!$A$218&gt;35,FE15+FD16-FM15,IF(A16&lt;'Données projet'!$A$218,$FB$205^A16,IF(A16='Données projet'!$A$218,'Données projet'!$B$218,FE15+FD16-FM15)))</f>
        <v>0</v>
      </c>
      <c r="FF16" s="125" t="e">
        <f aca="false">FE16*VLOOKUP('Données projet'!$B$16,Paramètres!$A$1:$I$89,3,0)*VLOOKUP('Données projet'!$B$16,Paramètres!$A$1:$I$89,5,0)</f>
        <v>#N/A</v>
      </c>
      <c r="FG16" s="117" t="e">
        <f aca="false">EXP(-1.0587+0.8836*LN(FF16)+0.284)</f>
        <v>#N/A</v>
      </c>
      <c r="FH16" s="128" t="e">
        <f aca="false">(FF16+FG16)*0.475*44/12</f>
        <v>#N/A</v>
      </c>
      <c r="FI16" s="120" t="e">
        <f aca="false">FH16+(EZ16+FA16)*44/12</f>
        <v>#N/A</v>
      </c>
      <c r="FJ16" s="120" t="e">
        <f aca="true">AVERAGE(OFFSET($FI$3,0,0,'Données projet'!$E$16+1,1))-AVERAGE(OFFSET($H$3,0,0,'Données projet'!$E$16+1,1))</f>
        <v>#N/A</v>
      </c>
      <c r="FK16" s="120" t="e">
        <f aca="false">$FK$3</f>
        <v>#N/A</v>
      </c>
      <c r="FL16" s="121" t="n">
        <f aca="false">IF(ISNA(VLOOKUP(A16,'Données projet'!$A$217:$I$237,3,0)),0,VLOOKUP(A16,'Données projet'!$A$217:$I$237,3,0))</f>
        <v>0</v>
      </c>
      <c r="FM16" s="121" t="n">
        <f aca="false">IF(ISNA(VLOOKUP(A16,'Données projet'!$A$217:$I$237,4,0)),0,VLOOKUP(A16,'Données projet'!$A$217:$I$237,4,0))</f>
        <v>0</v>
      </c>
      <c r="FN16" s="122" t="n">
        <f aca="false">IF(ISNA(VLOOKUP(A16,'Données projet'!$A$217:$I$237,5,0)),0%,VLOOKUP(A16,'Données projet'!$A$217:$I$237,5,0)*VLOOKUP('Données projet'!$B$16,Paramètres!$A$1:$I$89,7,0))</f>
        <v>0</v>
      </c>
      <c r="FO16" s="122" t="n">
        <f aca="false">IF(ISNA(VLOOKUP(A16,'Données projet'!$A$217:$I$237,6,0)),0%,VLOOKUP(A16,'Données projet'!$A$217:$I$237,6,0)*VLOOKUP('Données projet'!$B$16,Paramètres!$A$1:$I$89,7,0))</f>
        <v>0</v>
      </c>
      <c r="FP16" s="122" t="n">
        <f aca="false">IF(ISNA(VLOOKUP(A16,'Données projet'!$A$217:$I$237,7,0)),0%,VLOOKUP(A16,'Données projet'!$A$217:$I$237,7,0))</f>
        <v>0</v>
      </c>
      <c r="FQ16" s="129" t="e">
        <f aca="false">EXP(-LN(2)/35)*FQ15+(1-EXP(-LN(2)/35))/(LN(2)/35)*FM16*FN16*VLOOKUP('Données projet'!$B$16,Paramètres!$A$1:$I$89,3,0)*0.475*44/12</f>
        <v>#N/A</v>
      </c>
      <c r="FR16" s="129" t="e">
        <f aca="false">EXP(-LN(2)/25)*FR15+(1-EXP(-LN(2)/25))/(LN(2)/25)*Calculateur!FM16*Calculateur!FO16*VLOOKUP('Données projet'!$B$16,Paramètres!$A$1:$I$89,3,0)*0.475*44/12</f>
        <v>#N/A</v>
      </c>
      <c r="FS16" s="129" t="e">
        <f aca="false">EXP(-LN(2)/2)*FS15+(1-EXP(-LN(2)/2))/(LN(2)/2)*FM16*FP16*VLOOKUP('Données projet'!$B$16,Paramètres!$A$1:$I$89,3,0)*0.475*44/12</f>
        <v>#N/A</v>
      </c>
      <c r="FT16" s="130" t="e">
        <f aca="false">SUM(FQ16:FS16)</f>
        <v>#N/A</v>
      </c>
      <c r="FU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FW16" s="118" t="e">
        <f aca="false">VLOOKUP(A16,'Données projet'!$A$243:$I$263,2,0)</f>
        <v>#N/A</v>
      </c>
      <c r="FX16" s="118" t="e">
        <f aca="false">VLOOKUP(A16,'Données projet'!$A$243:$I$263,9,0)</f>
        <v>#N/A</v>
      </c>
      <c r="FY16" s="118" t="n">
        <f aca="false" t="array" ref="FY16:FY16">INDEX(FX:FX,MIN(IF(ISNUMBER(FX16:FX212),ROW(FX16:FX212),"")))</f>
        <v>0</v>
      </c>
      <c r="FZ16" s="118" t="n">
        <f aca="false">IF('Données projet'!$A$244&gt;35,FZ15+FY16-GH15,IF(A16&lt;'Données projet'!$A$244,$FW$205^A16,IF(A16='Données projet'!$A$244,'Données projet'!$B$244,FZ15+FY16-GH15)))</f>
        <v>0</v>
      </c>
      <c r="GA16" s="125" t="e">
        <f aca="false">FZ16*VLOOKUP('Données projet'!$B$17,Paramètres!$A$1:$I$89,3,0)*VLOOKUP('Données projet'!$B$17,Paramètres!$A$1:$I$89,5,0)</f>
        <v>#N/A</v>
      </c>
      <c r="GB16" s="117" t="e">
        <f aca="false">EXP(-1.0587+0.8836*LN(GA16)+0.284)</f>
        <v>#N/A</v>
      </c>
      <c r="GC16" s="128" t="e">
        <f aca="false">(GA16+GB16)*0.475*44/12</f>
        <v>#N/A</v>
      </c>
      <c r="GD16" s="120" t="e">
        <f aca="false">GC16+(FU16+FV16)*44/12</f>
        <v>#N/A</v>
      </c>
      <c r="GE16" s="120" t="e">
        <f aca="true">AVERAGE(OFFSET($GD$3,0,0,'Données projet'!$E$17+1,1))-AVERAGE(OFFSET($H$3,0,0,'Données projet'!$E$17+1,1))</f>
        <v>#N/A</v>
      </c>
      <c r="GF16" s="120" t="e">
        <f aca="false">$GF$3</f>
        <v>#N/A</v>
      </c>
      <c r="GG16" s="121" t="n">
        <f aca="false">IF(ISNA(VLOOKUP(A16,'Données projet'!$A$243:$I$263,3,0)),0,VLOOKUP(A16,'Données projet'!$A$243:$I$263,3,0))</f>
        <v>0</v>
      </c>
      <c r="GH16" s="121" t="n">
        <f aca="false">IF(ISNA(VLOOKUP(A16,'Données projet'!$A$243:$I$263,4,0)),0,VLOOKUP(A16,'Données projet'!$A$243:$I$263,4,0))</f>
        <v>0</v>
      </c>
      <c r="GI16" s="122" t="n">
        <f aca="false">IF(ISNA(VLOOKUP(A16,'Données projet'!$A$243:$I$263,5,0)),0%,VLOOKUP(A16,'Données projet'!$A$243:$I$263,5,0)*VLOOKUP('Données projet'!$B$17,Paramètres!$A$1:$I$89,7,0))</f>
        <v>0</v>
      </c>
      <c r="GJ16" s="122" t="n">
        <f aca="false">IF(ISNA(VLOOKUP(A16,'Données projet'!$A$243:$I$263,6,0)),0%,VLOOKUP(A16,'Données projet'!$A$243:$I$263,6,0)*VLOOKUP('Données projet'!$B$17,Paramètres!$A$1:$I$89,7,0))</f>
        <v>0</v>
      </c>
      <c r="GK16" s="122" t="n">
        <f aca="false">IF(ISNA(VLOOKUP(A16,'Données projet'!$A$243:$I$263,7,0)),0%,VLOOKUP(A16,'Données projet'!$A$243:$I$263,7,0))</f>
        <v>0</v>
      </c>
      <c r="GL16" s="129" t="e">
        <f aca="false">EXP(-LN(2)/35)*GL15+(1-EXP(-LN(2)/35))/(LN(2)/35)*GH16*GI16*VLOOKUP('Données projet'!$B$17,Paramètres!$A$1:$I$89,3,0)*0.475*44/12</f>
        <v>#N/A</v>
      </c>
      <c r="GM16" s="129" t="e">
        <f aca="false">EXP(-LN(2)/25)*GM15+(1-EXP(-LN(2)/25))/(LN(2)/25)*Calculateur!GH16*Calculateur!GJ16*VLOOKUP('Données projet'!$B$17,Paramètres!$A$1:$I$89,3,0)*0.475*44/12</f>
        <v>#N/A</v>
      </c>
      <c r="GN16" s="129" t="e">
        <f aca="false">EXP(-LN(2)/2)*GN15+(1-EXP(-LN(2)/2))/(LN(2)/2)*GH16*GK16*VLOOKUP('Données projet'!$B$17,Paramètres!$A$1:$I$89,3,0)*0.475*44/12</f>
        <v>#N/A</v>
      </c>
      <c r="GO16" s="129" t="e">
        <f aca="false">SUM(GL16:GN16)</f>
        <v>#N/A</v>
      </c>
      <c r="GP16" s="126" t="n">
        <f aca="false"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8" t="n">
        <f aca="false">IF(A16&gt;30,10,('Scénario référence'!$B$16+'Scénario référence'!$B$17+'Scénario référence'!$B$18+'Scénario référence'!$B$9+'Scénario référence'!$B$10)*A16*10/30+('Scénario référence'!$F$8+'Scénario référence'!$F$9)*10)</f>
        <v>4.33333333333333</v>
      </c>
      <c r="GR16" s="118" t="e">
        <f aca="false">VLOOKUP(A16,'Données projet'!$A$269:$I$289,2,0)</f>
        <v>#N/A</v>
      </c>
      <c r="GS16" s="118" t="e">
        <f aca="false">VLOOKUP(A16,'Données projet'!$A$269:$I$289,9,0)</f>
        <v>#N/A</v>
      </c>
      <c r="GT16" s="118" t="n">
        <f aca="false" t="array" ref="GT16:GT16">INDEX(GS:GS,MIN(IF(ISNUMBER(GS16:GS212),ROW(GS16:GS212),"")))</f>
        <v>0</v>
      </c>
      <c r="GU16" s="118" t="n">
        <f aca="false">IF('Données projet'!$A$270&gt;35,GU15+GT16-HC15,IF(A16&lt;'Données projet'!$A$270,$GR$205^A16,IF(A16='Données projet'!$A$270,'Données projet'!$B$270,GU15+GT16-HC15)))</f>
        <v>0</v>
      </c>
      <c r="GV16" s="125" t="e">
        <f aca="false">GU16*VLOOKUP('Données projet'!$B$18,Paramètres!$A$1:$I$89,3,0)*VLOOKUP('Données projet'!$B$18,Paramètres!$A$1:$I$89,5,0)</f>
        <v>#N/A</v>
      </c>
      <c r="GW16" s="117" t="e">
        <f aca="false">EXP(-1.0587+0.8836*LN(GV16)+0.284)</f>
        <v>#N/A</v>
      </c>
      <c r="GX16" s="128" t="e">
        <f aca="false">(GV16+GW16)*0.475*44/12</f>
        <v>#N/A</v>
      </c>
      <c r="GY16" s="120" t="e">
        <f aca="false">GX16+(GP16+GQ16)*44/12</f>
        <v>#N/A</v>
      </c>
      <c r="GZ16" s="120" t="e">
        <f aca="true">AVERAGE(OFFSET($GY$3,0,0,'Données projet'!$E$18+1,1))-AVERAGE(OFFSET($H$3,0,0,'Données projet'!$E$18+1,1))</f>
        <v>#N/A</v>
      </c>
      <c r="HA16" s="120" t="e">
        <f aca="false">$HA$3</f>
        <v>#N/A</v>
      </c>
      <c r="HB16" s="121" t="n">
        <f aca="false">IF(ISNA(VLOOKUP(A16,'Données projet'!$A$269:$I$289,3,0)),0,VLOOKUP(A16,'Données projet'!$A$269:$I$289,3,0))</f>
        <v>0</v>
      </c>
      <c r="HC16" s="121" t="n">
        <f aca="false">IF(ISNA(VLOOKUP(A16,'Données projet'!$A$269:$I$289,4,0)),0,VLOOKUP(A16,'Données projet'!$A$269:$I$289,4,0))</f>
        <v>0</v>
      </c>
      <c r="HD16" s="122" t="n">
        <f aca="false">IF(ISNA(VLOOKUP(A16,'Données projet'!$A$269:$I$289,5,0)),0%,VLOOKUP(A16,'Données projet'!$A$269:$I$289,5,0)*VLOOKUP('Données projet'!$B$18,Paramètres!$A$1:$I$89,7,0))</f>
        <v>0</v>
      </c>
      <c r="HE16" s="122" t="n">
        <f aca="false">IF(ISNA(VLOOKUP(A16,'Données projet'!$A$269:$I$289,6,0)),0%,VLOOKUP(A16,'Données projet'!$A$269:$I$289,6,0)*VLOOKUP('Données projet'!$B$18,Paramètres!$A$1:$I$89,7,0))</f>
        <v>0</v>
      </c>
      <c r="HF16" s="122" t="n">
        <f aca="false">IF(ISNA(VLOOKUP(A16,'Données projet'!$A$269:$I$289,7,0)),0%,VLOOKUP(A16,'Données projet'!$A$269:$I$289,7,0))</f>
        <v>0</v>
      </c>
      <c r="HG16" s="129" t="e">
        <f aca="false">EXP(-LN(2)/35)*HG15+(1-EXP(-LN(2)/35))/(LN(2)/35)*HC16*HD16*VLOOKUP('Données projet'!$B$18,Paramètres!$A$1:$I$89,3,0)*0.475*44/12</f>
        <v>#N/A</v>
      </c>
      <c r="HH16" s="129" t="e">
        <f aca="false">EXP(-LN(2)/25)*HH15+(1-EXP(-LN(2)/25))/(LN(2)/25)*Calculateur!HC16*Calculateur!HE16*VLOOKUP('Données projet'!$B$18,Paramètres!$A$1:$I$89,3,0)*0.475*44/12</f>
        <v>#N/A</v>
      </c>
      <c r="HI16" s="129" t="e">
        <f aca="false">EXP(-LN(2)/2)*HI15+(1-EXP(-LN(2)/2))/(LN(2)/2)*HC16*HF16*VLOOKUP('Données projet'!$B$18,Paramètres!$A$1:$I$89,3,0)*0.475*44/12</f>
        <v>#N/A</v>
      </c>
      <c r="HJ16" s="130" t="e">
        <f aca="false">SUM(HG16:HI16)</f>
        <v>#N/A</v>
      </c>
    </row>
    <row r="17" customFormat="false" ht="14.25" hidden="false" customHeight="false" outlineLevel="0" collapsed="false">
      <c r="A17" s="112" t="n">
        <f aca="false">A16+1</f>
        <v>14</v>
      </c>
      <c r="B17" s="113" t="n">
        <f aca="false">'Scénario référence'!$B$16*5+'Scénario référence'!$B$17*0+'Scénario référence'!$B$18*5</f>
        <v>0</v>
      </c>
      <c r="C17" s="127" t="n">
        <f aca="false"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4" t="n">
        <f aca="false">IFERROR(EXP(-1.0587+0.8836*LN(C17)+0.284),0)</f>
        <v>0</v>
      </c>
      <c r="E1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" s="114" t="n">
        <f aca="false">IF(OR('Scénario référence'!$F$8&gt;0,'Scénario référence'!$F$9&gt;0),('Scénario référence'!$F$8+'Scénario référence'!$F$9)*10,0)</f>
        <v>0</v>
      </c>
      <c r="G17" s="114" t="n">
        <f aca="false"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15" t="n">
        <f aca="false">(B17+E17+F17)*44/12+(C17+D17)*0.475*44/12</f>
        <v>256.666666666667</v>
      </c>
      <c r="I17" s="11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7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K17" s="118" t="e">
        <f aca="false">VLOOKUP(A17,'Données projet'!$A$35:$I$55,2,0)</f>
        <v>#N/A</v>
      </c>
      <c r="L17" s="118" t="e">
        <f aca="false">VLOOKUP(A17,'Données projet'!$A$35:$I$55,9,0)</f>
        <v>#N/A</v>
      </c>
      <c r="M17" s="118" t="n">
        <f aca="false" t="array" ref="M17:M17">INDEX(L:L,MIN(IF(ISNUMBER(L17:L213),ROW(L17:L213),"")))</f>
        <v>7.9</v>
      </c>
      <c r="N17" s="117" t="n">
        <f aca="false">IF('Données projet'!$A$36&gt;35,N16+M17-V16,IF(A17&lt;'Données projet'!$A$36,$K$205^A17,IF(A17='Données projet'!$A$36,'Données projet'!$B$36,N16+M17-V16)))</f>
        <v>34.5987143243972</v>
      </c>
      <c r="O17" s="117" t="n">
        <f aca="false">N17*VLOOKUP('Données projet'!$B$9,Paramètres!$A$1:$I$89,3,0)*VLOOKUP('Données projet'!$B$9,Paramètres!$A$1:$I$89,5,0)</f>
        <v>16.1921983038179</v>
      </c>
      <c r="P17" s="117" t="n">
        <f aca="false">EXP(-1.0587+0.8836*LN(O17)+0.284)</f>
        <v>5.39628255947617</v>
      </c>
      <c r="Q17" s="128" t="n">
        <f aca="false">(O17+P17)*0.475*44/12</f>
        <v>37.5999375035705</v>
      </c>
      <c r="R17" s="120" t="n">
        <f aca="false">Q17+(I17+J17)*44/12</f>
        <v>311.377715281348</v>
      </c>
      <c r="S17" s="120" t="n">
        <f aca="true">AVERAGE(OFFSET($R$3,0,0,'Données projet'!$E$9+1,1))-AVERAGE(OFFSET($H$3,0,0,'Données projet'!$E$9+1,1))</f>
        <v>319.229030946746</v>
      </c>
      <c r="T17" s="120" t="n">
        <f aca="false">$T$3</f>
        <v>254.586909731428</v>
      </c>
      <c r="U17" s="121" t="n">
        <f aca="false">IF(ISNA(VLOOKUP(A17,'Données projet'!$A$35:$I$55,3,0)),0,VLOOKUP(A17,'Données projet'!$A$35:$I$55,3,0))</f>
        <v>0</v>
      </c>
      <c r="V17" s="121" t="n">
        <f aca="false">IF(ISNA(VLOOKUP(A17,'Données projet'!$A$35:$I$55,4,0)),0,VLOOKUP(A17,'Données projet'!$A$35:$I$55,4,0))</f>
        <v>0</v>
      </c>
      <c r="W17" s="122" t="n">
        <f aca="false">IF(ISNA(VLOOKUP(A17,'Données projet'!$A$35:$I$55,5,0)),0%,VLOOKUP(A17,'Données projet'!$A$35:$I$55,5,0)*VLOOKUP('Données projet'!$B$9,Paramètres!$A$1:$I$89,7,0))</f>
        <v>0</v>
      </c>
      <c r="X17" s="122" t="n">
        <f aca="false">IF(ISNA(VLOOKUP(A17,'Données projet'!$A$35:$I$55,6,0)),0%,VLOOKUP(A17,'Données projet'!$A$35:$I$55,6,0)*VLOOKUP('Données projet'!$B$9,Paramètres!$A$1:$I$89,7,0))</f>
        <v>0</v>
      </c>
      <c r="Y17" s="122" t="n">
        <f aca="false">IF(ISNA(VLOOKUP(A17,'Données projet'!$A$35:$I$55,7,0)),0%,VLOOKUP(A17,'Données projet'!$A$35:$I$55,7,0))</f>
        <v>0</v>
      </c>
      <c r="Z17" s="129" t="n">
        <f aca="false">EXP(-LN(2)/35)*Z16+(1-EXP(-LN(2)/35))/(LN(2)/35)*V17*W17*VLOOKUP('Données projet'!$B$9,Paramètres!$A$1:$I$89,3,0)*0.475*44/12</f>
        <v>0</v>
      </c>
      <c r="AA17" s="129" t="n">
        <f aca="false">EXP(-LN(2)/25)*AA16+(1-EXP(-LN(2)/25))/(LN(2)/25)*Calculateur!V17*Calculateur!X17*VLOOKUP('Données projet'!$B$9,Paramètres!$A$1:$I$89,3,0)*0.475*44/12</f>
        <v>0</v>
      </c>
      <c r="AB17" s="129" t="n">
        <f aca="false">EXP(-LN(2)/2)*AB16+(1-EXP(-LN(2)/2))/(LN(2)/2)*V17*Y17*VLOOKUP('Données projet'!$B$9,Paramètres!$A$1:$I$89,3,0)*0.475*44/12</f>
        <v>0</v>
      </c>
      <c r="AC17" s="130" t="n">
        <f aca="false">SUM(Z17:AB17)</f>
        <v>0</v>
      </c>
      <c r="AD17" s="117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7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AF17" s="118" t="e">
        <f aca="false">VLOOKUP(A17,'Données projet'!$A$61:$I$81,2,0)</f>
        <v>#N/A</v>
      </c>
      <c r="AG17" s="118" t="e">
        <f aca="false">VLOOKUP(A17,'Données projet'!$A$61:$I$81,9,0)</f>
        <v>#N/A</v>
      </c>
      <c r="AH17" s="118" t="n">
        <f aca="false" t="array" ref="AH17:AH17">INDEX(AG:AG,MIN(IF(ISNUMBER(AG17:AG213),ROW(AG17:AG213),"")))</f>
        <v>7.04347826086957</v>
      </c>
      <c r="AI17" s="117" t="n">
        <f aca="false">IF('Données projet'!$A$62&gt;35,AI16+AH17-AQ16,IF(A17&lt;'Données projet'!$A$62,$AF$205^A17,IF(A17='Données projet'!$A$62,'Données projet'!$B$62,AI16+AH17-AQ16)))</f>
        <v>22.1269820103822</v>
      </c>
      <c r="AJ17" s="117" t="n">
        <f aca="false">AI17*VLOOKUP('Données projet'!$B$10,Paramètres!$A$1:$I$89,3,0)*VLOOKUP('Données projet'!$B$10,Paramètres!$A$1:$I$89,5,0)</f>
        <v>12.3689829438036</v>
      </c>
      <c r="AK17" s="117" t="n">
        <f aca="false">EXP(-1.0587+0.8836*LN(AJ17)+0.284)</f>
        <v>4.25342107902208</v>
      </c>
      <c r="AL17" s="128" t="n">
        <f aca="false">(AJ17+AK17)*0.475*44/12</f>
        <v>28.9506870064214</v>
      </c>
      <c r="AM17" s="120" t="n">
        <f aca="false">AL17+(AD17+AE17)*44/12</f>
        <v>302.728464784199</v>
      </c>
      <c r="AN17" s="120" t="n">
        <f aca="true">AVERAGE(OFFSET($AM$3,0,0,'Données projet'!$E$10+1,1))-AVERAGE(OFFSET($H$3,0,0,'Données projet'!$E$10+1,1))</f>
        <v>365.705101827279</v>
      </c>
      <c r="AO17" s="120" t="n">
        <f aca="false">$AO$3</f>
        <v>436.238338449625</v>
      </c>
      <c r="AP17" s="121" t="n">
        <f aca="false">IF(ISNA(VLOOKUP(A17,'Données projet'!$A$61:$I$81,3,0)),0,VLOOKUP(A17,'Données projet'!$A$61:$I$81,3,0))</f>
        <v>0</v>
      </c>
      <c r="AQ17" s="121" t="n">
        <f aca="false">IF(ISNA(VLOOKUP(A17,'Données projet'!$A$61:$I$81,4,0)),0,VLOOKUP(A17,'Données projet'!$A$61:$I$81,4,0))</f>
        <v>0</v>
      </c>
      <c r="AR17" s="122" t="n">
        <f aca="false">IF(ISNA(VLOOKUP(A17,'Données projet'!$A$61:$I$81,5,0)),0%,VLOOKUP(A17,'Données projet'!$A$61:$I$81,5,0)*VLOOKUP('Données projet'!$B$10,Paramètres!$A$1:$I$89,7,0))</f>
        <v>0</v>
      </c>
      <c r="AS17" s="122" t="n">
        <f aca="false">IF(ISNA(VLOOKUP(A17,'Données projet'!$A$61:$I$81,6,0)),0%,VLOOKUP(A17,'Données projet'!$A$61:$I$81,6,0)*VLOOKUP('Données projet'!$B$10,Paramètres!$A$1:$I$89,7,0))</f>
        <v>0</v>
      </c>
      <c r="AT17" s="122" t="n">
        <f aca="false">IF(ISNA(VLOOKUP(A17,'Données projet'!$A$61:$I$81,7,0)),0%,VLOOKUP(A17,'Données projet'!$A$61:$I$81,7,0))</f>
        <v>0</v>
      </c>
      <c r="AU17" s="129" t="n">
        <f aca="false">EXP(-LN(2)/35)*AU16+(1-EXP(-LN(2)/35))/(LN(2)/35)*AQ17*AR17*VLOOKUP('Données projet'!$B$10,Paramètres!$A$1:$I$89,3,0)*0.475*44/12</f>
        <v>0</v>
      </c>
      <c r="AV17" s="129" t="n">
        <f aca="false">EXP(-LN(2)/25)*AV16+(1-EXP(-LN(2)/25))/(LN(2)/25)*Calculateur!AQ17*Calculateur!AS17*VLOOKUP('Données projet'!$B$10,Paramètres!$A$1:$I$89,3,0)*0.475*44/12</f>
        <v>0</v>
      </c>
      <c r="AW17" s="129" t="n">
        <f aca="false">EXP(-LN(2)/2)*AW16+(1-EXP(-LN(2)/2))/(LN(2)/2)*AQ17*AT17*VLOOKUP('Données projet'!$B$10,Paramètres!$A$1:$I$89,3,0)*0.475*44/12</f>
        <v>0</v>
      </c>
      <c r="AX17" s="129" t="n">
        <f aca="false">SUM(AU17:AW17)</f>
        <v>0</v>
      </c>
      <c r="AY17" s="124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BA17" s="118" t="e">
        <f aca="false">VLOOKUP(A17,'Données projet'!$A$87:$I$107,2,0)</f>
        <v>#N/A</v>
      </c>
      <c r="BB17" s="118" t="e">
        <f aca="false">VLOOKUP(A17,'Données projet'!$A$87:$I$107,9,0)</f>
        <v>#N/A</v>
      </c>
      <c r="BC17" s="118" t="n">
        <f aca="false" t="array" ref="BC17:BC17">INDEX(BB:BB,MIN(IF(ISNUMBER(BB17:BB213),ROW(BB17:BB213),"")))</f>
        <v>5.8</v>
      </c>
      <c r="BD17" s="118" t="n">
        <f aca="false">IF('Données projet'!$A$88&gt;35,BD16+BC17-BL16,IF(A17&lt;'Données projet'!$A$88,$BA$205^A17,IF(A17='Données projet'!$A$88,'Données projet'!$B$88,BD16+BC17-BL16)))</f>
        <v>64.5978359333881</v>
      </c>
      <c r="BE17" s="117" t="n">
        <f aca="false">BD17*VLOOKUP('Données projet'!$B$11,Paramètres!$A$1:$I$89,3,0)*VLOOKUP('Données projet'!$B$11,Paramètres!$A$1:$I$89,5,0)</f>
        <v>56.4326694714078</v>
      </c>
      <c r="BF17" s="117" t="n">
        <f aca="false">EXP(-1.0587+0.8836*LN(BE17)+0.284)</f>
        <v>16.2631436525014</v>
      </c>
      <c r="BG17" s="128" t="n">
        <f aca="false">(BE17+BF17)*0.475*44/12</f>
        <v>126.611874524142</v>
      </c>
      <c r="BH17" s="120" t="n">
        <f aca="false">BG17+(AY17+AZ17)*44/12</f>
        <v>400.38965230192</v>
      </c>
      <c r="BI17" s="120" t="n">
        <f aca="true">AVERAGE(OFFSET($BH$3,0,0,'Données projet'!$E$11+1,1))-AVERAGE(OFFSET($H$3,0,0,'Données projet'!$E$11+1,1))</f>
        <v>321.235999689929</v>
      </c>
      <c r="BJ17" s="120" t="n">
        <f aca="false">$BJ$3</f>
        <v>388.051958478005</v>
      </c>
      <c r="BK17" s="121" t="n">
        <f aca="false">IF(ISNA(VLOOKUP(A17,'Données projet'!$A$87:$I$107,3,0)),0,VLOOKUP(A17,'Données projet'!$A$87:$I$107,3,0))</f>
        <v>0</v>
      </c>
      <c r="BL17" s="121" t="n">
        <f aca="false">IF(ISNA(VLOOKUP(A17,'Données projet'!$A$87:$I$107,4,0)),0,VLOOKUP(A17,'Données projet'!$A$87:$I$107,4,0))</f>
        <v>0</v>
      </c>
      <c r="BM17" s="122" t="n">
        <f aca="false">IF(ISNA(VLOOKUP(A17,'Données projet'!$A$87:$I$107,5,0)),0%,VLOOKUP(A17,'Données projet'!$A$87:$I$107,5,0)*VLOOKUP('Données projet'!$B$11,Paramètres!$A$1:$I$89,7,0))</f>
        <v>0</v>
      </c>
      <c r="BN17" s="122" t="n">
        <f aca="false">IF(ISNA(VLOOKUP(A17,'Données projet'!$A$87:$I$107,6,0)),0%,VLOOKUP(A17,'Données projet'!$A$87:$I$107,6,0)*VLOOKUP('Données projet'!$B$11,Paramètres!$A$1:$I$89,7,0))</f>
        <v>0</v>
      </c>
      <c r="BO17" s="122" t="n">
        <f aca="false">IF(ISNA(VLOOKUP(A17,'Données projet'!$A$87:$I$107,7,0)),0%,VLOOKUP(A17,'Données projet'!$A$87:$I$107,7,0))</f>
        <v>0</v>
      </c>
      <c r="BP17" s="129" t="n">
        <f aca="false">EXP(-LN(2)/35)*BP16+(1-EXP(-LN(2)/35))/(LN(2)/35)*BL17*BM17*VLOOKUP('Données projet'!$B$11,Paramètres!$A$1:$I$89,3,0)*0.475*44/12</f>
        <v>0</v>
      </c>
      <c r="BQ17" s="129" t="n">
        <f aca="false">EXP(-LN(2)/25)*BQ16+(1-EXP(-LN(2)/25))/(LN(2)/25)*Calculateur!BL17*Calculateur!BN17*VLOOKUP('Données projet'!$B$11,Paramètres!$A$1:$I$89,3,0)*0.475*44/12</f>
        <v>0</v>
      </c>
      <c r="BR17" s="129" t="n">
        <f aca="false">EXP(-LN(2)/2)*BR16+(1-EXP(-LN(2)/2))/(LN(2)/2)*BL17*BO17*VLOOKUP('Données projet'!$B$11,Paramètres!$A$1:$I$89,3,0)*0.475*44/12</f>
        <v>0</v>
      </c>
      <c r="BS17" s="130" t="n">
        <f aca="false">SUM(BP17:BR17)</f>
        <v>0</v>
      </c>
      <c r="BT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BV17" s="118" t="e">
        <f aca="false">VLOOKUP(A17,'Données projet'!$A$113:$I$133,2,0)</f>
        <v>#N/A</v>
      </c>
      <c r="BW17" s="118" t="e">
        <f aca="false">VLOOKUP(A17,'Données projet'!$A$113:$I$133,9,0)</f>
        <v>#N/A</v>
      </c>
      <c r="BX17" s="118" t="n">
        <f aca="false" t="array" ref="BX17:BX17">INDEX(BW:BW,MIN(IF(ISNUMBER(BW17:BW213),ROW(BW17:BW213),"")))</f>
        <v>6.22222222222222</v>
      </c>
      <c r="BY17" s="118" t="n">
        <f aca="false">IF('Données projet'!$A$114&gt;35,BY16+BX17-CG16,IF(A17&lt;'Données projet'!$A$114,$BV$205^A17,IF(A17='Données projet'!$A$114,'Données projet'!$B$114,BY16+BX17-CG16)))</f>
        <v>39.2496908028444</v>
      </c>
      <c r="BZ17" s="117" t="n">
        <f aca="false">BY17*VLOOKUP('Données projet'!$B$12,Paramètres!$A$1:$I$89,3,0)*VLOOKUP('Données projet'!$B$12,Paramètres!$A$1:$I$89,5,0)</f>
        <v>24.4918070609749</v>
      </c>
      <c r="CA17" s="117" t="n">
        <f aca="false">EXP(-1.0587+0.8836*LN(BZ17)+0.284)</f>
        <v>7.77841069440689</v>
      </c>
      <c r="CB17" s="128" t="n">
        <f aca="false">(BZ17+CA17)*0.475*44/12</f>
        <v>56.2039625906233</v>
      </c>
      <c r="CC17" s="120" t="n">
        <f aca="false">CB17+(BT17+BU17)*44/12</f>
        <v>329.981740368401</v>
      </c>
      <c r="CD17" s="120" t="n">
        <f aca="true">AVERAGE(OFFSET($CC$3,0,0,'Données projet'!$E$12+1,1))-AVERAGE(OFFSET($H$3,0,0,'Données projet'!$E$12+1,1))</f>
        <v>240.228848647662</v>
      </c>
      <c r="CE17" s="120" t="n">
        <f aca="false">$CE$3</f>
        <v>343.237768841432</v>
      </c>
      <c r="CF17" s="121" t="n">
        <f aca="false">IF(ISNA(VLOOKUP(A17,'Données projet'!$A$113:$I$133,3,0)),0,VLOOKUP(A17,'Données projet'!$A$113:$I$133,3,0))</f>
        <v>0</v>
      </c>
      <c r="CG17" s="121" t="n">
        <f aca="false">IF(ISNA(VLOOKUP(A17,'Données projet'!$A$113:$I$133,4,0)),0,VLOOKUP(A17,'Données projet'!$A$113:$I$133,4,0))</f>
        <v>0</v>
      </c>
      <c r="CH17" s="122" t="n">
        <f aca="false">IF(ISNA(VLOOKUP(A17,'Données projet'!$A$113:$I$133,5,0)),0%,VLOOKUP(A17,'Données projet'!$A$113:$I$133,5,0)*VLOOKUP('Données projet'!$B$12,Paramètres!$A$1:$I$89,7,0))</f>
        <v>0</v>
      </c>
      <c r="CI17" s="122" t="n">
        <f aca="false">IF(ISNA(VLOOKUP(A17,'Données projet'!$A$113:$I$133,6,0)),0%,VLOOKUP(A17,'Données projet'!$A$113:$I$133,6,0)*VLOOKUP('Données projet'!$B$12,Paramètres!$A$1:$I$89,7,0))</f>
        <v>0</v>
      </c>
      <c r="CJ17" s="122" t="n">
        <f aca="false">IF(ISNA(VLOOKUP(A17,'Données projet'!$A$113:$I$133,7,0)),0%,VLOOKUP(A17,'Données projet'!$A$113:$I$133,7,0))</f>
        <v>0</v>
      </c>
      <c r="CK17" s="129" t="n">
        <f aca="false">EXP(-LN(2)/35)*CK16+(1-EXP(-LN(2)/35))/(LN(2)/35)*CG17*CH17*VLOOKUP('Données projet'!$B$12,Paramètres!$A$1:$I$89,3,0)*0.475*44/12</f>
        <v>0</v>
      </c>
      <c r="CL17" s="129" t="n">
        <f aca="false">EXP(-LN(2)/25)*CL16+(1-EXP(-LN(2)/25))/(LN(2)/25)*Calculateur!CG17*Calculateur!CI17*VLOOKUP('Données projet'!$B$12,Paramètres!$A$1:$I$89,3,0)*0.475*44/12</f>
        <v>0</v>
      </c>
      <c r="CM17" s="129" t="n">
        <f aca="false">EXP(-LN(2)/2)*CM16+(1-EXP(-LN(2)/2))/(LN(2)/2)*CG17*CJ17*VLOOKUP('Données projet'!$B$12,Paramètres!$A$1:$I$89,3,0)*0.475*44/12</f>
        <v>0</v>
      </c>
      <c r="CN17" s="130" t="n">
        <f aca="false">SUM(CK17:CM17)</f>
        <v>0</v>
      </c>
      <c r="CO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CQ17" s="118" t="e">
        <f aca="false">VLOOKUP(A17,'Données projet'!$A$139:$I$159,2,0)</f>
        <v>#N/A</v>
      </c>
      <c r="CR17" s="118" t="e">
        <f aca="false">VLOOKUP(A17,'Données projet'!$A$139:$I$159,9,0)</f>
        <v>#N/A</v>
      </c>
      <c r="CS17" s="118" t="n">
        <f aca="false" t="array" ref="CS17:CS17">INDEX(CR:CR,MIN(IF(ISNUMBER(CR17:CR213),ROW(CR17:CR213),"")))</f>
        <v>24.3333333333333</v>
      </c>
      <c r="CT17" s="118" t="n">
        <f aca="false">IF('Données projet'!$A$140&gt;35,CT16+CS17-DB16,IF(A17&lt;'Données projet'!$A$140,$CQ$205^A17,IF(A17='Données projet'!$A$140,'Données projet'!$B$140,CT16+CS17-DB16)))</f>
        <v>143.666666666667</v>
      </c>
      <c r="CU17" s="125" t="n">
        <f aca="false">CT17*VLOOKUP('Données projet'!$B$13,Paramètres!$A$1:$I$89,3,0)*VLOOKUP('Données projet'!$B$13,Paramètres!$A$1:$I$89,5,0)</f>
        <v>78.442</v>
      </c>
      <c r="CV17" s="117" t="n">
        <f aca="false">EXP(-1.0587+0.8836*LN(CU17)+0.284)</f>
        <v>21.755810093736</v>
      </c>
      <c r="CW17" s="128" t="n">
        <f aca="false">(CU17+CV17)*0.475*44/12</f>
        <v>174.511185913257</v>
      </c>
      <c r="CX17" s="120" t="n">
        <f aca="false">CW17+(CO17+CP17)*44/12</f>
        <v>448.288963691035</v>
      </c>
      <c r="CY17" s="120" t="n">
        <f aca="true">AVERAGE(OFFSET($CX$3,0,0,'Données projet'!$E$13+1,1))-AVERAGE(OFFSET($H$3,0,0,'Données projet'!$E$13+1,1))</f>
        <v>207.023069645676</v>
      </c>
      <c r="CZ17" s="120" t="n">
        <f aca="false">$CZ$3</f>
        <v>342.068879333518</v>
      </c>
      <c r="DA17" s="121" t="n">
        <f aca="false">IF(ISNA(VLOOKUP(A17,'Données projet'!$A$139:$I$159,3,0)),0,VLOOKUP(A17,'Données projet'!$A$139:$I$159,3,0))</f>
        <v>0</v>
      </c>
      <c r="DB17" s="121" t="n">
        <f aca="false">IF(ISNA(VLOOKUP(A17,'Données projet'!$A$139:$I$159,4,0)),0,VLOOKUP(A17,'Données projet'!$A$139:$I$159,4,0))</f>
        <v>0</v>
      </c>
      <c r="DC17" s="122" t="n">
        <f aca="false">IF(ISNA(VLOOKUP(A17,'Données projet'!$A$139:$I$159,5,0)),0%,VLOOKUP(A17,'Données projet'!$A$139:$I$159,5,0)*VLOOKUP('Données projet'!$B$13,Paramètres!$A$1:$I$89,7,0))</f>
        <v>0</v>
      </c>
      <c r="DD17" s="122" t="n">
        <f aca="false">IF(ISNA(VLOOKUP(A17,'Données projet'!$A$139:$I$159,6,0)),0%,VLOOKUP(A17,'Données projet'!$A$139:$I$159,6,0)*VLOOKUP('Données projet'!$B$13,Paramètres!$A$1:$I$89,7,0))</f>
        <v>0</v>
      </c>
      <c r="DE17" s="122" t="n">
        <f aca="false">IF(ISNA(VLOOKUP(A17,'Données projet'!$A$139:$I$159,7,0)),0%,VLOOKUP(A17,'Données projet'!$A$139:$I$159,7,0))</f>
        <v>0</v>
      </c>
      <c r="DF17" s="129" t="n">
        <f aca="false">EXP(-LN(2)/35)*DF16+(1-EXP(-LN(2)/35))/(LN(2)/35)*DB17*DC17*VLOOKUP('Données projet'!$B$13,Paramètres!$A$1:$I$89,3,0)*0.475*44/12</f>
        <v>0</v>
      </c>
      <c r="DG17" s="129" t="n">
        <f aca="false">EXP(-LN(2)/25)*DG16+(1-EXP(-LN(2)/25))/(LN(2)/25)*Calculateur!DB17*Calculateur!DD17*VLOOKUP('Données projet'!$B$13,Paramètres!$A$1:$I$89,3,0)*0.475*44/12</f>
        <v>0</v>
      </c>
      <c r="DH17" s="129" t="n">
        <f aca="false">EXP(-LN(2)/2)*DH16+(1-EXP(-LN(2)/2))/(LN(2)/2)*DB17*DE17*VLOOKUP('Données projet'!$B$13,Paramètres!$A$1:$I$89,3,0)*0.475*44/12</f>
        <v>0</v>
      </c>
      <c r="DI17" s="130" t="n">
        <f aca="false">SUM(DF17:DH17)</f>
        <v>0</v>
      </c>
      <c r="DJ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DL17" s="118" t="e">
        <f aca="false">VLOOKUP(A17,'Données projet'!$A$165:$I$185,2,0)</f>
        <v>#N/A</v>
      </c>
      <c r="DM17" s="118" t="e">
        <f aca="false">VLOOKUP(A17,'Données projet'!$A$165:$I$185,9,0)</f>
        <v>#N/A</v>
      </c>
      <c r="DN17" s="118" t="n">
        <f aca="false" t="array" ref="DN17:DN17">INDEX(DM:DM,MIN(IF(ISNUMBER(DM17:DM213),ROW(DM17:DM213),"")))</f>
        <v>11.25</v>
      </c>
      <c r="DO17" s="118" t="n">
        <f aca="false">IF('Données projet'!$A$166&gt;35,DO16+DN17-DW16,IF(A17&lt;'Données projet'!$A$166,$DL$205^A17,IF(A17='Données projet'!$A$166,'Données projet'!$B$166,DO16+DN17-DW16)))</f>
        <v>58.5</v>
      </c>
      <c r="DP17" s="125" t="n">
        <f aca="false">DO17*VLOOKUP('Données projet'!$B$14,Paramètres!$A$1:$I$89,3,0)*VLOOKUP('Données projet'!$B$14,Paramètres!$A$1:$I$89,5,0)</f>
        <v>34.983</v>
      </c>
      <c r="DQ17" s="117" t="n">
        <f aca="false">EXP(-1.0587+0.8836*LN(DP17)+0.284)</f>
        <v>10.6586979284303</v>
      </c>
      <c r="DR17" s="128" t="n">
        <f aca="false">(DP17+DQ17)*0.475*44/12</f>
        <v>79.4926238920161</v>
      </c>
      <c r="DS17" s="120" t="n">
        <f aca="false">DR17+(DJ17+DK17)*44/12</f>
        <v>353.270401669794</v>
      </c>
      <c r="DT17" s="120" t="n">
        <f aca="true">AVERAGE(OFFSET($DS$3,0,0,'Données projet'!$E$14+1,1))-AVERAGE(OFFSET($H$3,0,0,'Données projet'!$E$14+1,1))</f>
        <v>549.432320957297</v>
      </c>
      <c r="DU17" s="120" t="n">
        <f aca="false">$DU$3</f>
        <v>280.26155987301</v>
      </c>
      <c r="DV17" s="121" t="n">
        <f aca="false">IF(ISNA(VLOOKUP(A17,'Données projet'!$A$165:$I$185,3,0)),0,VLOOKUP(A17,'Données projet'!$A$165:$I$185,3,0))</f>
        <v>0</v>
      </c>
      <c r="DW17" s="121" t="n">
        <f aca="false">IF(ISNA(VLOOKUP(A17,'Données projet'!$A$165:$I$185,4,0)),0,VLOOKUP(A17,'Données projet'!$A$165:$I$185,4,0))</f>
        <v>0</v>
      </c>
      <c r="DX17" s="122" t="n">
        <f aca="false">IF(ISNA(VLOOKUP(A17,'Données projet'!$A$165:$I$185,5,0)),0%,VLOOKUP(A17,'Données projet'!$A$165:$I$185,5,0)*VLOOKUP('Données projet'!$B$14,Paramètres!$A$1:$I$89,7,0))</f>
        <v>0</v>
      </c>
      <c r="DY17" s="122" t="n">
        <f aca="false">IF(ISNA(VLOOKUP(A17,'Données projet'!$A$165:$I$185,6,0)),0%,VLOOKUP(A17,'Données projet'!$A$165:$I$185,6,0)*VLOOKUP('Données projet'!$B$14,Paramètres!$A$1:$I$89,7,0))</f>
        <v>0</v>
      </c>
      <c r="DZ17" s="122" t="n">
        <f aca="false">IF(ISNA(VLOOKUP(A17,'Données projet'!$A$165:$I$185,7,0)),0%,VLOOKUP(A17,'Données projet'!$A$165:$I$185,7,0))</f>
        <v>0</v>
      </c>
      <c r="EA17" s="129" t="n">
        <f aca="false">EXP(-LN(2)/35)*EA16+(1-EXP(-LN(2)/35))/(LN(2)/35)*DW17*DX17*VLOOKUP('Données projet'!$B$14,Paramètres!$A$1:$I$89,3,0)*0.475*44/12</f>
        <v>0</v>
      </c>
      <c r="EB17" s="129" t="n">
        <f aca="false">EXP(-LN(2)/25)*EB16+(1-EXP(-LN(2)/25))/(LN(2)/25)*Calculateur!DW17*Calculateur!DY17*VLOOKUP('Données projet'!$B$14,Paramètres!$A$1:$I$89,3,0)*0.475*44/12</f>
        <v>0</v>
      </c>
      <c r="EC17" s="129" t="n">
        <f aca="false">EXP(-LN(2)/2)*EC16+(1-EXP(-LN(2)/2))/(LN(2)/2)*DW17*DZ17*VLOOKUP('Données projet'!$B$14,Paramètres!$A$1:$I$89,3,0)*0.475*44/12</f>
        <v>0</v>
      </c>
      <c r="ED17" s="130" t="n">
        <f aca="false">SUM(EA17:EC17)</f>
        <v>0</v>
      </c>
      <c r="EE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EG17" s="118" t="e">
        <f aca="false">VLOOKUP(A17,'Données projet'!$A$191:$I$211,2,0)</f>
        <v>#N/A</v>
      </c>
      <c r="EH17" s="118" t="e">
        <f aca="false">VLOOKUP(A17,'Données projet'!$A$191:$I$211,9,0)</f>
        <v>#N/A</v>
      </c>
      <c r="EI17" s="118" t="n">
        <f aca="false" t="array" ref="EI17:EI17">INDEX(EH:EH,MIN(IF(ISNUMBER(EH17:EH213),ROW(EH17:EH213),"")))</f>
        <v>0</v>
      </c>
      <c r="EJ17" s="118" t="n">
        <f aca="false">IF('Données projet'!$A$192&gt;35,EJ16+EI17-ER16,IF(A17&lt;'Données projet'!$A$192,$EG$205^A17,IF(A17='Données projet'!$A$192,'Données projet'!$B$192,EJ16+EI17-ER16)))</f>
        <v>0</v>
      </c>
      <c r="EK17" s="125" t="e">
        <f aca="false">EJ17*VLOOKUP('Données projet'!$B$15,Paramètres!$A$1:$I$89,3,0)*VLOOKUP('Données projet'!$B$15,Paramètres!$A$1:$I$89,5,0)</f>
        <v>#N/A</v>
      </c>
      <c r="EL17" s="117" t="e">
        <f aca="false">EXP(-1.0587+0.8836*LN(EK17)+0.284)</f>
        <v>#N/A</v>
      </c>
      <c r="EM17" s="128" t="e">
        <f aca="false">(EK17+EL17)*0.475*44/12</f>
        <v>#N/A</v>
      </c>
      <c r="EN17" s="120" t="e">
        <f aca="false">EM17+(EE17+EF17)*44/12</f>
        <v>#N/A</v>
      </c>
      <c r="EO17" s="120" t="e">
        <f aca="true">AVERAGE(OFFSET($EN$3,0,0,'Données projet'!$E$15+1,1))-AVERAGE(OFFSET($H$3,0,0,'Données projet'!$E$15+1,1))</f>
        <v>#N/A</v>
      </c>
      <c r="EP17" s="120" t="e">
        <f aca="false">$EP$3</f>
        <v>#N/A</v>
      </c>
      <c r="EQ17" s="121" t="n">
        <f aca="false">IF(ISNA(VLOOKUP(A17,'Données projet'!$A$191:$I$211,3,0)),0,VLOOKUP(A17,'Données projet'!$A$191:$I$211,3,0))</f>
        <v>0</v>
      </c>
      <c r="ER17" s="121" t="n">
        <f aca="false">IF(ISNA(VLOOKUP(A17,'Données projet'!$A$191:$I$211,4,0)),0,VLOOKUP(A17,'Données projet'!$A$191:$I$211,4,0))</f>
        <v>0</v>
      </c>
      <c r="ES17" s="122" t="n">
        <f aca="false">IF(ISNA(VLOOKUP(A17,'Données projet'!$A$191:$I$211,5,0)),0%,VLOOKUP(A17,'Données projet'!$A$191:$I$211,5,0)*VLOOKUP('Données projet'!$B$15,Paramètres!$A$1:$I$89,7,0))</f>
        <v>0</v>
      </c>
      <c r="ET17" s="122" t="n">
        <f aca="false">IF(ISNA(VLOOKUP(A17,'Données projet'!$A$191:$I$211,6,0)),0%,VLOOKUP(A17,'Données projet'!$A$191:$I$211,6,0)*VLOOKUP('Données projet'!$B$15,Paramètres!$A$1:$I$89,7,0))</f>
        <v>0</v>
      </c>
      <c r="EU17" s="122" t="n">
        <f aca="false">IF(ISNA(VLOOKUP(A17,'Données projet'!$A$191:$I$211,7,0)),0%,VLOOKUP(A17,'Données projet'!$A$191:$I$211,7,0))</f>
        <v>0</v>
      </c>
      <c r="EV17" s="129" t="e">
        <f aca="false">EXP(-LN(2)/35)*EV16+(1-EXP(-LN(2)/35))/(LN(2)/35)*ER17*ES17*VLOOKUP('Données projet'!$B$15,Paramètres!$A$1:$I$89,3,0)*0.475*44/12</f>
        <v>#N/A</v>
      </c>
      <c r="EW17" s="129" t="e">
        <f aca="false">EXP(-LN(2)/25)*EW16+(1-EXP(-LN(2)/25))/(LN(2)/25)*Calculateur!ER17*Calculateur!ET17*VLOOKUP('Données projet'!$B$15,Paramètres!$A$1:$I$89,3,0)*0.475*44/12</f>
        <v>#N/A</v>
      </c>
      <c r="EX17" s="129" t="e">
        <f aca="false">EXP(-LN(2)/2)*EX16+(1-EXP(-LN(2)/2))/(LN(2)/2)*ER17*EU17*VLOOKUP('Données projet'!$B$15,Paramètres!$A$1:$I$89,3,0)*0.475*44/12</f>
        <v>#N/A</v>
      </c>
      <c r="EY17" s="130" t="e">
        <f aca="false">SUM(EV17:EX17)</f>
        <v>#N/A</v>
      </c>
      <c r="EZ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FB17" s="118" t="e">
        <f aca="false">VLOOKUP(A17,'Données projet'!$A$217:$I$237,2,0)</f>
        <v>#N/A</v>
      </c>
      <c r="FC17" s="118" t="e">
        <f aca="false">VLOOKUP(A17,'Données projet'!$A$217:$I$237,9,0)</f>
        <v>#N/A</v>
      </c>
      <c r="FD17" s="118" t="n">
        <f aca="false" t="array" ref="FD17:FD17">INDEX(FC:FC,MIN(IF(ISNUMBER(FC17:FC213),ROW(FC17:FC213),"")))</f>
        <v>0</v>
      </c>
      <c r="FE17" s="118" t="n">
        <f aca="false">IF('Données projet'!$A$218&gt;35,FE16+FD17-FM16,IF(A17&lt;'Données projet'!$A$218,$FB$205^A17,IF(A17='Données projet'!$A$218,'Données projet'!$B$218,FE16+FD17-FM16)))</f>
        <v>0</v>
      </c>
      <c r="FF17" s="125" t="e">
        <f aca="false">FE17*VLOOKUP('Données projet'!$B$16,Paramètres!$A$1:$I$89,3,0)*VLOOKUP('Données projet'!$B$16,Paramètres!$A$1:$I$89,5,0)</f>
        <v>#N/A</v>
      </c>
      <c r="FG17" s="117" t="e">
        <f aca="false">EXP(-1.0587+0.8836*LN(FF17)+0.284)</f>
        <v>#N/A</v>
      </c>
      <c r="FH17" s="128" t="e">
        <f aca="false">(FF17+FG17)*0.475*44/12</f>
        <v>#N/A</v>
      </c>
      <c r="FI17" s="120" t="e">
        <f aca="false">FH17+(EZ17+FA17)*44/12</f>
        <v>#N/A</v>
      </c>
      <c r="FJ17" s="120" t="e">
        <f aca="true">AVERAGE(OFFSET($FI$3,0,0,'Données projet'!$E$16+1,1))-AVERAGE(OFFSET($H$3,0,0,'Données projet'!$E$16+1,1))</f>
        <v>#N/A</v>
      </c>
      <c r="FK17" s="120" t="e">
        <f aca="false">$FK$3</f>
        <v>#N/A</v>
      </c>
      <c r="FL17" s="121" t="n">
        <f aca="false">IF(ISNA(VLOOKUP(A17,'Données projet'!$A$217:$I$237,3,0)),0,VLOOKUP(A17,'Données projet'!$A$217:$I$237,3,0))</f>
        <v>0</v>
      </c>
      <c r="FM17" s="121" t="n">
        <f aca="false">IF(ISNA(VLOOKUP(A17,'Données projet'!$A$217:$I$237,4,0)),0,VLOOKUP(A17,'Données projet'!$A$217:$I$237,4,0))</f>
        <v>0</v>
      </c>
      <c r="FN17" s="122" t="n">
        <f aca="false">IF(ISNA(VLOOKUP(A17,'Données projet'!$A$217:$I$237,5,0)),0%,VLOOKUP(A17,'Données projet'!$A$217:$I$237,5,0)*VLOOKUP('Données projet'!$B$16,Paramètres!$A$1:$I$89,7,0))</f>
        <v>0</v>
      </c>
      <c r="FO17" s="122" t="n">
        <f aca="false">IF(ISNA(VLOOKUP(A17,'Données projet'!$A$217:$I$237,6,0)),0%,VLOOKUP(A17,'Données projet'!$A$217:$I$237,6,0)*VLOOKUP('Données projet'!$B$16,Paramètres!$A$1:$I$89,7,0))</f>
        <v>0</v>
      </c>
      <c r="FP17" s="122" t="n">
        <f aca="false">IF(ISNA(VLOOKUP(A17,'Données projet'!$A$217:$I$237,7,0)),0%,VLOOKUP(A17,'Données projet'!$A$217:$I$237,7,0))</f>
        <v>0</v>
      </c>
      <c r="FQ17" s="129" t="e">
        <f aca="false">EXP(-LN(2)/35)*FQ16+(1-EXP(-LN(2)/35))/(LN(2)/35)*FM17*FN17*VLOOKUP('Données projet'!$B$16,Paramètres!$A$1:$I$89,3,0)*0.475*44/12</f>
        <v>#N/A</v>
      </c>
      <c r="FR17" s="129" t="e">
        <f aca="false">EXP(-LN(2)/25)*FR16+(1-EXP(-LN(2)/25))/(LN(2)/25)*Calculateur!FM17*Calculateur!FO17*VLOOKUP('Données projet'!$B$16,Paramètres!$A$1:$I$89,3,0)*0.475*44/12</f>
        <v>#N/A</v>
      </c>
      <c r="FS17" s="129" t="e">
        <f aca="false">EXP(-LN(2)/2)*FS16+(1-EXP(-LN(2)/2))/(LN(2)/2)*FM17*FP17*VLOOKUP('Données projet'!$B$16,Paramètres!$A$1:$I$89,3,0)*0.475*44/12</f>
        <v>#N/A</v>
      </c>
      <c r="FT17" s="130" t="e">
        <f aca="false">SUM(FQ17:FS17)</f>
        <v>#N/A</v>
      </c>
      <c r="FU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FW17" s="118" t="e">
        <f aca="false">VLOOKUP(A17,'Données projet'!$A$243:$I$263,2,0)</f>
        <v>#N/A</v>
      </c>
      <c r="FX17" s="118" t="e">
        <f aca="false">VLOOKUP(A17,'Données projet'!$A$243:$I$263,9,0)</f>
        <v>#N/A</v>
      </c>
      <c r="FY17" s="118" t="n">
        <f aca="false" t="array" ref="FY17:FY17">INDEX(FX:FX,MIN(IF(ISNUMBER(FX17:FX213),ROW(FX17:FX213),"")))</f>
        <v>0</v>
      </c>
      <c r="FZ17" s="118" t="n">
        <f aca="false">IF('Données projet'!$A$244&gt;35,FZ16+FY17-GH16,IF(A17&lt;'Données projet'!$A$244,$FW$205^A17,IF(A17='Données projet'!$A$244,'Données projet'!$B$244,FZ16+FY17-GH16)))</f>
        <v>0</v>
      </c>
      <c r="GA17" s="125" t="e">
        <f aca="false">FZ17*VLOOKUP('Données projet'!$B$17,Paramètres!$A$1:$I$89,3,0)*VLOOKUP('Données projet'!$B$17,Paramètres!$A$1:$I$89,5,0)</f>
        <v>#N/A</v>
      </c>
      <c r="GB17" s="117" t="e">
        <f aca="false">EXP(-1.0587+0.8836*LN(GA17)+0.284)</f>
        <v>#N/A</v>
      </c>
      <c r="GC17" s="128" t="e">
        <f aca="false">(GA17+GB17)*0.475*44/12</f>
        <v>#N/A</v>
      </c>
      <c r="GD17" s="120" t="e">
        <f aca="false">GC17+(FU17+FV17)*44/12</f>
        <v>#N/A</v>
      </c>
      <c r="GE17" s="120" t="e">
        <f aca="true">AVERAGE(OFFSET($GD$3,0,0,'Données projet'!$E$17+1,1))-AVERAGE(OFFSET($H$3,0,0,'Données projet'!$E$17+1,1))</f>
        <v>#N/A</v>
      </c>
      <c r="GF17" s="120" t="e">
        <f aca="false">$GF$3</f>
        <v>#N/A</v>
      </c>
      <c r="GG17" s="121" t="n">
        <f aca="false">IF(ISNA(VLOOKUP(A17,'Données projet'!$A$243:$I$263,3,0)),0,VLOOKUP(A17,'Données projet'!$A$243:$I$263,3,0))</f>
        <v>0</v>
      </c>
      <c r="GH17" s="121" t="n">
        <f aca="false">IF(ISNA(VLOOKUP(A17,'Données projet'!$A$243:$I$263,4,0)),0,VLOOKUP(A17,'Données projet'!$A$243:$I$263,4,0))</f>
        <v>0</v>
      </c>
      <c r="GI17" s="122" t="n">
        <f aca="false">IF(ISNA(VLOOKUP(A17,'Données projet'!$A$243:$I$263,5,0)),0%,VLOOKUP(A17,'Données projet'!$A$243:$I$263,5,0)*VLOOKUP('Données projet'!$B$17,Paramètres!$A$1:$I$89,7,0))</f>
        <v>0</v>
      </c>
      <c r="GJ17" s="122" t="n">
        <f aca="false">IF(ISNA(VLOOKUP(A17,'Données projet'!$A$243:$I$263,6,0)),0%,VLOOKUP(A17,'Données projet'!$A$243:$I$263,6,0)*VLOOKUP('Données projet'!$B$17,Paramètres!$A$1:$I$89,7,0))</f>
        <v>0</v>
      </c>
      <c r="GK17" s="122" t="n">
        <f aca="false">IF(ISNA(VLOOKUP(A17,'Données projet'!$A$243:$I$263,7,0)),0%,VLOOKUP(A17,'Données projet'!$A$243:$I$263,7,0))</f>
        <v>0</v>
      </c>
      <c r="GL17" s="129" t="e">
        <f aca="false">EXP(-LN(2)/35)*GL16+(1-EXP(-LN(2)/35))/(LN(2)/35)*GH17*GI17*VLOOKUP('Données projet'!$B$17,Paramètres!$A$1:$I$89,3,0)*0.475*44/12</f>
        <v>#N/A</v>
      </c>
      <c r="GM17" s="129" t="e">
        <f aca="false">EXP(-LN(2)/25)*GM16+(1-EXP(-LN(2)/25))/(LN(2)/25)*Calculateur!GH17*Calculateur!GJ17*VLOOKUP('Données projet'!$B$17,Paramètres!$A$1:$I$89,3,0)*0.475*44/12</f>
        <v>#N/A</v>
      </c>
      <c r="GN17" s="129" t="e">
        <f aca="false">EXP(-LN(2)/2)*GN16+(1-EXP(-LN(2)/2))/(LN(2)/2)*GH17*GK17*VLOOKUP('Données projet'!$B$17,Paramètres!$A$1:$I$89,3,0)*0.475*44/12</f>
        <v>#N/A</v>
      </c>
      <c r="GO17" s="129" t="e">
        <f aca="false">SUM(GL17:GN17)</f>
        <v>#N/A</v>
      </c>
      <c r="GP17" s="126" t="n">
        <f aca="false"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8" t="n">
        <f aca="false">IF(A17&gt;30,10,('Scénario référence'!$B$16+'Scénario référence'!$B$17+'Scénario référence'!$B$18+'Scénario référence'!$B$9+'Scénario référence'!$B$10)*A17*10/30+('Scénario référence'!$F$8+'Scénario référence'!$F$9)*10)</f>
        <v>4.66666666666667</v>
      </c>
      <c r="GR17" s="118" t="e">
        <f aca="false">VLOOKUP(A17,'Données projet'!$A$269:$I$289,2,0)</f>
        <v>#N/A</v>
      </c>
      <c r="GS17" s="118" t="e">
        <f aca="false">VLOOKUP(A17,'Données projet'!$A$269:$I$289,9,0)</f>
        <v>#N/A</v>
      </c>
      <c r="GT17" s="118" t="n">
        <f aca="false" t="array" ref="GT17:GT17">INDEX(GS:GS,MIN(IF(ISNUMBER(GS17:GS213),ROW(GS17:GS213),"")))</f>
        <v>0</v>
      </c>
      <c r="GU17" s="118" t="n">
        <f aca="false">IF('Données projet'!$A$270&gt;35,GU16+GT17-HC16,IF(A17&lt;'Données projet'!$A$270,$GR$205^A17,IF(A17='Données projet'!$A$270,'Données projet'!$B$270,GU16+GT17-HC16)))</f>
        <v>0</v>
      </c>
      <c r="GV17" s="125" t="e">
        <f aca="false">GU17*VLOOKUP('Données projet'!$B$18,Paramètres!$A$1:$I$89,3,0)*VLOOKUP('Données projet'!$B$18,Paramètres!$A$1:$I$89,5,0)</f>
        <v>#N/A</v>
      </c>
      <c r="GW17" s="117" t="e">
        <f aca="false">EXP(-1.0587+0.8836*LN(GV17)+0.284)</f>
        <v>#N/A</v>
      </c>
      <c r="GX17" s="128" t="e">
        <f aca="false">(GV17+GW17)*0.475*44/12</f>
        <v>#N/A</v>
      </c>
      <c r="GY17" s="120" t="e">
        <f aca="false">GX17+(GP17+GQ17)*44/12</f>
        <v>#N/A</v>
      </c>
      <c r="GZ17" s="120" t="e">
        <f aca="true">AVERAGE(OFFSET($GY$3,0,0,'Données projet'!$E$18+1,1))-AVERAGE(OFFSET($H$3,0,0,'Données projet'!$E$18+1,1))</f>
        <v>#N/A</v>
      </c>
      <c r="HA17" s="120" t="e">
        <f aca="false">$HA$3</f>
        <v>#N/A</v>
      </c>
      <c r="HB17" s="121" t="n">
        <f aca="false">IF(ISNA(VLOOKUP(A17,'Données projet'!$A$269:$I$289,3,0)),0,VLOOKUP(A17,'Données projet'!$A$269:$I$289,3,0))</f>
        <v>0</v>
      </c>
      <c r="HC17" s="121" t="n">
        <f aca="false">IF(ISNA(VLOOKUP(A17,'Données projet'!$A$269:$I$289,4,0)),0,VLOOKUP(A17,'Données projet'!$A$269:$I$289,4,0))</f>
        <v>0</v>
      </c>
      <c r="HD17" s="122" t="n">
        <f aca="false">IF(ISNA(VLOOKUP(A17,'Données projet'!$A$269:$I$289,5,0)),0%,VLOOKUP(A17,'Données projet'!$A$269:$I$289,5,0)*VLOOKUP('Données projet'!$B$18,Paramètres!$A$1:$I$89,7,0))</f>
        <v>0</v>
      </c>
      <c r="HE17" s="122" t="n">
        <f aca="false">IF(ISNA(VLOOKUP(A17,'Données projet'!$A$269:$I$289,6,0)),0%,VLOOKUP(A17,'Données projet'!$A$269:$I$289,6,0)*VLOOKUP('Données projet'!$B$18,Paramètres!$A$1:$I$89,7,0))</f>
        <v>0</v>
      </c>
      <c r="HF17" s="122" t="n">
        <f aca="false">IF(ISNA(VLOOKUP(A17,'Données projet'!$A$269:$I$289,7,0)),0%,VLOOKUP(A17,'Données projet'!$A$269:$I$289,7,0))</f>
        <v>0</v>
      </c>
      <c r="HG17" s="129" t="e">
        <f aca="false">EXP(-LN(2)/35)*HG16+(1-EXP(-LN(2)/35))/(LN(2)/35)*HC17*HD17*VLOOKUP('Données projet'!$B$18,Paramètres!$A$1:$I$89,3,0)*0.475*44/12</f>
        <v>#N/A</v>
      </c>
      <c r="HH17" s="129" t="e">
        <f aca="false">EXP(-LN(2)/25)*HH16+(1-EXP(-LN(2)/25))/(LN(2)/25)*Calculateur!HC17*Calculateur!HE17*VLOOKUP('Données projet'!$B$18,Paramètres!$A$1:$I$89,3,0)*0.475*44/12</f>
        <v>#N/A</v>
      </c>
      <c r="HI17" s="129" t="e">
        <f aca="false">EXP(-LN(2)/2)*HI16+(1-EXP(-LN(2)/2))/(LN(2)/2)*HC17*HF17*VLOOKUP('Données projet'!$B$18,Paramètres!$A$1:$I$89,3,0)*0.475*44/12</f>
        <v>#N/A</v>
      </c>
      <c r="HJ17" s="130" t="e">
        <f aca="false">SUM(HG17:HI17)</f>
        <v>#N/A</v>
      </c>
    </row>
    <row r="18" customFormat="false" ht="14.25" hidden="false" customHeight="false" outlineLevel="0" collapsed="false">
      <c r="A18" s="112" t="n">
        <f aca="false">A17+1</f>
        <v>15</v>
      </c>
      <c r="B18" s="113" t="n">
        <f aca="false">'Scénario référence'!$B$16*5+'Scénario référence'!$B$17*0+'Scénario référence'!$B$18*5</f>
        <v>0</v>
      </c>
      <c r="C18" s="127" t="n">
        <f aca="false"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4" t="n">
        <f aca="false">IFERROR(EXP(-1.0587+0.8836*LN(C18)+0.284),0)</f>
        <v>0</v>
      </c>
      <c r="E1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" s="114" t="n">
        <f aca="false">IF(OR('Scénario référence'!$F$8&gt;0,'Scénario référence'!$F$9&gt;0),('Scénario référence'!$F$8+'Scénario référence'!$F$9)*10,0)</f>
        <v>0</v>
      </c>
      <c r="G18" s="114" t="n">
        <f aca="false"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15" t="n">
        <f aca="false">(B18+E18+F18)*44/12+(C18+D18)*0.475*44/12</f>
        <v>256.666666666667</v>
      </c>
      <c r="I18" s="11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7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18" t="e">
        <f aca="false">VLOOKUP(A18,'Données projet'!$A$35:$I$55,2,0)</f>
        <v>#N/A</v>
      </c>
      <c r="L18" s="118" t="e">
        <f aca="false">VLOOKUP(A18,'Données projet'!$A$35:$I$55,9,0)</f>
        <v>#N/A</v>
      </c>
      <c r="M18" s="118" t="n">
        <f aca="false" t="array" ref="M18:M18">INDEX(L:L,MIN(IF(ISNUMBER(L18:L214),ROW(L18:L214),"")))</f>
        <v>7.9</v>
      </c>
      <c r="N18" s="117" t="n">
        <f aca="false">IF('Données projet'!$A$36&gt;35,N17+M18-V17,IF(A18&lt;'Données projet'!$A$36,$K$205^A18,IF(A18='Données projet'!$A$36,'Données projet'!$B$36,N17+M18-V17)))</f>
        <v>44.5648875710048</v>
      </c>
      <c r="O18" s="117" t="n">
        <f aca="false">N18*VLOOKUP('Données projet'!$B$9,Paramètres!$A$1:$I$89,3,0)*VLOOKUP('Données projet'!$B$9,Paramètres!$A$1:$I$89,5,0)</f>
        <v>20.8563673832302</v>
      </c>
      <c r="P18" s="117" t="n">
        <f aca="false">EXP(-1.0587+0.8836*LN(O18)+0.284)</f>
        <v>6.74887449939445</v>
      </c>
      <c r="Q18" s="128" t="n">
        <f aca="false">(O18+P18)*0.475*44/12</f>
        <v>48.079129612238</v>
      </c>
      <c r="R18" s="120" t="n">
        <f aca="false">Q18+(I18+J18)*44/12</f>
        <v>323.079129612238</v>
      </c>
      <c r="S18" s="120" t="n">
        <f aca="true">AVERAGE(OFFSET($R$3,0,0,'Données projet'!$E$9+1,1))-AVERAGE(OFFSET($H$3,0,0,'Données projet'!$E$9+1,1))</f>
        <v>319.229030946746</v>
      </c>
      <c r="T18" s="120" t="n">
        <f aca="false">$T$3</f>
        <v>254.586909731428</v>
      </c>
      <c r="U18" s="121" t="n">
        <f aca="false">IF(ISNA(VLOOKUP(A18,'Données projet'!$A$35:$I$55,3,0)),0,VLOOKUP(A18,'Données projet'!$A$35:$I$55,3,0))</f>
        <v>0</v>
      </c>
      <c r="V18" s="121" t="n">
        <f aca="false">IF(ISNA(VLOOKUP(A18,'Données projet'!$A$35:$I$55,4,0)),0,VLOOKUP(A18,'Données projet'!$A$35:$I$55,4,0))</f>
        <v>0</v>
      </c>
      <c r="W18" s="122" t="n">
        <f aca="false">IF(ISNA(VLOOKUP(A18,'Données projet'!$A$35:$I$55,5,0)),0%,VLOOKUP(A18,'Données projet'!$A$35:$I$55,5,0)*VLOOKUP('Données projet'!$B$9,Paramètres!$A$1:$I$89,7,0))</f>
        <v>0</v>
      </c>
      <c r="X18" s="122" t="n">
        <f aca="false">IF(ISNA(VLOOKUP(A18,'Données projet'!$A$35:$I$55,6,0)),0%,VLOOKUP(A18,'Données projet'!$A$35:$I$55,6,0)*VLOOKUP('Données projet'!$B$9,Paramètres!$A$1:$I$89,7,0))</f>
        <v>0</v>
      </c>
      <c r="Y18" s="122" t="n">
        <f aca="false">IF(ISNA(VLOOKUP(A18,'Données projet'!$A$35:$I$55,7,0)),0%,VLOOKUP(A18,'Données projet'!$A$35:$I$55,7,0))</f>
        <v>0</v>
      </c>
      <c r="Z18" s="129" t="n">
        <f aca="false">EXP(-LN(2)/35)*Z17+(1-EXP(-LN(2)/35))/(LN(2)/35)*V18*W18*VLOOKUP('Données projet'!$B$9,Paramètres!$A$1:$I$89,3,0)*0.475*44/12</f>
        <v>0</v>
      </c>
      <c r="AA18" s="129" t="n">
        <f aca="false">EXP(-LN(2)/25)*AA17+(1-EXP(-LN(2)/25))/(LN(2)/25)*Calculateur!V18*Calculateur!X18*VLOOKUP('Données projet'!$B$9,Paramètres!$A$1:$I$89,3,0)*0.475*44/12</f>
        <v>0</v>
      </c>
      <c r="AB18" s="129" t="n">
        <f aca="false">EXP(-LN(2)/2)*AB17+(1-EXP(-LN(2)/2))/(LN(2)/2)*V18*Y18*VLOOKUP('Données projet'!$B$9,Paramètres!$A$1:$I$89,3,0)*0.475*44/12</f>
        <v>0</v>
      </c>
      <c r="AC18" s="130" t="n">
        <f aca="false">SUM(Z18:AB18)</f>
        <v>0</v>
      </c>
      <c r="AD18" s="117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7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18" t="e">
        <f aca="false">VLOOKUP(A18,'Données projet'!$A$61:$I$81,2,0)</f>
        <v>#N/A</v>
      </c>
      <c r="AG18" s="118" t="e">
        <f aca="false">VLOOKUP(A18,'Données projet'!$A$61:$I$81,9,0)</f>
        <v>#N/A</v>
      </c>
      <c r="AH18" s="118" t="n">
        <f aca="false" t="array" ref="AH18:AH18">INDEX(AG:AG,MIN(IF(ISNUMBER(AG18:AG214),ROW(AG18:AG214),"")))</f>
        <v>7.04347826086957</v>
      </c>
      <c r="AI18" s="117" t="n">
        <f aca="false">IF('Données projet'!$A$62&gt;35,AI17+AH18-AQ17,IF(A18&lt;'Données projet'!$A$62,$AF$205^A18,IF(A18='Données projet'!$A$62,'Données projet'!$B$62,AI17+AH18-AQ17)))</f>
        <v>27.6050191633467</v>
      </c>
      <c r="AJ18" s="117" t="n">
        <f aca="false">AI18*VLOOKUP('Données projet'!$B$10,Paramètres!$A$1:$I$89,3,0)*VLOOKUP('Données projet'!$B$10,Paramètres!$A$1:$I$89,5,0)</f>
        <v>15.4312057123108</v>
      </c>
      <c r="AK18" s="117" t="n">
        <f aca="false">EXP(-1.0587+0.8836*LN(AJ18)+0.284)</f>
        <v>5.17156731409564</v>
      </c>
      <c r="AL18" s="128" t="n">
        <f aca="false">(AJ18+AK18)*0.475*44/12</f>
        <v>35.8831630209912</v>
      </c>
      <c r="AM18" s="120" t="n">
        <f aca="false">AL18+(AD18+AE18)*44/12</f>
        <v>310.883163020991</v>
      </c>
      <c r="AN18" s="120" t="n">
        <f aca="true">AVERAGE(OFFSET($AM$3,0,0,'Données projet'!$E$10+1,1))-AVERAGE(OFFSET($H$3,0,0,'Données projet'!$E$10+1,1))</f>
        <v>365.705101827279</v>
      </c>
      <c r="AO18" s="120" t="n">
        <f aca="false">$AO$3</f>
        <v>436.238338449625</v>
      </c>
      <c r="AP18" s="121" t="n">
        <f aca="false">IF(ISNA(VLOOKUP(A18,'Données projet'!$A$61:$I$81,3,0)),0,VLOOKUP(A18,'Données projet'!$A$61:$I$81,3,0))</f>
        <v>0</v>
      </c>
      <c r="AQ18" s="121" t="n">
        <f aca="false">IF(ISNA(VLOOKUP(A18,'Données projet'!$A$61:$I$81,4,0)),0,VLOOKUP(A18,'Données projet'!$A$61:$I$81,4,0))</f>
        <v>0</v>
      </c>
      <c r="AR18" s="122" t="n">
        <f aca="false">IF(ISNA(VLOOKUP(A18,'Données projet'!$A$61:$I$81,5,0)),0%,VLOOKUP(A18,'Données projet'!$A$61:$I$81,5,0)*VLOOKUP('Données projet'!$B$10,Paramètres!$A$1:$I$89,7,0))</f>
        <v>0</v>
      </c>
      <c r="AS18" s="122" t="n">
        <f aca="false">IF(ISNA(VLOOKUP(A18,'Données projet'!$A$61:$I$81,6,0)),0%,VLOOKUP(A18,'Données projet'!$A$61:$I$81,6,0)*VLOOKUP('Données projet'!$B$10,Paramètres!$A$1:$I$89,7,0))</f>
        <v>0</v>
      </c>
      <c r="AT18" s="122" t="n">
        <f aca="false">IF(ISNA(VLOOKUP(A18,'Données projet'!$A$61:$I$81,7,0)),0%,VLOOKUP(A18,'Données projet'!$A$61:$I$81,7,0))</f>
        <v>0</v>
      </c>
      <c r="AU18" s="129" t="n">
        <f aca="false">EXP(-LN(2)/35)*AU17+(1-EXP(-LN(2)/35))/(LN(2)/35)*AQ18*AR18*VLOOKUP('Données projet'!$B$10,Paramètres!$A$1:$I$89,3,0)*0.475*44/12</f>
        <v>0</v>
      </c>
      <c r="AV18" s="129" t="n">
        <f aca="false">EXP(-LN(2)/25)*AV17+(1-EXP(-LN(2)/25))/(LN(2)/25)*Calculateur!AQ18*Calculateur!AS18*VLOOKUP('Données projet'!$B$10,Paramètres!$A$1:$I$89,3,0)*0.475*44/12</f>
        <v>0</v>
      </c>
      <c r="AW18" s="129" t="n">
        <f aca="false">EXP(-LN(2)/2)*AW17+(1-EXP(-LN(2)/2))/(LN(2)/2)*AQ18*AT18*VLOOKUP('Données projet'!$B$10,Paramètres!$A$1:$I$89,3,0)*0.475*44/12</f>
        <v>0</v>
      </c>
      <c r="AX18" s="129" t="n">
        <f aca="false">SUM(AU18:AW18)</f>
        <v>0</v>
      </c>
      <c r="AY18" s="124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18" t="n">
        <f aca="false">VLOOKUP(A18,'Données projet'!$A$87:$I$107,2,0)</f>
        <v>87</v>
      </c>
      <c r="BB18" s="118" t="n">
        <f aca="false">VLOOKUP(A18,'Données projet'!$A$87:$I$107,9,0)</f>
        <v>5.8</v>
      </c>
      <c r="BC18" s="118" t="n">
        <f aca="false" t="array" ref="BC18:BC18">INDEX(BB:BB,MIN(IF(ISNUMBER(BB18:BB214),ROW(BB18:BB214),"")))</f>
        <v>5.8</v>
      </c>
      <c r="BD18" s="118" t="n">
        <f aca="false">IF('Données projet'!$A$88&gt;35,BD17+BC18-BL17,IF(A18&lt;'Données projet'!$A$88,$BA$205^A18,IF(A18='Données projet'!$A$88,'Données projet'!$B$88,BD17+BC18-BL17)))</f>
        <v>87</v>
      </c>
      <c r="BE18" s="117" t="n">
        <f aca="false">BD18*VLOOKUP('Données projet'!$B$11,Paramètres!$A$1:$I$89,3,0)*VLOOKUP('Données projet'!$B$11,Paramètres!$A$1:$I$89,5,0)</f>
        <v>76.0032</v>
      </c>
      <c r="BF18" s="117" t="n">
        <f aca="false">EXP(-1.0587+0.8836*LN(BE18)+0.284)</f>
        <v>21.1570499920005</v>
      </c>
      <c r="BG18" s="128" t="n">
        <f aca="false">(BE18+BF18)*0.475*44/12</f>
        <v>169.220768736067</v>
      </c>
      <c r="BH18" s="120" t="n">
        <f aca="false">BG18+(AY18+AZ18)*44/12</f>
        <v>444.220768736068</v>
      </c>
      <c r="BI18" s="120" t="n">
        <f aca="true">AVERAGE(OFFSET($BH$3,0,0,'Données projet'!$E$11+1,1))-AVERAGE(OFFSET($H$3,0,0,'Données projet'!$E$11+1,1))</f>
        <v>321.235999689929</v>
      </c>
      <c r="BJ18" s="120" t="n">
        <f aca="false">$BJ$3</f>
        <v>388.051958478005</v>
      </c>
      <c r="BK18" s="121" t="n">
        <f aca="false">IF(ISNA(VLOOKUP(A18,'Données projet'!$A$87:$I$107,3,0)),0,VLOOKUP(A18,'Données projet'!$A$87:$I$107,3,0))</f>
        <v>1</v>
      </c>
      <c r="BL18" s="121" t="n">
        <f aca="false">IF(ISNA(VLOOKUP(A18,'Données projet'!$A$87:$I$107,4,0)),0,VLOOKUP(A18,'Données projet'!$A$87:$I$107,4,0))</f>
        <v>21</v>
      </c>
      <c r="BM18" s="122" t="n">
        <f aca="false">IF(ISNA(VLOOKUP(A18,'Données projet'!$A$87:$I$107,5,0)),0%,VLOOKUP(A18,'Données projet'!$A$87:$I$107,5,0)*VLOOKUP('Données projet'!$B$11,Paramètres!$A$1:$I$89,7,0))</f>
        <v>0</v>
      </c>
      <c r="BN18" s="122" t="n">
        <f aca="false">IF(ISNA(VLOOKUP(A18,'Données projet'!$A$87:$I$107,6,0)),0%,VLOOKUP(A18,'Données projet'!$A$87:$I$107,6,0)*VLOOKUP('Données projet'!$B$11,Paramètres!$A$1:$I$89,7,0))</f>
        <v>0.043</v>
      </c>
      <c r="BO18" s="122" t="n">
        <f aca="false">IF(ISNA(VLOOKUP(A18,'Données projet'!$A$87:$I$107,7,0)),0%,VLOOKUP(A18,'Données projet'!$A$87:$I$107,7,0))</f>
        <v>0.5</v>
      </c>
      <c r="BP18" s="129" t="n">
        <f aca="false">EXP(-LN(2)/35)*BP17+(1-EXP(-LN(2)/35))/(LN(2)/35)*BL18*BM18*VLOOKUP('Données projet'!$B$11,Paramètres!$A$1:$I$89,3,0)*0.475*44/12</f>
        <v>0</v>
      </c>
      <c r="BQ18" s="129" t="n">
        <f aca="false">EXP(-LN(2)/25)*BQ17+(1-EXP(-LN(2)/25))/(LN(2)/25)*Calculateur!BL18*Calculateur!BN18*VLOOKUP('Données projet'!$B$11,Paramètres!$A$1:$I$89,3,0)*0.475*44/12</f>
        <v>0.868628606622623</v>
      </c>
      <c r="BR18" s="129" t="n">
        <f aca="false">EXP(-LN(2)/2)*BR17+(1-EXP(-LN(2)/2))/(LN(2)/2)*BL18*BO18*VLOOKUP('Données projet'!$B$11,Paramètres!$A$1:$I$89,3,0)*0.475*44/12</f>
        <v>8.65478368229231</v>
      </c>
      <c r="BS18" s="130" t="n">
        <f aca="false">SUM(BP18:BR18)</f>
        <v>9.52341228891493</v>
      </c>
      <c r="BT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18" t="e">
        <f aca="false">VLOOKUP(A18,'Données projet'!$A$113:$I$133,2,0)</f>
        <v>#N/A</v>
      </c>
      <c r="BW18" s="118" t="e">
        <f aca="false">VLOOKUP(A18,'Données projet'!$A$113:$I$133,9,0)</f>
        <v>#N/A</v>
      </c>
      <c r="BX18" s="118" t="n">
        <f aca="false" t="array" ref="BX18:BX18">INDEX(BW:BW,MIN(IF(ISNUMBER(BW18:BW214),ROW(BW18:BW214),"")))</f>
        <v>6.22222222222222</v>
      </c>
      <c r="BY18" s="118" t="n">
        <f aca="false">IF('Données projet'!$A$114&gt;35,BY17+BX18-CG17,IF(A18&lt;'Données projet'!$A$114,$BV$205^A18,IF(A18='Données projet'!$A$114,'Données projet'!$B$114,BY17+BX18-CG17)))</f>
        <v>51.0130964423504</v>
      </c>
      <c r="BZ18" s="117" t="n">
        <f aca="false">BY18*VLOOKUP('Données projet'!$B$12,Paramètres!$A$1:$I$89,3,0)*VLOOKUP('Données projet'!$B$12,Paramètres!$A$1:$I$89,5,0)</f>
        <v>31.8321721800266</v>
      </c>
      <c r="CA18" s="117" t="n">
        <f aca="false">EXP(-1.0587+0.8836*LN(BZ18)+0.284)</f>
        <v>9.80583780994302</v>
      </c>
      <c r="CB18" s="128" t="n">
        <f aca="false">(BZ18+CA18)*0.475*44/12</f>
        <v>72.5195340658638</v>
      </c>
      <c r="CC18" s="120" t="n">
        <f aca="false">CB18+(BT18+BU18)*44/12</f>
        <v>347.519534065864</v>
      </c>
      <c r="CD18" s="120" t="n">
        <f aca="true">AVERAGE(OFFSET($CC$3,0,0,'Données projet'!$E$12+1,1))-AVERAGE(OFFSET($H$3,0,0,'Données projet'!$E$12+1,1))</f>
        <v>240.228848647662</v>
      </c>
      <c r="CE18" s="120" t="n">
        <f aca="false">$CE$3</f>
        <v>343.237768841432</v>
      </c>
      <c r="CF18" s="121" t="n">
        <f aca="false">IF(ISNA(VLOOKUP(A18,'Données projet'!$A$113:$I$133,3,0)),0,VLOOKUP(A18,'Données projet'!$A$113:$I$133,3,0))</f>
        <v>0</v>
      </c>
      <c r="CG18" s="121" t="n">
        <f aca="false">IF(ISNA(VLOOKUP(A18,'Données projet'!$A$113:$I$133,4,0)),0,VLOOKUP(A18,'Données projet'!$A$113:$I$133,4,0))</f>
        <v>0</v>
      </c>
      <c r="CH18" s="122" t="n">
        <f aca="false">IF(ISNA(VLOOKUP(A18,'Données projet'!$A$113:$I$133,5,0)),0%,VLOOKUP(A18,'Données projet'!$A$113:$I$133,5,0)*VLOOKUP('Données projet'!$B$12,Paramètres!$A$1:$I$89,7,0))</f>
        <v>0</v>
      </c>
      <c r="CI18" s="122" t="n">
        <f aca="false">IF(ISNA(VLOOKUP(A18,'Données projet'!$A$113:$I$133,6,0)),0%,VLOOKUP(A18,'Données projet'!$A$113:$I$133,6,0)*VLOOKUP('Données projet'!$B$12,Paramètres!$A$1:$I$89,7,0))</f>
        <v>0</v>
      </c>
      <c r="CJ18" s="122" t="n">
        <f aca="false">IF(ISNA(VLOOKUP(A18,'Données projet'!$A$113:$I$133,7,0)),0%,VLOOKUP(A18,'Données projet'!$A$113:$I$133,7,0))</f>
        <v>0</v>
      </c>
      <c r="CK18" s="129" t="n">
        <f aca="false">EXP(-LN(2)/35)*CK17+(1-EXP(-LN(2)/35))/(LN(2)/35)*CG18*CH18*VLOOKUP('Données projet'!$B$12,Paramètres!$A$1:$I$89,3,0)*0.475*44/12</f>
        <v>0</v>
      </c>
      <c r="CL18" s="129" t="n">
        <f aca="false">EXP(-LN(2)/25)*CL17+(1-EXP(-LN(2)/25))/(LN(2)/25)*Calculateur!CG18*Calculateur!CI18*VLOOKUP('Données projet'!$B$12,Paramètres!$A$1:$I$89,3,0)*0.475*44/12</f>
        <v>0</v>
      </c>
      <c r="CM18" s="129" t="n">
        <f aca="false">EXP(-LN(2)/2)*CM17+(1-EXP(-LN(2)/2))/(LN(2)/2)*CG18*CJ18*VLOOKUP('Données projet'!$B$12,Paramètres!$A$1:$I$89,3,0)*0.475*44/12</f>
        <v>0</v>
      </c>
      <c r="CN18" s="130" t="n">
        <f aca="false">SUM(CK18:CM18)</f>
        <v>0</v>
      </c>
      <c r="CO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18" t="n">
        <f aca="false">VLOOKUP(A18,'Données projet'!$A$139:$I$159,2,0)</f>
        <v>168</v>
      </c>
      <c r="CR18" s="118" t="n">
        <f aca="false">VLOOKUP(A18,'Données projet'!$A$139:$I$159,9,0)</f>
        <v>24.3333333333333</v>
      </c>
      <c r="CS18" s="118" t="n">
        <f aca="false" t="array" ref="CS18:CS18">INDEX(CR:CR,MIN(IF(ISNUMBER(CR18:CR214),ROW(CR18:CR214),"")))</f>
        <v>24.3333333333333</v>
      </c>
      <c r="CT18" s="118" t="n">
        <f aca="false">IF('Données projet'!$A$140&gt;35,CT17+CS18-DB17,IF(A18&lt;'Données projet'!$A$140,$CQ$205^A18,IF(A18='Données projet'!$A$140,'Données projet'!$B$140,CT17+CS18-DB17)))</f>
        <v>168</v>
      </c>
      <c r="CU18" s="125" t="n">
        <f aca="false">CT18*VLOOKUP('Données projet'!$B$13,Paramètres!$A$1:$I$89,3,0)*VLOOKUP('Données projet'!$B$13,Paramètres!$A$1:$I$89,5,0)</f>
        <v>91.728</v>
      </c>
      <c r="CV18" s="117" t="n">
        <f aca="false">EXP(-1.0587+0.8836*LN(CU18)+0.284)</f>
        <v>24.9815145823866</v>
      </c>
      <c r="CW18" s="128" t="n">
        <f aca="false">(CU18+CV18)*0.475*44/12</f>
        <v>203.26907123099</v>
      </c>
      <c r="CX18" s="120" t="n">
        <f aca="false">CW18+(CO18+CP18)*44/12</f>
        <v>478.26907123099</v>
      </c>
      <c r="CY18" s="120" t="n">
        <f aca="true">AVERAGE(OFFSET($CX$3,0,0,'Données projet'!$E$13+1,1))-AVERAGE(OFFSET($H$3,0,0,'Données projet'!$E$13+1,1))</f>
        <v>207.023069645676</v>
      </c>
      <c r="CZ18" s="120" t="n">
        <f aca="false">$CZ$3</f>
        <v>342.068879333518</v>
      </c>
      <c r="DA18" s="121" t="n">
        <f aca="false">IF(ISNA(VLOOKUP(A18,'Données projet'!$A$139:$I$159,3,0)),0,VLOOKUP(A18,'Données projet'!$A$139:$I$159,3,0))</f>
        <v>2</v>
      </c>
      <c r="DB18" s="121" t="n">
        <f aca="false">IF(ISNA(VLOOKUP(A18,'Données projet'!$A$139:$I$159,4,0)),0,VLOOKUP(A18,'Données projet'!$A$139:$I$159,4,0))</f>
        <v>47</v>
      </c>
      <c r="DC18" s="122" t="n">
        <f aca="false">IF(ISNA(VLOOKUP(A18,'Données projet'!$A$139:$I$159,5,0)),0%,VLOOKUP(A18,'Données projet'!$A$139:$I$159,5,0)*VLOOKUP('Données projet'!$B$13,Paramètres!$A$1:$I$89,7,0))</f>
        <v>0</v>
      </c>
      <c r="DD18" s="122" t="n">
        <f aca="false">IF(ISNA(VLOOKUP(A18,'Données projet'!$A$139:$I$159,6,0)),0%,VLOOKUP(A18,'Données projet'!$A$139:$I$159,6,0)*VLOOKUP('Données projet'!$B$13,Paramètres!$A$1:$I$89,7,0))</f>
        <v>0</v>
      </c>
      <c r="DE18" s="122" t="n">
        <f aca="false">IF(ISNA(VLOOKUP(A18,'Données projet'!$A$139:$I$159,7,0)),0%,VLOOKUP(A18,'Données projet'!$A$139:$I$159,7,0))</f>
        <v>1</v>
      </c>
      <c r="DF18" s="129" t="n">
        <f aca="false">EXP(-LN(2)/35)*DF17+(1-EXP(-LN(2)/35))/(LN(2)/35)*DB18*DC18*VLOOKUP('Données projet'!$B$13,Paramètres!$A$1:$I$89,3,0)*0.475*44/12</f>
        <v>0</v>
      </c>
      <c r="DG18" s="129" t="n">
        <f aca="false">EXP(-LN(2)/25)*DG17+(1-EXP(-LN(2)/25))/(LN(2)/25)*Calculateur!DB18*Calculateur!DD18*VLOOKUP('Données projet'!$B$13,Paramètres!$A$1:$I$89,3,0)*0.475*44/12</f>
        <v>0</v>
      </c>
      <c r="DH18" s="129" t="n">
        <f aca="false">EXP(-LN(2)/2)*DH17+(1-EXP(-LN(2)/2))/(LN(2)/2)*DB18*DE18*VLOOKUP('Données projet'!$B$13,Paramètres!$A$1:$I$89,3,0)*0.475*44/12</f>
        <v>29.0553452191242</v>
      </c>
      <c r="DI18" s="130" t="n">
        <f aca="false">SUM(DF18:DH18)</f>
        <v>29.0553452191242</v>
      </c>
      <c r="DJ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18" t="e">
        <f aca="false">VLOOKUP(A18,'Données projet'!$A$165:$I$185,2,0)</f>
        <v>#N/A</v>
      </c>
      <c r="DM18" s="118" t="e">
        <f aca="false">VLOOKUP(A18,'Données projet'!$A$165:$I$185,9,0)</f>
        <v>#N/A</v>
      </c>
      <c r="DN18" s="118" t="n">
        <f aca="false" t="array" ref="DN18:DN18">INDEX(DM:DM,MIN(IF(ISNUMBER(DM18:DM214),ROW(DM18:DM214),"")))</f>
        <v>11.25</v>
      </c>
      <c r="DO18" s="118" t="n">
        <f aca="false">IF('Données projet'!$A$166&gt;35,DO17+DN18-DW17,IF(A18&lt;'Données projet'!$A$166,$DL$205^A18,IF(A18='Données projet'!$A$166,'Données projet'!$B$166,DO17+DN18-DW17)))</f>
        <v>69.75</v>
      </c>
      <c r="DP18" s="125" t="n">
        <f aca="false">DO18*VLOOKUP('Données projet'!$B$14,Paramètres!$A$1:$I$89,3,0)*VLOOKUP('Données projet'!$B$14,Paramètres!$A$1:$I$89,5,0)</f>
        <v>41.7105</v>
      </c>
      <c r="DQ18" s="117" t="n">
        <f aca="false">EXP(-1.0587+0.8836*LN(DP18)+0.284)</f>
        <v>12.4509043473492</v>
      </c>
      <c r="DR18" s="128" t="n">
        <f aca="false">(DP18+DQ18)*0.475*44/12</f>
        <v>94.3311125716333</v>
      </c>
      <c r="DS18" s="120" t="n">
        <f aca="false">DR18+(DJ18+DK18)*44/12</f>
        <v>369.331112571633</v>
      </c>
      <c r="DT18" s="120" t="n">
        <f aca="true">AVERAGE(OFFSET($DS$3,0,0,'Données projet'!$E$14+1,1))-AVERAGE(OFFSET($H$3,0,0,'Données projet'!$E$14+1,1))</f>
        <v>549.432320957297</v>
      </c>
      <c r="DU18" s="120" t="n">
        <f aca="false">$DU$3</f>
        <v>280.26155987301</v>
      </c>
      <c r="DV18" s="121" t="n">
        <f aca="false">IF(ISNA(VLOOKUP(A18,'Données projet'!$A$165:$I$185,3,0)),0,VLOOKUP(A18,'Données projet'!$A$165:$I$185,3,0))</f>
        <v>0</v>
      </c>
      <c r="DW18" s="121" t="n">
        <f aca="false">IF(ISNA(VLOOKUP(A18,'Données projet'!$A$165:$I$185,4,0)),0,VLOOKUP(A18,'Données projet'!$A$165:$I$185,4,0))</f>
        <v>0</v>
      </c>
      <c r="DX18" s="122" t="n">
        <f aca="false">IF(ISNA(VLOOKUP(A18,'Données projet'!$A$165:$I$185,5,0)),0%,VLOOKUP(A18,'Données projet'!$A$165:$I$185,5,0)*VLOOKUP('Données projet'!$B$14,Paramètres!$A$1:$I$89,7,0))</f>
        <v>0</v>
      </c>
      <c r="DY18" s="122" t="n">
        <f aca="false">IF(ISNA(VLOOKUP(A18,'Données projet'!$A$165:$I$185,6,0)),0%,VLOOKUP(A18,'Données projet'!$A$165:$I$185,6,0)*VLOOKUP('Données projet'!$B$14,Paramètres!$A$1:$I$89,7,0))</f>
        <v>0</v>
      </c>
      <c r="DZ18" s="122" t="n">
        <f aca="false">IF(ISNA(VLOOKUP(A18,'Données projet'!$A$165:$I$185,7,0)),0%,VLOOKUP(A18,'Données projet'!$A$165:$I$185,7,0))</f>
        <v>0</v>
      </c>
      <c r="EA18" s="129" t="n">
        <f aca="false">EXP(-LN(2)/35)*EA17+(1-EXP(-LN(2)/35))/(LN(2)/35)*DW18*DX18*VLOOKUP('Données projet'!$B$14,Paramètres!$A$1:$I$89,3,0)*0.475*44/12</f>
        <v>0</v>
      </c>
      <c r="EB18" s="129" t="n">
        <f aca="false">EXP(-LN(2)/25)*EB17+(1-EXP(-LN(2)/25))/(LN(2)/25)*Calculateur!DW18*Calculateur!DY18*VLOOKUP('Données projet'!$B$14,Paramètres!$A$1:$I$89,3,0)*0.475*44/12</f>
        <v>0</v>
      </c>
      <c r="EC18" s="129" t="n">
        <f aca="false">EXP(-LN(2)/2)*EC17+(1-EXP(-LN(2)/2))/(LN(2)/2)*DW18*DZ18*VLOOKUP('Données projet'!$B$14,Paramètres!$A$1:$I$89,3,0)*0.475*44/12</f>
        <v>0</v>
      </c>
      <c r="ED18" s="130" t="n">
        <f aca="false">SUM(EA18:EC18)</f>
        <v>0</v>
      </c>
      <c r="EE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18" t="e">
        <f aca="false">VLOOKUP(A18,'Données projet'!$A$191:$I$211,2,0)</f>
        <v>#N/A</v>
      </c>
      <c r="EH18" s="118" t="e">
        <f aca="false">VLOOKUP(A18,'Données projet'!$A$191:$I$211,9,0)</f>
        <v>#N/A</v>
      </c>
      <c r="EI18" s="118" t="n">
        <f aca="false" t="array" ref="EI18:EI18">INDEX(EH:EH,MIN(IF(ISNUMBER(EH18:EH214),ROW(EH18:EH214),"")))</f>
        <v>0</v>
      </c>
      <c r="EJ18" s="118" t="n">
        <f aca="false">IF('Données projet'!$A$192&gt;35,EJ17+EI18-ER17,IF(A18&lt;'Données projet'!$A$192,$EG$205^A18,IF(A18='Données projet'!$A$192,'Données projet'!$B$192,EJ17+EI18-ER17)))</f>
        <v>0</v>
      </c>
      <c r="EK18" s="125" t="e">
        <f aca="false">EJ18*VLOOKUP('Données projet'!$B$15,Paramètres!$A$1:$I$89,3,0)*VLOOKUP('Données projet'!$B$15,Paramètres!$A$1:$I$89,5,0)</f>
        <v>#N/A</v>
      </c>
      <c r="EL18" s="117" t="e">
        <f aca="false">EXP(-1.0587+0.8836*LN(EK18)+0.284)</f>
        <v>#N/A</v>
      </c>
      <c r="EM18" s="128" t="e">
        <f aca="false">(EK18+EL18)*0.475*44/12</f>
        <v>#N/A</v>
      </c>
      <c r="EN18" s="120" t="e">
        <f aca="false">EM18+(EE18+EF18)*44/12</f>
        <v>#N/A</v>
      </c>
      <c r="EO18" s="120" t="e">
        <f aca="true">AVERAGE(OFFSET($EN$3,0,0,'Données projet'!$E$15+1,1))-AVERAGE(OFFSET($H$3,0,0,'Données projet'!$E$15+1,1))</f>
        <v>#N/A</v>
      </c>
      <c r="EP18" s="120" t="e">
        <f aca="false">$EP$3</f>
        <v>#N/A</v>
      </c>
      <c r="EQ18" s="121" t="n">
        <f aca="false">IF(ISNA(VLOOKUP(A18,'Données projet'!$A$191:$I$211,3,0)),0,VLOOKUP(A18,'Données projet'!$A$191:$I$211,3,0))</f>
        <v>0</v>
      </c>
      <c r="ER18" s="121" t="n">
        <f aca="false">IF(ISNA(VLOOKUP(A18,'Données projet'!$A$191:$I$211,4,0)),0,VLOOKUP(A18,'Données projet'!$A$191:$I$211,4,0))</f>
        <v>0</v>
      </c>
      <c r="ES18" s="122" t="n">
        <f aca="false">IF(ISNA(VLOOKUP(A18,'Données projet'!$A$191:$I$211,5,0)),0%,VLOOKUP(A18,'Données projet'!$A$191:$I$211,5,0)*VLOOKUP('Données projet'!$B$15,Paramètres!$A$1:$I$89,7,0))</f>
        <v>0</v>
      </c>
      <c r="ET18" s="122" t="n">
        <f aca="false">IF(ISNA(VLOOKUP(A18,'Données projet'!$A$191:$I$211,6,0)),0%,VLOOKUP(A18,'Données projet'!$A$191:$I$211,6,0)*VLOOKUP('Données projet'!$B$15,Paramètres!$A$1:$I$89,7,0))</f>
        <v>0</v>
      </c>
      <c r="EU18" s="122" t="n">
        <f aca="false">IF(ISNA(VLOOKUP(A18,'Données projet'!$A$191:$I$211,7,0)),0%,VLOOKUP(A18,'Données projet'!$A$191:$I$211,7,0))</f>
        <v>0</v>
      </c>
      <c r="EV18" s="129" t="e">
        <f aca="false">EXP(-LN(2)/35)*EV17+(1-EXP(-LN(2)/35))/(LN(2)/35)*ER18*ES18*VLOOKUP('Données projet'!$B$15,Paramètres!$A$1:$I$89,3,0)*0.475*44/12</f>
        <v>#N/A</v>
      </c>
      <c r="EW18" s="129" t="e">
        <f aca="false">EXP(-LN(2)/25)*EW17+(1-EXP(-LN(2)/25))/(LN(2)/25)*Calculateur!ER18*Calculateur!ET18*VLOOKUP('Données projet'!$B$15,Paramètres!$A$1:$I$89,3,0)*0.475*44/12</f>
        <v>#N/A</v>
      </c>
      <c r="EX18" s="129" t="e">
        <f aca="false">EXP(-LN(2)/2)*EX17+(1-EXP(-LN(2)/2))/(LN(2)/2)*ER18*EU18*VLOOKUP('Données projet'!$B$15,Paramètres!$A$1:$I$89,3,0)*0.475*44/12</f>
        <v>#N/A</v>
      </c>
      <c r="EY18" s="130" t="e">
        <f aca="false">SUM(EV18:EX18)</f>
        <v>#N/A</v>
      </c>
      <c r="EZ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18" t="e">
        <f aca="false">VLOOKUP(A18,'Données projet'!$A$217:$I$237,2,0)</f>
        <v>#N/A</v>
      </c>
      <c r="FC18" s="118" t="e">
        <f aca="false">VLOOKUP(A18,'Données projet'!$A$217:$I$237,9,0)</f>
        <v>#N/A</v>
      </c>
      <c r="FD18" s="118" t="n">
        <f aca="false" t="array" ref="FD18:FD18">INDEX(FC:FC,MIN(IF(ISNUMBER(FC18:FC214),ROW(FC18:FC214),"")))</f>
        <v>0</v>
      </c>
      <c r="FE18" s="118" t="n">
        <f aca="false">IF('Données projet'!$A$218&gt;35,FE17+FD18-FM17,IF(A18&lt;'Données projet'!$A$218,$FB$205^A18,IF(A18='Données projet'!$A$218,'Données projet'!$B$218,FE17+FD18-FM17)))</f>
        <v>0</v>
      </c>
      <c r="FF18" s="125" t="e">
        <f aca="false">FE18*VLOOKUP('Données projet'!$B$16,Paramètres!$A$1:$I$89,3,0)*VLOOKUP('Données projet'!$B$16,Paramètres!$A$1:$I$89,5,0)</f>
        <v>#N/A</v>
      </c>
      <c r="FG18" s="117" t="e">
        <f aca="false">EXP(-1.0587+0.8836*LN(FF18)+0.284)</f>
        <v>#N/A</v>
      </c>
      <c r="FH18" s="128" t="e">
        <f aca="false">(FF18+FG18)*0.475*44/12</f>
        <v>#N/A</v>
      </c>
      <c r="FI18" s="120" t="e">
        <f aca="false">FH18+(EZ18+FA18)*44/12</f>
        <v>#N/A</v>
      </c>
      <c r="FJ18" s="120" t="e">
        <f aca="true">AVERAGE(OFFSET($FI$3,0,0,'Données projet'!$E$16+1,1))-AVERAGE(OFFSET($H$3,0,0,'Données projet'!$E$16+1,1))</f>
        <v>#N/A</v>
      </c>
      <c r="FK18" s="120" t="e">
        <f aca="false">$FK$3</f>
        <v>#N/A</v>
      </c>
      <c r="FL18" s="121" t="n">
        <f aca="false">IF(ISNA(VLOOKUP(A18,'Données projet'!$A$217:$I$237,3,0)),0,VLOOKUP(A18,'Données projet'!$A$217:$I$237,3,0))</f>
        <v>0</v>
      </c>
      <c r="FM18" s="121" t="n">
        <f aca="false">IF(ISNA(VLOOKUP(A18,'Données projet'!$A$217:$I$237,4,0)),0,VLOOKUP(A18,'Données projet'!$A$217:$I$237,4,0))</f>
        <v>0</v>
      </c>
      <c r="FN18" s="122" t="n">
        <f aca="false">IF(ISNA(VLOOKUP(A18,'Données projet'!$A$217:$I$237,5,0)),0%,VLOOKUP(A18,'Données projet'!$A$217:$I$237,5,0)*VLOOKUP('Données projet'!$B$16,Paramètres!$A$1:$I$89,7,0))</f>
        <v>0</v>
      </c>
      <c r="FO18" s="122" t="n">
        <f aca="false">IF(ISNA(VLOOKUP(A18,'Données projet'!$A$217:$I$237,6,0)),0%,VLOOKUP(A18,'Données projet'!$A$217:$I$237,6,0)*VLOOKUP('Données projet'!$B$16,Paramètres!$A$1:$I$89,7,0))</f>
        <v>0</v>
      </c>
      <c r="FP18" s="122" t="n">
        <f aca="false">IF(ISNA(VLOOKUP(A18,'Données projet'!$A$217:$I$237,7,0)),0%,VLOOKUP(A18,'Données projet'!$A$217:$I$237,7,0))</f>
        <v>0</v>
      </c>
      <c r="FQ18" s="129" t="e">
        <f aca="false">EXP(-LN(2)/35)*FQ17+(1-EXP(-LN(2)/35))/(LN(2)/35)*FM18*FN18*VLOOKUP('Données projet'!$B$16,Paramètres!$A$1:$I$89,3,0)*0.475*44/12</f>
        <v>#N/A</v>
      </c>
      <c r="FR18" s="129" t="e">
        <f aca="false">EXP(-LN(2)/25)*FR17+(1-EXP(-LN(2)/25))/(LN(2)/25)*Calculateur!FM18*Calculateur!FO18*VLOOKUP('Données projet'!$B$16,Paramètres!$A$1:$I$89,3,0)*0.475*44/12</f>
        <v>#N/A</v>
      </c>
      <c r="FS18" s="129" t="e">
        <f aca="false">EXP(-LN(2)/2)*FS17+(1-EXP(-LN(2)/2))/(LN(2)/2)*FM18*FP18*VLOOKUP('Données projet'!$B$16,Paramètres!$A$1:$I$89,3,0)*0.475*44/12</f>
        <v>#N/A</v>
      </c>
      <c r="FT18" s="130" t="e">
        <f aca="false">SUM(FQ18:FS18)</f>
        <v>#N/A</v>
      </c>
      <c r="FU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18" t="e">
        <f aca="false">VLOOKUP(A18,'Données projet'!$A$243:$I$263,2,0)</f>
        <v>#N/A</v>
      </c>
      <c r="FX18" s="118" t="e">
        <f aca="false">VLOOKUP(A18,'Données projet'!$A$243:$I$263,9,0)</f>
        <v>#N/A</v>
      </c>
      <c r="FY18" s="118" t="n">
        <f aca="false" t="array" ref="FY18:FY18">INDEX(FX:FX,MIN(IF(ISNUMBER(FX18:FX214),ROW(FX18:FX214),"")))</f>
        <v>0</v>
      </c>
      <c r="FZ18" s="118" t="n">
        <f aca="false">IF('Données projet'!$A$244&gt;35,FZ17+FY18-GH17,IF(A18&lt;'Données projet'!$A$244,$FW$205^A18,IF(A18='Données projet'!$A$244,'Données projet'!$B$244,FZ17+FY18-GH17)))</f>
        <v>0</v>
      </c>
      <c r="GA18" s="125" t="e">
        <f aca="false">FZ18*VLOOKUP('Données projet'!$B$17,Paramètres!$A$1:$I$89,3,0)*VLOOKUP('Données projet'!$B$17,Paramètres!$A$1:$I$89,5,0)</f>
        <v>#N/A</v>
      </c>
      <c r="GB18" s="117" t="e">
        <f aca="false">EXP(-1.0587+0.8836*LN(GA18)+0.284)</f>
        <v>#N/A</v>
      </c>
      <c r="GC18" s="128" t="e">
        <f aca="false">(GA18+GB18)*0.475*44/12</f>
        <v>#N/A</v>
      </c>
      <c r="GD18" s="120" t="e">
        <f aca="false">GC18+(FU18+FV18)*44/12</f>
        <v>#N/A</v>
      </c>
      <c r="GE18" s="120" t="e">
        <f aca="true">AVERAGE(OFFSET($GD$3,0,0,'Données projet'!$E$17+1,1))-AVERAGE(OFFSET($H$3,0,0,'Données projet'!$E$17+1,1))</f>
        <v>#N/A</v>
      </c>
      <c r="GF18" s="120" t="e">
        <f aca="false">$GF$3</f>
        <v>#N/A</v>
      </c>
      <c r="GG18" s="121" t="n">
        <f aca="false">IF(ISNA(VLOOKUP(A18,'Données projet'!$A$243:$I$263,3,0)),0,VLOOKUP(A18,'Données projet'!$A$243:$I$263,3,0))</f>
        <v>0</v>
      </c>
      <c r="GH18" s="121" t="n">
        <f aca="false">IF(ISNA(VLOOKUP(A18,'Données projet'!$A$243:$I$263,4,0)),0,VLOOKUP(A18,'Données projet'!$A$243:$I$263,4,0))</f>
        <v>0</v>
      </c>
      <c r="GI18" s="122" t="n">
        <f aca="false">IF(ISNA(VLOOKUP(A18,'Données projet'!$A$243:$I$263,5,0)),0%,VLOOKUP(A18,'Données projet'!$A$243:$I$263,5,0)*VLOOKUP('Données projet'!$B$17,Paramètres!$A$1:$I$89,7,0))</f>
        <v>0</v>
      </c>
      <c r="GJ18" s="122" t="n">
        <f aca="false">IF(ISNA(VLOOKUP(A18,'Données projet'!$A$243:$I$263,6,0)),0%,VLOOKUP(A18,'Données projet'!$A$243:$I$263,6,0)*VLOOKUP('Données projet'!$B$17,Paramètres!$A$1:$I$89,7,0))</f>
        <v>0</v>
      </c>
      <c r="GK18" s="122" t="n">
        <f aca="false">IF(ISNA(VLOOKUP(A18,'Données projet'!$A$243:$I$263,7,0)),0%,VLOOKUP(A18,'Données projet'!$A$243:$I$263,7,0))</f>
        <v>0</v>
      </c>
      <c r="GL18" s="129" t="e">
        <f aca="false">EXP(-LN(2)/35)*GL17+(1-EXP(-LN(2)/35))/(LN(2)/35)*GH18*GI18*VLOOKUP('Données projet'!$B$17,Paramètres!$A$1:$I$89,3,0)*0.475*44/12</f>
        <v>#N/A</v>
      </c>
      <c r="GM18" s="129" t="e">
        <f aca="false">EXP(-LN(2)/25)*GM17+(1-EXP(-LN(2)/25))/(LN(2)/25)*Calculateur!GH18*Calculateur!GJ18*VLOOKUP('Données projet'!$B$17,Paramètres!$A$1:$I$89,3,0)*0.475*44/12</f>
        <v>#N/A</v>
      </c>
      <c r="GN18" s="129" t="e">
        <f aca="false">EXP(-LN(2)/2)*GN17+(1-EXP(-LN(2)/2))/(LN(2)/2)*GH18*GK18*VLOOKUP('Données projet'!$B$17,Paramètres!$A$1:$I$89,3,0)*0.475*44/12</f>
        <v>#N/A</v>
      </c>
      <c r="GO18" s="129" t="e">
        <f aca="false">SUM(GL18:GN18)</f>
        <v>#N/A</v>
      </c>
      <c r="GP18" s="126" t="n">
        <f aca="false"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8" t="n">
        <f aca="false"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18" t="e">
        <f aca="false">VLOOKUP(A18,'Données projet'!$A$269:$I$289,2,0)</f>
        <v>#N/A</v>
      </c>
      <c r="GS18" s="118" t="e">
        <f aca="false">VLOOKUP(A18,'Données projet'!$A$269:$I$289,9,0)</f>
        <v>#N/A</v>
      </c>
      <c r="GT18" s="118" t="n">
        <f aca="false" t="array" ref="GT18:GT18">INDEX(GS:GS,MIN(IF(ISNUMBER(GS18:GS214),ROW(GS18:GS214),"")))</f>
        <v>0</v>
      </c>
      <c r="GU18" s="118" t="n">
        <f aca="false">IF('Données projet'!$A$270&gt;35,GU17+GT18-HC17,IF(A18&lt;'Données projet'!$A$270,$GR$205^A18,IF(A18='Données projet'!$A$270,'Données projet'!$B$270,GU17+GT18-HC17)))</f>
        <v>0</v>
      </c>
      <c r="GV18" s="125" t="e">
        <f aca="false">GU18*VLOOKUP('Données projet'!$B$18,Paramètres!$A$1:$I$89,3,0)*VLOOKUP('Données projet'!$B$18,Paramètres!$A$1:$I$89,5,0)</f>
        <v>#N/A</v>
      </c>
      <c r="GW18" s="117" t="e">
        <f aca="false">EXP(-1.0587+0.8836*LN(GV18)+0.284)</f>
        <v>#N/A</v>
      </c>
      <c r="GX18" s="128" t="e">
        <f aca="false">(GV18+GW18)*0.475*44/12</f>
        <v>#N/A</v>
      </c>
      <c r="GY18" s="120" t="e">
        <f aca="false">GX18+(GP18+GQ18)*44/12</f>
        <v>#N/A</v>
      </c>
      <c r="GZ18" s="120" t="e">
        <f aca="true">AVERAGE(OFFSET($GY$3,0,0,'Données projet'!$E$18+1,1))-AVERAGE(OFFSET($H$3,0,0,'Données projet'!$E$18+1,1))</f>
        <v>#N/A</v>
      </c>
      <c r="HA18" s="120" t="e">
        <f aca="false">$HA$3</f>
        <v>#N/A</v>
      </c>
      <c r="HB18" s="121" t="n">
        <f aca="false">IF(ISNA(VLOOKUP(A18,'Données projet'!$A$269:$I$289,3,0)),0,VLOOKUP(A18,'Données projet'!$A$269:$I$289,3,0))</f>
        <v>0</v>
      </c>
      <c r="HC18" s="121" t="n">
        <f aca="false">IF(ISNA(VLOOKUP(A18,'Données projet'!$A$269:$I$289,4,0)),0,VLOOKUP(A18,'Données projet'!$A$269:$I$289,4,0))</f>
        <v>0</v>
      </c>
      <c r="HD18" s="122" t="n">
        <f aca="false">IF(ISNA(VLOOKUP(A18,'Données projet'!$A$269:$I$289,5,0)),0%,VLOOKUP(A18,'Données projet'!$A$269:$I$289,5,0)*VLOOKUP('Données projet'!$B$18,Paramètres!$A$1:$I$89,7,0))</f>
        <v>0</v>
      </c>
      <c r="HE18" s="122" t="n">
        <f aca="false">IF(ISNA(VLOOKUP(A18,'Données projet'!$A$269:$I$289,6,0)),0%,VLOOKUP(A18,'Données projet'!$A$269:$I$289,6,0)*VLOOKUP('Données projet'!$B$18,Paramètres!$A$1:$I$89,7,0))</f>
        <v>0</v>
      </c>
      <c r="HF18" s="122" t="n">
        <f aca="false">IF(ISNA(VLOOKUP(A18,'Données projet'!$A$269:$I$289,7,0)),0%,VLOOKUP(A18,'Données projet'!$A$269:$I$289,7,0))</f>
        <v>0</v>
      </c>
      <c r="HG18" s="129" t="e">
        <f aca="false">EXP(-LN(2)/35)*HG17+(1-EXP(-LN(2)/35))/(LN(2)/35)*HC18*HD18*VLOOKUP('Données projet'!$B$18,Paramètres!$A$1:$I$89,3,0)*0.475*44/12</f>
        <v>#N/A</v>
      </c>
      <c r="HH18" s="129" t="e">
        <f aca="false">EXP(-LN(2)/25)*HH17+(1-EXP(-LN(2)/25))/(LN(2)/25)*Calculateur!HC18*Calculateur!HE18*VLOOKUP('Données projet'!$B$18,Paramètres!$A$1:$I$89,3,0)*0.475*44/12</f>
        <v>#N/A</v>
      </c>
      <c r="HI18" s="129" t="e">
        <f aca="false">EXP(-LN(2)/2)*HI17+(1-EXP(-LN(2)/2))/(LN(2)/2)*HC18*HF18*VLOOKUP('Données projet'!$B$18,Paramètres!$A$1:$I$89,3,0)*0.475*44/12</f>
        <v>#N/A</v>
      </c>
      <c r="HJ18" s="130" t="e">
        <f aca="false">SUM(HG18:HI18)</f>
        <v>#N/A</v>
      </c>
    </row>
    <row r="19" customFormat="false" ht="14.25" hidden="false" customHeight="false" outlineLevel="0" collapsed="false">
      <c r="A19" s="112" t="n">
        <f aca="false">A18+1</f>
        <v>16</v>
      </c>
      <c r="B19" s="113" t="n">
        <f aca="false">'Scénario référence'!$B$16*5+'Scénario référence'!$B$17*0+'Scénario référence'!$B$18*5</f>
        <v>0</v>
      </c>
      <c r="C19" s="127" t="n">
        <f aca="false"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4" t="n">
        <f aca="false">IFERROR(EXP(-1.0587+0.8836*LN(C19)+0.284),0)</f>
        <v>0</v>
      </c>
      <c r="E1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" s="114" t="n">
        <f aca="false">IF(OR('Scénario référence'!$F$8&gt;0,'Scénario référence'!$F$9&gt;0),('Scénario référence'!$F$8+'Scénario référence'!$F$9)*10,0)</f>
        <v>0</v>
      </c>
      <c r="G19" s="114" t="n">
        <f aca="false"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15" t="n">
        <f aca="false">(B19+E19+F19)*44/12+(C19+D19)*0.475*44/12</f>
        <v>256.666666666667</v>
      </c>
      <c r="I19" s="11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7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K19" s="118" t="e">
        <f aca="false">VLOOKUP(A19,'Données projet'!$A$35:$I$55,2,0)</f>
        <v>#N/A</v>
      </c>
      <c r="L19" s="118" t="e">
        <f aca="false">VLOOKUP(A19,'Données projet'!$A$35:$I$55,9,0)</f>
        <v>#N/A</v>
      </c>
      <c r="M19" s="118" t="n">
        <f aca="false" t="array" ref="M19:M19">INDEX(L:L,MIN(IF(ISNUMBER(L19:L215),ROW(L19:L215),"")))</f>
        <v>7.9</v>
      </c>
      <c r="N19" s="117" t="n">
        <f aca="false">IF('Données projet'!$A$36&gt;35,N18+M19-V18,IF(A19&lt;'Données projet'!$A$36,$K$205^A19,IF(A19='Données projet'!$A$36,'Données projet'!$B$36,N18+M19-V18)))</f>
        <v>57.4018209345962</v>
      </c>
      <c r="O19" s="117" t="n">
        <f aca="false">N19*VLOOKUP('Données projet'!$B$9,Paramètres!$A$1:$I$89,3,0)*VLOOKUP('Données projet'!$B$9,Paramètres!$A$1:$I$89,5,0)</f>
        <v>26.864052197391</v>
      </c>
      <c r="P19" s="117" t="n">
        <f aca="false">EXP(-1.0587+0.8836*LN(O19)+0.284)</f>
        <v>8.44049704710014</v>
      </c>
      <c r="Q19" s="128" t="n">
        <f aca="false">(O19+P19)*0.475*44/12</f>
        <v>61.4887566008221</v>
      </c>
      <c r="R19" s="120" t="n">
        <f aca="false">Q19+(I19+J19)*44/12</f>
        <v>337.710978823044</v>
      </c>
      <c r="S19" s="120" t="n">
        <f aca="true">AVERAGE(OFFSET($R$3,0,0,'Données projet'!$E$9+1,1))-AVERAGE(OFFSET($H$3,0,0,'Données projet'!$E$9+1,1))</f>
        <v>319.229030946746</v>
      </c>
      <c r="T19" s="120" t="n">
        <f aca="false">$T$3</f>
        <v>254.586909731428</v>
      </c>
      <c r="U19" s="121" t="n">
        <f aca="false">IF(ISNA(VLOOKUP(A19,'Données projet'!$A$35:$I$55,3,0)),0,VLOOKUP(A19,'Données projet'!$A$35:$I$55,3,0))</f>
        <v>0</v>
      </c>
      <c r="V19" s="121" t="n">
        <f aca="false">IF(ISNA(VLOOKUP(A19,'Données projet'!$A$35:$I$55,4,0)),0,VLOOKUP(A19,'Données projet'!$A$35:$I$55,4,0))</f>
        <v>0</v>
      </c>
      <c r="W19" s="122" t="n">
        <f aca="false">IF(ISNA(VLOOKUP(A19,'Données projet'!$A$35:$I$55,5,0)),0%,VLOOKUP(A19,'Données projet'!$A$35:$I$55,5,0)*VLOOKUP('Données projet'!$B$9,Paramètres!$A$1:$I$89,7,0))</f>
        <v>0</v>
      </c>
      <c r="X19" s="122" t="n">
        <f aca="false">IF(ISNA(VLOOKUP(A19,'Données projet'!$A$35:$I$55,6,0)),0%,VLOOKUP(A19,'Données projet'!$A$35:$I$55,6,0)*VLOOKUP('Données projet'!$B$9,Paramètres!$A$1:$I$89,7,0))</f>
        <v>0</v>
      </c>
      <c r="Y19" s="122" t="n">
        <f aca="false">IF(ISNA(VLOOKUP(A19,'Données projet'!$A$35:$I$55,7,0)),0%,VLOOKUP(A19,'Données projet'!$A$35:$I$55,7,0))</f>
        <v>0</v>
      </c>
      <c r="Z19" s="129" t="n">
        <f aca="false">EXP(-LN(2)/35)*Z18+(1-EXP(-LN(2)/35))/(LN(2)/35)*V19*W19*VLOOKUP('Données projet'!$B$9,Paramètres!$A$1:$I$89,3,0)*0.475*44/12</f>
        <v>0</v>
      </c>
      <c r="AA19" s="129" t="n">
        <f aca="false">EXP(-LN(2)/25)*AA18+(1-EXP(-LN(2)/25))/(LN(2)/25)*Calculateur!V19*Calculateur!X19*VLOOKUP('Données projet'!$B$9,Paramètres!$A$1:$I$89,3,0)*0.475*44/12</f>
        <v>0</v>
      </c>
      <c r="AB19" s="129" t="n">
        <f aca="false">EXP(-LN(2)/2)*AB18+(1-EXP(-LN(2)/2))/(LN(2)/2)*V19*Y19*VLOOKUP('Données projet'!$B$9,Paramètres!$A$1:$I$89,3,0)*0.475*44/12</f>
        <v>0</v>
      </c>
      <c r="AC19" s="130" t="n">
        <f aca="false">SUM(Z19:AB19)</f>
        <v>0</v>
      </c>
      <c r="AD19" s="117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7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AF19" s="118" t="e">
        <f aca="false">VLOOKUP(A19,'Données projet'!$A$61:$I$81,2,0)</f>
        <v>#N/A</v>
      </c>
      <c r="AG19" s="118" t="e">
        <f aca="false">VLOOKUP(A19,'Données projet'!$A$61:$I$81,9,0)</f>
        <v>#N/A</v>
      </c>
      <c r="AH19" s="118" t="n">
        <f aca="false" t="array" ref="AH19:AH19">INDEX(AG:AG,MIN(IF(ISNUMBER(AG19:AG215),ROW(AG19:AG215),"")))</f>
        <v>7.04347826086957</v>
      </c>
      <c r="AI19" s="117" t="n">
        <f aca="false">IF('Données projet'!$A$62&gt;35,AI18+AH19-AQ18,IF(A19&lt;'Données projet'!$A$62,$AF$205^A19,IF(A19='Données projet'!$A$62,'Données projet'!$B$62,AI18+AH19-AQ18)))</f>
        <v>34.4392688822716</v>
      </c>
      <c r="AJ19" s="117" t="n">
        <f aca="false">AI19*VLOOKUP('Données projet'!$B$10,Paramètres!$A$1:$I$89,3,0)*VLOOKUP('Données projet'!$B$10,Paramètres!$A$1:$I$89,5,0)</f>
        <v>19.2515513051898</v>
      </c>
      <c r="AK19" s="117" t="n">
        <f aca="false">EXP(-1.0587+0.8836*LN(AJ19)+0.284)</f>
        <v>6.28790519145389</v>
      </c>
      <c r="AL19" s="128" t="n">
        <f aca="false">(AJ19+AK19)*0.475*44/12</f>
        <v>44.4812200649878</v>
      </c>
      <c r="AM19" s="120" t="n">
        <f aca="false">AL19+(AD19+AE19)*44/12</f>
        <v>320.70344228721</v>
      </c>
      <c r="AN19" s="120" t="n">
        <f aca="true">AVERAGE(OFFSET($AM$3,0,0,'Données projet'!$E$10+1,1))-AVERAGE(OFFSET($H$3,0,0,'Données projet'!$E$10+1,1))</f>
        <v>365.705101827279</v>
      </c>
      <c r="AO19" s="120" t="n">
        <f aca="false">$AO$3</f>
        <v>436.238338449625</v>
      </c>
      <c r="AP19" s="121" t="n">
        <f aca="false">IF(ISNA(VLOOKUP(A19,'Données projet'!$A$61:$I$81,3,0)),0,VLOOKUP(A19,'Données projet'!$A$61:$I$81,3,0))</f>
        <v>0</v>
      </c>
      <c r="AQ19" s="121" t="n">
        <f aca="false">IF(ISNA(VLOOKUP(A19,'Données projet'!$A$61:$I$81,4,0)),0,VLOOKUP(A19,'Données projet'!$A$61:$I$81,4,0))</f>
        <v>0</v>
      </c>
      <c r="AR19" s="122" t="n">
        <f aca="false">IF(ISNA(VLOOKUP(A19,'Données projet'!$A$61:$I$81,5,0)),0%,VLOOKUP(A19,'Données projet'!$A$61:$I$81,5,0)*VLOOKUP('Données projet'!$B$10,Paramètres!$A$1:$I$89,7,0))</f>
        <v>0</v>
      </c>
      <c r="AS19" s="122" t="n">
        <f aca="false">IF(ISNA(VLOOKUP(A19,'Données projet'!$A$61:$I$81,6,0)),0%,VLOOKUP(A19,'Données projet'!$A$61:$I$81,6,0)*VLOOKUP('Données projet'!$B$10,Paramètres!$A$1:$I$89,7,0))</f>
        <v>0</v>
      </c>
      <c r="AT19" s="122" t="n">
        <f aca="false">IF(ISNA(VLOOKUP(A19,'Données projet'!$A$61:$I$81,7,0)),0%,VLOOKUP(A19,'Données projet'!$A$61:$I$81,7,0))</f>
        <v>0</v>
      </c>
      <c r="AU19" s="129" t="n">
        <f aca="false">EXP(-LN(2)/35)*AU18+(1-EXP(-LN(2)/35))/(LN(2)/35)*AQ19*AR19*VLOOKUP('Données projet'!$B$10,Paramètres!$A$1:$I$89,3,0)*0.475*44/12</f>
        <v>0</v>
      </c>
      <c r="AV19" s="129" t="n">
        <f aca="false">EXP(-LN(2)/25)*AV18+(1-EXP(-LN(2)/25))/(LN(2)/25)*Calculateur!AQ19*Calculateur!AS19*VLOOKUP('Données projet'!$B$10,Paramètres!$A$1:$I$89,3,0)*0.475*44/12</f>
        <v>0</v>
      </c>
      <c r="AW19" s="129" t="n">
        <f aca="false">EXP(-LN(2)/2)*AW18+(1-EXP(-LN(2)/2))/(LN(2)/2)*AQ19*AT19*VLOOKUP('Données projet'!$B$10,Paramètres!$A$1:$I$89,3,0)*0.475*44/12</f>
        <v>0</v>
      </c>
      <c r="AX19" s="129" t="n">
        <f aca="false">SUM(AU19:AW19)</f>
        <v>0</v>
      </c>
      <c r="AY19" s="124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BA19" s="118" t="e">
        <f aca="false">VLOOKUP(A19,'Données projet'!$A$87:$I$107,2,0)</f>
        <v>#N/A</v>
      </c>
      <c r="BB19" s="118" t="e">
        <f aca="false">VLOOKUP(A19,'Données projet'!$A$87:$I$107,9,0)</f>
        <v>#N/A</v>
      </c>
      <c r="BC19" s="118" t="n">
        <f aca="false" t="array" ref="BC19:BC19">INDEX(BB:BB,MIN(IF(ISNUMBER(BB19:BB215),ROW(BB19:BB215),"")))</f>
        <v>14.2</v>
      </c>
      <c r="BD19" s="118" t="n">
        <f aca="false">IF('Données projet'!$A$88&gt;35,BD18+BC19-BL18,IF(A19&lt;'Données projet'!$A$88,$BA$205^A19,IF(A19='Données projet'!$A$88,'Données projet'!$B$88,BD18+BC19-BL18)))</f>
        <v>80.2</v>
      </c>
      <c r="BE19" s="117" t="n">
        <f aca="false">BD19*VLOOKUP('Données projet'!$B$11,Paramètres!$A$1:$I$89,3,0)*VLOOKUP('Données projet'!$B$11,Paramètres!$A$1:$I$89,5,0)</f>
        <v>70.06272</v>
      </c>
      <c r="BF19" s="117" t="n">
        <f aca="false">EXP(-1.0587+0.8836*LN(BE19)+0.284)</f>
        <v>19.6890323459571</v>
      </c>
      <c r="BG19" s="128" t="n">
        <f aca="false">(BE19+BF19)*0.475*44/12</f>
        <v>156.317635335875</v>
      </c>
      <c r="BH19" s="120" t="n">
        <f aca="false">BG19+(AY19+AZ19)*44/12</f>
        <v>432.539857558098</v>
      </c>
      <c r="BI19" s="120" t="n">
        <f aca="true">AVERAGE(OFFSET($BH$3,0,0,'Données projet'!$E$11+1,1))-AVERAGE(OFFSET($H$3,0,0,'Données projet'!$E$11+1,1))</f>
        <v>321.235999689929</v>
      </c>
      <c r="BJ19" s="120" t="n">
        <f aca="false">$BJ$3</f>
        <v>388.051958478005</v>
      </c>
      <c r="BK19" s="121" t="n">
        <f aca="false">IF(ISNA(VLOOKUP(A19,'Données projet'!$A$87:$I$107,3,0)),0,VLOOKUP(A19,'Données projet'!$A$87:$I$107,3,0))</f>
        <v>0</v>
      </c>
      <c r="BL19" s="121" t="n">
        <f aca="false">IF(ISNA(VLOOKUP(A19,'Données projet'!$A$87:$I$107,4,0)),0,VLOOKUP(A19,'Données projet'!$A$87:$I$107,4,0))</f>
        <v>0</v>
      </c>
      <c r="BM19" s="122" t="n">
        <f aca="false">IF(ISNA(VLOOKUP(A19,'Données projet'!$A$87:$I$107,5,0)),0%,VLOOKUP(A19,'Données projet'!$A$87:$I$107,5,0)*VLOOKUP('Données projet'!$B$11,Paramètres!$A$1:$I$89,7,0))</f>
        <v>0</v>
      </c>
      <c r="BN19" s="122" t="n">
        <f aca="false">IF(ISNA(VLOOKUP(A19,'Données projet'!$A$87:$I$107,6,0)),0%,VLOOKUP(A19,'Données projet'!$A$87:$I$107,6,0)*VLOOKUP('Données projet'!$B$11,Paramètres!$A$1:$I$89,7,0))</f>
        <v>0</v>
      </c>
      <c r="BO19" s="122" t="n">
        <f aca="false">IF(ISNA(VLOOKUP(A19,'Données projet'!$A$87:$I$107,7,0)),0%,VLOOKUP(A19,'Données projet'!$A$87:$I$107,7,0))</f>
        <v>0</v>
      </c>
      <c r="BP19" s="129" t="n">
        <f aca="false">EXP(-LN(2)/35)*BP18+(1-EXP(-LN(2)/35))/(LN(2)/35)*BL19*BM19*VLOOKUP('Données projet'!$B$11,Paramètres!$A$1:$I$89,3,0)*0.475*44/12</f>
        <v>0</v>
      </c>
      <c r="BQ19" s="129" t="n">
        <f aca="false">EXP(-LN(2)/25)*BQ18+(1-EXP(-LN(2)/25))/(LN(2)/25)*Calculateur!BL19*Calculateur!BN19*VLOOKUP('Données projet'!$B$11,Paramètres!$A$1:$I$89,3,0)*0.475*44/12</f>
        <v>0.844875911695335</v>
      </c>
      <c r="BR19" s="129" t="n">
        <f aca="false">EXP(-LN(2)/2)*BR18+(1-EXP(-LN(2)/2))/(LN(2)/2)*BL19*BO19*VLOOKUP('Données projet'!$B$11,Paramètres!$A$1:$I$89,3,0)*0.475*44/12</f>
        <v>6.11985623145157</v>
      </c>
      <c r="BS19" s="130" t="n">
        <f aca="false">SUM(BP19:BR19)</f>
        <v>6.9647321431469</v>
      </c>
      <c r="BT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BV19" s="118" t="e">
        <f aca="false">VLOOKUP(A19,'Données projet'!$A$113:$I$133,2,0)</f>
        <v>#N/A</v>
      </c>
      <c r="BW19" s="118" t="e">
        <f aca="false">VLOOKUP(A19,'Données projet'!$A$113:$I$133,9,0)</f>
        <v>#N/A</v>
      </c>
      <c r="BX19" s="118" t="n">
        <f aca="false" t="array" ref="BX19:BX19">INDEX(BW:BW,MIN(IF(ISNUMBER(BW19:BW215),ROW(BW19:BW215),"")))</f>
        <v>6.22222222222222</v>
      </c>
      <c r="BY19" s="118" t="n">
        <f aca="false">IF('Données projet'!$A$114&gt;35,BY18+BX19-CG18,IF(A19&lt;'Données projet'!$A$114,$BV$205^A19,IF(A19='Données projet'!$A$114,'Données projet'!$B$114,BY18+BX19-CG18)))</f>
        <v>66.3020766636957</v>
      </c>
      <c r="BZ19" s="117" t="n">
        <f aca="false">BY19*VLOOKUP('Données projet'!$B$12,Paramètres!$A$1:$I$89,3,0)*VLOOKUP('Données projet'!$B$12,Paramètres!$A$1:$I$89,5,0)</f>
        <v>41.3724958381461</v>
      </c>
      <c r="CA19" s="117" t="n">
        <f aca="false">EXP(-1.0587+0.8836*LN(BZ19)+0.284)</f>
        <v>12.3617097287044</v>
      </c>
      <c r="CB19" s="128" t="n">
        <f aca="false">(BZ19+CA19)*0.475*44/12</f>
        <v>93.587074695598</v>
      </c>
      <c r="CC19" s="120" t="n">
        <f aca="false">CB19+(BT19+BU19)*44/12</f>
        <v>369.80929691782</v>
      </c>
      <c r="CD19" s="120" t="n">
        <f aca="true">AVERAGE(OFFSET($CC$3,0,0,'Données projet'!$E$12+1,1))-AVERAGE(OFFSET($H$3,0,0,'Données projet'!$E$12+1,1))</f>
        <v>240.228848647662</v>
      </c>
      <c r="CE19" s="120" t="n">
        <f aca="false">$CE$3</f>
        <v>343.237768841432</v>
      </c>
      <c r="CF19" s="121" t="n">
        <f aca="false">IF(ISNA(VLOOKUP(A19,'Données projet'!$A$113:$I$133,3,0)),0,VLOOKUP(A19,'Données projet'!$A$113:$I$133,3,0))</f>
        <v>0</v>
      </c>
      <c r="CG19" s="121" t="n">
        <f aca="false">IF(ISNA(VLOOKUP(A19,'Données projet'!$A$113:$I$133,4,0)),0,VLOOKUP(A19,'Données projet'!$A$113:$I$133,4,0))</f>
        <v>0</v>
      </c>
      <c r="CH19" s="122" t="n">
        <f aca="false">IF(ISNA(VLOOKUP(A19,'Données projet'!$A$113:$I$133,5,0)),0%,VLOOKUP(A19,'Données projet'!$A$113:$I$133,5,0)*VLOOKUP('Données projet'!$B$12,Paramètres!$A$1:$I$89,7,0))</f>
        <v>0</v>
      </c>
      <c r="CI19" s="122" t="n">
        <f aca="false">IF(ISNA(VLOOKUP(A19,'Données projet'!$A$113:$I$133,6,0)),0%,VLOOKUP(A19,'Données projet'!$A$113:$I$133,6,0)*VLOOKUP('Données projet'!$B$12,Paramètres!$A$1:$I$89,7,0))</f>
        <v>0</v>
      </c>
      <c r="CJ19" s="122" t="n">
        <f aca="false">IF(ISNA(VLOOKUP(A19,'Données projet'!$A$113:$I$133,7,0)),0%,VLOOKUP(A19,'Données projet'!$A$113:$I$133,7,0))</f>
        <v>0</v>
      </c>
      <c r="CK19" s="129" t="n">
        <f aca="false">EXP(-LN(2)/35)*CK18+(1-EXP(-LN(2)/35))/(LN(2)/35)*CG19*CH19*VLOOKUP('Données projet'!$B$12,Paramètres!$A$1:$I$89,3,0)*0.475*44/12</f>
        <v>0</v>
      </c>
      <c r="CL19" s="129" t="n">
        <f aca="false">EXP(-LN(2)/25)*CL18+(1-EXP(-LN(2)/25))/(LN(2)/25)*Calculateur!CG19*Calculateur!CI19*VLOOKUP('Données projet'!$B$12,Paramètres!$A$1:$I$89,3,0)*0.475*44/12</f>
        <v>0</v>
      </c>
      <c r="CM19" s="129" t="n">
        <f aca="false">EXP(-LN(2)/2)*CM18+(1-EXP(-LN(2)/2))/(LN(2)/2)*CG19*CJ19*VLOOKUP('Données projet'!$B$12,Paramètres!$A$1:$I$89,3,0)*0.475*44/12</f>
        <v>0</v>
      </c>
      <c r="CN19" s="130" t="n">
        <f aca="false">SUM(CK19:CM19)</f>
        <v>0</v>
      </c>
      <c r="CO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CQ19" s="118" t="e">
        <f aca="false">VLOOKUP(A19,'Données projet'!$A$139:$I$159,2,0)</f>
        <v>#N/A</v>
      </c>
      <c r="CR19" s="118" t="e">
        <f aca="false">VLOOKUP(A19,'Données projet'!$A$139:$I$159,9,0)</f>
        <v>#N/A</v>
      </c>
      <c r="CS19" s="118" t="n">
        <f aca="false" t="array" ref="CS19:CS19">INDEX(CR:CR,MIN(IF(ISNUMBER(CR19:CR215),ROW(CR19:CR215),"")))</f>
        <v>21.3333333333333</v>
      </c>
      <c r="CT19" s="118" t="n">
        <f aca="false">IF('Données projet'!$A$140&gt;35,CT18+CS19-DB18,IF(A19&lt;'Données projet'!$A$140,$CQ$205^A19,IF(A19='Données projet'!$A$140,'Données projet'!$B$140,CT18+CS19-DB18)))</f>
        <v>142.333333333333</v>
      </c>
      <c r="CU19" s="125" t="n">
        <f aca="false">CT19*VLOOKUP('Données projet'!$B$13,Paramètres!$A$1:$I$89,3,0)*VLOOKUP('Données projet'!$B$13,Paramètres!$A$1:$I$89,5,0)</f>
        <v>77.714</v>
      </c>
      <c r="CV19" s="117" t="n">
        <f aca="false">EXP(-1.0587+0.8836*LN(CU19)+0.284)</f>
        <v>21.5773056559918</v>
      </c>
      <c r="CW19" s="128" t="n">
        <f aca="false">(CU19+CV19)*0.475*44/12</f>
        <v>172.932357350852</v>
      </c>
      <c r="CX19" s="120" t="n">
        <f aca="false">CW19+(CO19+CP19)*44/12</f>
        <v>449.154579573075</v>
      </c>
      <c r="CY19" s="120" t="n">
        <f aca="true">AVERAGE(OFFSET($CX$3,0,0,'Données projet'!$E$13+1,1))-AVERAGE(OFFSET($H$3,0,0,'Données projet'!$E$13+1,1))</f>
        <v>207.023069645676</v>
      </c>
      <c r="CZ19" s="120" t="n">
        <f aca="false">$CZ$3</f>
        <v>342.068879333518</v>
      </c>
      <c r="DA19" s="121" t="n">
        <f aca="false">IF(ISNA(VLOOKUP(A19,'Données projet'!$A$139:$I$159,3,0)),0,VLOOKUP(A19,'Données projet'!$A$139:$I$159,3,0))</f>
        <v>0</v>
      </c>
      <c r="DB19" s="121" t="n">
        <f aca="false">IF(ISNA(VLOOKUP(A19,'Données projet'!$A$139:$I$159,4,0)),0,VLOOKUP(A19,'Données projet'!$A$139:$I$159,4,0))</f>
        <v>0</v>
      </c>
      <c r="DC19" s="122" t="n">
        <f aca="false">IF(ISNA(VLOOKUP(A19,'Données projet'!$A$139:$I$159,5,0)),0%,VLOOKUP(A19,'Données projet'!$A$139:$I$159,5,0)*VLOOKUP('Données projet'!$B$13,Paramètres!$A$1:$I$89,7,0))</f>
        <v>0</v>
      </c>
      <c r="DD19" s="122" t="n">
        <f aca="false">IF(ISNA(VLOOKUP(A19,'Données projet'!$A$139:$I$159,6,0)),0%,VLOOKUP(A19,'Données projet'!$A$139:$I$159,6,0)*VLOOKUP('Données projet'!$B$13,Paramètres!$A$1:$I$89,7,0))</f>
        <v>0</v>
      </c>
      <c r="DE19" s="122" t="n">
        <f aca="false">IF(ISNA(VLOOKUP(A19,'Données projet'!$A$139:$I$159,7,0)),0%,VLOOKUP(A19,'Données projet'!$A$139:$I$159,7,0))</f>
        <v>0</v>
      </c>
      <c r="DF19" s="129" t="n">
        <f aca="false">EXP(-LN(2)/35)*DF18+(1-EXP(-LN(2)/35))/(LN(2)/35)*DB19*DC19*VLOOKUP('Données projet'!$B$13,Paramètres!$A$1:$I$89,3,0)*0.475*44/12</f>
        <v>0</v>
      </c>
      <c r="DG19" s="129" t="n">
        <f aca="false">EXP(-LN(2)/25)*DG18+(1-EXP(-LN(2)/25))/(LN(2)/25)*Calculateur!DB19*Calculateur!DD19*VLOOKUP('Données projet'!$B$13,Paramètres!$A$1:$I$89,3,0)*0.475*44/12</f>
        <v>0</v>
      </c>
      <c r="DH19" s="129" t="n">
        <f aca="false">EXP(-LN(2)/2)*DH18+(1-EXP(-LN(2)/2))/(LN(2)/2)*DB19*DE19*VLOOKUP('Données projet'!$B$13,Paramètres!$A$1:$I$89,3,0)*0.475*44/12</f>
        <v>20.5452316341588</v>
      </c>
      <c r="DI19" s="130" t="n">
        <f aca="false">SUM(DF19:DH19)</f>
        <v>20.5452316341588</v>
      </c>
      <c r="DJ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DL19" s="118" t="n">
        <f aca="false">VLOOKUP(A19,'Données projet'!$A$165:$I$185,2,0)</f>
        <v>81</v>
      </c>
      <c r="DM19" s="118" t="n">
        <f aca="false">VLOOKUP(A19,'Données projet'!$A$165:$I$185,9,0)</f>
        <v>11.25</v>
      </c>
      <c r="DN19" s="118" t="n">
        <f aca="false" t="array" ref="DN19:DN19">INDEX(DM:DM,MIN(IF(ISNUMBER(DM19:DM215),ROW(DM19:DM215),"")))</f>
        <v>11.25</v>
      </c>
      <c r="DO19" s="118" t="n">
        <f aca="false">IF('Données projet'!$A$166&gt;35,DO18+DN19-DW18,IF(A19&lt;'Données projet'!$A$166,$DL$205^A19,IF(A19='Données projet'!$A$166,'Données projet'!$B$166,DO18+DN19-DW18)))</f>
        <v>81</v>
      </c>
      <c r="DP19" s="125" t="n">
        <f aca="false">DO19*VLOOKUP('Données projet'!$B$14,Paramètres!$A$1:$I$89,3,0)*VLOOKUP('Données projet'!$B$14,Paramètres!$A$1:$I$89,5,0)</f>
        <v>48.438</v>
      </c>
      <c r="DQ19" s="117" t="n">
        <f aca="false">EXP(-1.0587+0.8836*LN(DP19)+0.284)</f>
        <v>14.209624244847</v>
      </c>
      <c r="DR19" s="128" t="n">
        <f aca="false">(DP19+DQ19)*0.475*44/12</f>
        <v>109.111278893109</v>
      </c>
      <c r="DS19" s="120" t="n">
        <f aca="false">DR19+(DJ19+DK19)*44/12</f>
        <v>385.333501115331</v>
      </c>
      <c r="DT19" s="120" t="n">
        <f aca="true">AVERAGE(OFFSET($DS$3,0,0,'Données projet'!$E$14+1,1))-AVERAGE(OFFSET($H$3,0,0,'Données projet'!$E$14+1,1))</f>
        <v>549.432320957297</v>
      </c>
      <c r="DU19" s="120" t="n">
        <f aca="false">$DU$3</f>
        <v>280.26155987301</v>
      </c>
      <c r="DV19" s="121" t="n">
        <f aca="false">IF(ISNA(VLOOKUP(A19,'Données projet'!$A$165:$I$185,3,0)),0,VLOOKUP(A19,'Données projet'!$A$165:$I$185,3,0))</f>
        <v>2</v>
      </c>
      <c r="DW19" s="121" t="n">
        <f aca="false">IF(ISNA(VLOOKUP(A19,'Données projet'!$A$165:$I$185,4,0)),0,VLOOKUP(A19,'Données projet'!$A$165:$I$185,4,0))</f>
        <v>15</v>
      </c>
      <c r="DX19" s="122" t="n">
        <f aca="false">IF(ISNA(VLOOKUP(A19,'Données projet'!$A$165:$I$185,5,0)),0%,VLOOKUP(A19,'Données projet'!$A$165:$I$185,5,0)*VLOOKUP('Données projet'!$B$14,Paramètres!$A$1:$I$89,7,0))</f>
        <v>0</v>
      </c>
      <c r="DY19" s="122" t="n">
        <f aca="false">IF(ISNA(VLOOKUP(A19,'Données projet'!$A$165:$I$185,6,0)),0%,VLOOKUP(A19,'Données projet'!$A$165:$I$185,6,0)*VLOOKUP('Données projet'!$B$14,Paramètres!$A$1:$I$89,7,0))</f>
        <v>0</v>
      </c>
      <c r="DZ19" s="122" t="n">
        <f aca="false">IF(ISNA(VLOOKUP(A19,'Données projet'!$A$165:$I$185,7,0)),0%,VLOOKUP(A19,'Données projet'!$A$165:$I$185,7,0))</f>
        <v>0</v>
      </c>
      <c r="EA19" s="129" t="n">
        <f aca="false">EXP(-LN(2)/35)*EA18+(1-EXP(-LN(2)/35))/(LN(2)/35)*DW19*DX19*VLOOKUP('Données projet'!$B$14,Paramètres!$A$1:$I$89,3,0)*0.475*44/12</f>
        <v>0</v>
      </c>
      <c r="EB19" s="129" t="n">
        <f aca="false">EXP(-LN(2)/25)*EB18+(1-EXP(-LN(2)/25))/(LN(2)/25)*Calculateur!DW19*Calculateur!DY19*VLOOKUP('Données projet'!$B$14,Paramètres!$A$1:$I$89,3,0)*0.475*44/12</f>
        <v>0</v>
      </c>
      <c r="EC19" s="129" t="n">
        <f aca="false">EXP(-LN(2)/2)*EC18+(1-EXP(-LN(2)/2))/(LN(2)/2)*DW19*DZ19*VLOOKUP('Données projet'!$B$14,Paramètres!$A$1:$I$89,3,0)*0.475*44/12</f>
        <v>0</v>
      </c>
      <c r="ED19" s="130" t="n">
        <f aca="false">SUM(EA19:EC19)</f>
        <v>0</v>
      </c>
      <c r="EE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EG19" s="118" t="e">
        <f aca="false">VLOOKUP(A19,'Données projet'!$A$191:$I$211,2,0)</f>
        <v>#N/A</v>
      </c>
      <c r="EH19" s="118" t="e">
        <f aca="false">VLOOKUP(A19,'Données projet'!$A$191:$I$211,9,0)</f>
        <v>#N/A</v>
      </c>
      <c r="EI19" s="118" t="n">
        <f aca="false" t="array" ref="EI19:EI19">INDEX(EH:EH,MIN(IF(ISNUMBER(EH19:EH215),ROW(EH19:EH215),"")))</f>
        <v>0</v>
      </c>
      <c r="EJ19" s="118" t="n">
        <f aca="false">IF('Données projet'!$A$192&gt;35,EJ18+EI19-ER18,IF(A19&lt;'Données projet'!$A$192,$EG$205^A19,IF(A19='Données projet'!$A$192,'Données projet'!$B$192,EJ18+EI19-ER18)))</f>
        <v>0</v>
      </c>
      <c r="EK19" s="125" t="e">
        <f aca="false">EJ19*VLOOKUP('Données projet'!$B$15,Paramètres!$A$1:$I$89,3,0)*VLOOKUP('Données projet'!$B$15,Paramètres!$A$1:$I$89,5,0)</f>
        <v>#N/A</v>
      </c>
      <c r="EL19" s="117" t="e">
        <f aca="false">EXP(-1.0587+0.8836*LN(EK19)+0.284)</f>
        <v>#N/A</v>
      </c>
      <c r="EM19" s="128" t="e">
        <f aca="false">(EK19+EL19)*0.475*44/12</f>
        <v>#N/A</v>
      </c>
      <c r="EN19" s="120" t="e">
        <f aca="false">EM19+(EE19+EF19)*44/12</f>
        <v>#N/A</v>
      </c>
      <c r="EO19" s="120" t="e">
        <f aca="true">AVERAGE(OFFSET($EN$3,0,0,'Données projet'!$E$15+1,1))-AVERAGE(OFFSET($H$3,0,0,'Données projet'!$E$15+1,1))</f>
        <v>#N/A</v>
      </c>
      <c r="EP19" s="120" t="e">
        <f aca="false">$EP$3</f>
        <v>#N/A</v>
      </c>
      <c r="EQ19" s="121" t="n">
        <f aca="false">IF(ISNA(VLOOKUP(A19,'Données projet'!$A$191:$I$211,3,0)),0,VLOOKUP(A19,'Données projet'!$A$191:$I$211,3,0))</f>
        <v>0</v>
      </c>
      <c r="ER19" s="121" t="n">
        <f aca="false">IF(ISNA(VLOOKUP(A19,'Données projet'!$A$191:$I$211,4,0)),0,VLOOKUP(A19,'Données projet'!$A$191:$I$211,4,0))</f>
        <v>0</v>
      </c>
      <c r="ES19" s="122" t="n">
        <f aca="false">IF(ISNA(VLOOKUP(A19,'Données projet'!$A$191:$I$211,5,0)),0%,VLOOKUP(A19,'Données projet'!$A$191:$I$211,5,0)*VLOOKUP('Données projet'!$B$15,Paramètres!$A$1:$I$89,7,0))</f>
        <v>0</v>
      </c>
      <c r="ET19" s="122" t="n">
        <f aca="false">IF(ISNA(VLOOKUP(A19,'Données projet'!$A$191:$I$211,6,0)),0%,VLOOKUP(A19,'Données projet'!$A$191:$I$211,6,0)*VLOOKUP('Données projet'!$B$15,Paramètres!$A$1:$I$89,7,0))</f>
        <v>0</v>
      </c>
      <c r="EU19" s="122" t="n">
        <f aca="false">IF(ISNA(VLOOKUP(A19,'Données projet'!$A$191:$I$211,7,0)),0%,VLOOKUP(A19,'Données projet'!$A$191:$I$211,7,0))</f>
        <v>0</v>
      </c>
      <c r="EV19" s="129" t="e">
        <f aca="false">EXP(-LN(2)/35)*EV18+(1-EXP(-LN(2)/35))/(LN(2)/35)*ER19*ES19*VLOOKUP('Données projet'!$B$15,Paramètres!$A$1:$I$89,3,0)*0.475*44/12</f>
        <v>#N/A</v>
      </c>
      <c r="EW19" s="129" t="e">
        <f aca="false">EXP(-LN(2)/25)*EW18+(1-EXP(-LN(2)/25))/(LN(2)/25)*Calculateur!ER19*Calculateur!ET19*VLOOKUP('Données projet'!$B$15,Paramètres!$A$1:$I$89,3,0)*0.475*44/12</f>
        <v>#N/A</v>
      </c>
      <c r="EX19" s="129" t="e">
        <f aca="false">EXP(-LN(2)/2)*EX18+(1-EXP(-LN(2)/2))/(LN(2)/2)*ER19*EU19*VLOOKUP('Données projet'!$B$15,Paramètres!$A$1:$I$89,3,0)*0.475*44/12</f>
        <v>#N/A</v>
      </c>
      <c r="EY19" s="130" t="e">
        <f aca="false">SUM(EV19:EX19)</f>
        <v>#N/A</v>
      </c>
      <c r="EZ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FB19" s="118" t="e">
        <f aca="false">VLOOKUP(A19,'Données projet'!$A$217:$I$237,2,0)</f>
        <v>#N/A</v>
      </c>
      <c r="FC19" s="118" t="e">
        <f aca="false">VLOOKUP(A19,'Données projet'!$A$217:$I$237,9,0)</f>
        <v>#N/A</v>
      </c>
      <c r="FD19" s="118" t="n">
        <f aca="false" t="array" ref="FD19:FD19">INDEX(FC:FC,MIN(IF(ISNUMBER(FC19:FC215),ROW(FC19:FC215),"")))</f>
        <v>0</v>
      </c>
      <c r="FE19" s="118" t="n">
        <f aca="false">IF('Données projet'!$A$218&gt;35,FE18+FD19-FM18,IF(A19&lt;'Données projet'!$A$218,$FB$205^A19,IF(A19='Données projet'!$A$218,'Données projet'!$B$218,FE18+FD19-FM18)))</f>
        <v>0</v>
      </c>
      <c r="FF19" s="125" t="e">
        <f aca="false">FE19*VLOOKUP('Données projet'!$B$16,Paramètres!$A$1:$I$89,3,0)*VLOOKUP('Données projet'!$B$16,Paramètres!$A$1:$I$89,5,0)</f>
        <v>#N/A</v>
      </c>
      <c r="FG19" s="117" t="e">
        <f aca="false">EXP(-1.0587+0.8836*LN(FF19)+0.284)</f>
        <v>#N/A</v>
      </c>
      <c r="FH19" s="128" t="e">
        <f aca="false">(FF19+FG19)*0.475*44/12</f>
        <v>#N/A</v>
      </c>
      <c r="FI19" s="120" t="e">
        <f aca="false">FH19+(EZ19+FA19)*44/12</f>
        <v>#N/A</v>
      </c>
      <c r="FJ19" s="120" t="e">
        <f aca="true">AVERAGE(OFFSET($FI$3,0,0,'Données projet'!$E$16+1,1))-AVERAGE(OFFSET($H$3,0,0,'Données projet'!$E$16+1,1))</f>
        <v>#N/A</v>
      </c>
      <c r="FK19" s="120" t="e">
        <f aca="false">$FK$3</f>
        <v>#N/A</v>
      </c>
      <c r="FL19" s="121" t="n">
        <f aca="false">IF(ISNA(VLOOKUP(A19,'Données projet'!$A$217:$I$237,3,0)),0,VLOOKUP(A19,'Données projet'!$A$217:$I$237,3,0))</f>
        <v>0</v>
      </c>
      <c r="FM19" s="121" t="n">
        <f aca="false">IF(ISNA(VLOOKUP(A19,'Données projet'!$A$217:$I$237,4,0)),0,VLOOKUP(A19,'Données projet'!$A$217:$I$237,4,0))</f>
        <v>0</v>
      </c>
      <c r="FN19" s="122" t="n">
        <f aca="false">IF(ISNA(VLOOKUP(A19,'Données projet'!$A$217:$I$237,5,0)),0%,VLOOKUP(A19,'Données projet'!$A$217:$I$237,5,0)*VLOOKUP('Données projet'!$B$16,Paramètres!$A$1:$I$89,7,0))</f>
        <v>0</v>
      </c>
      <c r="FO19" s="122" t="n">
        <f aca="false">IF(ISNA(VLOOKUP(A19,'Données projet'!$A$217:$I$237,6,0)),0%,VLOOKUP(A19,'Données projet'!$A$217:$I$237,6,0)*VLOOKUP('Données projet'!$B$16,Paramètres!$A$1:$I$89,7,0))</f>
        <v>0</v>
      </c>
      <c r="FP19" s="122" t="n">
        <f aca="false">IF(ISNA(VLOOKUP(A19,'Données projet'!$A$217:$I$237,7,0)),0%,VLOOKUP(A19,'Données projet'!$A$217:$I$237,7,0))</f>
        <v>0</v>
      </c>
      <c r="FQ19" s="129" t="e">
        <f aca="false">EXP(-LN(2)/35)*FQ18+(1-EXP(-LN(2)/35))/(LN(2)/35)*FM19*FN19*VLOOKUP('Données projet'!$B$16,Paramètres!$A$1:$I$89,3,0)*0.475*44/12</f>
        <v>#N/A</v>
      </c>
      <c r="FR19" s="129" t="e">
        <f aca="false">EXP(-LN(2)/25)*FR18+(1-EXP(-LN(2)/25))/(LN(2)/25)*Calculateur!FM19*Calculateur!FO19*VLOOKUP('Données projet'!$B$16,Paramètres!$A$1:$I$89,3,0)*0.475*44/12</f>
        <v>#N/A</v>
      </c>
      <c r="FS19" s="129" t="e">
        <f aca="false">EXP(-LN(2)/2)*FS18+(1-EXP(-LN(2)/2))/(LN(2)/2)*FM19*FP19*VLOOKUP('Données projet'!$B$16,Paramètres!$A$1:$I$89,3,0)*0.475*44/12</f>
        <v>#N/A</v>
      </c>
      <c r="FT19" s="130" t="e">
        <f aca="false">SUM(FQ19:FS19)</f>
        <v>#N/A</v>
      </c>
      <c r="FU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FW19" s="118" t="e">
        <f aca="false">VLOOKUP(A19,'Données projet'!$A$243:$I$263,2,0)</f>
        <v>#N/A</v>
      </c>
      <c r="FX19" s="118" t="e">
        <f aca="false">VLOOKUP(A19,'Données projet'!$A$243:$I$263,9,0)</f>
        <v>#N/A</v>
      </c>
      <c r="FY19" s="118" t="n">
        <f aca="false" t="array" ref="FY19:FY19">INDEX(FX:FX,MIN(IF(ISNUMBER(FX19:FX215),ROW(FX19:FX215),"")))</f>
        <v>0</v>
      </c>
      <c r="FZ19" s="118" t="n">
        <f aca="false">IF('Données projet'!$A$244&gt;35,FZ18+FY19-GH18,IF(A19&lt;'Données projet'!$A$244,$FW$205^A19,IF(A19='Données projet'!$A$244,'Données projet'!$B$244,FZ18+FY19-GH18)))</f>
        <v>0</v>
      </c>
      <c r="GA19" s="125" t="e">
        <f aca="false">FZ19*VLOOKUP('Données projet'!$B$17,Paramètres!$A$1:$I$89,3,0)*VLOOKUP('Données projet'!$B$17,Paramètres!$A$1:$I$89,5,0)</f>
        <v>#N/A</v>
      </c>
      <c r="GB19" s="117" t="e">
        <f aca="false">EXP(-1.0587+0.8836*LN(GA19)+0.284)</f>
        <v>#N/A</v>
      </c>
      <c r="GC19" s="128" t="e">
        <f aca="false">(GA19+GB19)*0.475*44/12</f>
        <v>#N/A</v>
      </c>
      <c r="GD19" s="120" t="e">
        <f aca="false">GC19+(FU19+FV19)*44/12</f>
        <v>#N/A</v>
      </c>
      <c r="GE19" s="120" t="e">
        <f aca="true">AVERAGE(OFFSET($GD$3,0,0,'Données projet'!$E$17+1,1))-AVERAGE(OFFSET($H$3,0,0,'Données projet'!$E$17+1,1))</f>
        <v>#N/A</v>
      </c>
      <c r="GF19" s="120" t="e">
        <f aca="false">$GF$3</f>
        <v>#N/A</v>
      </c>
      <c r="GG19" s="121" t="n">
        <f aca="false">IF(ISNA(VLOOKUP(A19,'Données projet'!$A$243:$I$263,3,0)),0,VLOOKUP(A19,'Données projet'!$A$243:$I$263,3,0))</f>
        <v>0</v>
      </c>
      <c r="GH19" s="121" t="n">
        <f aca="false">IF(ISNA(VLOOKUP(A19,'Données projet'!$A$243:$I$263,4,0)),0,VLOOKUP(A19,'Données projet'!$A$243:$I$263,4,0))</f>
        <v>0</v>
      </c>
      <c r="GI19" s="122" t="n">
        <f aca="false">IF(ISNA(VLOOKUP(A19,'Données projet'!$A$243:$I$263,5,0)),0%,VLOOKUP(A19,'Données projet'!$A$243:$I$263,5,0)*VLOOKUP('Données projet'!$B$17,Paramètres!$A$1:$I$89,7,0))</f>
        <v>0</v>
      </c>
      <c r="GJ19" s="122" t="n">
        <f aca="false">IF(ISNA(VLOOKUP(A19,'Données projet'!$A$243:$I$263,6,0)),0%,VLOOKUP(A19,'Données projet'!$A$243:$I$263,6,0)*VLOOKUP('Données projet'!$B$17,Paramètres!$A$1:$I$89,7,0))</f>
        <v>0</v>
      </c>
      <c r="GK19" s="122" t="n">
        <f aca="false">IF(ISNA(VLOOKUP(A19,'Données projet'!$A$243:$I$263,7,0)),0%,VLOOKUP(A19,'Données projet'!$A$243:$I$263,7,0))</f>
        <v>0</v>
      </c>
      <c r="GL19" s="129" t="e">
        <f aca="false">EXP(-LN(2)/35)*GL18+(1-EXP(-LN(2)/35))/(LN(2)/35)*GH19*GI19*VLOOKUP('Données projet'!$B$17,Paramètres!$A$1:$I$89,3,0)*0.475*44/12</f>
        <v>#N/A</v>
      </c>
      <c r="GM19" s="129" t="e">
        <f aca="false">EXP(-LN(2)/25)*GM18+(1-EXP(-LN(2)/25))/(LN(2)/25)*Calculateur!GH19*Calculateur!GJ19*VLOOKUP('Données projet'!$B$17,Paramètres!$A$1:$I$89,3,0)*0.475*44/12</f>
        <v>#N/A</v>
      </c>
      <c r="GN19" s="129" t="e">
        <f aca="false">EXP(-LN(2)/2)*GN18+(1-EXP(-LN(2)/2))/(LN(2)/2)*GH19*GK19*VLOOKUP('Données projet'!$B$17,Paramètres!$A$1:$I$89,3,0)*0.475*44/12</f>
        <v>#N/A</v>
      </c>
      <c r="GO19" s="129" t="e">
        <f aca="false">SUM(GL19:GN19)</f>
        <v>#N/A</v>
      </c>
      <c r="GP19" s="126" t="n">
        <f aca="false"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8" t="n">
        <f aca="false">IF(A19&gt;30,10,('Scénario référence'!$B$16+'Scénario référence'!$B$17+'Scénario référence'!$B$18+'Scénario référence'!$B$9+'Scénario référence'!$B$10)*A19*10/30+('Scénario référence'!$F$8+'Scénario référence'!$F$9)*10)</f>
        <v>5.33333333333333</v>
      </c>
      <c r="GR19" s="118" t="e">
        <f aca="false">VLOOKUP(A19,'Données projet'!$A$269:$I$289,2,0)</f>
        <v>#N/A</v>
      </c>
      <c r="GS19" s="118" t="e">
        <f aca="false">VLOOKUP(A19,'Données projet'!$A$269:$I$289,9,0)</f>
        <v>#N/A</v>
      </c>
      <c r="GT19" s="118" t="n">
        <f aca="false" t="array" ref="GT19:GT19">INDEX(GS:GS,MIN(IF(ISNUMBER(GS19:GS215),ROW(GS19:GS215),"")))</f>
        <v>0</v>
      </c>
      <c r="GU19" s="118" t="n">
        <f aca="false">IF('Données projet'!$A$270&gt;35,GU18+GT19-HC18,IF(A19&lt;'Données projet'!$A$270,$GR$205^A19,IF(A19='Données projet'!$A$270,'Données projet'!$B$270,GU18+GT19-HC18)))</f>
        <v>0</v>
      </c>
      <c r="GV19" s="125" t="e">
        <f aca="false">GU19*VLOOKUP('Données projet'!$B$18,Paramètres!$A$1:$I$89,3,0)*VLOOKUP('Données projet'!$B$18,Paramètres!$A$1:$I$89,5,0)</f>
        <v>#N/A</v>
      </c>
      <c r="GW19" s="117" t="e">
        <f aca="false">EXP(-1.0587+0.8836*LN(GV19)+0.284)</f>
        <v>#N/A</v>
      </c>
      <c r="GX19" s="128" t="e">
        <f aca="false">(GV19+GW19)*0.475*44/12</f>
        <v>#N/A</v>
      </c>
      <c r="GY19" s="120" t="e">
        <f aca="false">GX19+(GP19+GQ19)*44/12</f>
        <v>#N/A</v>
      </c>
      <c r="GZ19" s="120" t="e">
        <f aca="true">AVERAGE(OFFSET($GY$3,0,0,'Données projet'!$E$18+1,1))-AVERAGE(OFFSET($H$3,0,0,'Données projet'!$E$18+1,1))</f>
        <v>#N/A</v>
      </c>
      <c r="HA19" s="120" t="e">
        <f aca="false">$HA$3</f>
        <v>#N/A</v>
      </c>
      <c r="HB19" s="121" t="n">
        <f aca="false">IF(ISNA(VLOOKUP(A19,'Données projet'!$A$269:$I$289,3,0)),0,VLOOKUP(A19,'Données projet'!$A$269:$I$289,3,0))</f>
        <v>0</v>
      </c>
      <c r="HC19" s="121" t="n">
        <f aca="false">IF(ISNA(VLOOKUP(A19,'Données projet'!$A$269:$I$289,4,0)),0,VLOOKUP(A19,'Données projet'!$A$269:$I$289,4,0))</f>
        <v>0</v>
      </c>
      <c r="HD19" s="122" t="n">
        <f aca="false">IF(ISNA(VLOOKUP(A19,'Données projet'!$A$269:$I$289,5,0)),0%,VLOOKUP(A19,'Données projet'!$A$269:$I$289,5,0)*VLOOKUP('Données projet'!$B$18,Paramètres!$A$1:$I$89,7,0))</f>
        <v>0</v>
      </c>
      <c r="HE19" s="122" t="n">
        <f aca="false">IF(ISNA(VLOOKUP(A19,'Données projet'!$A$269:$I$289,6,0)),0%,VLOOKUP(A19,'Données projet'!$A$269:$I$289,6,0)*VLOOKUP('Données projet'!$B$18,Paramètres!$A$1:$I$89,7,0))</f>
        <v>0</v>
      </c>
      <c r="HF19" s="122" t="n">
        <f aca="false">IF(ISNA(VLOOKUP(A19,'Données projet'!$A$269:$I$289,7,0)),0%,VLOOKUP(A19,'Données projet'!$A$269:$I$289,7,0))</f>
        <v>0</v>
      </c>
      <c r="HG19" s="129" t="e">
        <f aca="false">EXP(-LN(2)/35)*HG18+(1-EXP(-LN(2)/35))/(LN(2)/35)*HC19*HD19*VLOOKUP('Données projet'!$B$18,Paramètres!$A$1:$I$89,3,0)*0.475*44/12</f>
        <v>#N/A</v>
      </c>
      <c r="HH19" s="129" t="e">
        <f aca="false">EXP(-LN(2)/25)*HH18+(1-EXP(-LN(2)/25))/(LN(2)/25)*Calculateur!HC19*Calculateur!HE19*VLOOKUP('Données projet'!$B$18,Paramètres!$A$1:$I$89,3,0)*0.475*44/12</f>
        <v>#N/A</v>
      </c>
      <c r="HI19" s="129" t="e">
        <f aca="false">EXP(-LN(2)/2)*HI18+(1-EXP(-LN(2)/2))/(LN(2)/2)*HC19*HF19*VLOOKUP('Données projet'!$B$18,Paramètres!$A$1:$I$89,3,0)*0.475*44/12</f>
        <v>#N/A</v>
      </c>
      <c r="HJ19" s="130" t="e">
        <f aca="false">SUM(HG19:HI19)</f>
        <v>#N/A</v>
      </c>
    </row>
    <row r="20" customFormat="false" ht="14.25" hidden="false" customHeight="false" outlineLevel="0" collapsed="false">
      <c r="A20" s="112" t="n">
        <f aca="false">A19+1</f>
        <v>17</v>
      </c>
      <c r="B20" s="113" t="n">
        <f aca="false">'Scénario référence'!$B$16*5+'Scénario référence'!$B$17*0+'Scénario référence'!$B$18*5</f>
        <v>0</v>
      </c>
      <c r="C20" s="127" t="n">
        <f aca="false"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4" t="n">
        <f aca="false">IFERROR(EXP(-1.0587+0.8836*LN(C20)+0.284),0)</f>
        <v>0</v>
      </c>
      <c r="E2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0" s="114" t="n">
        <f aca="false">IF(OR('Scénario référence'!$F$8&gt;0,'Scénario référence'!$F$9&gt;0),('Scénario référence'!$F$8+'Scénario référence'!$F$9)*10,0)</f>
        <v>0</v>
      </c>
      <c r="G20" s="114" t="n">
        <f aca="false"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15" t="n">
        <f aca="false">(B20+E20+F20)*44/12+(C20+D20)*0.475*44/12</f>
        <v>256.666666666667</v>
      </c>
      <c r="I20" s="11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7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K20" s="118" t="e">
        <f aca="false">VLOOKUP(A20,'Données projet'!$A$35:$I$55,2,0)</f>
        <v>#N/A</v>
      </c>
      <c r="L20" s="118" t="e">
        <f aca="false">VLOOKUP(A20,'Données projet'!$A$35:$I$55,9,0)</f>
        <v>#N/A</v>
      </c>
      <c r="M20" s="118" t="n">
        <f aca="false" t="array" ref="M20:M20">INDEX(L:L,MIN(IF(ISNUMBER(L20:L216),ROW(L20:L216),"")))</f>
        <v>7.9</v>
      </c>
      <c r="N20" s="117" t="n">
        <f aca="false">IF('Données projet'!$A$36&gt;35,N19+M20-V19,IF(A20&lt;'Données projet'!$A$36,$K$205^A20,IF(A20='Données projet'!$A$36,'Données projet'!$B$36,N19+M20-V19)))</f>
        <v>73.9364379940957</v>
      </c>
      <c r="O20" s="117" t="n">
        <f aca="false">N20*VLOOKUP('Données projet'!$B$9,Paramètres!$A$1:$I$89,3,0)*VLOOKUP('Données projet'!$B$9,Paramètres!$A$1:$I$89,5,0)</f>
        <v>34.6022529812368</v>
      </c>
      <c r="P20" s="117" t="n">
        <f aca="false">EXP(-1.0587+0.8836*LN(O20)+0.284)</f>
        <v>10.5561290861904</v>
      </c>
      <c r="Q20" s="128" t="n">
        <f aca="false">(O20+P20)*0.475*44/12</f>
        <v>78.6508487674356</v>
      </c>
      <c r="R20" s="120" t="n">
        <f aca="false">Q20+(I20+J20)*44/12</f>
        <v>356.09529321188</v>
      </c>
      <c r="S20" s="120" t="n">
        <f aca="true">AVERAGE(OFFSET($R$3,0,0,'Données projet'!$E$9+1,1))-AVERAGE(OFFSET($H$3,0,0,'Données projet'!$E$9+1,1))</f>
        <v>319.229030946746</v>
      </c>
      <c r="T20" s="120" t="n">
        <f aca="false">$T$3</f>
        <v>254.586909731428</v>
      </c>
      <c r="U20" s="121" t="n">
        <f aca="false">IF(ISNA(VLOOKUP(A20,'Données projet'!$A$35:$I$55,3,0)),0,VLOOKUP(A20,'Données projet'!$A$35:$I$55,3,0))</f>
        <v>0</v>
      </c>
      <c r="V20" s="121" t="n">
        <f aca="false">IF(ISNA(VLOOKUP(A20,'Données projet'!$A$35:$I$55,4,0)),0,VLOOKUP(A20,'Données projet'!$A$35:$I$55,4,0))</f>
        <v>0</v>
      </c>
      <c r="W20" s="122" t="n">
        <f aca="false">IF(ISNA(VLOOKUP(A20,'Données projet'!$A$35:$I$55,5,0)),0%,VLOOKUP(A20,'Données projet'!$A$35:$I$55,5,0)*VLOOKUP('Données projet'!$B$9,Paramètres!$A$1:$I$89,7,0))</f>
        <v>0</v>
      </c>
      <c r="X20" s="122" t="n">
        <f aca="false">IF(ISNA(VLOOKUP(A20,'Données projet'!$A$35:$I$55,6,0)),0%,VLOOKUP(A20,'Données projet'!$A$35:$I$55,6,0)*VLOOKUP('Données projet'!$B$9,Paramètres!$A$1:$I$89,7,0))</f>
        <v>0</v>
      </c>
      <c r="Y20" s="122" t="n">
        <f aca="false">IF(ISNA(VLOOKUP(A20,'Données projet'!$A$35:$I$55,7,0)),0%,VLOOKUP(A20,'Données projet'!$A$35:$I$55,7,0))</f>
        <v>0</v>
      </c>
      <c r="Z20" s="129" t="n">
        <f aca="false">EXP(-LN(2)/35)*Z19+(1-EXP(-LN(2)/35))/(LN(2)/35)*V20*W20*VLOOKUP('Données projet'!$B$9,Paramètres!$A$1:$I$89,3,0)*0.475*44/12</f>
        <v>0</v>
      </c>
      <c r="AA20" s="129" t="n">
        <f aca="false">EXP(-LN(2)/25)*AA19+(1-EXP(-LN(2)/25))/(LN(2)/25)*Calculateur!V20*Calculateur!X20*VLOOKUP('Données projet'!$B$9,Paramètres!$A$1:$I$89,3,0)*0.475*44/12</f>
        <v>0</v>
      </c>
      <c r="AB20" s="129" t="n">
        <f aca="false">EXP(-LN(2)/2)*AB19+(1-EXP(-LN(2)/2))/(LN(2)/2)*V20*Y20*VLOOKUP('Données projet'!$B$9,Paramètres!$A$1:$I$89,3,0)*0.475*44/12</f>
        <v>0</v>
      </c>
      <c r="AC20" s="130" t="n">
        <f aca="false">SUM(Z20:AB20)</f>
        <v>0</v>
      </c>
      <c r="AD20" s="117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7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AF20" s="118" t="e">
        <f aca="false">VLOOKUP(A20,'Données projet'!$A$61:$I$81,2,0)</f>
        <v>#N/A</v>
      </c>
      <c r="AG20" s="118" t="e">
        <f aca="false">VLOOKUP(A20,'Données projet'!$A$61:$I$81,9,0)</f>
        <v>#N/A</v>
      </c>
      <c r="AH20" s="118" t="n">
        <f aca="false" t="array" ref="AH20:AH20">INDEX(AG:AG,MIN(IF(ISNUMBER(AG20:AG216),ROW(AG20:AG216),"")))</f>
        <v>7.04347826086957</v>
      </c>
      <c r="AI20" s="117" t="n">
        <f aca="false">IF('Données projet'!$A$62&gt;35,AI19+AH20-AQ19,IF(A20&lt;'Données projet'!$A$62,$AF$205^A20,IF(A20='Données projet'!$A$62,'Données projet'!$B$62,AI19+AH20-AQ19)))</f>
        <v>42.9654924029261</v>
      </c>
      <c r="AJ20" s="117" t="n">
        <f aca="false">AI20*VLOOKUP('Données projet'!$B$10,Paramètres!$A$1:$I$89,3,0)*VLOOKUP('Données projet'!$B$10,Paramètres!$A$1:$I$89,5,0)</f>
        <v>24.0177102532357</v>
      </c>
      <c r="AK20" s="117" t="n">
        <f aca="false">EXP(-1.0587+0.8836*LN(AJ20)+0.284)</f>
        <v>7.64521648764942</v>
      </c>
      <c r="AL20" s="128" t="n">
        <f aca="false">(AJ20+AK20)*0.475*44/12</f>
        <v>55.1462640737083</v>
      </c>
      <c r="AM20" s="120" t="n">
        <f aca="false">AL20+(AD20+AE20)*44/12</f>
        <v>332.590708518153</v>
      </c>
      <c r="AN20" s="120" t="n">
        <f aca="true">AVERAGE(OFFSET($AM$3,0,0,'Données projet'!$E$10+1,1))-AVERAGE(OFFSET($H$3,0,0,'Données projet'!$E$10+1,1))</f>
        <v>365.705101827279</v>
      </c>
      <c r="AO20" s="120" t="n">
        <f aca="false">$AO$3</f>
        <v>436.238338449625</v>
      </c>
      <c r="AP20" s="121" t="n">
        <f aca="false">IF(ISNA(VLOOKUP(A20,'Données projet'!$A$61:$I$81,3,0)),0,VLOOKUP(A20,'Données projet'!$A$61:$I$81,3,0))</f>
        <v>0</v>
      </c>
      <c r="AQ20" s="121" t="n">
        <f aca="false">IF(ISNA(VLOOKUP(A20,'Données projet'!$A$61:$I$81,4,0)),0,VLOOKUP(A20,'Données projet'!$A$61:$I$81,4,0))</f>
        <v>0</v>
      </c>
      <c r="AR20" s="122" t="n">
        <f aca="false">IF(ISNA(VLOOKUP(A20,'Données projet'!$A$61:$I$81,5,0)),0%,VLOOKUP(A20,'Données projet'!$A$61:$I$81,5,0)*VLOOKUP('Données projet'!$B$10,Paramètres!$A$1:$I$89,7,0))</f>
        <v>0</v>
      </c>
      <c r="AS20" s="122" t="n">
        <f aca="false">IF(ISNA(VLOOKUP(A20,'Données projet'!$A$61:$I$81,6,0)),0%,VLOOKUP(A20,'Données projet'!$A$61:$I$81,6,0)*VLOOKUP('Données projet'!$B$10,Paramètres!$A$1:$I$89,7,0))</f>
        <v>0</v>
      </c>
      <c r="AT20" s="122" t="n">
        <f aca="false">IF(ISNA(VLOOKUP(A20,'Données projet'!$A$61:$I$81,7,0)),0%,VLOOKUP(A20,'Données projet'!$A$61:$I$81,7,0))</f>
        <v>0</v>
      </c>
      <c r="AU20" s="129" t="n">
        <f aca="false">EXP(-LN(2)/35)*AU19+(1-EXP(-LN(2)/35))/(LN(2)/35)*AQ20*AR20*VLOOKUP('Données projet'!$B$10,Paramètres!$A$1:$I$89,3,0)*0.475*44/12</f>
        <v>0</v>
      </c>
      <c r="AV20" s="129" t="n">
        <f aca="false">EXP(-LN(2)/25)*AV19+(1-EXP(-LN(2)/25))/(LN(2)/25)*Calculateur!AQ20*Calculateur!AS20*VLOOKUP('Données projet'!$B$10,Paramètres!$A$1:$I$89,3,0)*0.475*44/12</f>
        <v>0</v>
      </c>
      <c r="AW20" s="129" t="n">
        <f aca="false">EXP(-LN(2)/2)*AW19+(1-EXP(-LN(2)/2))/(LN(2)/2)*AQ20*AT20*VLOOKUP('Données projet'!$B$10,Paramètres!$A$1:$I$89,3,0)*0.475*44/12</f>
        <v>0</v>
      </c>
      <c r="AX20" s="129" t="n">
        <f aca="false">SUM(AU20:AW20)</f>
        <v>0</v>
      </c>
      <c r="AY20" s="124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BA20" s="118" t="e">
        <f aca="false">VLOOKUP(A20,'Données projet'!$A$87:$I$107,2,0)</f>
        <v>#N/A</v>
      </c>
      <c r="BB20" s="118" t="e">
        <f aca="false">VLOOKUP(A20,'Données projet'!$A$87:$I$107,9,0)</f>
        <v>#N/A</v>
      </c>
      <c r="BC20" s="118" t="n">
        <f aca="false" t="array" ref="BC20:BC20">INDEX(BB:BB,MIN(IF(ISNUMBER(BB20:BB216),ROW(BB20:BB216),"")))</f>
        <v>14.2</v>
      </c>
      <c r="BD20" s="118" t="n">
        <f aca="false">IF('Données projet'!$A$88&gt;35,BD19+BC20-BL19,IF(A20&lt;'Données projet'!$A$88,$BA$205^A20,IF(A20='Données projet'!$A$88,'Données projet'!$B$88,BD19+BC20-BL19)))</f>
        <v>94.4</v>
      </c>
      <c r="BE20" s="117" t="n">
        <f aca="false">BD20*VLOOKUP('Données projet'!$B$11,Paramètres!$A$1:$I$89,3,0)*VLOOKUP('Données projet'!$B$11,Paramètres!$A$1:$I$89,5,0)</f>
        <v>82.46784</v>
      </c>
      <c r="BF20" s="117" t="n">
        <f aca="false">EXP(-1.0587+0.8836*LN(BE20)+0.284)</f>
        <v>22.7395127592275</v>
      </c>
      <c r="BG20" s="128" t="n">
        <f aca="false">(BE20+BF20)*0.475*44/12</f>
        <v>183.236139388988</v>
      </c>
      <c r="BH20" s="120" t="n">
        <f aca="false">BG20+(AY20+AZ20)*44/12</f>
        <v>460.680583833432</v>
      </c>
      <c r="BI20" s="120" t="n">
        <f aca="true">AVERAGE(OFFSET($BH$3,0,0,'Données projet'!$E$11+1,1))-AVERAGE(OFFSET($H$3,0,0,'Données projet'!$E$11+1,1))</f>
        <v>321.235999689929</v>
      </c>
      <c r="BJ20" s="120" t="n">
        <f aca="false">$BJ$3</f>
        <v>388.051958478005</v>
      </c>
      <c r="BK20" s="121" t="n">
        <f aca="false">IF(ISNA(VLOOKUP(A20,'Données projet'!$A$87:$I$107,3,0)),0,VLOOKUP(A20,'Données projet'!$A$87:$I$107,3,0))</f>
        <v>0</v>
      </c>
      <c r="BL20" s="121" t="n">
        <f aca="false">IF(ISNA(VLOOKUP(A20,'Données projet'!$A$87:$I$107,4,0)),0,VLOOKUP(A20,'Données projet'!$A$87:$I$107,4,0))</f>
        <v>0</v>
      </c>
      <c r="BM20" s="122" t="n">
        <f aca="false">IF(ISNA(VLOOKUP(A20,'Données projet'!$A$87:$I$107,5,0)),0%,VLOOKUP(A20,'Données projet'!$A$87:$I$107,5,0)*VLOOKUP('Données projet'!$B$11,Paramètres!$A$1:$I$89,7,0))</f>
        <v>0</v>
      </c>
      <c r="BN20" s="122" t="n">
        <f aca="false">IF(ISNA(VLOOKUP(A20,'Données projet'!$A$87:$I$107,6,0)),0%,VLOOKUP(A20,'Données projet'!$A$87:$I$107,6,0)*VLOOKUP('Données projet'!$B$11,Paramètres!$A$1:$I$89,7,0))</f>
        <v>0</v>
      </c>
      <c r="BO20" s="122" t="n">
        <f aca="false">IF(ISNA(VLOOKUP(A20,'Données projet'!$A$87:$I$107,7,0)),0%,VLOOKUP(A20,'Données projet'!$A$87:$I$107,7,0))</f>
        <v>0</v>
      </c>
      <c r="BP20" s="129" t="n">
        <f aca="false">EXP(-LN(2)/35)*BP19+(1-EXP(-LN(2)/35))/(LN(2)/35)*BL20*BM20*VLOOKUP('Données projet'!$B$11,Paramètres!$A$1:$I$89,3,0)*0.475*44/12</f>
        <v>0</v>
      </c>
      <c r="BQ20" s="129" t="n">
        <f aca="false">EXP(-LN(2)/25)*BQ19+(1-EXP(-LN(2)/25))/(LN(2)/25)*Calculateur!BL20*Calculateur!BN20*VLOOKUP('Données projet'!$B$11,Paramètres!$A$1:$I$89,3,0)*0.475*44/12</f>
        <v>0.821772735459933</v>
      </c>
      <c r="BR20" s="129" t="n">
        <f aca="false">EXP(-LN(2)/2)*BR19+(1-EXP(-LN(2)/2))/(LN(2)/2)*BL20*BO20*VLOOKUP('Données projet'!$B$11,Paramètres!$A$1:$I$89,3,0)*0.475*44/12</f>
        <v>4.32739184114615</v>
      </c>
      <c r="BS20" s="130" t="n">
        <f aca="false">SUM(BP20:BR20)</f>
        <v>5.14916457660609</v>
      </c>
      <c r="BT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BV20" s="118" t="e">
        <f aca="false">VLOOKUP(A20,'Données projet'!$A$113:$I$133,2,0)</f>
        <v>#N/A</v>
      </c>
      <c r="BW20" s="118" t="e">
        <f aca="false">VLOOKUP(A20,'Données projet'!$A$113:$I$133,9,0)</f>
        <v>#N/A</v>
      </c>
      <c r="BX20" s="118" t="n">
        <f aca="false" t="array" ref="BX20:BX20">INDEX(BW:BW,MIN(IF(ISNUMBER(BW20:BW216),ROW(BW20:BW216),"")))</f>
        <v>6.22222222222222</v>
      </c>
      <c r="BY20" s="118" t="n">
        <f aca="false">IF('Données projet'!$A$114&gt;35,BY19+BX20-CG19,IF(A20&lt;'Données projet'!$A$114,$BV$205^A20,IF(A20='Données projet'!$A$114,'Données projet'!$B$114,BY19+BX20-CG19)))</f>
        <v>86.1732707185582</v>
      </c>
      <c r="BZ20" s="117" t="n">
        <f aca="false">BY20*VLOOKUP('Données projet'!$B$12,Paramètres!$A$1:$I$89,3,0)*VLOOKUP('Données projet'!$B$12,Paramètres!$A$1:$I$89,5,0)</f>
        <v>53.7721209283803</v>
      </c>
      <c r="CA20" s="117" t="n">
        <f aca="false">EXP(-1.0587+0.8836*LN(BZ20)+0.284)</f>
        <v>15.5837645266573</v>
      </c>
      <c r="CB20" s="128" t="n">
        <f aca="false">(BZ20+CA20)*0.475*44/12</f>
        <v>120.794833834191</v>
      </c>
      <c r="CC20" s="120" t="n">
        <f aca="false">CB20+(BT20+BU20)*44/12</f>
        <v>398.239278278635</v>
      </c>
      <c r="CD20" s="120" t="n">
        <f aca="true">AVERAGE(OFFSET($CC$3,0,0,'Données projet'!$E$12+1,1))-AVERAGE(OFFSET($H$3,0,0,'Données projet'!$E$12+1,1))</f>
        <v>240.228848647662</v>
      </c>
      <c r="CE20" s="120" t="n">
        <f aca="false">$CE$3</f>
        <v>343.237768841432</v>
      </c>
      <c r="CF20" s="121" t="n">
        <f aca="false">IF(ISNA(VLOOKUP(A20,'Données projet'!$A$113:$I$133,3,0)),0,VLOOKUP(A20,'Données projet'!$A$113:$I$133,3,0))</f>
        <v>0</v>
      </c>
      <c r="CG20" s="121" t="n">
        <f aca="false">IF(ISNA(VLOOKUP(A20,'Données projet'!$A$113:$I$133,4,0)),0,VLOOKUP(A20,'Données projet'!$A$113:$I$133,4,0))</f>
        <v>0</v>
      </c>
      <c r="CH20" s="122" t="n">
        <f aca="false">IF(ISNA(VLOOKUP(A20,'Données projet'!$A$113:$I$133,5,0)),0%,VLOOKUP(A20,'Données projet'!$A$113:$I$133,5,0)*VLOOKUP('Données projet'!$B$12,Paramètres!$A$1:$I$89,7,0))</f>
        <v>0</v>
      </c>
      <c r="CI20" s="122" t="n">
        <f aca="false">IF(ISNA(VLOOKUP(A20,'Données projet'!$A$113:$I$133,6,0)),0%,VLOOKUP(A20,'Données projet'!$A$113:$I$133,6,0)*VLOOKUP('Données projet'!$B$12,Paramètres!$A$1:$I$89,7,0))</f>
        <v>0</v>
      </c>
      <c r="CJ20" s="122" t="n">
        <f aca="false">IF(ISNA(VLOOKUP(A20,'Données projet'!$A$113:$I$133,7,0)),0%,VLOOKUP(A20,'Données projet'!$A$113:$I$133,7,0))</f>
        <v>0</v>
      </c>
      <c r="CK20" s="129" t="n">
        <f aca="false">EXP(-LN(2)/35)*CK19+(1-EXP(-LN(2)/35))/(LN(2)/35)*CG20*CH20*VLOOKUP('Données projet'!$B$12,Paramètres!$A$1:$I$89,3,0)*0.475*44/12</f>
        <v>0</v>
      </c>
      <c r="CL20" s="129" t="n">
        <f aca="false">EXP(-LN(2)/25)*CL19+(1-EXP(-LN(2)/25))/(LN(2)/25)*Calculateur!CG20*Calculateur!CI20*VLOOKUP('Données projet'!$B$12,Paramètres!$A$1:$I$89,3,0)*0.475*44/12</f>
        <v>0</v>
      </c>
      <c r="CM20" s="129" t="n">
        <f aca="false">EXP(-LN(2)/2)*CM19+(1-EXP(-LN(2)/2))/(LN(2)/2)*CG20*CJ20*VLOOKUP('Données projet'!$B$12,Paramètres!$A$1:$I$89,3,0)*0.475*44/12</f>
        <v>0</v>
      </c>
      <c r="CN20" s="130" t="n">
        <f aca="false">SUM(CK20:CM20)</f>
        <v>0</v>
      </c>
      <c r="CO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CQ20" s="118" t="e">
        <f aca="false">VLOOKUP(A20,'Données projet'!$A$139:$I$159,2,0)</f>
        <v>#N/A</v>
      </c>
      <c r="CR20" s="118" t="e">
        <f aca="false">VLOOKUP(A20,'Données projet'!$A$139:$I$159,9,0)</f>
        <v>#N/A</v>
      </c>
      <c r="CS20" s="118" t="n">
        <f aca="false" t="array" ref="CS20:CS20">INDEX(CR:CR,MIN(IF(ISNUMBER(CR20:CR216),ROW(CR20:CR216),"")))</f>
        <v>21.3333333333333</v>
      </c>
      <c r="CT20" s="118" t="n">
        <f aca="false">IF('Données projet'!$A$140&gt;35,CT19+CS20-DB19,IF(A20&lt;'Données projet'!$A$140,$CQ$205^A20,IF(A20='Données projet'!$A$140,'Données projet'!$B$140,CT19+CS20-DB19)))</f>
        <v>163.666666666667</v>
      </c>
      <c r="CU20" s="125" t="n">
        <f aca="false">CT20*VLOOKUP('Données projet'!$B$13,Paramètres!$A$1:$I$89,3,0)*VLOOKUP('Données projet'!$B$13,Paramètres!$A$1:$I$89,5,0)</f>
        <v>89.362</v>
      </c>
      <c r="CV20" s="117" t="n">
        <f aca="false">EXP(-1.0587+0.8836*LN(CU20)+0.284)</f>
        <v>24.411291106061</v>
      </c>
      <c r="CW20" s="128" t="n">
        <f aca="false">(CU20+CV20)*0.475*44/12</f>
        <v>198.15514867639</v>
      </c>
      <c r="CX20" s="120" t="n">
        <f aca="false">CW20+(CO20+CP20)*44/12</f>
        <v>475.599593120834</v>
      </c>
      <c r="CY20" s="120" t="n">
        <f aca="true">AVERAGE(OFFSET($CX$3,0,0,'Données projet'!$E$13+1,1))-AVERAGE(OFFSET($H$3,0,0,'Données projet'!$E$13+1,1))</f>
        <v>207.023069645676</v>
      </c>
      <c r="CZ20" s="120" t="n">
        <f aca="false">$CZ$3</f>
        <v>342.068879333518</v>
      </c>
      <c r="DA20" s="121" t="n">
        <f aca="false">IF(ISNA(VLOOKUP(A20,'Données projet'!$A$139:$I$159,3,0)),0,VLOOKUP(A20,'Données projet'!$A$139:$I$159,3,0))</f>
        <v>0</v>
      </c>
      <c r="DB20" s="121" t="n">
        <f aca="false">IF(ISNA(VLOOKUP(A20,'Données projet'!$A$139:$I$159,4,0)),0,VLOOKUP(A20,'Données projet'!$A$139:$I$159,4,0))</f>
        <v>0</v>
      </c>
      <c r="DC20" s="122" t="n">
        <f aca="false">IF(ISNA(VLOOKUP(A20,'Données projet'!$A$139:$I$159,5,0)),0%,VLOOKUP(A20,'Données projet'!$A$139:$I$159,5,0)*VLOOKUP('Données projet'!$B$13,Paramètres!$A$1:$I$89,7,0))</f>
        <v>0</v>
      </c>
      <c r="DD20" s="122" t="n">
        <f aca="false">IF(ISNA(VLOOKUP(A20,'Données projet'!$A$139:$I$159,6,0)),0%,VLOOKUP(A20,'Données projet'!$A$139:$I$159,6,0)*VLOOKUP('Données projet'!$B$13,Paramètres!$A$1:$I$89,7,0))</f>
        <v>0</v>
      </c>
      <c r="DE20" s="122" t="n">
        <f aca="false">IF(ISNA(VLOOKUP(A20,'Données projet'!$A$139:$I$159,7,0)),0%,VLOOKUP(A20,'Données projet'!$A$139:$I$159,7,0))</f>
        <v>0</v>
      </c>
      <c r="DF20" s="129" t="n">
        <f aca="false">EXP(-LN(2)/35)*DF19+(1-EXP(-LN(2)/35))/(LN(2)/35)*DB20*DC20*VLOOKUP('Données projet'!$B$13,Paramètres!$A$1:$I$89,3,0)*0.475*44/12</f>
        <v>0</v>
      </c>
      <c r="DG20" s="129" t="n">
        <f aca="false">EXP(-LN(2)/25)*DG19+(1-EXP(-LN(2)/25))/(LN(2)/25)*Calculateur!DB20*Calculateur!DD20*VLOOKUP('Données projet'!$B$13,Paramètres!$A$1:$I$89,3,0)*0.475*44/12</f>
        <v>0</v>
      </c>
      <c r="DH20" s="129" t="n">
        <f aca="false">EXP(-LN(2)/2)*DH19+(1-EXP(-LN(2)/2))/(LN(2)/2)*DB20*DE20*VLOOKUP('Données projet'!$B$13,Paramètres!$A$1:$I$89,3,0)*0.475*44/12</f>
        <v>14.5276726095621</v>
      </c>
      <c r="DI20" s="130" t="n">
        <f aca="false">SUM(DF20:DH20)</f>
        <v>14.5276726095621</v>
      </c>
      <c r="DJ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DL20" s="118" t="e">
        <f aca="false">VLOOKUP(A20,'Données projet'!$A$165:$I$185,2,0)</f>
        <v>#N/A</v>
      </c>
      <c r="DM20" s="118" t="e">
        <f aca="false">VLOOKUP(A20,'Données projet'!$A$165:$I$185,9,0)</f>
        <v>#N/A</v>
      </c>
      <c r="DN20" s="118" t="n">
        <f aca="false" t="array" ref="DN20:DN20">INDEX(DM:DM,MIN(IF(ISNUMBER(DM20:DM216),ROW(DM20:DM216),"")))</f>
        <v>13.25</v>
      </c>
      <c r="DO20" s="118" t="n">
        <f aca="false">IF('Données projet'!$A$166&gt;35,DO19+DN20-DW19,IF(A20&lt;'Données projet'!$A$166,$DL$205^A20,IF(A20='Données projet'!$A$166,'Données projet'!$B$166,DO19+DN20-DW19)))</f>
        <v>79.25</v>
      </c>
      <c r="DP20" s="125" t="n">
        <f aca="false">DO20*VLOOKUP('Données projet'!$B$14,Paramètres!$A$1:$I$89,3,0)*VLOOKUP('Données projet'!$B$14,Paramètres!$A$1:$I$89,5,0)</f>
        <v>47.3915</v>
      </c>
      <c r="DQ20" s="117" t="n">
        <f aca="false">EXP(-1.0587+0.8836*LN(DP20)+0.284)</f>
        <v>13.9380169009261</v>
      </c>
      <c r="DR20" s="128" t="n">
        <f aca="false">(DP20+DQ20)*0.475*44/12</f>
        <v>106.815575269113</v>
      </c>
      <c r="DS20" s="120" t="n">
        <f aca="false">DR20+(DJ20+DK20)*44/12</f>
        <v>384.260019713557</v>
      </c>
      <c r="DT20" s="120" t="n">
        <f aca="true">AVERAGE(OFFSET($DS$3,0,0,'Données projet'!$E$14+1,1))-AVERAGE(OFFSET($H$3,0,0,'Données projet'!$E$14+1,1))</f>
        <v>549.432320957297</v>
      </c>
      <c r="DU20" s="120" t="n">
        <f aca="false">$DU$3</f>
        <v>280.26155987301</v>
      </c>
      <c r="DV20" s="121" t="n">
        <f aca="false">IF(ISNA(VLOOKUP(A20,'Données projet'!$A$165:$I$185,3,0)),0,VLOOKUP(A20,'Données projet'!$A$165:$I$185,3,0))</f>
        <v>0</v>
      </c>
      <c r="DW20" s="121" t="n">
        <f aca="false">IF(ISNA(VLOOKUP(A20,'Données projet'!$A$165:$I$185,4,0)),0,VLOOKUP(A20,'Données projet'!$A$165:$I$185,4,0))</f>
        <v>0</v>
      </c>
      <c r="DX20" s="122" t="n">
        <f aca="false">IF(ISNA(VLOOKUP(A20,'Données projet'!$A$165:$I$185,5,0)),0%,VLOOKUP(A20,'Données projet'!$A$165:$I$185,5,0)*VLOOKUP('Données projet'!$B$14,Paramètres!$A$1:$I$89,7,0))</f>
        <v>0</v>
      </c>
      <c r="DY20" s="122" t="n">
        <f aca="false">IF(ISNA(VLOOKUP(A20,'Données projet'!$A$165:$I$185,6,0)),0%,VLOOKUP(A20,'Données projet'!$A$165:$I$185,6,0)*VLOOKUP('Données projet'!$B$14,Paramètres!$A$1:$I$89,7,0))</f>
        <v>0</v>
      </c>
      <c r="DZ20" s="122" t="n">
        <f aca="false">IF(ISNA(VLOOKUP(A20,'Données projet'!$A$165:$I$185,7,0)),0%,VLOOKUP(A20,'Données projet'!$A$165:$I$185,7,0))</f>
        <v>0</v>
      </c>
      <c r="EA20" s="129" t="n">
        <f aca="false">EXP(-LN(2)/35)*EA19+(1-EXP(-LN(2)/35))/(LN(2)/35)*DW20*DX20*VLOOKUP('Données projet'!$B$14,Paramètres!$A$1:$I$89,3,0)*0.475*44/12</f>
        <v>0</v>
      </c>
      <c r="EB20" s="129" t="n">
        <f aca="false">EXP(-LN(2)/25)*EB19+(1-EXP(-LN(2)/25))/(LN(2)/25)*Calculateur!DW20*Calculateur!DY20*VLOOKUP('Données projet'!$B$14,Paramètres!$A$1:$I$89,3,0)*0.475*44/12</f>
        <v>0</v>
      </c>
      <c r="EC20" s="129" t="n">
        <f aca="false">EXP(-LN(2)/2)*EC19+(1-EXP(-LN(2)/2))/(LN(2)/2)*DW20*DZ20*VLOOKUP('Données projet'!$B$14,Paramètres!$A$1:$I$89,3,0)*0.475*44/12</f>
        <v>0</v>
      </c>
      <c r="ED20" s="130" t="n">
        <f aca="false">SUM(EA20:EC20)</f>
        <v>0</v>
      </c>
      <c r="EE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EG20" s="118" t="e">
        <f aca="false">VLOOKUP(A20,'Données projet'!$A$191:$I$211,2,0)</f>
        <v>#N/A</v>
      </c>
      <c r="EH20" s="118" t="e">
        <f aca="false">VLOOKUP(A20,'Données projet'!$A$191:$I$211,9,0)</f>
        <v>#N/A</v>
      </c>
      <c r="EI20" s="118" t="n">
        <f aca="false" t="array" ref="EI20:EI20">INDEX(EH:EH,MIN(IF(ISNUMBER(EH20:EH216),ROW(EH20:EH216),"")))</f>
        <v>0</v>
      </c>
      <c r="EJ20" s="118" t="n">
        <f aca="false">IF('Données projet'!$A$192&gt;35,EJ19+EI20-ER19,IF(A20&lt;'Données projet'!$A$192,$EG$205^A20,IF(A20='Données projet'!$A$192,'Données projet'!$B$192,EJ19+EI20-ER19)))</f>
        <v>0</v>
      </c>
      <c r="EK20" s="125" t="e">
        <f aca="false">EJ20*VLOOKUP('Données projet'!$B$15,Paramètres!$A$1:$I$89,3,0)*VLOOKUP('Données projet'!$B$15,Paramètres!$A$1:$I$89,5,0)</f>
        <v>#N/A</v>
      </c>
      <c r="EL20" s="117" t="e">
        <f aca="false">EXP(-1.0587+0.8836*LN(EK20)+0.284)</f>
        <v>#N/A</v>
      </c>
      <c r="EM20" s="128" t="e">
        <f aca="false">(EK20+EL20)*0.475*44/12</f>
        <v>#N/A</v>
      </c>
      <c r="EN20" s="120" t="e">
        <f aca="false">EM20+(EE20+EF20)*44/12</f>
        <v>#N/A</v>
      </c>
      <c r="EO20" s="120" t="e">
        <f aca="true">AVERAGE(OFFSET($EN$3,0,0,'Données projet'!$E$15+1,1))-AVERAGE(OFFSET($H$3,0,0,'Données projet'!$E$15+1,1))</f>
        <v>#N/A</v>
      </c>
      <c r="EP20" s="120" t="e">
        <f aca="false">$EP$3</f>
        <v>#N/A</v>
      </c>
      <c r="EQ20" s="121" t="n">
        <f aca="false">IF(ISNA(VLOOKUP(A20,'Données projet'!$A$191:$I$211,3,0)),0,VLOOKUP(A20,'Données projet'!$A$191:$I$211,3,0))</f>
        <v>0</v>
      </c>
      <c r="ER20" s="121" t="n">
        <f aca="false">IF(ISNA(VLOOKUP(A20,'Données projet'!$A$191:$I$211,4,0)),0,VLOOKUP(A20,'Données projet'!$A$191:$I$211,4,0))</f>
        <v>0</v>
      </c>
      <c r="ES20" s="122" t="n">
        <f aca="false">IF(ISNA(VLOOKUP(A20,'Données projet'!$A$191:$I$211,5,0)),0%,VLOOKUP(A20,'Données projet'!$A$191:$I$211,5,0)*VLOOKUP('Données projet'!$B$15,Paramètres!$A$1:$I$89,7,0))</f>
        <v>0</v>
      </c>
      <c r="ET20" s="122" t="n">
        <f aca="false">IF(ISNA(VLOOKUP(A20,'Données projet'!$A$191:$I$211,6,0)),0%,VLOOKUP(A20,'Données projet'!$A$191:$I$211,6,0)*VLOOKUP('Données projet'!$B$15,Paramètres!$A$1:$I$89,7,0))</f>
        <v>0</v>
      </c>
      <c r="EU20" s="122" t="n">
        <f aca="false">IF(ISNA(VLOOKUP(A20,'Données projet'!$A$191:$I$211,7,0)),0%,VLOOKUP(A20,'Données projet'!$A$191:$I$211,7,0))</f>
        <v>0</v>
      </c>
      <c r="EV20" s="129" t="e">
        <f aca="false">EXP(-LN(2)/35)*EV19+(1-EXP(-LN(2)/35))/(LN(2)/35)*ER20*ES20*VLOOKUP('Données projet'!$B$15,Paramètres!$A$1:$I$89,3,0)*0.475*44/12</f>
        <v>#N/A</v>
      </c>
      <c r="EW20" s="129" t="e">
        <f aca="false">EXP(-LN(2)/25)*EW19+(1-EXP(-LN(2)/25))/(LN(2)/25)*Calculateur!ER20*Calculateur!ET20*VLOOKUP('Données projet'!$B$15,Paramètres!$A$1:$I$89,3,0)*0.475*44/12</f>
        <v>#N/A</v>
      </c>
      <c r="EX20" s="129" t="e">
        <f aca="false">EXP(-LN(2)/2)*EX19+(1-EXP(-LN(2)/2))/(LN(2)/2)*ER20*EU20*VLOOKUP('Données projet'!$B$15,Paramètres!$A$1:$I$89,3,0)*0.475*44/12</f>
        <v>#N/A</v>
      </c>
      <c r="EY20" s="130" t="e">
        <f aca="false">SUM(EV20:EX20)</f>
        <v>#N/A</v>
      </c>
      <c r="EZ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FB20" s="118" t="e">
        <f aca="false">VLOOKUP(A20,'Données projet'!$A$217:$I$237,2,0)</f>
        <v>#N/A</v>
      </c>
      <c r="FC20" s="118" t="e">
        <f aca="false">VLOOKUP(A20,'Données projet'!$A$217:$I$237,9,0)</f>
        <v>#N/A</v>
      </c>
      <c r="FD20" s="118" t="n">
        <f aca="false" t="array" ref="FD20:FD20">INDEX(FC:FC,MIN(IF(ISNUMBER(FC20:FC216),ROW(FC20:FC216),"")))</f>
        <v>0</v>
      </c>
      <c r="FE20" s="118" t="n">
        <f aca="false">IF('Données projet'!$A$218&gt;35,FE19+FD20-FM19,IF(A20&lt;'Données projet'!$A$218,$FB$205^A20,IF(A20='Données projet'!$A$218,'Données projet'!$B$218,FE19+FD20-FM19)))</f>
        <v>0</v>
      </c>
      <c r="FF20" s="125" t="e">
        <f aca="false">FE20*VLOOKUP('Données projet'!$B$16,Paramètres!$A$1:$I$89,3,0)*VLOOKUP('Données projet'!$B$16,Paramètres!$A$1:$I$89,5,0)</f>
        <v>#N/A</v>
      </c>
      <c r="FG20" s="117" t="e">
        <f aca="false">EXP(-1.0587+0.8836*LN(FF20)+0.284)</f>
        <v>#N/A</v>
      </c>
      <c r="FH20" s="128" t="e">
        <f aca="false">(FF20+FG20)*0.475*44/12</f>
        <v>#N/A</v>
      </c>
      <c r="FI20" s="120" t="e">
        <f aca="false">FH20+(EZ20+FA20)*44/12</f>
        <v>#N/A</v>
      </c>
      <c r="FJ20" s="120" t="e">
        <f aca="true">AVERAGE(OFFSET($FI$3,0,0,'Données projet'!$E$16+1,1))-AVERAGE(OFFSET($H$3,0,0,'Données projet'!$E$16+1,1))</f>
        <v>#N/A</v>
      </c>
      <c r="FK20" s="120" t="e">
        <f aca="false">$FK$3</f>
        <v>#N/A</v>
      </c>
      <c r="FL20" s="121" t="n">
        <f aca="false">IF(ISNA(VLOOKUP(A20,'Données projet'!$A$217:$I$237,3,0)),0,VLOOKUP(A20,'Données projet'!$A$217:$I$237,3,0))</f>
        <v>0</v>
      </c>
      <c r="FM20" s="121" t="n">
        <f aca="false">IF(ISNA(VLOOKUP(A20,'Données projet'!$A$217:$I$237,4,0)),0,VLOOKUP(A20,'Données projet'!$A$217:$I$237,4,0))</f>
        <v>0</v>
      </c>
      <c r="FN20" s="122" t="n">
        <f aca="false">IF(ISNA(VLOOKUP(A20,'Données projet'!$A$217:$I$237,5,0)),0%,VLOOKUP(A20,'Données projet'!$A$217:$I$237,5,0)*VLOOKUP('Données projet'!$B$16,Paramètres!$A$1:$I$89,7,0))</f>
        <v>0</v>
      </c>
      <c r="FO20" s="122" t="n">
        <f aca="false">IF(ISNA(VLOOKUP(A20,'Données projet'!$A$217:$I$237,6,0)),0%,VLOOKUP(A20,'Données projet'!$A$217:$I$237,6,0)*VLOOKUP('Données projet'!$B$16,Paramètres!$A$1:$I$89,7,0))</f>
        <v>0</v>
      </c>
      <c r="FP20" s="122" t="n">
        <f aca="false">IF(ISNA(VLOOKUP(A20,'Données projet'!$A$217:$I$237,7,0)),0%,VLOOKUP(A20,'Données projet'!$A$217:$I$237,7,0))</f>
        <v>0</v>
      </c>
      <c r="FQ20" s="129" t="e">
        <f aca="false">EXP(-LN(2)/35)*FQ19+(1-EXP(-LN(2)/35))/(LN(2)/35)*FM20*FN20*VLOOKUP('Données projet'!$B$16,Paramètres!$A$1:$I$89,3,0)*0.475*44/12</f>
        <v>#N/A</v>
      </c>
      <c r="FR20" s="129" t="e">
        <f aca="false">EXP(-LN(2)/25)*FR19+(1-EXP(-LN(2)/25))/(LN(2)/25)*Calculateur!FM20*Calculateur!FO20*VLOOKUP('Données projet'!$B$16,Paramètres!$A$1:$I$89,3,0)*0.475*44/12</f>
        <v>#N/A</v>
      </c>
      <c r="FS20" s="129" t="e">
        <f aca="false">EXP(-LN(2)/2)*FS19+(1-EXP(-LN(2)/2))/(LN(2)/2)*FM20*FP20*VLOOKUP('Données projet'!$B$16,Paramètres!$A$1:$I$89,3,0)*0.475*44/12</f>
        <v>#N/A</v>
      </c>
      <c r="FT20" s="130" t="e">
        <f aca="false">SUM(FQ20:FS20)</f>
        <v>#N/A</v>
      </c>
      <c r="FU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FW20" s="118" t="e">
        <f aca="false">VLOOKUP(A20,'Données projet'!$A$243:$I$263,2,0)</f>
        <v>#N/A</v>
      </c>
      <c r="FX20" s="118" t="e">
        <f aca="false">VLOOKUP(A20,'Données projet'!$A$243:$I$263,9,0)</f>
        <v>#N/A</v>
      </c>
      <c r="FY20" s="118" t="n">
        <f aca="false" t="array" ref="FY20:FY20">INDEX(FX:FX,MIN(IF(ISNUMBER(FX20:FX216),ROW(FX20:FX216),"")))</f>
        <v>0</v>
      </c>
      <c r="FZ20" s="118" t="n">
        <f aca="false">IF('Données projet'!$A$244&gt;35,FZ19+FY20-GH19,IF(A20&lt;'Données projet'!$A$244,$FW$205^A20,IF(A20='Données projet'!$A$244,'Données projet'!$B$244,FZ19+FY20-GH19)))</f>
        <v>0</v>
      </c>
      <c r="GA20" s="125" t="e">
        <f aca="false">FZ20*VLOOKUP('Données projet'!$B$17,Paramètres!$A$1:$I$89,3,0)*VLOOKUP('Données projet'!$B$17,Paramètres!$A$1:$I$89,5,0)</f>
        <v>#N/A</v>
      </c>
      <c r="GB20" s="117" t="e">
        <f aca="false">EXP(-1.0587+0.8836*LN(GA20)+0.284)</f>
        <v>#N/A</v>
      </c>
      <c r="GC20" s="128" t="e">
        <f aca="false">(GA20+GB20)*0.475*44/12</f>
        <v>#N/A</v>
      </c>
      <c r="GD20" s="120" t="e">
        <f aca="false">GC20+(FU20+FV20)*44/12</f>
        <v>#N/A</v>
      </c>
      <c r="GE20" s="120" t="e">
        <f aca="true">AVERAGE(OFFSET($GD$3,0,0,'Données projet'!$E$17+1,1))-AVERAGE(OFFSET($H$3,0,0,'Données projet'!$E$17+1,1))</f>
        <v>#N/A</v>
      </c>
      <c r="GF20" s="120" t="e">
        <f aca="false">$GF$3</f>
        <v>#N/A</v>
      </c>
      <c r="GG20" s="121" t="n">
        <f aca="false">IF(ISNA(VLOOKUP(A20,'Données projet'!$A$243:$I$263,3,0)),0,VLOOKUP(A20,'Données projet'!$A$243:$I$263,3,0))</f>
        <v>0</v>
      </c>
      <c r="GH20" s="121" t="n">
        <f aca="false">IF(ISNA(VLOOKUP(A20,'Données projet'!$A$243:$I$263,4,0)),0,VLOOKUP(A20,'Données projet'!$A$243:$I$263,4,0))</f>
        <v>0</v>
      </c>
      <c r="GI20" s="122" t="n">
        <f aca="false">IF(ISNA(VLOOKUP(A20,'Données projet'!$A$243:$I$263,5,0)),0%,VLOOKUP(A20,'Données projet'!$A$243:$I$263,5,0)*VLOOKUP('Données projet'!$B$17,Paramètres!$A$1:$I$89,7,0))</f>
        <v>0</v>
      </c>
      <c r="GJ20" s="122" t="n">
        <f aca="false">IF(ISNA(VLOOKUP(A20,'Données projet'!$A$243:$I$263,6,0)),0%,VLOOKUP(A20,'Données projet'!$A$243:$I$263,6,0)*VLOOKUP('Données projet'!$B$17,Paramètres!$A$1:$I$89,7,0))</f>
        <v>0</v>
      </c>
      <c r="GK20" s="122" t="n">
        <f aca="false">IF(ISNA(VLOOKUP(A20,'Données projet'!$A$243:$I$263,7,0)),0%,VLOOKUP(A20,'Données projet'!$A$243:$I$263,7,0))</f>
        <v>0</v>
      </c>
      <c r="GL20" s="129" t="e">
        <f aca="false">EXP(-LN(2)/35)*GL19+(1-EXP(-LN(2)/35))/(LN(2)/35)*GH20*GI20*VLOOKUP('Données projet'!$B$17,Paramètres!$A$1:$I$89,3,0)*0.475*44/12</f>
        <v>#N/A</v>
      </c>
      <c r="GM20" s="129" t="e">
        <f aca="false">EXP(-LN(2)/25)*GM19+(1-EXP(-LN(2)/25))/(LN(2)/25)*Calculateur!GH20*Calculateur!GJ20*VLOOKUP('Données projet'!$B$17,Paramètres!$A$1:$I$89,3,0)*0.475*44/12</f>
        <v>#N/A</v>
      </c>
      <c r="GN20" s="129" t="e">
        <f aca="false">EXP(-LN(2)/2)*GN19+(1-EXP(-LN(2)/2))/(LN(2)/2)*GH20*GK20*VLOOKUP('Données projet'!$B$17,Paramètres!$A$1:$I$89,3,0)*0.475*44/12</f>
        <v>#N/A</v>
      </c>
      <c r="GO20" s="129" t="e">
        <f aca="false">SUM(GL20:GN20)</f>
        <v>#N/A</v>
      </c>
      <c r="GP20" s="126" t="n">
        <f aca="false"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8" t="n">
        <f aca="false">IF(A20&gt;30,10,('Scénario référence'!$B$16+'Scénario référence'!$B$17+'Scénario référence'!$B$18+'Scénario référence'!$B$9+'Scénario référence'!$B$10)*A20*10/30+('Scénario référence'!$F$8+'Scénario référence'!$F$9)*10)</f>
        <v>5.66666666666667</v>
      </c>
      <c r="GR20" s="118" t="e">
        <f aca="false">VLOOKUP(A20,'Données projet'!$A$269:$I$289,2,0)</f>
        <v>#N/A</v>
      </c>
      <c r="GS20" s="118" t="e">
        <f aca="false">VLOOKUP(A20,'Données projet'!$A$269:$I$289,9,0)</f>
        <v>#N/A</v>
      </c>
      <c r="GT20" s="118" t="n">
        <f aca="false" t="array" ref="GT20:GT20">INDEX(GS:GS,MIN(IF(ISNUMBER(GS20:GS216),ROW(GS20:GS216),"")))</f>
        <v>0</v>
      </c>
      <c r="GU20" s="118" t="n">
        <f aca="false">IF('Données projet'!$A$270&gt;35,GU19+GT20-HC19,IF(A20&lt;'Données projet'!$A$270,$GR$205^A20,IF(A20='Données projet'!$A$270,'Données projet'!$B$270,GU19+GT20-HC19)))</f>
        <v>0</v>
      </c>
      <c r="GV20" s="125" t="e">
        <f aca="false">GU20*VLOOKUP('Données projet'!$B$18,Paramètres!$A$1:$I$89,3,0)*VLOOKUP('Données projet'!$B$18,Paramètres!$A$1:$I$89,5,0)</f>
        <v>#N/A</v>
      </c>
      <c r="GW20" s="117" t="e">
        <f aca="false">EXP(-1.0587+0.8836*LN(GV20)+0.284)</f>
        <v>#N/A</v>
      </c>
      <c r="GX20" s="128" t="e">
        <f aca="false">(GV20+GW20)*0.475*44/12</f>
        <v>#N/A</v>
      </c>
      <c r="GY20" s="120" t="e">
        <f aca="false">GX20+(GP20+GQ20)*44/12</f>
        <v>#N/A</v>
      </c>
      <c r="GZ20" s="120" t="e">
        <f aca="true">AVERAGE(OFFSET($GY$3,0,0,'Données projet'!$E$18+1,1))-AVERAGE(OFFSET($H$3,0,0,'Données projet'!$E$18+1,1))</f>
        <v>#N/A</v>
      </c>
      <c r="HA20" s="120" t="e">
        <f aca="false">$HA$3</f>
        <v>#N/A</v>
      </c>
      <c r="HB20" s="121" t="n">
        <f aca="false">IF(ISNA(VLOOKUP(A20,'Données projet'!$A$269:$I$289,3,0)),0,VLOOKUP(A20,'Données projet'!$A$269:$I$289,3,0))</f>
        <v>0</v>
      </c>
      <c r="HC20" s="121" t="n">
        <f aca="false">IF(ISNA(VLOOKUP(A20,'Données projet'!$A$269:$I$289,4,0)),0,VLOOKUP(A20,'Données projet'!$A$269:$I$289,4,0))</f>
        <v>0</v>
      </c>
      <c r="HD20" s="122" t="n">
        <f aca="false">IF(ISNA(VLOOKUP(A20,'Données projet'!$A$269:$I$289,5,0)),0%,VLOOKUP(A20,'Données projet'!$A$269:$I$289,5,0)*VLOOKUP('Données projet'!$B$18,Paramètres!$A$1:$I$89,7,0))</f>
        <v>0</v>
      </c>
      <c r="HE20" s="122" t="n">
        <f aca="false">IF(ISNA(VLOOKUP(A20,'Données projet'!$A$269:$I$289,6,0)),0%,VLOOKUP(A20,'Données projet'!$A$269:$I$289,6,0)*VLOOKUP('Données projet'!$B$18,Paramètres!$A$1:$I$89,7,0))</f>
        <v>0</v>
      </c>
      <c r="HF20" s="122" t="n">
        <f aca="false">IF(ISNA(VLOOKUP(A20,'Données projet'!$A$269:$I$289,7,0)),0%,VLOOKUP(A20,'Données projet'!$A$269:$I$289,7,0))</f>
        <v>0</v>
      </c>
      <c r="HG20" s="129" t="e">
        <f aca="false">EXP(-LN(2)/35)*HG19+(1-EXP(-LN(2)/35))/(LN(2)/35)*HC20*HD20*VLOOKUP('Données projet'!$B$18,Paramètres!$A$1:$I$89,3,0)*0.475*44/12</f>
        <v>#N/A</v>
      </c>
      <c r="HH20" s="129" t="e">
        <f aca="false">EXP(-LN(2)/25)*HH19+(1-EXP(-LN(2)/25))/(LN(2)/25)*Calculateur!HC20*Calculateur!HE20*VLOOKUP('Données projet'!$B$18,Paramètres!$A$1:$I$89,3,0)*0.475*44/12</f>
        <v>#N/A</v>
      </c>
      <c r="HI20" s="129" t="e">
        <f aca="false">EXP(-LN(2)/2)*HI19+(1-EXP(-LN(2)/2))/(LN(2)/2)*HC20*HF20*VLOOKUP('Données projet'!$B$18,Paramètres!$A$1:$I$89,3,0)*0.475*44/12</f>
        <v>#N/A</v>
      </c>
      <c r="HJ20" s="130" t="e">
        <f aca="false">SUM(HG20:HI20)</f>
        <v>#N/A</v>
      </c>
    </row>
    <row r="21" customFormat="false" ht="14.25" hidden="false" customHeight="false" outlineLevel="0" collapsed="false">
      <c r="A21" s="112" t="n">
        <f aca="false">A20+1</f>
        <v>18</v>
      </c>
      <c r="B21" s="113" t="n">
        <f aca="false">'Scénario référence'!$B$16*5+'Scénario référence'!$B$17*0+'Scénario référence'!$B$18*5</f>
        <v>0</v>
      </c>
      <c r="C21" s="127" t="n">
        <f aca="false"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4" t="n">
        <f aca="false">IFERROR(EXP(-1.0587+0.8836*LN(C21)+0.284),0)</f>
        <v>0</v>
      </c>
      <c r="E2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1" s="114" t="n">
        <f aca="false">IF(OR('Scénario référence'!$F$8&gt;0,'Scénario référence'!$F$9&gt;0),('Scénario référence'!$F$8+'Scénario référence'!$F$9)*10,0)</f>
        <v>0</v>
      </c>
      <c r="G21" s="114" t="n">
        <f aca="false"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15" t="n">
        <f aca="false">(B21+E21+F21)*44/12+(C21+D21)*0.475*44/12</f>
        <v>256.666666666667</v>
      </c>
      <c r="I21" s="11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7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18" t="e">
        <f aca="false">VLOOKUP(A21,'Données projet'!$A$35:$I$55,2,0)</f>
        <v>#N/A</v>
      </c>
      <c r="L21" s="118" t="e">
        <f aca="false">VLOOKUP(A21,'Données projet'!$A$35:$I$55,9,0)</f>
        <v>#N/A</v>
      </c>
      <c r="M21" s="118" t="n">
        <f aca="false" t="array" ref="M21:M21">INDEX(L:L,MIN(IF(ISNUMBER(L21:L217),ROW(L21:L217),"")))</f>
        <v>7.9</v>
      </c>
      <c r="N21" s="117" t="n">
        <f aca="false">IF('Données projet'!$A$36&gt;35,N20+M21-V20,IF(A21&lt;'Données projet'!$A$36,$K$205^A21,IF(A21='Données projet'!$A$36,'Données projet'!$B$36,N20+M21-V20)))</f>
        <v>95.2338579900353</v>
      </c>
      <c r="O21" s="117" t="n">
        <f aca="false">N21*VLOOKUP('Données projet'!$B$9,Paramètres!$A$1:$I$89,3,0)*VLOOKUP('Données projet'!$B$9,Paramètres!$A$1:$I$89,5,0)</f>
        <v>44.5694455393365</v>
      </c>
      <c r="P21" s="117" t="n">
        <f aca="false">EXP(-1.0587+0.8836*LN(O21)+0.284)</f>
        <v>13.202049673437</v>
      </c>
      <c r="Q21" s="128" t="n">
        <f aca="false">(O21+P21)*0.475*44/12</f>
        <v>100.618687495581</v>
      </c>
      <c r="R21" s="120" t="n">
        <f aca="false">Q21+(I21+J21)*44/12</f>
        <v>379.285354162247</v>
      </c>
      <c r="S21" s="120" t="n">
        <f aca="true">AVERAGE(OFFSET($R$3,0,0,'Données projet'!$E$9+1,1))-AVERAGE(OFFSET($H$3,0,0,'Données projet'!$E$9+1,1))</f>
        <v>319.229030946746</v>
      </c>
      <c r="T21" s="120" t="n">
        <f aca="false">$T$3</f>
        <v>254.586909731428</v>
      </c>
      <c r="U21" s="121" t="n">
        <f aca="false">IF(ISNA(VLOOKUP(A21,'Données projet'!$A$35:$I$55,3,0)),0,VLOOKUP(A21,'Données projet'!$A$35:$I$55,3,0))</f>
        <v>0</v>
      </c>
      <c r="V21" s="121" t="n">
        <f aca="false">IF(ISNA(VLOOKUP(A21,'Données projet'!$A$35:$I$55,4,0)),0,VLOOKUP(A21,'Données projet'!$A$35:$I$55,4,0))</f>
        <v>0</v>
      </c>
      <c r="W21" s="122" t="n">
        <f aca="false">IF(ISNA(VLOOKUP(A21,'Données projet'!$A$35:$I$55,5,0)),0%,VLOOKUP(A21,'Données projet'!$A$35:$I$55,5,0)*VLOOKUP('Données projet'!$B$9,Paramètres!$A$1:$I$89,7,0))</f>
        <v>0</v>
      </c>
      <c r="X21" s="122" t="n">
        <f aca="false">IF(ISNA(VLOOKUP(A21,'Données projet'!$A$35:$I$55,6,0)),0%,VLOOKUP(A21,'Données projet'!$A$35:$I$55,6,0)*VLOOKUP('Données projet'!$B$9,Paramètres!$A$1:$I$89,7,0))</f>
        <v>0</v>
      </c>
      <c r="Y21" s="122" t="n">
        <f aca="false">IF(ISNA(VLOOKUP(A21,'Données projet'!$A$35:$I$55,7,0)),0%,VLOOKUP(A21,'Données projet'!$A$35:$I$55,7,0))</f>
        <v>0</v>
      </c>
      <c r="Z21" s="129" t="n">
        <f aca="false">EXP(-LN(2)/35)*Z20+(1-EXP(-LN(2)/35))/(LN(2)/35)*V21*W21*VLOOKUP('Données projet'!$B$9,Paramètres!$A$1:$I$89,3,0)*0.475*44/12</f>
        <v>0</v>
      </c>
      <c r="AA21" s="129" t="n">
        <f aca="false">EXP(-LN(2)/25)*AA20+(1-EXP(-LN(2)/25))/(LN(2)/25)*Calculateur!V21*Calculateur!X21*VLOOKUP('Données projet'!$B$9,Paramètres!$A$1:$I$89,3,0)*0.475*44/12</f>
        <v>0</v>
      </c>
      <c r="AB21" s="129" t="n">
        <f aca="false">EXP(-LN(2)/2)*AB20+(1-EXP(-LN(2)/2))/(LN(2)/2)*V21*Y21*VLOOKUP('Données projet'!$B$9,Paramètres!$A$1:$I$89,3,0)*0.475*44/12</f>
        <v>0</v>
      </c>
      <c r="AC21" s="130" t="n">
        <f aca="false">SUM(Z21:AB21)</f>
        <v>0</v>
      </c>
      <c r="AD21" s="117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7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18" t="e">
        <f aca="false">VLOOKUP(A21,'Données projet'!$A$61:$I$81,2,0)</f>
        <v>#N/A</v>
      </c>
      <c r="AG21" s="118" t="e">
        <f aca="false">VLOOKUP(A21,'Données projet'!$A$61:$I$81,9,0)</f>
        <v>#N/A</v>
      </c>
      <c r="AH21" s="118" t="n">
        <f aca="false" t="array" ref="AH21:AH21">INDEX(AG:AG,MIN(IF(ISNUMBER(AG21:AG217),ROW(AG21:AG217),"")))</f>
        <v>7.04347826086957</v>
      </c>
      <c r="AI21" s="117" t="n">
        <f aca="false">IF('Données projet'!$A$62&gt;35,AI20+AH21-AQ20,IF(A21&lt;'Données projet'!$A$62,$AF$205^A21,IF(A21='Données projet'!$A$62,'Données projet'!$B$62,AI20+AH21-AQ20)))</f>
        <v>53.6025762839637</v>
      </c>
      <c r="AJ21" s="117" t="n">
        <f aca="false">AI21*VLOOKUP('Données projet'!$B$10,Paramètres!$A$1:$I$89,3,0)*VLOOKUP('Données projet'!$B$10,Paramètres!$A$1:$I$89,5,0)</f>
        <v>29.9638401427357</v>
      </c>
      <c r="AK21" s="117" t="n">
        <f aca="false">EXP(-1.0587+0.8836*LN(AJ21)+0.284)</f>
        <v>9.29551788129169</v>
      </c>
      <c r="AL21" s="128" t="n">
        <f aca="false">(AJ21+AK21)*0.475*44/12</f>
        <v>68.3767152251811</v>
      </c>
      <c r="AM21" s="120" t="n">
        <f aca="false">AL21+(AD21+AE21)*44/12</f>
        <v>347.043381891848</v>
      </c>
      <c r="AN21" s="120" t="n">
        <f aca="true">AVERAGE(OFFSET($AM$3,0,0,'Données projet'!$E$10+1,1))-AVERAGE(OFFSET($H$3,0,0,'Données projet'!$E$10+1,1))</f>
        <v>365.705101827279</v>
      </c>
      <c r="AO21" s="120" t="n">
        <f aca="false">$AO$3</f>
        <v>436.238338449625</v>
      </c>
      <c r="AP21" s="121" t="n">
        <f aca="false">IF(ISNA(VLOOKUP(A21,'Données projet'!$A$61:$I$81,3,0)),0,VLOOKUP(A21,'Données projet'!$A$61:$I$81,3,0))</f>
        <v>0</v>
      </c>
      <c r="AQ21" s="121" t="n">
        <f aca="false">IF(ISNA(VLOOKUP(A21,'Données projet'!$A$61:$I$81,4,0)),0,VLOOKUP(A21,'Données projet'!$A$61:$I$81,4,0))</f>
        <v>0</v>
      </c>
      <c r="AR21" s="122" t="n">
        <f aca="false">IF(ISNA(VLOOKUP(A21,'Données projet'!$A$61:$I$81,5,0)),0%,VLOOKUP(A21,'Données projet'!$A$61:$I$81,5,0)*VLOOKUP('Données projet'!$B$10,Paramètres!$A$1:$I$89,7,0))</f>
        <v>0</v>
      </c>
      <c r="AS21" s="122" t="n">
        <f aca="false">IF(ISNA(VLOOKUP(A21,'Données projet'!$A$61:$I$81,6,0)),0%,VLOOKUP(A21,'Données projet'!$A$61:$I$81,6,0)*VLOOKUP('Données projet'!$B$10,Paramètres!$A$1:$I$89,7,0))</f>
        <v>0</v>
      </c>
      <c r="AT21" s="122" t="n">
        <f aca="false">IF(ISNA(VLOOKUP(A21,'Données projet'!$A$61:$I$81,7,0)),0%,VLOOKUP(A21,'Données projet'!$A$61:$I$81,7,0))</f>
        <v>0</v>
      </c>
      <c r="AU21" s="129" t="n">
        <f aca="false">EXP(-LN(2)/35)*AU20+(1-EXP(-LN(2)/35))/(LN(2)/35)*AQ21*AR21*VLOOKUP('Données projet'!$B$10,Paramètres!$A$1:$I$89,3,0)*0.475*44/12</f>
        <v>0</v>
      </c>
      <c r="AV21" s="129" t="n">
        <f aca="false">EXP(-LN(2)/25)*AV20+(1-EXP(-LN(2)/25))/(LN(2)/25)*Calculateur!AQ21*Calculateur!AS21*VLOOKUP('Données projet'!$B$10,Paramètres!$A$1:$I$89,3,0)*0.475*44/12</f>
        <v>0</v>
      </c>
      <c r="AW21" s="129" t="n">
        <f aca="false">EXP(-LN(2)/2)*AW20+(1-EXP(-LN(2)/2))/(LN(2)/2)*AQ21*AT21*VLOOKUP('Données projet'!$B$10,Paramètres!$A$1:$I$89,3,0)*0.475*44/12</f>
        <v>0</v>
      </c>
      <c r="AX21" s="129" t="n">
        <f aca="false">SUM(AU21:AW21)</f>
        <v>0</v>
      </c>
      <c r="AY21" s="124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18" t="e">
        <f aca="false">VLOOKUP(A21,'Données projet'!$A$87:$I$107,2,0)</f>
        <v>#N/A</v>
      </c>
      <c r="BB21" s="118" t="e">
        <f aca="false">VLOOKUP(A21,'Données projet'!$A$87:$I$107,9,0)</f>
        <v>#N/A</v>
      </c>
      <c r="BC21" s="118" t="n">
        <f aca="false" t="array" ref="BC21:BC21">INDEX(BB:BB,MIN(IF(ISNUMBER(BB21:BB217),ROW(BB21:BB217),"")))</f>
        <v>14.2</v>
      </c>
      <c r="BD21" s="118" t="n">
        <f aca="false">IF('Données projet'!$A$88&gt;35,BD20+BC21-BL20,IF(A21&lt;'Données projet'!$A$88,$BA$205^A21,IF(A21='Données projet'!$A$88,'Données projet'!$B$88,BD20+BC21-BL20)))</f>
        <v>108.6</v>
      </c>
      <c r="BE21" s="117" t="n">
        <f aca="false">BD21*VLOOKUP('Données projet'!$B$11,Paramètres!$A$1:$I$89,3,0)*VLOOKUP('Données projet'!$B$11,Paramètres!$A$1:$I$89,5,0)</f>
        <v>94.87296</v>
      </c>
      <c r="BF21" s="117" t="n">
        <f aca="false">EXP(-1.0587+0.8836*LN(BE21)+0.284)</f>
        <v>25.7368347604723</v>
      </c>
      <c r="BG21" s="128" t="n">
        <f aca="false">(BE21+BF21)*0.475*44/12</f>
        <v>210.062059207823</v>
      </c>
      <c r="BH21" s="120" t="n">
        <f aca="false">BG21+(AY21+AZ21)*44/12</f>
        <v>488.728725874489</v>
      </c>
      <c r="BI21" s="120" t="n">
        <f aca="true">AVERAGE(OFFSET($BH$3,0,0,'Données projet'!$E$11+1,1))-AVERAGE(OFFSET($H$3,0,0,'Données projet'!$E$11+1,1))</f>
        <v>321.235999689929</v>
      </c>
      <c r="BJ21" s="120" t="n">
        <f aca="false">$BJ$3</f>
        <v>388.051958478005</v>
      </c>
      <c r="BK21" s="121" t="n">
        <f aca="false">IF(ISNA(VLOOKUP(A21,'Données projet'!$A$87:$I$107,3,0)),0,VLOOKUP(A21,'Données projet'!$A$87:$I$107,3,0))</f>
        <v>0</v>
      </c>
      <c r="BL21" s="121" t="n">
        <f aca="false">IF(ISNA(VLOOKUP(A21,'Données projet'!$A$87:$I$107,4,0)),0,VLOOKUP(A21,'Données projet'!$A$87:$I$107,4,0))</f>
        <v>0</v>
      </c>
      <c r="BM21" s="122" t="n">
        <f aca="false">IF(ISNA(VLOOKUP(A21,'Données projet'!$A$87:$I$107,5,0)),0%,VLOOKUP(A21,'Données projet'!$A$87:$I$107,5,0)*VLOOKUP('Données projet'!$B$11,Paramètres!$A$1:$I$89,7,0))</f>
        <v>0</v>
      </c>
      <c r="BN21" s="122" t="n">
        <f aca="false">IF(ISNA(VLOOKUP(A21,'Données projet'!$A$87:$I$107,6,0)),0%,VLOOKUP(A21,'Données projet'!$A$87:$I$107,6,0)*VLOOKUP('Données projet'!$B$11,Paramètres!$A$1:$I$89,7,0))</f>
        <v>0</v>
      </c>
      <c r="BO21" s="122" t="n">
        <f aca="false">IF(ISNA(VLOOKUP(A21,'Données projet'!$A$87:$I$107,7,0)),0%,VLOOKUP(A21,'Données projet'!$A$87:$I$107,7,0))</f>
        <v>0</v>
      </c>
      <c r="BP21" s="129" t="n">
        <f aca="false">EXP(-LN(2)/35)*BP20+(1-EXP(-LN(2)/35))/(LN(2)/35)*BL21*BM21*VLOOKUP('Données projet'!$B$11,Paramètres!$A$1:$I$89,3,0)*0.475*44/12</f>
        <v>0</v>
      </c>
      <c r="BQ21" s="129" t="n">
        <f aca="false">EXP(-LN(2)/25)*BQ20+(1-EXP(-LN(2)/25))/(LN(2)/25)*Calculateur!BL21*Calculateur!BN21*VLOOKUP('Données projet'!$B$11,Paramètres!$A$1:$I$89,3,0)*0.475*44/12</f>
        <v>0.799301316793631</v>
      </c>
      <c r="BR21" s="129" t="n">
        <f aca="false">EXP(-LN(2)/2)*BR20+(1-EXP(-LN(2)/2))/(LN(2)/2)*BL21*BO21*VLOOKUP('Données projet'!$B$11,Paramètres!$A$1:$I$89,3,0)*0.475*44/12</f>
        <v>3.05992811572578</v>
      </c>
      <c r="BS21" s="130" t="n">
        <f aca="false">SUM(BP21:BR21)</f>
        <v>3.85922943251942</v>
      </c>
      <c r="BT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18" t="n">
        <f aca="false">VLOOKUP(A21,'Données projet'!$A$113:$I$133,2,0)</f>
        <v>112</v>
      </c>
      <c r="BW21" s="118" t="n">
        <f aca="false">VLOOKUP(A21,'Données projet'!$A$113:$I$133,9,0)</f>
        <v>6.22222222222222</v>
      </c>
      <c r="BX21" s="118" t="n">
        <f aca="false" t="array" ref="BX21:BX21">INDEX(BW:BW,MIN(IF(ISNUMBER(BW21:BW217),ROW(BW21:BW217),"")))</f>
        <v>6.22222222222222</v>
      </c>
      <c r="BY21" s="118" t="n">
        <f aca="false">IF('Données projet'!$A$114&gt;35,BY20+BX21-CG20,IF(A21&lt;'Données projet'!$A$114,$BV$205^A21,IF(A21='Données projet'!$A$114,'Données projet'!$B$114,BY20+BX21-CG20)))</f>
        <v>112</v>
      </c>
      <c r="BZ21" s="117" t="n">
        <f aca="false">BY21*VLOOKUP('Données projet'!$B$12,Paramètres!$A$1:$I$89,3,0)*VLOOKUP('Données projet'!$B$12,Paramètres!$A$1:$I$89,5,0)</f>
        <v>69.888</v>
      </c>
      <c r="CA21" s="117" t="n">
        <f aca="false">EXP(-1.0587+0.8836*LN(BZ21)+0.284)</f>
        <v>19.645641432462</v>
      </c>
      <c r="CB21" s="128" t="n">
        <f aca="false">(BZ21+CA21)*0.475*44/12</f>
        <v>155.937758828205</v>
      </c>
      <c r="CC21" s="120" t="n">
        <f aca="false">CB21+(BT21+BU21)*44/12</f>
        <v>434.604425494871</v>
      </c>
      <c r="CD21" s="120" t="n">
        <f aca="true">AVERAGE(OFFSET($CC$3,0,0,'Données projet'!$E$12+1,1))-AVERAGE(OFFSET($H$3,0,0,'Données projet'!$E$12+1,1))</f>
        <v>240.228848647662</v>
      </c>
      <c r="CE21" s="120" t="n">
        <f aca="false">$CE$3</f>
        <v>343.237768841432</v>
      </c>
      <c r="CF21" s="121" t="n">
        <f aca="false">IF(ISNA(VLOOKUP(A21,'Données projet'!$A$113:$I$133,3,0)),0,VLOOKUP(A21,'Données projet'!$A$113:$I$133,3,0))</f>
        <v>1</v>
      </c>
      <c r="CG21" s="121" t="n">
        <f aca="false">IF(ISNA(VLOOKUP(A21,'Données projet'!$A$113:$I$133,4,0)),0,VLOOKUP(A21,'Données projet'!$A$113:$I$133,4,0))</f>
        <v>20</v>
      </c>
      <c r="CH21" s="122" t="n">
        <f aca="false">IF(ISNA(VLOOKUP(A21,'Données projet'!$A$113:$I$133,5,0)),0%,VLOOKUP(A21,'Données projet'!$A$113:$I$133,5,0)*VLOOKUP('Données projet'!$B$12,Paramètres!$A$1:$I$89,7,0))</f>
        <v>0</v>
      </c>
      <c r="CI21" s="122" t="n">
        <f aca="false">IF(ISNA(VLOOKUP(A21,'Données projet'!$A$113:$I$133,6,0)),0%,VLOOKUP(A21,'Données projet'!$A$113:$I$133,6,0)*VLOOKUP('Données projet'!$B$12,Paramètres!$A$1:$I$89,7,0))</f>
        <v>0</v>
      </c>
      <c r="CJ21" s="122" t="n">
        <f aca="false">IF(ISNA(VLOOKUP(A21,'Données projet'!$A$113:$I$133,7,0)),0%,VLOOKUP(A21,'Données projet'!$A$113:$I$133,7,0))</f>
        <v>1</v>
      </c>
      <c r="CK21" s="129" t="n">
        <f aca="false">EXP(-LN(2)/35)*CK20+(1-EXP(-LN(2)/35))/(LN(2)/35)*CG21*CH21*VLOOKUP('Données projet'!$B$12,Paramètres!$A$1:$I$89,3,0)*0.475*44/12</f>
        <v>0</v>
      </c>
      <c r="CL21" s="129" t="n">
        <f aca="false">EXP(-LN(2)/25)*CL20+(1-EXP(-LN(2)/25))/(LN(2)/25)*Calculateur!CG21*Calculateur!CI21*VLOOKUP('Données projet'!$B$12,Paramètres!$A$1:$I$89,3,0)*0.475*44/12</f>
        <v>0</v>
      </c>
      <c r="CM21" s="129" t="n">
        <f aca="false">EXP(-LN(2)/2)*CM20+(1-EXP(-LN(2)/2))/(LN(2)/2)*CG21*CJ21*VLOOKUP('Données projet'!$B$12,Paramètres!$A$1:$I$89,3,0)*0.475*44/12</f>
        <v>14.1302590731303</v>
      </c>
      <c r="CN21" s="130" t="n">
        <f aca="false">SUM(CK21:CM21)</f>
        <v>14.1302590731303</v>
      </c>
      <c r="CO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18" t="n">
        <f aca="false">VLOOKUP(A21,'Données projet'!$A$139:$I$159,2,0)</f>
        <v>185</v>
      </c>
      <c r="CR21" s="118" t="n">
        <f aca="false">VLOOKUP(A21,'Données projet'!$A$139:$I$159,9,0)</f>
        <v>21.3333333333333</v>
      </c>
      <c r="CS21" s="118" t="n">
        <f aca="false" t="array" ref="CS21:CS21">INDEX(CR:CR,MIN(IF(ISNUMBER(CR21:CR217),ROW(CR21:CR217),"")))</f>
        <v>21.3333333333333</v>
      </c>
      <c r="CT21" s="118" t="n">
        <f aca="false">IF('Données projet'!$A$140&gt;35,CT20+CS21-DB20,IF(A21&lt;'Données projet'!$A$140,$CQ$205^A21,IF(A21='Données projet'!$A$140,'Données projet'!$B$140,CT20+CS21-DB20)))</f>
        <v>185</v>
      </c>
      <c r="CU21" s="125" t="n">
        <f aca="false">CT21*VLOOKUP('Données projet'!$B$13,Paramètres!$A$1:$I$89,3,0)*VLOOKUP('Données projet'!$B$13,Paramètres!$A$1:$I$89,5,0)</f>
        <v>101.01</v>
      </c>
      <c r="CV21" s="117" t="n">
        <f aca="false">EXP(-1.0587+0.8836*LN(CU21)+0.284)</f>
        <v>27.2024752091696</v>
      </c>
      <c r="CW21" s="128" t="n">
        <f aca="false">(CU21+CV21)*0.475*44/12</f>
        <v>223.303394322637</v>
      </c>
      <c r="CX21" s="120" t="n">
        <f aca="false">CW21+(CO21+CP21)*44/12</f>
        <v>501.970060989304</v>
      </c>
      <c r="CY21" s="120" t="n">
        <f aca="true">AVERAGE(OFFSET($CX$3,0,0,'Données projet'!$E$13+1,1))-AVERAGE(OFFSET($H$3,0,0,'Données projet'!$E$13+1,1))</f>
        <v>207.023069645676</v>
      </c>
      <c r="CZ21" s="120" t="n">
        <f aca="false">$CZ$3</f>
        <v>342.068879333518</v>
      </c>
      <c r="DA21" s="121" t="n">
        <f aca="false">IF(ISNA(VLOOKUP(A21,'Données projet'!$A$139:$I$159,3,0)),0,VLOOKUP(A21,'Données projet'!$A$139:$I$159,3,0))</f>
        <v>3</v>
      </c>
      <c r="DB21" s="121" t="n">
        <f aca="false">IF(ISNA(VLOOKUP(A21,'Données projet'!$A$139:$I$159,4,0)),0,VLOOKUP(A21,'Données projet'!$A$139:$I$159,4,0))</f>
        <v>61</v>
      </c>
      <c r="DC21" s="122" t="n">
        <f aca="false">IF(ISNA(VLOOKUP(A21,'Données projet'!$A$139:$I$159,5,0)),0%,VLOOKUP(A21,'Données projet'!$A$139:$I$159,5,0)*VLOOKUP('Données projet'!$B$13,Paramètres!$A$1:$I$89,7,0))</f>
        <v>0</v>
      </c>
      <c r="DD21" s="122" t="n">
        <f aca="false">IF(ISNA(VLOOKUP(A21,'Données projet'!$A$139:$I$159,6,0)),0%,VLOOKUP(A21,'Données projet'!$A$139:$I$159,6,0)*VLOOKUP('Données projet'!$B$13,Paramètres!$A$1:$I$89,7,0))</f>
        <v>0.12</v>
      </c>
      <c r="DE21" s="122" t="n">
        <f aca="false">IF(ISNA(VLOOKUP(A21,'Données projet'!$A$139:$I$159,7,0)),0%,VLOOKUP(A21,'Données projet'!$A$139:$I$159,7,0))</f>
        <v>0.8</v>
      </c>
      <c r="DF21" s="129" t="n">
        <f aca="false">EXP(-LN(2)/35)*DF20+(1-EXP(-LN(2)/35))/(LN(2)/35)*DB21*DC21*VLOOKUP('Données projet'!$B$13,Paramètres!$A$1:$I$89,3,0)*0.475*44/12</f>
        <v>0</v>
      </c>
      <c r="DG21" s="129" t="n">
        <f aca="false">EXP(-LN(2)/25)*DG20+(1-EXP(-LN(2)/25))/(LN(2)/25)*Calculateur!DB21*Calculateur!DD21*VLOOKUP('Données projet'!$B$13,Paramètres!$A$1:$I$89,3,0)*0.475*44/12</f>
        <v>5.28103106351961</v>
      </c>
      <c r="DH21" s="129" t="n">
        <f aca="false">EXP(-LN(2)/2)*DH20+(1-EXP(-LN(2)/2))/(LN(2)/2)*DB21*DE21*VLOOKUP('Données projet'!$B$13,Paramètres!$A$1:$I$89,3,0)*0.475*44/12</f>
        <v>40.4407189382126</v>
      </c>
      <c r="DI21" s="130" t="n">
        <f aca="false">SUM(DF21:DH21)</f>
        <v>45.7217500017322</v>
      </c>
      <c r="DJ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18" t="e">
        <f aca="false">VLOOKUP(A21,'Données projet'!$A$165:$I$185,2,0)</f>
        <v>#N/A</v>
      </c>
      <c r="DM21" s="118" t="e">
        <f aca="false">VLOOKUP(A21,'Données projet'!$A$165:$I$185,9,0)</f>
        <v>#N/A</v>
      </c>
      <c r="DN21" s="118" t="n">
        <f aca="false" t="array" ref="DN21:DN21">INDEX(DM:DM,MIN(IF(ISNUMBER(DM21:DM217),ROW(DM21:DM217),"")))</f>
        <v>13.25</v>
      </c>
      <c r="DO21" s="118" t="n">
        <f aca="false">IF('Données projet'!$A$166&gt;35,DO20+DN21-DW20,IF(A21&lt;'Données projet'!$A$166,$DL$205^A21,IF(A21='Données projet'!$A$166,'Données projet'!$B$166,DO20+DN21-DW20)))</f>
        <v>92.5</v>
      </c>
      <c r="DP21" s="125" t="n">
        <f aca="false">DO21*VLOOKUP('Données projet'!$B$14,Paramètres!$A$1:$I$89,3,0)*VLOOKUP('Données projet'!$B$14,Paramètres!$A$1:$I$89,5,0)</f>
        <v>55.315</v>
      </c>
      <c r="DQ21" s="117" t="n">
        <f aca="false">EXP(-1.0587+0.8836*LN(DP21)+0.284)</f>
        <v>15.9782078418776</v>
      </c>
      <c r="DR21" s="128" t="n">
        <f aca="false">(DP21+DQ21)*0.475*44/12</f>
        <v>124.169003657937</v>
      </c>
      <c r="DS21" s="120" t="n">
        <f aca="false">DR21+(DJ21+DK21)*44/12</f>
        <v>402.835670324604</v>
      </c>
      <c r="DT21" s="120" t="n">
        <f aca="true">AVERAGE(OFFSET($DS$3,0,0,'Données projet'!$E$14+1,1))-AVERAGE(OFFSET($H$3,0,0,'Données projet'!$E$14+1,1))</f>
        <v>549.432320957297</v>
      </c>
      <c r="DU21" s="120" t="n">
        <f aca="false">$DU$3</f>
        <v>280.26155987301</v>
      </c>
      <c r="DV21" s="121" t="n">
        <f aca="false">IF(ISNA(VLOOKUP(A21,'Données projet'!$A$165:$I$185,3,0)),0,VLOOKUP(A21,'Données projet'!$A$165:$I$185,3,0))</f>
        <v>0</v>
      </c>
      <c r="DW21" s="121" t="n">
        <f aca="false">IF(ISNA(VLOOKUP(A21,'Données projet'!$A$165:$I$185,4,0)),0,VLOOKUP(A21,'Données projet'!$A$165:$I$185,4,0))</f>
        <v>0</v>
      </c>
      <c r="DX21" s="122" t="n">
        <f aca="false">IF(ISNA(VLOOKUP(A21,'Données projet'!$A$165:$I$185,5,0)),0%,VLOOKUP(A21,'Données projet'!$A$165:$I$185,5,0)*VLOOKUP('Données projet'!$B$14,Paramètres!$A$1:$I$89,7,0))</f>
        <v>0</v>
      </c>
      <c r="DY21" s="122" t="n">
        <f aca="false">IF(ISNA(VLOOKUP(A21,'Données projet'!$A$165:$I$185,6,0)),0%,VLOOKUP(A21,'Données projet'!$A$165:$I$185,6,0)*VLOOKUP('Données projet'!$B$14,Paramètres!$A$1:$I$89,7,0))</f>
        <v>0</v>
      </c>
      <c r="DZ21" s="122" t="n">
        <f aca="false">IF(ISNA(VLOOKUP(A21,'Données projet'!$A$165:$I$185,7,0)),0%,VLOOKUP(A21,'Données projet'!$A$165:$I$185,7,0))</f>
        <v>0</v>
      </c>
      <c r="EA21" s="129" t="n">
        <f aca="false">EXP(-LN(2)/35)*EA20+(1-EXP(-LN(2)/35))/(LN(2)/35)*DW21*DX21*VLOOKUP('Données projet'!$B$14,Paramètres!$A$1:$I$89,3,0)*0.475*44/12</f>
        <v>0</v>
      </c>
      <c r="EB21" s="129" t="n">
        <f aca="false">EXP(-LN(2)/25)*EB20+(1-EXP(-LN(2)/25))/(LN(2)/25)*Calculateur!DW21*Calculateur!DY21*VLOOKUP('Données projet'!$B$14,Paramètres!$A$1:$I$89,3,0)*0.475*44/12</f>
        <v>0</v>
      </c>
      <c r="EC21" s="129" t="n">
        <f aca="false">EXP(-LN(2)/2)*EC20+(1-EXP(-LN(2)/2))/(LN(2)/2)*DW21*DZ21*VLOOKUP('Données projet'!$B$14,Paramètres!$A$1:$I$89,3,0)*0.475*44/12</f>
        <v>0</v>
      </c>
      <c r="ED21" s="130" t="n">
        <f aca="false">SUM(EA21:EC21)</f>
        <v>0</v>
      </c>
      <c r="EE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18" t="e">
        <f aca="false">VLOOKUP(A21,'Données projet'!$A$191:$I$211,2,0)</f>
        <v>#N/A</v>
      </c>
      <c r="EH21" s="118" t="e">
        <f aca="false">VLOOKUP(A21,'Données projet'!$A$191:$I$211,9,0)</f>
        <v>#N/A</v>
      </c>
      <c r="EI21" s="118" t="n">
        <f aca="false" t="array" ref="EI21:EI21">INDEX(EH:EH,MIN(IF(ISNUMBER(EH21:EH217),ROW(EH21:EH217),"")))</f>
        <v>0</v>
      </c>
      <c r="EJ21" s="118" t="n">
        <f aca="false">IF('Données projet'!$A$192&gt;35,EJ20+EI21-ER20,IF(A21&lt;'Données projet'!$A$192,$EG$205^A21,IF(A21='Données projet'!$A$192,'Données projet'!$B$192,EJ20+EI21-ER20)))</f>
        <v>0</v>
      </c>
      <c r="EK21" s="125" t="e">
        <f aca="false">EJ21*VLOOKUP('Données projet'!$B$15,Paramètres!$A$1:$I$89,3,0)*VLOOKUP('Données projet'!$B$15,Paramètres!$A$1:$I$89,5,0)</f>
        <v>#N/A</v>
      </c>
      <c r="EL21" s="117" t="e">
        <f aca="false">EXP(-1.0587+0.8836*LN(EK21)+0.284)</f>
        <v>#N/A</v>
      </c>
      <c r="EM21" s="128" t="e">
        <f aca="false">(EK21+EL21)*0.475*44/12</f>
        <v>#N/A</v>
      </c>
      <c r="EN21" s="120" t="e">
        <f aca="false">EM21+(EE21+EF21)*44/12</f>
        <v>#N/A</v>
      </c>
      <c r="EO21" s="120" t="e">
        <f aca="true">AVERAGE(OFFSET($EN$3,0,0,'Données projet'!$E$15+1,1))-AVERAGE(OFFSET($H$3,0,0,'Données projet'!$E$15+1,1))</f>
        <v>#N/A</v>
      </c>
      <c r="EP21" s="120" t="e">
        <f aca="false">$EP$3</f>
        <v>#N/A</v>
      </c>
      <c r="EQ21" s="121" t="n">
        <f aca="false">IF(ISNA(VLOOKUP(A21,'Données projet'!$A$191:$I$211,3,0)),0,VLOOKUP(A21,'Données projet'!$A$191:$I$211,3,0))</f>
        <v>0</v>
      </c>
      <c r="ER21" s="121" t="n">
        <f aca="false">IF(ISNA(VLOOKUP(A21,'Données projet'!$A$191:$I$211,4,0)),0,VLOOKUP(A21,'Données projet'!$A$191:$I$211,4,0))</f>
        <v>0</v>
      </c>
      <c r="ES21" s="122" t="n">
        <f aca="false">IF(ISNA(VLOOKUP(A21,'Données projet'!$A$191:$I$211,5,0)),0%,VLOOKUP(A21,'Données projet'!$A$191:$I$211,5,0)*VLOOKUP('Données projet'!$B$15,Paramètres!$A$1:$I$89,7,0))</f>
        <v>0</v>
      </c>
      <c r="ET21" s="122" t="n">
        <f aca="false">IF(ISNA(VLOOKUP(A21,'Données projet'!$A$191:$I$211,6,0)),0%,VLOOKUP(A21,'Données projet'!$A$191:$I$211,6,0)*VLOOKUP('Données projet'!$B$15,Paramètres!$A$1:$I$89,7,0))</f>
        <v>0</v>
      </c>
      <c r="EU21" s="122" t="n">
        <f aca="false">IF(ISNA(VLOOKUP(A21,'Données projet'!$A$191:$I$211,7,0)),0%,VLOOKUP(A21,'Données projet'!$A$191:$I$211,7,0))</f>
        <v>0</v>
      </c>
      <c r="EV21" s="129" t="e">
        <f aca="false">EXP(-LN(2)/35)*EV20+(1-EXP(-LN(2)/35))/(LN(2)/35)*ER21*ES21*VLOOKUP('Données projet'!$B$15,Paramètres!$A$1:$I$89,3,0)*0.475*44/12</f>
        <v>#N/A</v>
      </c>
      <c r="EW21" s="129" t="e">
        <f aca="false">EXP(-LN(2)/25)*EW20+(1-EXP(-LN(2)/25))/(LN(2)/25)*Calculateur!ER21*Calculateur!ET21*VLOOKUP('Données projet'!$B$15,Paramètres!$A$1:$I$89,3,0)*0.475*44/12</f>
        <v>#N/A</v>
      </c>
      <c r="EX21" s="129" t="e">
        <f aca="false">EXP(-LN(2)/2)*EX20+(1-EXP(-LN(2)/2))/(LN(2)/2)*ER21*EU21*VLOOKUP('Données projet'!$B$15,Paramètres!$A$1:$I$89,3,0)*0.475*44/12</f>
        <v>#N/A</v>
      </c>
      <c r="EY21" s="130" t="e">
        <f aca="false">SUM(EV21:EX21)</f>
        <v>#N/A</v>
      </c>
      <c r="EZ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18" t="e">
        <f aca="false">VLOOKUP(A21,'Données projet'!$A$217:$I$237,2,0)</f>
        <v>#N/A</v>
      </c>
      <c r="FC21" s="118" t="e">
        <f aca="false">VLOOKUP(A21,'Données projet'!$A$217:$I$237,9,0)</f>
        <v>#N/A</v>
      </c>
      <c r="FD21" s="118" t="n">
        <f aca="false" t="array" ref="FD21:FD21">INDEX(FC:FC,MIN(IF(ISNUMBER(FC21:FC217),ROW(FC21:FC217),"")))</f>
        <v>0</v>
      </c>
      <c r="FE21" s="118" t="n">
        <f aca="false">IF('Données projet'!$A$218&gt;35,FE20+FD21-FM20,IF(A21&lt;'Données projet'!$A$218,$FB$205^A21,IF(A21='Données projet'!$A$218,'Données projet'!$B$218,FE20+FD21-FM20)))</f>
        <v>0</v>
      </c>
      <c r="FF21" s="125" t="e">
        <f aca="false">FE21*VLOOKUP('Données projet'!$B$16,Paramètres!$A$1:$I$89,3,0)*VLOOKUP('Données projet'!$B$16,Paramètres!$A$1:$I$89,5,0)</f>
        <v>#N/A</v>
      </c>
      <c r="FG21" s="117" t="e">
        <f aca="false">EXP(-1.0587+0.8836*LN(FF21)+0.284)</f>
        <v>#N/A</v>
      </c>
      <c r="FH21" s="128" t="e">
        <f aca="false">(FF21+FG21)*0.475*44/12</f>
        <v>#N/A</v>
      </c>
      <c r="FI21" s="120" t="e">
        <f aca="false">FH21+(EZ21+FA21)*44/12</f>
        <v>#N/A</v>
      </c>
      <c r="FJ21" s="120" t="e">
        <f aca="true">AVERAGE(OFFSET($FI$3,0,0,'Données projet'!$E$16+1,1))-AVERAGE(OFFSET($H$3,0,0,'Données projet'!$E$16+1,1))</f>
        <v>#N/A</v>
      </c>
      <c r="FK21" s="120" t="e">
        <f aca="false">$FK$3</f>
        <v>#N/A</v>
      </c>
      <c r="FL21" s="121" t="n">
        <f aca="false">IF(ISNA(VLOOKUP(A21,'Données projet'!$A$217:$I$237,3,0)),0,VLOOKUP(A21,'Données projet'!$A$217:$I$237,3,0))</f>
        <v>0</v>
      </c>
      <c r="FM21" s="121" t="n">
        <f aca="false">IF(ISNA(VLOOKUP(A21,'Données projet'!$A$217:$I$237,4,0)),0,VLOOKUP(A21,'Données projet'!$A$217:$I$237,4,0))</f>
        <v>0</v>
      </c>
      <c r="FN21" s="122" t="n">
        <f aca="false">IF(ISNA(VLOOKUP(A21,'Données projet'!$A$217:$I$237,5,0)),0%,VLOOKUP(A21,'Données projet'!$A$217:$I$237,5,0)*VLOOKUP('Données projet'!$B$16,Paramètres!$A$1:$I$89,7,0))</f>
        <v>0</v>
      </c>
      <c r="FO21" s="122" t="n">
        <f aca="false">IF(ISNA(VLOOKUP(A21,'Données projet'!$A$217:$I$237,6,0)),0%,VLOOKUP(A21,'Données projet'!$A$217:$I$237,6,0)*VLOOKUP('Données projet'!$B$16,Paramètres!$A$1:$I$89,7,0))</f>
        <v>0</v>
      </c>
      <c r="FP21" s="122" t="n">
        <f aca="false">IF(ISNA(VLOOKUP(A21,'Données projet'!$A$217:$I$237,7,0)),0%,VLOOKUP(A21,'Données projet'!$A$217:$I$237,7,0))</f>
        <v>0</v>
      </c>
      <c r="FQ21" s="129" t="e">
        <f aca="false">EXP(-LN(2)/35)*FQ20+(1-EXP(-LN(2)/35))/(LN(2)/35)*FM21*FN21*VLOOKUP('Données projet'!$B$16,Paramètres!$A$1:$I$89,3,0)*0.475*44/12</f>
        <v>#N/A</v>
      </c>
      <c r="FR21" s="129" t="e">
        <f aca="false">EXP(-LN(2)/25)*FR20+(1-EXP(-LN(2)/25))/(LN(2)/25)*Calculateur!FM21*Calculateur!FO21*VLOOKUP('Données projet'!$B$16,Paramètres!$A$1:$I$89,3,0)*0.475*44/12</f>
        <v>#N/A</v>
      </c>
      <c r="FS21" s="129" t="e">
        <f aca="false">EXP(-LN(2)/2)*FS20+(1-EXP(-LN(2)/2))/(LN(2)/2)*FM21*FP21*VLOOKUP('Données projet'!$B$16,Paramètres!$A$1:$I$89,3,0)*0.475*44/12</f>
        <v>#N/A</v>
      </c>
      <c r="FT21" s="130" t="e">
        <f aca="false">SUM(FQ21:FS21)</f>
        <v>#N/A</v>
      </c>
      <c r="FU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18" t="e">
        <f aca="false">VLOOKUP(A21,'Données projet'!$A$243:$I$263,2,0)</f>
        <v>#N/A</v>
      </c>
      <c r="FX21" s="118" t="e">
        <f aca="false">VLOOKUP(A21,'Données projet'!$A$243:$I$263,9,0)</f>
        <v>#N/A</v>
      </c>
      <c r="FY21" s="118" t="n">
        <f aca="false" t="array" ref="FY21:FY21">INDEX(FX:FX,MIN(IF(ISNUMBER(FX21:FX217),ROW(FX21:FX217),"")))</f>
        <v>0</v>
      </c>
      <c r="FZ21" s="118" t="n">
        <f aca="false">IF('Données projet'!$A$244&gt;35,FZ20+FY21-GH20,IF(A21&lt;'Données projet'!$A$244,$FW$205^A21,IF(A21='Données projet'!$A$244,'Données projet'!$B$244,FZ20+FY21-GH20)))</f>
        <v>0</v>
      </c>
      <c r="GA21" s="125" t="e">
        <f aca="false">FZ21*VLOOKUP('Données projet'!$B$17,Paramètres!$A$1:$I$89,3,0)*VLOOKUP('Données projet'!$B$17,Paramètres!$A$1:$I$89,5,0)</f>
        <v>#N/A</v>
      </c>
      <c r="GB21" s="117" t="e">
        <f aca="false">EXP(-1.0587+0.8836*LN(GA21)+0.284)</f>
        <v>#N/A</v>
      </c>
      <c r="GC21" s="128" t="e">
        <f aca="false">(GA21+GB21)*0.475*44/12</f>
        <v>#N/A</v>
      </c>
      <c r="GD21" s="120" t="e">
        <f aca="false">GC21+(FU21+FV21)*44/12</f>
        <v>#N/A</v>
      </c>
      <c r="GE21" s="120" t="e">
        <f aca="true">AVERAGE(OFFSET($GD$3,0,0,'Données projet'!$E$17+1,1))-AVERAGE(OFFSET($H$3,0,0,'Données projet'!$E$17+1,1))</f>
        <v>#N/A</v>
      </c>
      <c r="GF21" s="120" t="e">
        <f aca="false">$GF$3</f>
        <v>#N/A</v>
      </c>
      <c r="GG21" s="121" t="n">
        <f aca="false">IF(ISNA(VLOOKUP(A21,'Données projet'!$A$243:$I$263,3,0)),0,VLOOKUP(A21,'Données projet'!$A$243:$I$263,3,0))</f>
        <v>0</v>
      </c>
      <c r="GH21" s="121" t="n">
        <f aca="false">IF(ISNA(VLOOKUP(A21,'Données projet'!$A$243:$I$263,4,0)),0,VLOOKUP(A21,'Données projet'!$A$243:$I$263,4,0))</f>
        <v>0</v>
      </c>
      <c r="GI21" s="122" t="n">
        <f aca="false">IF(ISNA(VLOOKUP(A21,'Données projet'!$A$243:$I$263,5,0)),0%,VLOOKUP(A21,'Données projet'!$A$243:$I$263,5,0)*VLOOKUP('Données projet'!$B$17,Paramètres!$A$1:$I$89,7,0))</f>
        <v>0</v>
      </c>
      <c r="GJ21" s="122" t="n">
        <f aca="false">IF(ISNA(VLOOKUP(A21,'Données projet'!$A$243:$I$263,6,0)),0%,VLOOKUP(A21,'Données projet'!$A$243:$I$263,6,0)*VLOOKUP('Données projet'!$B$17,Paramètres!$A$1:$I$89,7,0))</f>
        <v>0</v>
      </c>
      <c r="GK21" s="122" t="n">
        <f aca="false">IF(ISNA(VLOOKUP(A21,'Données projet'!$A$243:$I$263,7,0)),0%,VLOOKUP(A21,'Données projet'!$A$243:$I$263,7,0))</f>
        <v>0</v>
      </c>
      <c r="GL21" s="129" t="e">
        <f aca="false">EXP(-LN(2)/35)*GL20+(1-EXP(-LN(2)/35))/(LN(2)/35)*GH21*GI21*VLOOKUP('Données projet'!$B$17,Paramètres!$A$1:$I$89,3,0)*0.475*44/12</f>
        <v>#N/A</v>
      </c>
      <c r="GM21" s="129" t="e">
        <f aca="false">EXP(-LN(2)/25)*GM20+(1-EXP(-LN(2)/25))/(LN(2)/25)*Calculateur!GH21*Calculateur!GJ21*VLOOKUP('Données projet'!$B$17,Paramètres!$A$1:$I$89,3,0)*0.475*44/12</f>
        <v>#N/A</v>
      </c>
      <c r="GN21" s="129" t="e">
        <f aca="false">EXP(-LN(2)/2)*GN20+(1-EXP(-LN(2)/2))/(LN(2)/2)*GH21*GK21*VLOOKUP('Données projet'!$B$17,Paramètres!$A$1:$I$89,3,0)*0.475*44/12</f>
        <v>#N/A</v>
      </c>
      <c r="GO21" s="129" t="e">
        <f aca="false">SUM(GL21:GN21)</f>
        <v>#N/A</v>
      </c>
      <c r="GP21" s="126" t="n">
        <f aca="false"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8" t="n">
        <f aca="false"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18" t="e">
        <f aca="false">VLOOKUP(A21,'Données projet'!$A$269:$I$289,2,0)</f>
        <v>#N/A</v>
      </c>
      <c r="GS21" s="118" t="e">
        <f aca="false">VLOOKUP(A21,'Données projet'!$A$269:$I$289,9,0)</f>
        <v>#N/A</v>
      </c>
      <c r="GT21" s="118" t="n">
        <f aca="false" t="array" ref="GT21:GT21">INDEX(GS:GS,MIN(IF(ISNUMBER(GS21:GS217),ROW(GS21:GS217),"")))</f>
        <v>0</v>
      </c>
      <c r="GU21" s="118" t="n">
        <f aca="false">IF('Données projet'!$A$270&gt;35,GU20+GT21-HC20,IF(A21&lt;'Données projet'!$A$270,$GR$205^A21,IF(A21='Données projet'!$A$270,'Données projet'!$B$270,GU20+GT21-HC20)))</f>
        <v>0</v>
      </c>
      <c r="GV21" s="125" t="e">
        <f aca="false">GU21*VLOOKUP('Données projet'!$B$18,Paramètres!$A$1:$I$89,3,0)*VLOOKUP('Données projet'!$B$18,Paramètres!$A$1:$I$89,5,0)</f>
        <v>#N/A</v>
      </c>
      <c r="GW21" s="117" t="e">
        <f aca="false">EXP(-1.0587+0.8836*LN(GV21)+0.284)</f>
        <v>#N/A</v>
      </c>
      <c r="GX21" s="128" t="e">
        <f aca="false">(GV21+GW21)*0.475*44/12</f>
        <v>#N/A</v>
      </c>
      <c r="GY21" s="120" t="e">
        <f aca="false">GX21+(GP21+GQ21)*44/12</f>
        <v>#N/A</v>
      </c>
      <c r="GZ21" s="120" t="e">
        <f aca="true">AVERAGE(OFFSET($GY$3,0,0,'Données projet'!$E$18+1,1))-AVERAGE(OFFSET($H$3,0,0,'Données projet'!$E$18+1,1))</f>
        <v>#N/A</v>
      </c>
      <c r="HA21" s="120" t="e">
        <f aca="false">$HA$3</f>
        <v>#N/A</v>
      </c>
      <c r="HB21" s="121" t="n">
        <f aca="false">IF(ISNA(VLOOKUP(A21,'Données projet'!$A$269:$I$289,3,0)),0,VLOOKUP(A21,'Données projet'!$A$269:$I$289,3,0))</f>
        <v>0</v>
      </c>
      <c r="HC21" s="121" t="n">
        <f aca="false">IF(ISNA(VLOOKUP(A21,'Données projet'!$A$269:$I$289,4,0)),0,VLOOKUP(A21,'Données projet'!$A$269:$I$289,4,0))</f>
        <v>0</v>
      </c>
      <c r="HD21" s="122" t="n">
        <f aca="false">IF(ISNA(VLOOKUP(A21,'Données projet'!$A$269:$I$289,5,0)),0%,VLOOKUP(A21,'Données projet'!$A$269:$I$289,5,0)*VLOOKUP('Données projet'!$B$18,Paramètres!$A$1:$I$89,7,0))</f>
        <v>0</v>
      </c>
      <c r="HE21" s="122" t="n">
        <f aca="false">IF(ISNA(VLOOKUP(A21,'Données projet'!$A$269:$I$289,6,0)),0%,VLOOKUP(A21,'Données projet'!$A$269:$I$289,6,0)*VLOOKUP('Données projet'!$B$18,Paramètres!$A$1:$I$89,7,0))</f>
        <v>0</v>
      </c>
      <c r="HF21" s="122" t="n">
        <f aca="false">IF(ISNA(VLOOKUP(A21,'Données projet'!$A$269:$I$289,7,0)),0%,VLOOKUP(A21,'Données projet'!$A$269:$I$289,7,0))</f>
        <v>0</v>
      </c>
      <c r="HG21" s="129" t="e">
        <f aca="false">EXP(-LN(2)/35)*HG20+(1-EXP(-LN(2)/35))/(LN(2)/35)*HC21*HD21*VLOOKUP('Données projet'!$B$18,Paramètres!$A$1:$I$89,3,0)*0.475*44/12</f>
        <v>#N/A</v>
      </c>
      <c r="HH21" s="129" t="e">
        <f aca="false">EXP(-LN(2)/25)*HH20+(1-EXP(-LN(2)/25))/(LN(2)/25)*Calculateur!HC21*Calculateur!HE21*VLOOKUP('Données projet'!$B$18,Paramètres!$A$1:$I$89,3,0)*0.475*44/12</f>
        <v>#N/A</v>
      </c>
      <c r="HI21" s="129" t="e">
        <f aca="false">EXP(-LN(2)/2)*HI20+(1-EXP(-LN(2)/2))/(LN(2)/2)*HC21*HF21*VLOOKUP('Données projet'!$B$18,Paramètres!$A$1:$I$89,3,0)*0.475*44/12</f>
        <v>#N/A</v>
      </c>
      <c r="HJ21" s="130" t="e">
        <f aca="false">SUM(HG21:HI21)</f>
        <v>#N/A</v>
      </c>
    </row>
    <row r="22" customFormat="false" ht="14.25" hidden="false" customHeight="false" outlineLevel="0" collapsed="false">
      <c r="A22" s="112" t="n">
        <f aca="false">A21+1</f>
        <v>19</v>
      </c>
      <c r="B22" s="113" t="n">
        <f aca="false">'Scénario référence'!$B$16*5+'Scénario référence'!$B$17*0+'Scénario référence'!$B$18*5</f>
        <v>0</v>
      </c>
      <c r="C22" s="127" t="n">
        <f aca="false"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4" t="n">
        <f aca="false">IFERROR(EXP(-1.0587+0.8836*LN(C22)+0.284),0)</f>
        <v>0</v>
      </c>
      <c r="E2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2" s="114" t="n">
        <f aca="false">IF(OR('Scénario référence'!$F$8&gt;0,'Scénario référence'!$F$9&gt;0),('Scénario référence'!$F$8+'Scénario référence'!$F$9)*10,0)</f>
        <v>0</v>
      </c>
      <c r="G22" s="114" t="n">
        <f aca="false"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15" t="n">
        <f aca="false">(B22+E22+F22)*44/12+(C22+D22)*0.475*44/12</f>
        <v>256.666666666667</v>
      </c>
      <c r="I22" s="11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7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K22" s="118" t="e">
        <f aca="false">VLOOKUP(A22,'Données projet'!$A$35:$I$55,2,0)</f>
        <v>#N/A</v>
      </c>
      <c r="L22" s="118" t="e">
        <f aca="false">VLOOKUP(A22,'Données projet'!$A$35:$I$55,9,0)</f>
        <v>#N/A</v>
      </c>
      <c r="M22" s="118" t="n">
        <f aca="false" t="array" ref="M22:M22">INDEX(L:L,MIN(IF(ISNUMBER(L22:L218),ROW(L22:L218),"")))</f>
        <v>7.9</v>
      </c>
      <c r="N22" s="117" t="n">
        <f aca="false">IF('Données projet'!$A$36&gt;35,N21+M22-V21,IF(A22&lt;'Données projet'!$A$36,$K$205^A22,IF(A22='Données projet'!$A$36,'Données projet'!$B$36,N21+M22-V21)))</f>
        <v>122.666008178409</v>
      </c>
      <c r="O22" s="117" t="n">
        <f aca="false">N22*VLOOKUP('Données projet'!$B$9,Paramètres!$A$1:$I$89,3,0)*VLOOKUP('Données projet'!$B$9,Paramètres!$A$1:$I$89,5,0)</f>
        <v>57.4076918274956</v>
      </c>
      <c r="P22" s="117" t="n">
        <f aca="false">EXP(-1.0587+0.8836*LN(O22)+0.284)</f>
        <v>16.5111769813342</v>
      </c>
      <c r="Q22" s="128" t="n">
        <f aca="false">(O22+P22)*0.475*44/12</f>
        <v>128.742029842045</v>
      </c>
      <c r="R22" s="120" t="n">
        <f aca="false">Q22+(I22+J22)*44/12</f>
        <v>408.630918730934</v>
      </c>
      <c r="S22" s="120" t="n">
        <f aca="true">AVERAGE(OFFSET($R$3,0,0,'Données projet'!$E$9+1,1))-AVERAGE(OFFSET($H$3,0,0,'Données projet'!$E$9+1,1))</f>
        <v>319.229030946746</v>
      </c>
      <c r="T22" s="120" t="n">
        <f aca="false">$T$3</f>
        <v>254.586909731428</v>
      </c>
      <c r="U22" s="121" t="n">
        <f aca="false">IF(ISNA(VLOOKUP(A22,'Données projet'!$A$35:$I$55,3,0)),0,VLOOKUP(A22,'Données projet'!$A$35:$I$55,3,0))</f>
        <v>0</v>
      </c>
      <c r="V22" s="121" t="n">
        <f aca="false">IF(ISNA(VLOOKUP(A22,'Données projet'!$A$35:$I$55,4,0)),0,VLOOKUP(A22,'Données projet'!$A$35:$I$55,4,0))</f>
        <v>0</v>
      </c>
      <c r="W22" s="122" t="n">
        <f aca="false">IF(ISNA(VLOOKUP(A22,'Données projet'!$A$35:$I$55,5,0)),0%,VLOOKUP(A22,'Données projet'!$A$35:$I$55,5,0)*VLOOKUP('Données projet'!$B$9,Paramètres!$A$1:$I$89,7,0))</f>
        <v>0</v>
      </c>
      <c r="X22" s="122" t="n">
        <f aca="false">IF(ISNA(VLOOKUP(A22,'Données projet'!$A$35:$I$55,6,0)),0%,VLOOKUP(A22,'Données projet'!$A$35:$I$55,6,0)*VLOOKUP('Données projet'!$B$9,Paramètres!$A$1:$I$89,7,0))</f>
        <v>0</v>
      </c>
      <c r="Y22" s="122" t="n">
        <f aca="false">IF(ISNA(VLOOKUP(A22,'Données projet'!$A$35:$I$55,7,0)),0%,VLOOKUP(A22,'Données projet'!$A$35:$I$55,7,0))</f>
        <v>0</v>
      </c>
      <c r="Z22" s="129" t="n">
        <f aca="false">EXP(-LN(2)/35)*Z21+(1-EXP(-LN(2)/35))/(LN(2)/35)*V22*W22*VLOOKUP('Données projet'!$B$9,Paramètres!$A$1:$I$89,3,0)*0.475*44/12</f>
        <v>0</v>
      </c>
      <c r="AA22" s="129" t="n">
        <f aca="false">EXP(-LN(2)/25)*AA21+(1-EXP(-LN(2)/25))/(LN(2)/25)*Calculateur!V22*Calculateur!X22*VLOOKUP('Données projet'!$B$9,Paramètres!$A$1:$I$89,3,0)*0.475*44/12</f>
        <v>0</v>
      </c>
      <c r="AB22" s="129" t="n">
        <f aca="false">EXP(-LN(2)/2)*AB21+(1-EXP(-LN(2)/2))/(LN(2)/2)*V22*Y22*VLOOKUP('Données projet'!$B$9,Paramètres!$A$1:$I$89,3,0)*0.475*44/12</f>
        <v>0</v>
      </c>
      <c r="AC22" s="130" t="n">
        <f aca="false">SUM(Z22:AB22)</f>
        <v>0</v>
      </c>
      <c r="AD22" s="117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7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AF22" s="118" t="e">
        <f aca="false">VLOOKUP(A22,'Données projet'!$A$61:$I$81,2,0)</f>
        <v>#N/A</v>
      </c>
      <c r="AG22" s="118" t="e">
        <f aca="false">VLOOKUP(A22,'Données projet'!$A$61:$I$81,9,0)</f>
        <v>#N/A</v>
      </c>
      <c r="AH22" s="118" t="n">
        <f aca="false" t="array" ref="AH22:AH22">INDEX(AG:AG,MIN(IF(ISNUMBER(AG22:AG218),ROW(AG22:AG218),"")))</f>
        <v>7.04347826086957</v>
      </c>
      <c r="AI22" s="117" t="n">
        <f aca="false">IF('Données projet'!$A$62&gt;35,AI21+AH22-AQ21,IF(A22&lt;'Données projet'!$A$62,$AF$205^A22,IF(A22='Données projet'!$A$62,'Données projet'!$B$62,AI21+AH22-AQ21)))</f>
        <v>66.8731119693271</v>
      </c>
      <c r="AJ22" s="117" t="n">
        <f aca="false">AI22*VLOOKUP('Données projet'!$B$10,Paramètres!$A$1:$I$89,3,0)*VLOOKUP('Données projet'!$B$10,Paramètres!$A$1:$I$89,5,0)</f>
        <v>37.3820695908538</v>
      </c>
      <c r="AK22" s="117" t="n">
        <f aca="false">EXP(-1.0587+0.8836*LN(AJ22)+0.284)</f>
        <v>11.3020544049996</v>
      </c>
      <c r="AL22" s="128" t="n">
        <f aca="false">(AJ22+AK22)*0.475*44/12</f>
        <v>84.7915159594447</v>
      </c>
      <c r="AM22" s="120" t="n">
        <f aca="false">AL22+(AD22+AE22)*44/12</f>
        <v>364.680404848334</v>
      </c>
      <c r="AN22" s="120" t="n">
        <f aca="true">AVERAGE(OFFSET($AM$3,0,0,'Données projet'!$E$10+1,1))-AVERAGE(OFFSET($H$3,0,0,'Données projet'!$E$10+1,1))</f>
        <v>365.705101827279</v>
      </c>
      <c r="AO22" s="120" t="n">
        <f aca="false">$AO$3</f>
        <v>436.238338449625</v>
      </c>
      <c r="AP22" s="121" t="n">
        <f aca="false">IF(ISNA(VLOOKUP(A22,'Données projet'!$A$61:$I$81,3,0)),0,VLOOKUP(A22,'Données projet'!$A$61:$I$81,3,0))</f>
        <v>0</v>
      </c>
      <c r="AQ22" s="121" t="n">
        <f aca="false">IF(ISNA(VLOOKUP(A22,'Données projet'!$A$61:$I$81,4,0)),0,VLOOKUP(A22,'Données projet'!$A$61:$I$81,4,0))</f>
        <v>0</v>
      </c>
      <c r="AR22" s="122" t="n">
        <f aca="false">IF(ISNA(VLOOKUP(A22,'Données projet'!$A$61:$I$81,5,0)),0%,VLOOKUP(A22,'Données projet'!$A$61:$I$81,5,0)*VLOOKUP('Données projet'!$B$10,Paramètres!$A$1:$I$89,7,0))</f>
        <v>0</v>
      </c>
      <c r="AS22" s="122" t="n">
        <f aca="false">IF(ISNA(VLOOKUP(A22,'Données projet'!$A$61:$I$81,6,0)),0%,VLOOKUP(A22,'Données projet'!$A$61:$I$81,6,0)*VLOOKUP('Données projet'!$B$10,Paramètres!$A$1:$I$89,7,0))</f>
        <v>0</v>
      </c>
      <c r="AT22" s="122" t="n">
        <f aca="false">IF(ISNA(VLOOKUP(A22,'Données projet'!$A$61:$I$81,7,0)),0%,VLOOKUP(A22,'Données projet'!$A$61:$I$81,7,0))</f>
        <v>0</v>
      </c>
      <c r="AU22" s="129" t="n">
        <f aca="false">EXP(-LN(2)/35)*AU21+(1-EXP(-LN(2)/35))/(LN(2)/35)*AQ22*AR22*VLOOKUP('Données projet'!$B$10,Paramètres!$A$1:$I$89,3,0)*0.475*44/12</f>
        <v>0</v>
      </c>
      <c r="AV22" s="129" t="n">
        <f aca="false">EXP(-LN(2)/25)*AV21+(1-EXP(-LN(2)/25))/(LN(2)/25)*Calculateur!AQ22*Calculateur!AS22*VLOOKUP('Données projet'!$B$10,Paramètres!$A$1:$I$89,3,0)*0.475*44/12</f>
        <v>0</v>
      </c>
      <c r="AW22" s="129" t="n">
        <f aca="false">EXP(-LN(2)/2)*AW21+(1-EXP(-LN(2)/2))/(LN(2)/2)*AQ22*AT22*VLOOKUP('Données projet'!$B$10,Paramètres!$A$1:$I$89,3,0)*0.475*44/12</f>
        <v>0</v>
      </c>
      <c r="AX22" s="129" t="n">
        <f aca="false">SUM(AU22:AW22)</f>
        <v>0</v>
      </c>
      <c r="AY22" s="124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BA22" s="118" t="e">
        <f aca="false">VLOOKUP(A22,'Données projet'!$A$87:$I$107,2,0)</f>
        <v>#N/A</v>
      </c>
      <c r="BB22" s="118" t="e">
        <f aca="false">VLOOKUP(A22,'Données projet'!$A$87:$I$107,9,0)</f>
        <v>#N/A</v>
      </c>
      <c r="BC22" s="118" t="n">
        <f aca="false" t="array" ref="BC22:BC22">INDEX(BB:BB,MIN(IF(ISNUMBER(BB22:BB218),ROW(BB22:BB218),"")))</f>
        <v>14.2</v>
      </c>
      <c r="BD22" s="118" t="n">
        <f aca="false">IF('Données projet'!$A$88&gt;35,BD21+BC22-BL21,IF(A22&lt;'Données projet'!$A$88,$BA$205^A22,IF(A22='Données projet'!$A$88,'Données projet'!$B$88,BD21+BC22-BL21)))</f>
        <v>122.8</v>
      </c>
      <c r="BE22" s="117" t="n">
        <f aca="false">BD22*VLOOKUP('Données projet'!$B$11,Paramètres!$A$1:$I$89,3,0)*VLOOKUP('Données projet'!$B$11,Paramètres!$A$1:$I$89,5,0)</f>
        <v>107.27808</v>
      </c>
      <c r="BF22" s="117" t="n">
        <f aca="false">EXP(-1.0587+0.8836*LN(BE22)+0.284)</f>
        <v>28.6887468008867</v>
      </c>
      <c r="BG22" s="128" t="n">
        <f aca="false">(BE22+BF22)*0.475*44/12</f>
        <v>236.808890011544</v>
      </c>
      <c r="BH22" s="120" t="n">
        <f aca="false">BG22+(AY22+AZ22)*44/12</f>
        <v>516.697778900433</v>
      </c>
      <c r="BI22" s="120" t="n">
        <f aca="true">AVERAGE(OFFSET($BH$3,0,0,'Données projet'!$E$11+1,1))-AVERAGE(OFFSET($H$3,0,0,'Données projet'!$E$11+1,1))</f>
        <v>321.235999689929</v>
      </c>
      <c r="BJ22" s="120" t="n">
        <f aca="false">$BJ$3</f>
        <v>388.051958478005</v>
      </c>
      <c r="BK22" s="121" t="n">
        <f aca="false">IF(ISNA(VLOOKUP(A22,'Données projet'!$A$87:$I$107,3,0)),0,VLOOKUP(A22,'Données projet'!$A$87:$I$107,3,0))</f>
        <v>0</v>
      </c>
      <c r="BL22" s="121" t="n">
        <f aca="false">IF(ISNA(VLOOKUP(A22,'Données projet'!$A$87:$I$107,4,0)),0,VLOOKUP(A22,'Données projet'!$A$87:$I$107,4,0))</f>
        <v>0</v>
      </c>
      <c r="BM22" s="122" t="n">
        <f aca="false">IF(ISNA(VLOOKUP(A22,'Données projet'!$A$87:$I$107,5,0)),0%,VLOOKUP(A22,'Données projet'!$A$87:$I$107,5,0)*VLOOKUP('Données projet'!$B$11,Paramètres!$A$1:$I$89,7,0))</f>
        <v>0</v>
      </c>
      <c r="BN22" s="122" t="n">
        <f aca="false">IF(ISNA(VLOOKUP(A22,'Données projet'!$A$87:$I$107,6,0)),0%,VLOOKUP(A22,'Données projet'!$A$87:$I$107,6,0)*VLOOKUP('Données projet'!$B$11,Paramètres!$A$1:$I$89,7,0))</f>
        <v>0</v>
      </c>
      <c r="BO22" s="122" t="n">
        <f aca="false">IF(ISNA(VLOOKUP(A22,'Données projet'!$A$87:$I$107,7,0)),0%,VLOOKUP(A22,'Données projet'!$A$87:$I$107,7,0))</f>
        <v>0</v>
      </c>
      <c r="BP22" s="129" t="n">
        <f aca="false">EXP(-LN(2)/35)*BP21+(1-EXP(-LN(2)/35))/(LN(2)/35)*BL22*BM22*VLOOKUP('Données projet'!$B$11,Paramètres!$A$1:$I$89,3,0)*0.475*44/12</f>
        <v>0</v>
      </c>
      <c r="BQ22" s="129" t="n">
        <f aca="false">EXP(-LN(2)/25)*BQ21+(1-EXP(-LN(2)/25))/(LN(2)/25)*Calculateur!BL22*Calculateur!BN22*VLOOKUP('Données projet'!$B$11,Paramètres!$A$1:$I$89,3,0)*0.475*44/12</f>
        <v>0.777444380252479</v>
      </c>
      <c r="BR22" s="129" t="n">
        <f aca="false">EXP(-LN(2)/2)*BR21+(1-EXP(-LN(2)/2))/(LN(2)/2)*BL22*BO22*VLOOKUP('Données projet'!$B$11,Paramètres!$A$1:$I$89,3,0)*0.475*44/12</f>
        <v>2.16369592057308</v>
      </c>
      <c r="BS22" s="130" t="n">
        <f aca="false">SUM(BP22:BR22)</f>
        <v>2.94114030082556</v>
      </c>
      <c r="BT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BV22" s="118" t="e">
        <f aca="false">VLOOKUP(A22,'Données projet'!$A$113:$I$133,2,0)</f>
        <v>#N/A</v>
      </c>
      <c r="BW22" s="118" t="e">
        <f aca="false">VLOOKUP(A22,'Données projet'!$A$113:$I$133,9,0)</f>
        <v>#N/A</v>
      </c>
      <c r="BX22" s="118" t="n">
        <f aca="false" t="array" ref="BX22:BX22">INDEX(BW:BW,MIN(IF(ISNUMBER(BW22:BW218),ROW(BW22:BW218),"")))</f>
        <v>18</v>
      </c>
      <c r="BY22" s="118" t="n">
        <f aca="false">IF('Données projet'!$A$114&gt;35,BY21+BX22-CG21,IF(A22&lt;'Données projet'!$A$114,$BV$205^A22,IF(A22='Données projet'!$A$114,'Données projet'!$B$114,BY21+BX22-CG21)))</f>
        <v>110</v>
      </c>
      <c r="BZ22" s="117" t="n">
        <f aca="false">BY22*VLOOKUP('Données projet'!$B$12,Paramètres!$A$1:$I$89,3,0)*VLOOKUP('Données projet'!$B$12,Paramètres!$A$1:$I$89,5,0)</f>
        <v>68.64</v>
      </c>
      <c r="CA22" s="117" t="n">
        <f aca="false">EXP(-1.0587+0.8836*LN(BZ22)+0.284)</f>
        <v>19.3353369566402</v>
      </c>
      <c r="CB22" s="128" t="n">
        <f aca="false">(BZ22+CA22)*0.475*44/12</f>
        <v>153.223711866148</v>
      </c>
      <c r="CC22" s="120" t="n">
        <f aca="false">CB22+(BT22+BU22)*44/12</f>
        <v>433.112600755037</v>
      </c>
      <c r="CD22" s="120" t="n">
        <f aca="true">AVERAGE(OFFSET($CC$3,0,0,'Données projet'!$E$12+1,1))-AVERAGE(OFFSET($H$3,0,0,'Données projet'!$E$12+1,1))</f>
        <v>240.228848647662</v>
      </c>
      <c r="CE22" s="120" t="n">
        <f aca="false">$CE$3</f>
        <v>343.237768841432</v>
      </c>
      <c r="CF22" s="121" t="n">
        <f aca="false">IF(ISNA(VLOOKUP(A22,'Données projet'!$A$113:$I$133,3,0)),0,VLOOKUP(A22,'Données projet'!$A$113:$I$133,3,0))</f>
        <v>0</v>
      </c>
      <c r="CG22" s="121" t="n">
        <f aca="false">IF(ISNA(VLOOKUP(A22,'Données projet'!$A$113:$I$133,4,0)),0,VLOOKUP(A22,'Données projet'!$A$113:$I$133,4,0))</f>
        <v>0</v>
      </c>
      <c r="CH22" s="122" t="n">
        <f aca="false">IF(ISNA(VLOOKUP(A22,'Données projet'!$A$113:$I$133,5,0)),0%,VLOOKUP(A22,'Données projet'!$A$113:$I$133,5,0)*VLOOKUP('Données projet'!$B$12,Paramètres!$A$1:$I$89,7,0))</f>
        <v>0</v>
      </c>
      <c r="CI22" s="122" t="n">
        <f aca="false">IF(ISNA(VLOOKUP(A22,'Données projet'!$A$113:$I$133,6,0)),0%,VLOOKUP(A22,'Données projet'!$A$113:$I$133,6,0)*VLOOKUP('Données projet'!$B$12,Paramètres!$A$1:$I$89,7,0))</f>
        <v>0</v>
      </c>
      <c r="CJ22" s="122" t="n">
        <f aca="false">IF(ISNA(VLOOKUP(A22,'Données projet'!$A$113:$I$133,7,0)),0%,VLOOKUP(A22,'Données projet'!$A$113:$I$133,7,0))</f>
        <v>0</v>
      </c>
      <c r="CK22" s="129" t="n">
        <f aca="false">EXP(-LN(2)/35)*CK21+(1-EXP(-LN(2)/35))/(LN(2)/35)*CG22*CH22*VLOOKUP('Données projet'!$B$12,Paramètres!$A$1:$I$89,3,0)*0.475*44/12</f>
        <v>0</v>
      </c>
      <c r="CL22" s="129" t="n">
        <f aca="false">EXP(-LN(2)/25)*CL21+(1-EXP(-LN(2)/25))/(LN(2)/25)*Calculateur!CG22*Calculateur!CI22*VLOOKUP('Données projet'!$B$12,Paramètres!$A$1:$I$89,3,0)*0.475*44/12</f>
        <v>0</v>
      </c>
      <c r="CM22" s="129" t="n">
        <f aca="false">EXP(-LN(2)/2)*CM21+(1-EXP(-LN(2)/2))/(LN(2)/2)*CG22*CJ22*VLOOKUP('Données projet'!$B$12,Paramètres!$A$1:$I$89,3,0)*0.475*44/12</f>
        <v>9.99160201053317</v>
      </c>
      <c r="CN22" s="130" t="n">
        <f aca="false">SUM(CK22:CM22)</f>
        <v>9.99160201053317</v>
      </c>
      <c r="CO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CQ22" s="118" t="e">
        <f aca="false">VLOOKUP(A22,'Données projet'!$A$139:$I$159,2,0)</f>
        <v>#N/A</v>
      </c>
      <c r="CR22" s="118" t="e">
        <f aca="false">VLOOKUP(A22,'Données projet'!$A$139:$I$159,9,0)</f>
        <v>#N/A</v>
      </c>
      <c r="CS22" s="118" t="n">
        <f aca="false" t="array" ref="CS22:CS22">INDEX(CR:CR,MIN(IF(ISNUMBER(CR22:CR218),ROW(CR22:CR218),"")))</f>
        <v>19.1666666666667</v>
      </c>
      <c r="CT22" s="118" t="n">
        <f aca="false">IF('Données projet'!$A$140&gt;35,CT21+CS22-DB21,IF(A22&lt;'Données projet'!$A$140,$CQ$205^A22,IF(A22='Données projet'!$A$140,'Données projet'!$B$140,CT21+CS22-DB21)))</f>
        <v>143.166666666667</v>
      </c>
      <c r="CU22" s="125" t="n">
        <f aca="false">CT22*VLOOKUP('Données projet'!$B$13,Paramètres!$A$1:$I$89,3,0)*VLOOKUP('Données projet'!$B$13,Paramètres!$A$1:$I$89,5,0)</f>
        <v>78.169</v>
      </c>
      <c r="CV22" s="117" t="n">
        <f aca="false">EXP(-1.0587+0.8836*LN(CU22)+0.284)</f>
        <v>21.6888936229706</v>
      </c>
      <c r="CW22" s="128" t="n">
        <f aca="false">(CU22+CV22)*0.475*44/12</f>
        <v>173.919164726674</v>
      </c>
      <c r="CX22" s="120" t="n">
        <f aca="false">CW22+(CO22+CP22)*44/12</f>
        <v>453.808053615563</v>
      </c>
      <c r="CY22" s="120" t="n">
        <f aca="true">AVERAGE(OFFSET($CX$3,0,0,'Données projet'!$E$13+1,1))-AVERAGE(OFFSET($H$3,0,0,'Données projet'!$E$13+1,1))</f>
        <v>207.023069645676</v>
      </c>
      <c r="CZ22" s="120" t="n">
        <f aca="false">$CZ$3</f>
        <v>342.068879333518</v>
      </c>
      <c r="DA22" s="121" t="n">
        <f aca="false">IF(ISNA(VLOOKUP(A22,'Données projet'!$A$139:$I$159,3,0)),0,VLOOKUP(A22,'Données projet'!$A$139:$I$159,3,0))</f>
        <v>0</v>
      </c>
      <c r="DB22" s="121" t="n">
        <f aca="false">IF(ISNA(VLOOKUP(A22,'Données projet'!$A$139:$I$159,4,0)),0,VLOOKUP(A22,'Données projet'!$A$139:$I$159,4,0))</f>
        <v>0</v>
      </c>
      <c r="DC22" s="122" t="n">
        <f aca="false">IF(ISNA(VLOOKUP(A22,'Données projet'!$A$139:$I$159,5,0)),0%,VLOOKUP(A22,'Données projet'!$A$139:$I$159,5,0)*VLOOKUP('Données projet'!$B$13,Paramètres!$A$1:$I$89,7,0))</f>
        <v>0</v>
      </c>
      <c r="DD22" s="122" t="n">
        <f aca="false">IF(ISNA(VLOOKUP(A22,'Données projet'!$A$139:$I$159,6,0)),0%,VLOOKUP(A22,'Données projet'!$A$139:$I$159,6,0)*VLOOKUP('Données projet'!$B$13,Paramètres!$A$1:$I$89,7,0))</f>
        <v>0</v>
      </c>
      <c r="DE22" s="122" t="n">
        <f aca="false">IF(ISNA(VLOOKUP(A22,'Données projet'!$A$139:$I$159,7,0)),0%,VLOOKUP(A22,'Données projet'!$A$139:$I$159,7,0))</f>
        <v>0</v>
      </c>
      <c r="DF22" s="129" t="n">
        <f aca="false">EXP(-LN(2)/35)*DF21+(1-EXP(-LN(2)/35))/(LN(2)/35)*DB22*DC22*VLOOKUP('Données projet'!$B$13,Paramètres!$A$1:$I$89,3,0)*0.475*44/12</f>
        <v>0</v>
      </c>
      <c r="DG22" s="129" t="n">
        <f aca="false">EXP(-LN(2)/25)*DG21+(1-EXP(-LN(2)/25))/(LN(2)/25)*Calculateur!DB22*Calculateur!DD22*VLOOKUP('Données projet'!$B$13,Paramètres!$A$1:$I$89,3,0)*0.475*44/12</f>
        <v>5.13662099137031</v>
      </c>
      <c r="DH22" s="129" t="n">
        <f aca="false">EXP(-LN(2)/2)*DH21+(1-EXP(-LN(2)/2))/(LN(2)/2)*DB22*DE22*VLOOKUP('Données projet'!$B$13,Paramètres!$A$1:$I$89,3,0)*0.475*44/12</f>
        <v>28.5959065972694</v>
      </c>
      <c r="DI22" s="130" t="n">
        <f aca="false">SUM(DF22:DH22)</f>
        <v>33.7325275886397</v>
      </c>
      <c r="DJ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DL22" s="118" t="e">
        <f aca="false">VLOOKUP(A22,'Données projet'!$A$165:$I$185,2,0)</f>
        <v>#N/A</v>
      </c>
      <c r="DM22" s="118" t="e">
        <f aca="false">VLOOKUP(A22,'Données projet'!$A$165:$I$185,9,0)</f>
        <v>#N/A</v>
      </c>
      <c r="DN22" s="118" t="n">
        <f aca="false" t="array" ref="DN22:DN22">INDEX(DM:DM,MIN(IF(ISNUMBER(DM22:DM218),ROW(DM22:DM218),"")))</f>
        <v>13.25</v>
      </c>
      <c r="DO22" s="118" t="n">
        <f aca="false">IF('Données projet'!$A$166&gt;35,DO21+DN22-DW21,IF(A22&lt;'Données projet'!$A$166,$DL$205^A22,IF(A22='Données projet'!$A$166,'Données projet'!$B$166,DO21+DN22-DW21)))</f>
        <v>105.75</v>
      </c>
      <c r="DP22" s="125" t="n">
        <f aca="false">DO22*VLOOKUP('Données projet'!$B$14,Paramètres!$A$1:$I$89,3,0)*VLOOKUP('Données projet'!$B$14,Paramètres!$A$1:$I$89,5,0)</f>
        <v>63.2385</v>
      </c>
      <c r="DQ22" s="117" t="n">
        <f aca="false">EXP(-1.0587+0.8836*LN(DP22)+0.284)</f>
        <v>17.9845415403946</v>
      </c>
      <c r="DR22" s="128" t="n">
        <f aca="false">(DP22+DQ22)*0.475*44/12</f>
        <v>141.463464016187</v>
      </c>
      <c r="DS22" s="120" t="n">
        <f aca="false">DR22+(DJ22+DK22)*44/12</f>
        <v>421.352352905076</v>
      </c>
      <c r="DT22" s="120" t="n">
        <f aca="true">AVERAGE(OFFSET($DS$3,0,0,'Données projet'!$E$14+1,1))-AVERAGE(OFFSET($H$3,0,0,'Données projet'!$E$14+1,1))</f>
        <v>549.432320957297</v>
      </c>
      <c r="DU22" s="120" t="n">
        <f aca="false">$DU$3</f>
        <v>280.26155987301</v>
      </c>
      <c r="DV22" s="121" t="n">
        <f aca="false">IF(ISNA(VLOOKUP(A22,'Données projet'!$A$165:$I$185,3,0)),0,VLOOKUP(A22,'Données projet'!$A$165:$I$185,3,0))</f>
        <v>0</v>
      </c>
      <c r="DW22" s="121" t="n">
        <f aca="false">IF(ISNA(VLOOKUP(A22,'Données projet'!$A$165:$I$185,4,0)),0,VLOOKUP(A22,'Données projet'!$A$165:$I$185,4,0))</f>
        <v>0</v>
      </c>
      <c r="DX22" s="122" t="n">
        <f aca="false">IF(ISNA(VLOOKUP(A22,'Données projet'!$A$165:$I$185,5,0)),0%,VLOOKUP(A22,'Données projet'!$A$165:$I$185,5,0)*VLOOKUP('Données projet'!$B$14,Paramètres!$A$1:$I$89,7,0))</f>
        <v>0</v>
      </c>
      <c r="DY22" s="122" t="n">
        <f aca="false">IF(ISNA(VLOOKUP(A22,'Données projet'!$A$165:$I$185,6,0)),0%,VLOOKUP(A22,'Données projet'!$A$165:$I$185,6,0)*VLOOKUP('Données projet'!$B$14,Paramètres!$A$1:$I$89,7,0))</f>
        <v>0</v>
      </c>
      <c r="DZ22" s="122" t="n">
        <f aca="false">IF(ISNA(VLOOKUP(A22,'Données projet'!$A$165:$I$185,7,0)),0%,VLOOKUP(A22,'Données projet'!$A$165:$I$185,7,0))</f>
        <v>0</v>
      </c>
      <c r="EA22" s="129" t="n">
        <f aca="false">EXP(-LN(2)/35)*EA21+(1-EXP(-LN(2)/35))/(LN(2)/35)*DW22*DX22*VLOOKUP('Données projet'!$B$14,Paramètres!$A$1:$I$89,3,0)*0.475*44/12</f>
        <v>0</v>
      </c>
      <c r="EB22" s="129" t="n">
        <f aca="false">EXP(-LN(2)/25)*EB21+(1-EXP(-LN(2)/25))/(LN(2)/25)*Calculateur!DW22*Calculateur!DY22*VLOOKUP('Données projet'!$B$14,Paramètres!$A$1:$I$89,3,0)*0.475*44/12</f>
        <v>0</v>
      </c>
      <c r="EC22" s="129" t="n">
        <f aca="false">EXP(-LN(2)/2)*EC21+(1-EXP(-LN(2)/2))/(LN(2)/2)*DW22*DZ22*VLOOKUP('Données projet'!$B$14,Paramètres!$A$1:$I$89,3,0)*0.475*44/12</f>
        <v>0</v>
      </c>
      <c r="ED22" s="130" t="n">
        <f aca="false">SUM(EA22:EC22)</f>
        <v>0</v>
      </c>
      <c r="EE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EG22" s="118" t="e">
        <f aca="false">VLOOKUP(A22,'Données projet'!$A$191:$I$211,2,0)</f>
        <v>#N/A</v>
      </c>
      <c r="EH22" s="118" t="e">
        <f aca="false">VLOOKUP(A22,'Données projet'!$A$191:$I$211,9,0)</f>
        <v>#N/A</v>
      </c>
      <c r="EI22" s="118" t="n">
        <f aca="false" t="array" ref="EI22:EI22">INDEX(EH:EH,MIN(IF(ISNUMBER(EH22:EH218),ROW(EH22:EH218),"")))</f>
        <v>0</v>
      </c>
      <c r="EJ22" s="118" t="n">
        <f aca="false">IF('Données projet'!$A$192&gt;35,EJ21+EI22-ER21,IF(A22&lt;'Données projet'!$A$192,$EG$205^A22,IF(A22='Données projet'!$A$192,'Données projet'!$B$192,EJ21+EI22-ER21)))</f>
        <v>0</v>
      </c>
      <c r="EK22" s="125" t="e">
        <f aca="false">EJ22*VLOOKUP('Données projet'!$B$15,Paramètres!$A$1:$I$89,3,0)*VLOOKUP('Données projet'!$B$15,Paramètres!$A$1:$I$89,5,0)</f>
        <v>#N/A</v>
      </c>
      <c r="EL22" s="117" t="e">
        <f aca="false">EXP(-1.0587+0.8836*LN(EK22)+0.284)</f>
        <v>#N/A</v>
      </c>
      <c r="EM22" s="128" t="e">
        <f aca="false">(EK22+EL22)*0.475*44/12</f>
        <v>#N/A</v>
      </c>
      <c r="EN22" s="120" t="e">
        <f aca="false">EM22+(EE22+EF22)*44/12</f>
        <v>#N/A</v>
      </c>
      <c r="EO22" s="120" t="e">
        <f aca="true">AVERAGE(OFFSET($EN$3,0,0,'Données projet'!$E$15+1,1))-AVERAGE(OFFSET($H$3,0,0,'Données projet'!$E$15+1,1))</f>
        <v>#N/A</v>
      </c>
      <c r="EP22" s="120" t="e">
        <f aca="false">$EP$3</f>
        <v>#N/A</v>
      </c>
      <c r="EQ22" s="121" t="n">
        <f aca="false">IF(ISNA(VLOOKUP(A22,'Données projet'!$A$191:$I$211,3,0)),0,VLOOKUP(A22,'Données projet'!$A$191:$I$211,3,0))</f>
        <v>0</v>
      </c>
      <c r="ER22" s="121" t="n">
        <f aca="false">IF(ISNA(VLOOKUP(A22,'Données projet'!$A$191:$I$211,4,0)),0,VLOOKUP(A22,'Données projet'!$A$191:$I$211,4,0))</f>
        <v>0</v>
      </c>
      <c r="ES22" s="122" t="n">
        <f aca="false">IF(ISNA(VLOOKUP(A22,'Données projet'!$A$191:$I$211,5,0)),0%,VLOOKUP(A22,'Données projet'!$A$191:$I$211,5,0)*VLOOKUP('Données projet'!$B$15,Paramètres!$A$1:$I$89,7,0))</f>
        <v>0</v>
      </c>
      <c r="ET22" s="122" t="n">
        <f aca="false">IF(ISNA(VLOOKUP(A22,'Données projet'!$A$191:$I$211,6,0)),0%,VLOOKUP(A22,'Données projet'!$A$191:$I$211,6,0)*VLOOKUP('Données projet'!$B$15,Paramètres!$A$1:$I$89,7,0))</f>
        <v>0</v>
      </c>
      <c r="EU22" s="122" t="n">
        <f aca="false">IF(ISNA(VLOOKUP(A22,'Données projet'!$A$191:$I$211,7,0)),0%,VLOOKUP(A22,'Données projet'!$A$191:$I$211,7,0))</f>
        <v>0</v>
      </c>
      <c r="EV22" s="129" t="e">
        <f aca="false">EXP(-LN(2)/35)*EV21+(1-EXP(-LN(2)/35))/(LN(2)/35)*ER22*ES22*VLOOKUP('Données projet'!$B$15,Paramètres!$A$1:$I$89,3,0)*0.475*44/12</f>
        <v>#N/A</v>
      </c>
      <c r="EW22" s="129" t="e">
        <f aca="false">EXP(-LN(2)/25)*EW21+(1-EXP(-LN(2)/25))/(LN(2)/25)*Calculateur!ER22*Calculateur!ET22*VLOOKUP('Données projet'!$B$15,Paramètres!$A$1:$I$89,3,0)*0.475*44/12</f>
        <v>#N/A</v>
      </c>
      <c r="EX22" s="129" t="e">
        <f aca="false">EXP(-LN(2)/2)*EX21+(1-EXP(-LN(2)/2))/(LN(2)/2)*ER22*EU22*VLOOKUP('Données projet'!$B$15,Paramètres!$A$1:$I$89,3,0)*0.475*44/12</f>
        <v>#N/A</v>
      </c>
      <c r="EY22" s="130" t="e">
        <f aca="false">SUM(EV22:EX22)</f>
        <v>#N/A</v>
      </c>
      <c r="EZ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FB22" s="118" t="e">
        <f aca="false">VLOOKUP(A22,'Données projet'!$A$217:$I$237,2,0)</f>
        <v>#N/A</v>
      </c>
      <c r="FC22" s="118" t="e">
        <f aca="false">VLOOKUP(A22,'Données projet'!$A$217:$I$237,9,0)</f>
        <v>#N/A</v>
      </c>
      <c r="FD22" s="118" t="n">
        <f aca="false" t="array" ref="FD22:FD22">INDEX(FC:FC,MIN(IF(ISNUMBER(FC22:FC218),ROW(FC22:FC218),"")))</f>
        <v>0</v>
      </c>
      <c r="FE22" s="118" t="n">
        <f aca="false">IF('Données projet'!$A$218&gt;35,FE21+FD22-FM21,IF(A22&lt;'Données projet'!$A$218,$FB$205^A22,IF(A22='Données projet'!$A$218,'Données projet'!$B$218,FE21+FD22-FM21)))</f>
        <v>0</v>
      </c>
      <c r="FF22" s="125" t="e">
        <f aca="false">FE22*VLOOKUP('Données projet'!$B$16,Paramètres!$A$1:$I$89,3,0)*VLOOKUP('Données projet'!$B$16,Paramètres!$A$1:$I$89,5,0)</f>
        <v>#N/A</v>
      </c>
      <c r="FG22" s="117" t="e">
        <f aca="false">EXP(-1.0587+0.8836*LN(FF22)+0.284)</f>
        <v>#N/A</v>
      </c>
      <c r="FH22" s="128" t="e">
        <f aca="false">(FF22+FG22)*0.475*44/12</f>
        <v>#N/A</v>
      </c>
      <c r="FI22" s="120" t="e">
        <f aca="false">FH22+(EZ22+FA22)*44/12</f>
        <v>#N/A</v>
      </c>
      <c r="FJ22" s="120" t="e">
        <f aca="true">AVERAGE(OFFSET($FI$3,0,0,'Données projet'!$E$16+1,1))-AVERAGE(OFFSET($H$3,0,0,'Données projet'!$E$16+1,1))</f>
        <v>#N/A</v>
      </c>
      <c r="FK22" s="120" t="e">
        <f aca="false">$FK$3</f>
        <v>#N/A</v>
      </c>
      <c r="FL22" s="121" t="n">
        <f aca="false">IF(ISNA(VLOOKUP(A22,'Données projet'!$A$217:$I$237,3,0)),0,VLOOKUP(A22,'Données projet'!$A$217:$I$237,3,0))</f>
        <v>0</v>
      </c>
      <c r="FM22" s="121" t="n">
        <f aca="false">IF(ISNA(VLOOKUP(A22,'Données projet'!$A$217:$I$237,4,0)),0,VLOOKUP(A22,'Données projet'!$A$217:$I$237,4,0))</f>
        <v>0</v>
      </c>
      <c r="FN22" s="122" t="n">
        <f aca="false">IF(ISNA(VLOOKUP(A22,'Données projet'!$A$217:$I$237,5,0)),0%,VLOOKUP(A22,'Données projet'!$A$217:$I$237,5,0)*VLOOKUP('Données projet'!$B$16,Paramètres!$A$1:$I$89,7,0))</f>
        <v>0</v>
      </c>
      <c r="FO22" s="122" t="n">
        <f aca="false">IF(ISNA(VLOOKUP(A22,'Données projet'!$A$217:$I$237,6,0)),0%,VLOOKUP(A22,'Données projet'!$A$217:$I$237,6,0)*VLOOKUP('Données projet'!$B$16,Paramètres!$A$1:$I$89,7,0))</f>
        <v>0</v>
      </c>
      <c r="FP22" s="122" t="n">
        <f aca="false">IF(ISNA(VLOOKUP(A22,'Données projet'!$A$217:$I$237,7,0)),0%,VLOOKUP(A22,'Données projet'!$A$217:$I$237,7,0))</f>
        <v>0</v>
      </c>
      <c r="FQ22" s="129" t="e">
        <f aca="false">EXP(-LN(2)/35)*FQ21+(1-EXP(-LN(2)/35))/(LN(2)/35)*FM22*FN22*VLOOKUP('Données projet'!$B$16,Paramètres!$A$1:$I$89,3,0)*0.475*44/12</f>
        <v>#N/A</v>
      </c>
      <c r="FR22" s="129" t="e">
        <f aca="false">EXP(-LN(2)/25)*FR21+(1-EXP(-LN(2)/25))/(LN(2)/25)*Calculateur!FM22*Calculateur!FO22*VLOOKUP('Données projet'!$B$16,Paramètres!$A$1:$I$89,3,0)*0.475*44/12</f>
        <v>#N/A</v>
      </c>
      <c r="FS22" s="129" t="e">
        <f aca="false">EXP(-LN(2)/2)*FS21+(1-EXP(-LN(2)/2))/(LN(2)/2)*FM22*FP22*VLOOKUP('Données projet'!$B$16,Paramètres!$A$1:$I$89,3,0)*0.475*44/12</f>
        <v>#N/A</v>
      </c>
      <c r="FT22" s="130" t="e">
        <f aca="false">SUM(FQ22:FS22)</f>
        <v>#N/A</v>
      </c>
      <c r="FU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FW22" s="118" t="e">
        <f aca="false">VLOOKUP(A22,'Données projet'!$A$243:$I$263,2,0)</f>
        <v>#N/A</v>
      </c>
      <c r="FX22" s="118" t="e">
        <f aca="false">VLOOKUP(A22,'Données projet'!$A$243:$I$263,9,0)</f>
        <v>#N/A</v>
      </c>
      <c r="FY22" s="118" t="n">
        <f aca="false" t="array" ref="FY22:FY22">INDEX(FX:FX,MIN(IF(ISNUMBER(FX22:FX218),ROW(FX22:FX218),"")))</f>
        <v>0</v>
      </c>
      <c r="FZ22" s="118" t="n">
        <f aca="false">IF('Données projet'!$A$244&gt;35,FZ21+FY22-GH21,IF(A22&lt;'Données projet'!$A$244,$FW$205^A22,IF(A22='Données projet'!$A$244,'Données projet'!$B$244,FZ21+FY22-GH21)))</f>
        <v>0</v>
      </c>
      <c r="GA22" s="125" t="e">
        <f aca="false">FZ22*VLOOKUP('Données projet'!$B$17,Paramètres!$A$1:$I$89,3,0)*VLOOKUP('Données projet'!$B$17,Paramètres!$A$1:$I$89,5,0)</f>
        <v>#N/A</v>
      </c>
      <c r="GB22" s="117" t="e">
        <f aca="false">EXP(-1.0587+0.8836*LN(GA22)+0.284)</f>
        <v>#N/A</v>
      </c>
      <c r="GC22" s="128" t="e">
        <f aca="false">(GA22+GB22)*0.475*44/12</f>
        <v>#N/A</v>
      </c>
      <c r="GD22" s="120" t="e">
        <f aca="false">GC22+(FU22+FV22)*44/12</f>
        <v>#N/A</v>
      </c>
      <c r="GE22" s="120" t="e">
        <f aca="true">AVERAGE(OFFSET($GD$3,0,0,'Données projet'!$E$17+1,1))-AVERAGE(OFFSET($H$3,0,0,'Données projet'!$E$17+1,1))</f>
        <v>#N/A</v>
      </c>
      <c r="GF22" s="120" t="e">
        <f aca="false">$GF$3</f>
        <v>#N/A</v>
      </c>
      <c r="GG22" s="121" t="n">
        <f aca="false">IF(ISNA(VLOOKUP(A22,'Données projet'!$A$243:$I$263,3,0)),0,VLOOKUP(A22,'Données projet'!$A$243:$I$263,3,0))</f>
        <v>0</v>
      </c>
      <c r="GH22" s="121" t="n">
        <f aca="false">IF(ISNA(VLOOKUP(A22,'Données projet'!$A$243:$I$263,4,0)),0,VLOOKUP(A22,'Données projet'!$A$243:$I$263,4,0))</f>
        <v>0</v>
      </c>
      <c r="GI22" s="122" t="n">
        <f aca="false">IF(ISNA(VLOOKUP(A22,'Données projet'!$A$243:$I$263,5,0)),0%,VLOOKUP(A22,'Données projet'!$A$243:$I$263,5,0)*VLOOKUP('Données projet'!$B$17,Paramètres!$A$1:$I$89,7,0))</f>
        <v>0</v>
      </c>
      <c r="GJ22" s="122" t="n">
        <f aca="false">IF(ISNA(VLOOKUP(A22,'Données projet'!$A$243:$I$263,6,0)),0%,VLOOKUP(A22,'Données projet'!$A$243:$I$263,6,0)*VLOOKUP('Données projet'!$B$17,Paramètres!$A$1:$I$89,7,0))</f>
        <v>0</v>
      </c>
      <c r="GK22" s="122" t="n">
        <f aca="false">IF(ISNA(VLOOKUP(A22,'Données projet'!$A$243:$I$263,7,0)),0%,VLOOKUP(A22,'Données projet'!$A$243:$I$263,7,0))</f>
        <v>0</v>
      </c>
      <c r="GL22" s="129" t="e">
        <f aca="false">EXP(-LN(2)/35)*GL21+(1-EXP(-LN(2)/35))/(LN(2)/35)*GH22*GI22*VLOOKUP('Données projet'!$B$17,Paramètres!$A$1:$I$89,3,0)*0.475*44/12</f>
        <v>#N/A</v>
      </c>
      <c r="GM22" s="129" t="e">
        <f aca="false">EXP(-LN(2)/25)*GM21+(1-EXP(-LN(2)/25))/(LN(2)/25)*Calculateur!GH22*Calculateur!GJ22*VLOOKUP('Données projet'!$B$17,Paramètres!$A$1:$I$89,3,0)*0.475*44/12</f>
        <v>#N/A</v>
      </c>
      <c r="GN22" s="129" t="e">
        <f aca="false">EXP(-LN(2)/2)*GN21+(1-EXP(-LN(2)/2))/(LN(2)/2)*GH22*GK22*VLOOKUP('Données projet'!$B$17,Paramètres!$A$1:$I$89,3,0)*0.475*44/12</f>
        <v>#N/A</v>
      </c>
      <c r="GO22" s="129" t="e">
        <f aca="false">SUM(GL22:GN22)</f>
        <v>#N/A</v>
      </c>
      <c r="GP22" s="126" t="n">
        <f aca="false"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8" t="n">
        <f aca="false">IF(A22&gt;30,10,('Scénario référence'!$B$16+'Scénario référence'!$B$17+'Scénario référence'!$B$18+'Scénario référence'!$B$9+'Scénario référence'!$B$10)*A22*10/30+('Scénario référence'!$F$8+'Scénario référence'!$F$9)*10)</f>
        <v>6.33333333333333</v>
      </c>
      <c r="GR22" s="118" t="e">
        <f aca="false">VLOOKUP(A22,'Données projet'!$A$269:$I$289,2,0)</f>
        <v>#N/A</v>
      </c>
      <c r="GS22" s="118" t="e">
        <f aca="false">VLOOKUP(A22,'Données projet'!$A$269:$I$289,9,0)</f>
        <v>#N/A</v>
      </c>
      <c r="GT22" s="118" t="n">
        <f aca="false" t="array" ref="GT22:GT22">INDEX(GS:GS,MIN(IF(ISNUMBER(GS22:GS218),ROW(GS22:GS218),"")))</f>
        <v>0</v>
      </c>
      <c r="GU22" s="118" t="n">
        <f aca="false">IF('Données projet'!$A$270&gt;35,GU21+GT22-HC21,IF(A22&lt;'Données projet'!$A$270,$GR$205^A22,IF(A22='Données projet'!$A$270,'Données projet'!$B$270,GU21+GT22-HC21)))</f>
        <v>0</v>
      </c>
      <c r="GV22" s="125" t="e">
        <f aca="false">GU22*VLOOKUP('Données projet'!$B$18,Paramètres!$A$1:$I$89,3,0)*VLOOKUP('Données projet'!$B$18,Paramètres!$A$1:$I$89,5,0)</f>
        <v>#N/A</v>
      </c>
      <c r="GW22" s="117" t="e">
        <f aca="false">EXP(-1.0587+0.8836*LN(GV22)+0.284)</f>
        <v>#N/A</v>
      </c>
      <c r="GX22" s="128" t="e">
        <f aca="false">(GV22+GW22)*0.475*44/12</f>
        <v>#N/A</v>
      </c>
      <c r="GY22" s="120" t="e">
        <f aca="false">GX22+(GP22+GQ22)*44/12</f>
        <v>#N/A</v>
      </c>
      <c r="GZ22" s="120" t="e">
        <f aca="true">AVERAGE(OFFSET($GY$3,0,0,'Données projet'!$E$18+1,1))-AVERAGE(OFFSET($H$3,0,0,'Données projet'!$E$18+1,1))</f>
        <v>#N/A</v>
      </c>
      <c r="HA22" s="120" t="e">
        <f aca="false">$HA$3</f>
        <v>#N/A</v>
      </c>
      <c r="HB22" s="121" t="n">
        <f aca="false">IF(ISNA(VLOOKUP(A22,'Données projet'!$A$269:$I$289,3,0)),0,VLOOKUP(A22,'Données projet'!$A$269:$I$289,3,0))</f>
        <v>0</v>
      </c>
      <c r="HC22" s="121" t="n">
        <f aca="false">IF(ISNA(VLOOKUP(A22,'Données projet'!$A$269:$I$289,4,0)),0,VLOOKUP(A22,'Données projet'!$A$269:$I$289,4,0))</f>
        <v>0</v>
      </c>
      <c r="HD22" s="122" t="n">
        <f aca="false">IF(ISNA(VLOOKUP(A22,'Données projet'!$A$269:$I$289,5,0)),0%,VLOOKUP(A22,'Données projet'!$A$269:$I$289,5,0)*VLOOKUP('Données projet'!$B$18,Paramètres!$A$1:$I$89,7,0))</f>
        <v>0</v>
      </c>
      <c r="HE22" s="122" t="n">
        <f aca="false">IF(ISNA(VLOOKUP(A22,'Données projet'!$A$269:$I$289,6,0)),0%,VLOOKUP(A22,'Données projet'!$A$269:$I$289,6,0)*VLOOKUP('Données projet'!$B$18,Paramètres!$A$1:$I$89,7,0))</f>
        <v>0</v>
      </c>
      <c r="HF22" s="122" t="n">
        <f aca="false">IF(ISNA(VLOOKUP(A22,'Données projet'!$A$269:$I$289,7,0)),0%,VLOOKUP(A22,'Données projet'!$A$269:$I$289,7,0))</f>
        <v>0</v>
      </c>
      <c r="HG22" s="129" t="e">
        <f aca="false">EXP(-LN(2)/35)*HG21+(1-EXP(-LN(2)/35))/(LN(2)/35)*HC22*HD22*VLOOKUP('Données projet'!$B$18,Paramètres!$A$1:$I$89,3,0)*0.475*44/12</f>
        <v>#N/A</v>
      </c>
      <c r="HH22" s="129" t="e">
        <f aca="false">EXP(-LN(2)/25)*HH21+(1-EXP(-LN(2)/25))/(LN(2)/25)*Calculateur!HC22*Calculateur!HE22*VLOOKUP('Données projet'!$B$18,Paramètres!$A$1:$I$89,3,0)*0.475*44/12</f>
        <v>#N/A</v>
      </c>
      <c r="HI22" s="129" t="e">
        <f aca="false">EXP(-LN(2)/2)*HI21+(1-EXP(-LN(2)/2))/(LN(2)/2)*HC22*HF22*VLOOKUP('Données projet'!$B$18,Paramètres!$A$1:$I$89,3,0)*0.475*44/12</f>
        <v>#N/A</v>
      </c>
      <c r="HJ22" s="130" t="e">
        <f aca="false">SUM(HG22:HI22)</f>
        <v>#N/A</v>
      </c>
    </row>
    <row r="23" customFormat="false" ht="14.25" hidden="false" customHeight="false" outlineLevel="0" collapsed="false">
      <c r="A23" s="112" t="n">
        <f aca="false">A22+1</f>
        <v>20</v>
      </c>
      <c r="B23" s="113" t="n">
        <f aca="false">'Scénario référence'!$B$16*5+'Scénario référence'!$B$17*0+'Scénario référence'!$B$18*5</f>
        <v>0</v>
      </c>
      <c r="C23" s="127" t="n">
        <f aca="false"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4" t="n">
        <f aca="false">IFERROR(EXP(-1.0587+0.8836*LN(C23)+0.284),0)</f>
        <v>0</v>
      </c>
      <c r="E2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3" s="114" t="n">
        <f aca="false">IF(OR('Scénario référence'!$F$8&gt;0,'Scénario référence'!$F$9&gt;0),('Scénario référence'!$F$8+'Scénario référence'!$F$9)*10,0)</f>
        <v>0</v>
      </c>
      <c r="G23" s="114" t="n">
        <f aca="false"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15" t="n">
        <f aca="false">(B23+E23+F23)*44/12+(C23+D23)*0.475*44/12</f>
        <v>256.666666666667</v>
      </c>
      <c r="I23" s="11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7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K23" s="118" t="n">
        <f aca="false">VLOOKUP(A23,'Données projet'!$A$35:$I$55,2,0)</f>
        <v>158</v>
      </c>
      <c r="L23" s="118" t="n">
        <f aca="false">VLOOKUP(A23,'Données projet'!$A$35:$I$55,9,0)</f>
        <v>7.9</v>
      </c>
      <c r="M23" s="118" t="n">
        <f aca="false" t="array" ref="M23:M23">INDEX(L:L,MIN(IF(ISNUMBER(L23:L219),ROW(L23:L219),"")))</f>
        <v>7.9</v>
      </c>
      <c r="N23" s="117" t="n">
        <f aca="false">IF('Données projet'!$A$36&gt;35,N22+M23-V22,IF(A23&lt;'Données projet'!$A$36,$K$205^A23,IF(A23='Données projet'!$A$36,'Données projet'!$B$36,N22+M23-V22)))</f>
        <v>158</v>
      </c>
      <c r="O23" s="117" t="n">
        <f aca="false">N23*VLOOKUP('Données projet'!$B$9,Paramètres!$A$1:$I$89,3,0)*VLOOKUP('Données projet'!$B$9,Paramètres!$A$1:$I$89,5,0)</f>
        <v>73.944</v>
      </c>
      <c r="P23" s="117" t="n">
        <f aca="false">EXP(-1.0587+0.8836*LN(O23)+0.284)</f>
        <v>20.6497454601657</v>
      </c>
      <c r="Q23" s="128" t="n">
        <f aca="false">(O23+P23)*0.475*44/12</f>
        <v>164.750773343122</v>
      </c>
      <c r="R23" s="120" t="n">
        <f aca="false">Q23+(I23+J23)*44/12</f>
        <v>445.861884454233</v>
      </c>
      <c r="S23" s="120" t="n">
        <f aca="true">AVERAGE(OFFSET($R$3,0,0,'Données projet'!$E$9+1,1))-AVERAGE(OFFSET($H$3,0,0,'Données projet'!$E$9+1,1))</f>
        <v>319.229030946746</v>
      </c>
      <c r="T23" s="120" t="n">
        <f aca="false">$T$3</f>
        <v>254.586909731428</v>
      </c>
      <c r="U23" s="121" t="n">
        <f aca="false">IF(ISNA(VLOOKUP(A23,'Données projet'!$A$35:$I$55,3,0)),0,VLOOKUP(A23,'Données projet'!$A$35:$I$55,3,0))</f>
        <v>1</v>
      </c>
      <c r="V23" s="121" t="n">
        <f aca="false">IF(ISNA(VLOOKUP(A23,'Données projet'!$A$35:$I$55,4,0)),0,VLOOKUP(A23,'Données projet'!$A$35:$I$55,4,0))</f>
        <v>39.5</v>
      </c>
      <c r="W23" s="122" t="n">
        <f aca="false">IF(ISNA(VLOOKUP(A23,'Données projet'!$A$35:$I$55,5,0)),0%,VLOOKUP(A23,'Données projet'!$A$35:$I$55,5,0)*VLOOKUP('Données projet'!$B$9,Paramètres!$A$1:$I$89,7,0))</f>
        <v>0.11</v>
      </c>
      <c r="X23" s="122" t="n">
        <f aca="false">IF(ISNA(VLOOKUP(A23,'Données projet'!$A$35:$I$55,6,0)),0%,VLOOKUP(A23,'Données projet'!$A$35:$I$55,6,0)*VLOOKUP('Données projet'!$B$9,Paramètres!$A$1:$I$89,7,0))</f>
        <v>0.11</v>
      </c>
      <c r="Y23" s="122" t="n">
        <f aca="false">IF(ISNA(VLOOKUP(A23,'Données projet'!$A$35:$I$55,7,0)),0%,VLOOKUP(A23,'Données projet'!$A$35:$I$55,7,0))</f>
        <v>0.6</v>
      </c>
      <c r="Z23" s="129" t="n">
        <f aca="false">EXP(-LN(2)/35)*Z22+(1-EXP(-LN(2)/35))/(LN(2)/35)*V23*W23*VLOOKUP('Données projet'!$B$9,Paramètres!$A$1:$I$89,3,0)*0.475*44/12</f>
        <v>2.69751575755809</v>
      </c>
      <c r="AA23" s="129" t="n">
        <f aca="false">EXP(-LN(2)/25)*AA22+(1-EXP(-LN(2)/25))/(LN(2)/25)*Calculateur!V23*Calculateur!X23*VLOOKUP('Données projet'!$B$9,Paramètres!$A$1:$I$89,3,0)*0.475*44/12</f>
        <v>2.6868946101865</v>
      </c>
      <c r="AB23" s="129" t="n">
        <f aca="false">EXP(-LN(2)/2)*AB22+(1-EXP(-LN(2)/2))/(LN(2)/2)*V23*Y23*VLOOKUP('Données projet'!$B$9,Paramètres!$A$1:$I$89,3,0)*0.475*44/12</f>
        <v>12.5582677512445</v>
      </c>
      <c r="AC23" s="130" t="n">
        <f aca="false">SUM(Z23:AB23)</f>
        <v>17.9426781189891</v>
      </c>
      <c r="AD23" s="117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7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AF23" s="118" t="e">
        <f aca="false">VLOOKUP(A23,'Données projet'!$A$61:$I$81,2,0)</f>
        <v>#N/A</v>
      </c>
      <c r="AG23" s="118" t="e">
        <f aca="false">VLOOKUP(A23,'Données projet'!$A$61:$I$81,9,0)</f>
        <v>#N/A</v>
      </c>
      <c r="AH23" s="118" t="n">
        <f aca="false" t="array" ref="AH23:AH23">INDEX(AG:AG,MIN(IF(ISNUMBER(AG23:AG219),ROW(AG23:AG219),"")))</f>
        <v>7.04347826086957</v>
      </c>
      <c r="AI23" s="117" t="n">
        <f aca="false">IF('Données projet'!$A$62&gt;35,AI22+AH23-AQ22,IF(A23&lt;'Données projet'!$A$62,$AF$205^A23,IF(A23='Données projet'!$A$62,'Données projet'!$B$62,AI22+AH23-AQ22)))</f>
        <v>83.4290702889228</v>
      </c>
      <c r="AJ23" s="117" t="n">
        <f aca="false">AI23*VLOOKUP('Données projet'!$B$10,Paramètres!$A$1:$I$89,3,0)*VLOOKUP('Données projet'!$B$10,Paramètres!$A$1:$I$89,5,0)</f>
        <v>46.6368502915078</v>
      </c>
      <c r="AK23" s="117" t="n">
        <f aca="false">EXP(-1.0587+0.8836*LN(AJ23)+0.284)</f>
        <v>13.7417232051863</v>
      </c>
      <c r="AL23" s="128" t="n">
        <f aca="false">(AJ23+AK23)*0.475*44/12</f>
        <v>105.159348840076</v>
      </c>
      <c r="AM23" s="120" t="n">
        <f aca="false">AL23+(AD23+AE23)*44/12</f>
        <v>386.270459951187</v>
      </c>
      <c r="AN23" s="120" t="n">
        <f aca="true">AVERAGE(OFFSET($AM$3,0,0,'Données projet'!$E$10+1,1))-AVERAGE(OFFSET($H$3,0,0,'Données projet'!$E$10+1,1))</f>
        <v>365.705101827279</v>
      </c>
      <c r="AO23" s="120" t="n">
        <f aca="false">$AO$3</f>
        <v>436.238338449625</v>
      </c>
      <c r="AP23" s="121" t="n">
        <f aca="false">IF(ISNA(VLOOKUP(A23,'Données projet'!$A$61:$I$81,3,0)),0,VLOOKUP(A23,'Données projet'!$A$61:$I$81,3,0))</f>
        <v>0</v>
      </c>
      <c r="AQ23" s="121" t="n">
        <f aca="false">IF(ISNA(VLOOKUP(A23,'Données projet'!$A$61:$I$81,4,0)),0,VLOOKUP(A23,'Données projet'!$A$61:$I$81,4,0))</f>
        <v>0</v>
      </c>
      <c r="AR23" s="122" t="n">
        <f aca="false">IF(ISNA(VLOOKUP(A23,'Données projet'!$A$61:$I$81,5,0)),0%,VLOOKUP(A23,'Données projet'!$A$61:$I$81,5,0)*VLOOKUP('Données projet'!$B$10,Paramètres!$A$1:$I$89,7,0))</f>
        <v>0</v>
      </c>
      <c r="AS23" s="122" t="n">
        <f aca="false">IF(ISNA(VLOOKUP(A23,'Données projet'!$A$61:$I$81,6,0)),0%,VLOOKUP(A23,'Données projet'!$A$61:$I$81,6,0)*VLOOKUP('Données projet'!$B$10,Paramètres!$A$1:$I$89,7,0))</f>
        <v>0</v>
      </c>
      <c r="AT23" s="122" t="n">
        <f aca="false">IF(ISNA(VLOOKUP(A23,'Données projet'!$A$61:$I$81,7,0)),0%,VLOOKUP(A23,'Données projet'!$A$61:$I$81,7,0))</f>
        <v>0</v>
      </c>
      <c r="AU23" s="129" t="n">
        <f aca="false">EXP(-LN(2)/35)*AU22+(1-EXP(-LN(2)/35))/(LN(2)/35)*AQ23*AR23*VLOOKUP('Données projet'!$B$10,Paramètres!$A$1:$I$89,3,0)*0.475*44/12</f>
        <v>0</v>
      </c>
      <c r="AV23" s="129" t="n">
        <f aca="false">EXP(-LN(2)/25)*AV22+(1-EXP(-LN(2)/25))/(LN(2)/25)*Calculateur!AQ23*Calculateur!AS23*VLOOKUP('Données projet'!$B$10,Paramètres!$A$1:$I$89,3,0)*0.475*44/12</f>
        <v>0</v>
      </c>
      <c r="AW23" s="129" t="n">
        <f aca="false">EXP(-LN(2)/2)*AW22+(1-EXP(-LN(2)/2))/(LN(2)/2)*AQ23*AT23*VLOOKUP('Données projet'!$B$10,Paramètres!$A$1:$I$89,3,0)*0.475*44/12</f>
        <v>0</v>
      </c>
      <c r="AX23" s="129" t="n">
        <f aca="false">SUM(AU23:AW23)</f>
        <v>0</v>
      </c>
      <c r="AY23" s="124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BA23" s="118" t="n">
        <f aca="false">VLOOKUP(A23,'Données projet'!$A$87:$I$107,2,0)</f>
        <v>137</v>
      </c>
      <c r="BB23" s="118" t="n">
        <f aca="false">VLOOKUP(A23,'Données projet'!$A$87:$I$107,9,0)</f>
        <v>14.2</v>
      </c>
      <c r="BC23" s="118" t="n">
        <f aca="false" t="array" ref="BC23:BC23">INDEX(BB:BB,MIN(IF(ISNUMBER(BB23:BB219),ROW(BB23:BB219),"")))</f>
        <v>14.2</v>
      </c>
      <c r="BD23" s="118" t="n">
        <f aca="false">IF('Données projet'!$A$88&gt;35,BD22+BC23-BL22,IF(A23&lt;'Données projet'!$A$88,$BA$205^A23,IF(A23='Données projet'!$A$88,'Données projet'!$B$88,BD22+BC23-BL22)))</f>
        <v>137</v>
      </c>
      <c r="BE23" s="117" t="n">
        <f aca="false">BD23*VLOOKUP('Données projet'!$B$11,Paramètres!$A$1:$I$89,3,0)*VLOOKUP('Données projet'!$B$11,Paramètres!$A$1:$I$89,5,0)</f>
        <v>119.6832</v>
      </c>
      <c r="BF23" s="117" t="n">
        <f aca="false">EXP(-1.0587+0.8836*LN(BE23)+0.284)</f>
        <v>31.6010995325962</v>
      </c>
      <c r="BG23" s="128" t="n">
        <f aca="false">(BE23+BF23)*0.475*44/12</f>
        <v>263.486821685938</v>
      </c>
      <c r="BH23" s="120" t="n">
        <f aca="false">BG23+(AY23+AZ23)*44/12</f>
        <v>544.59793279705</v>
      </c>
      <c r="BI23" s="120" t="n">
        <f aca="true">AVERAGE(OFFSET($BH$3,0,0,'Données projet'!$E$11+1,1))-AVERAGE(OFFSET($H$3,0,0,'Données projet'!$E$11+1,1))</f>
        <v>321.235999689929</v>
      </c>
      <c r="BJ23" s="120" t="n">
        <f aca="false">$BJ$3</f>
        <v>388.051958478005</v>
      </c>
      <c r="BK23" s="121" t="n">
        <f aca="false">IF(ISNA(VLOOKUP(A23,'Données projet'!$A$87:$I$107,3,0)),0,VLOOKUP(A23,'Données projet'!$A$87:$I$107,3,0))</f>
        <v>2</v>
      </c>
      <c r="BL23" s="121" t="n">
        <f aca="false">IF(ISNA(VLOOKUP(A23,'Données projet'!$A$87:$I$107,4,0)),0,VLOOKUP(A23,'Données projet'!$A$87:$I$107,4,0))</f>
        <v>43</v>
      </c>
      <c r="BM23" s="122" t="n">
        <f aca="false">IF(ISNA(VLOOKUP(A23,'Données projet'!$A$87:$I$107,5,0)),0%,VLOOKUP(A23,'Données projet'!$A$87:$I$107,5,0)*VLOOKUP('Données projet'!$B$11,Paramètres!$A$1:$I$89,7,0))</f>
        <v>0.043</v>
      </c>
      <c r="BN23" s="122" t="n">
        <f aca="false">IF(ISNA(VLOOKUP(A23,'Données projet'!$A$87:$I$107,6,0)),0%,VLOOKUP(A23,'Données projet'!$A$87:$I$107,6,0)*VLOOKUP('Données projet'!$B$11,Paramètres!$A$1:$I$89,7,0))</f>
        <v>0.086</v>
      </c>
      <c r="BO23" s="122" t="n">
        <f aca="false">IF(ISNA(VLOOKUP(A23,'Données projet'!$A$87:$I$107,7,0)),0%,VLOOKUP(A23,'Données projet'!$A$87:$I$107,7,0))</f>
        <v>0.4</v>
      </c>
      <c r="BP23" s="129" t="n">
        <f aca="false">EXP(-LN(2)/35)*BP22+(1-EXP(-LN(2)/35))/(LN(2)/35)*BL23*BM23*VLOOKUP('Données projet'!$B$11,Paramètres!$A$1:$I$89,3,0)*0.475*44/12</f>
        <v>1.78565126966241</v>
      </c>
      <c r="BQ23" s="129" t="n">
        <f aca="false">EXP(-LN(2)/25)*BQ22+(1-EXP(-LN(2)/25))/(LN(2)/25)*Calculateur!BL23*Calculateur!BN23*VLOOKUP('Données projet'!$B$11,Paramètres!$A$1:$I$89,3,0)*0.475*44/12</f>
        <v>4.31342608324501</v>
      </c>
      <c r="BR23" s="129" t="n">
        <f aca="false">EXP(-LN(2)/2)*BR22+(1-EXP(-LN(2)/2))/(LN(2)/2)*BL23*BO23*VLOOKUP('Données projet'!$B$11,Paramètres!$A$1:$I$89,3,0)*0.475*44/12</f>
        <v>15.7073239945703</v>
      </c>
      <c r="BS23" s="130" t="n">
        <f aca="false">SUM(BP23:BR23)</f>
        <v>21.8064013474777</v>
      </c>
      <c r="BT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BV23" s="118" t="e">
        <f aca="false">VLOOKUP(A23,'Données projet'!$A$113:$I$133,2,0)</f>
        <v>#N/A</v>
      </c>
      <c r="BW23" s="118" t="e">
        <f aca="false">VLOOKUP(A23,'Données projet'!$A$113:$I$133,9,0)</f>
        <v>#N/A</v>
      </c>
      <c r="BX23" s="118" t="n">
        <f aca="false" t="array" ref="BX23:BX23">INDEX(BW:BW,MIN(IF(ISNUMBER(BW23:BW219),ROW(BW23:BW219),"")))</f>
        <v>18</v>
      </c>
      <c r="BY23" s="118" t="n">
        <f aca="false">IF('Données projet'!$A$114&gt;35,BY22+BX23-CG22,IF(A23&lt;'Données projet'!$A$114,$BV$205^A23,IF(A23='Données projet'!$A$114,'Données projet'!$B$114,BY22+BX23-CG22)))</f>
        <v>128</v>
      </c>
      <c r="BZ23" s="117" t="n">
        <f aca="false">BY23*VLOOKUP('Données projet'!$B$12,Paramètres!$A$1:$I$89,3,0)*VLOOKUP('Données projet'!$B$12,Paramètres!$A$1:$I$89,5,0)</f>
        <v>79.872</v>
      </c>
      <c r="CA23" s="117" t="n">
        <f aca="false">EXP(-1.0587+0.8836*LN(BZ23)+0.284)</f>
        <v>22.1058845471454</v>
      </c>
      <c r="CB23" s="128" t="n">
        <f aca="false">(BZ23+CA23)*0.475*44/12</f>
        <v>177.611482252945</v>
      </c>
      <c r="CC23" s="120" t="n">
        <f aca="false">CB23+(BT23+BU23)*44/12</f>
        <v>458.722593364056</v>
      </c>
      <c r="CD23" s="120" t="n">
        <f aca="true">AVERAGE(OFFSET($CC$3,0,0,'Données projet'!$E$12+1,1))-AVERAGE(OFFSET($H$3,0,0,'Données projet'!$E$12+1,1))</f>
        <v>240.228848647662</v>
      </c>
      <c r="CE23" s="120" t="n">
        <f aca="false">$CE$3</f>
        <v>343.237768841432</v>
      </c>
      <c r="CF23" s="121" t="n">
        <f aca="false">IF(ISNA(VLOOKUP(A23,'Données projet'!$A$113:$I$133,3,0)),0,VLOOKUP(A23,'Données projet'!$A$113:$I$133,3,0))</f>
        <v>0</v>
      </c>
      <c r="CG23" s="121" t="n">
        <f aca="false">IF(ISNA(VLOOKUP(A23,'Données projet'!$A$113:$I$133,4,0)),0,VLOOKUP(A23,'Données projet'!$A$113:$I$133,4,0))</f>
        <v>0</v>
      </c>
      <c r="CH23" s="122" t="n">
        <f aca="false">IF(ISNA(VLOOKUP(A23,'Données projet'!$A$113:$I$133,5,0)),0%,VLOOKUP(A23,'Données projet'!$A$113:$I$133,5,0)*VLOOKUP('Données projet'!$B$12,Paramètres!$A$1:$I$89,7,0))</f>
        <v>0</v>
      </c>
      <c r="CI23" s="122" t="n">
        <f aca="false">IF(ISNA(VLOOKUP(A23,'Données projet'!$A$113:$I$133,6,0)),0%,VLOOKUP(A23,'Données projet'!$A$113:$I$133,6,0)*VLOOKUP('Données projet'!$B$12,Paramètres!$A$1:$I$89,7,0))</f>
        <v>0</v>
      </c>
      <c r="CJ23" s="122" t="n">
        <f aca="false">IF(ISNA(VLOOKUP(A23,'Données projet'!$A$113:$I$133,7,0)),0%,VLOOKUP(A23,'Données projet'!$A$113:$I$133,7,0))</f>
        <v>0</v>
      </c>
      <c r="CK23" s="129" t="n">
        <f aca="false">EXP(-LN(2)/35)*CK22+(1-EXP(-LN(2)/35))/(LN(2)/35)*CG23*CH23*VLOOKUP('Données projet'!$B$12,Paramètres!$A$1:$I$89,3,0)*0.475*44/12</f>
        <v>0</v>
      </c>
      <c r="CL23" s="129" t="n">
        <f aca="false">EXP(-LN(2)/25)*CL22+(1-EXP(-LN(2)/25))/(LN(2)/25)*Calculateur!CG23*Calculateur!CI23*VLOOKUP('Données projet'!$B$12,Paramètres!$A$1:$I$89,3,0)*0.475*44/12</f>
        <v>0</v>
      </c>
      <c r="CM23" s="129" t="n">
        <f aca="false">EXP(-LN(2)/2)*CM22+(1-EXP(-LN(2)/2))/(LN(2)/2)*CG23*CJ23*VLOOKUP('Données projet'!$B$12,Paramètres!$A$1:$I$89,3,0)*0.475*44/12</f>
        <v>7.06512953656515</v>
      </c>
      <c r="CN23" s="130" t="n">
        <f aca="false">SUM(CK23:CM23)</f>
        <v>7.06512953656515</v>
      </c>
      <c r="CO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CQ23" s="118" t="e">
        <f aca="false">VLOOKUP(A23,'Données projet'!$A$139:$I$159,2,0)</f>
        <v>#N/A</v>
      </c>
      <c r="CR23" s="118" t="e">
        <f aca="false">VLOOKUP(A23,'Données projet'!$A$139:$I$159,9,0)</f>
        <v>#N/A</v>
      </c>
      <c r="CS23" s="118" t="n">
        <f aca="false" t="array" ref="CS23:CS23">INDEX(CR:CR,MIN(IF(ISNUMBER(CR23:CR219),ROW(CR23:CR219),"")))</f>
        <v>19.1666666666667</v>
      </c>
      <c r="CT23" s="118" t="n">
        <f aca="false">IF('Données projet'!$A$140&gt;35,CT22+CS23-DB22,IF(A23&lt;'Données projet'!$A$140,$CQ$205^A23,IF(A23='Données projet'!$A$140,'Données projet'!$B$140,CT22+CS23-DB22)))</f>
        <v>162.333333333333</v>
      </c>
      <c r="CU23" s="125" t="n">
        <f aca="false">CT23*VLOOKUP('Données projet'!$B$13,Paramètres!$A$1:$I$89,3,0)*VLOOKUP('Données projet'!$B$13,Paramètres!$A$1:$I$89,5,0)</f>
        <v>88.634</v>
      </c>
      <c r="CV23" s="117" t="n">
        <f aca="false">EXP(-1.0587+0.8836*LN(CU23)+0.284)</f>
        <v>24.2354860147963</v>
      </c>
      <c r="CW23" s="128" t="n">
        <f aca="false">(CU23+CV23)*0.475*44/12</f>
        <v>196.58102147577</v>
      </c>
      <c r="CX23" s="120" t="n">
        <f aca="false">CW23+(CO23+CP23)*44/12</f>
        <v>477.692132586881</v>
      </c>
      <c r="CY23" s="120" t="n">
        <f aca="true">AVERAGE(OFFSET($CX$3,0,0,'Données projet'!$E$13+1,1))-AVERAGE(OFFSET($H$3,0,0,'Données projet'!$E$13+1,1))</f>
        <v>207.023069645676</v>
      </c>
      <c r="CZ23" s="120" t="n">
        <f aca="false">$CZ$3</f>
        <v>342.068879333518</v>
      </c>
      <c r="DA23" s="121" t="n">
        <f aca="false">IF(ISNA(VLOOKUP(A23,'Données projet'!$A$139:$I$159,3,0)),0,VLOOKUP(A23,'Données projet'!$A$139:$I$159,3,0))</f>
        <v>0</v>
      </c>
      <c r="DB23" s="121" t="n">
        <f aca="false">IF(ISNA(VLOOKUP(A23,'Données projet'!$A$139:$I$159,4,0)),0,VLOOKUP(A23,'Données projet'!$A$139:$I$159,4,0))</f>
        <v>0</v>
      </c>
      <c r="DC23" s="122" t="n">
        <f aca="false">IF(ISNA(VLOOKUP(A23,'Données projet'!$A$139:$I$159,5,0)),0%,VLOOKUP(A23,'Données projet'!$A$139:$I$159,5,0)*VLOOKUP('Données projet'!$B$13,Paramètres!$A$1:$I$89,7,0))</f>
        <v>0</v>
      </c>
      <c r="DD23" s="122" t="n">
        <f aca="false">IF(ISNA(VLOOKUP(A23,'Données projet'!$A$139:$I$159,6,0)),0%,VLOOKUP(A23,'Données projet'!$A$139:$I$159,6,0)*VLOOKUP('Données projet'!$B$13,Paramètres!$A$1:$I$89,7,0))</f>
        <v>0</v>
      </c>
      <c r="DE23" s="122" t="n">
        <f aca="false">IF(ISNA(VLOOKUP(A23,'Données projet'!$A$139:$I$159,7,0)),0%,VLOOKUP(A23,'Données projet'!$A$139:$I$159,7,0))</f>
        <v>0</v>
      </c>
      <c r="DF23" s="129" t="n">
        <f aca="false">EXP(-LN(2)/35)*DF22+(1-EXP(-LN(2)/35))/(LN(2)/35)*DB23*DC23*VLOOKUP('Données projet'!$B$13,Paramètres!$A$1:$I$89,3,0)*0.475*44/12</f>
        <v>0</v>
      </c>
      <c r="DG23" s="129" t="n">
        <f aca="false">EXP(-LN(2)/25)*DG22+(1-EXP(-LN(2)/25))/(LN(2)/25)*Calculateur!DB23*Calculateur!DD23*VLOOKUP('Données projet'!$B$13,Paramètres!$A$1:$I$89,3,0)*0.475*44/12</f>
        <v>4.99615982023813</v>
      </c>
      <c r="DH23" s="129" t="n">
        <f aca="false">EXP(-LN(2)/2)*DH22+(1-EXP(-LN(2)/2))/(LN(2)/2)*DB23*DE23*VLOOKUP('Données projet'!$B$13,Paramètres!$A$1:$I$89,3,0)*0.475*44/12</f>
        <v>20.2203594691063</v>
      </c>
      <c r="DI23" s="130" t="n">
        <f aca="false">SUM(DF23:DH23)</f>
        <v>25.2165192893444</v>
      </c>
      <c r="DJ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DL23" s="118" t="n">
        <f aca="false">VLOOKUP(A23,'Données projet'!$A$165:$I$185,2,0)</f>
        <v>119</v>
      </c>
      <c r="DM23" s="118" t="n">
        <f aca="false">VLOOKUP(A23,'Données projet'!$A$165:$I$185,9,0)</f>
        <v>13.25</v>
      </c>
      <c r="DN23" s="118" t="n">
        <f aca="false" t="array" ref="DN23:DN23">INDEX(DM:DM,MIN(IF(ISNUMBER(DM23:DM219),ROW(DM23:DM219),"")))</f>
        <v>13.25</v>
      </c>
      <c r="DO23" s="118" t="n">
        <f aca="false">IF('Données projet'!$A$166&gt;35,DO22+DN23-DW22,IF(A23&lt;'Données projet'!$A$166,$DL$205^A23,IF(A23='Données projet'!$A$166,'Données projet'!$B$166,DO22+DN23-DW22)))</f>
        <v>119</v>
      </c>
      <c r="DP23" s="125" t="n">
        <f aca="false">DO23*VLOOKUP('Données projet'!$B$14,Paramètres!$A$1:$I$89,3,0)*VLOOKUP('Données projet'!$B$14,Paramètres!$A$1:$I$89,5,0)</f>
        <v>71.162</v>
      </c>
      <c r="DQ23" s="117" t="n">
        <f aca="false">EXP(-1.0587+0.8836*LN(DP23)+0.284)</f>
        <v>19.9617460436763</v>
      </c>
      <c r="DR23" s="128" t="n">
        <f aca="false">(DP23+DQ23)*0.475*44/12</f>
        <v>158.70719102607</v>
      </c>
      <c r="DS23" s="120" t="n">
        <f aca="false">DR23+(DJ23+DK23)*44/12</f>
        <v>439.818302137181</v>
      </c>
      <c r="DT23" s="120" t="n">
        <f aca="true">AVERAGE(OFFSET($DS$3,0,0,'Données projet'!$E$14+1,1))-AVERAGE(OFFSET($H$3,0,0,'Données projet'!$E$14+1,1))</f>
        <v>549.432320957297</v>
      </c>
      <c r="DU23" s="120" t="n">
        <f aca="false">$DU$3</f>
        <v>280.26155987301</v>
      </c>
      <c r="DV23" s="121" t="n">
        <f aca="false">IF(ISNA(VLOOKUP(A23,'Données projet'!$A$165:$I$185,3,0)),0,VLOOKUP(A23,'Données projet'!$A$165:$I$185,3,0))</f>
        <v>3</v>
      </c>
      <c r="DW23" s="121" t="n">
        <f aca="false">IF(ISNA(VLOOKUP(A23,'Données projet'!$A$165:$I$185,4,0)),0,VLOOKUP(A23,'Données projet'!$A$165:$I$185,4,0))</f>
        <v>22</v>
      </c>
      <c r="DX23" s="122" t="n">
        <f aca="false">IF(ISNA(VLOOKUP(A23,'Données projet'!$A$165:$I$185,5,0)),0%,VLOOKUP(A23,'Données projet'!$A$165:$I$185,5,0)*VLOOKUP('Données projet'!$B$14,Paramètres!$A$1:$I$89,7,0))</f>
        <v>0</v>
      </c>
      <c r="DY23" s="122" t="n">
        <f aca="false">IF(ISNA(VLOOKUP(A23,'Données projet'!$A$165:$I$185,6,0)),0%,VLOOKUP(A23,'Données projet'!$A$165:$I$185,6,0)*VLOOKUP('Données projet'!$B$14,Paramètres!$A$1:$I$89,7,0))</f>
        <v>0</v>
      </c>
      <c r="DZ23" s="122" t="n">
        <f aca="false">IF(ISNA(VLOOKUP(A23,'Données projet'!$A$165:$I$185,7,0)),0%,VLOOKUP(A23,'Données projet'!$A$165:$I$185,7,0))</f>
        <v>1</v>
      </c>
      <c r="EA23" s="129" t="n">
        <f aca="false">EXP(-LN(2)/35)*EA22+(1-EXP(-LN(2)/35))/(LN(2)/35)*DW23*DX23*VLOOKUP('Données projet'!$B$14,Paramètres!$A$1:$I$89,3,0)*0.475*44/12</f>
        <v>0</v>
      </c>
      <c r="EB23" s="129" t="n">
        <f aca="false">EXP(-LN(2)/25)*EB22+(1-EXP(-LN(2)/25))/(LN(2)/25)*Calculateur!DW23*Calculateur!DY23*VLOOKUP('Données projet'!$B$14,Paramètres!$A$1:$I$89,3,0)*0.475*44/12</f>
        <v>0</v>
      </c>
      <c r="EC23" s="129" t="n">
        <f aca="false">EXP(-LN(2)/2)*EC22+(1-EXP(-LN(2)/2))/(LN(2)/2)*DW23*DZ23*VLOOKUP('Données projet'!$B$14,Paramètres!$A$1:$I$89,3,0)*0.475*44/12</f>
        <v>14.8956481062582</v>
      </c>
      <c r="ED23" s="130" t="n">
        <f aca="false">SUM(EA23:EC23)</f>
        <v>14.8956481062582</v>
      </c>
      <c r="EE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EG23" s="118" t="e">
        <f aca="false">VLOOKUP(A23,'Données projet'!$A$191:$I$211,2,0)</f>
        <v>#N/A</v>
      </c>
      <c r="EH23" s="118" t="e">
        <f aca="false">VLOOKUP(A23,'Données projet'!$A$191:$I$211,9,0)</f>
        <v>#N/A</v>
      </c>
      <c r="EI23" s="118" t="n">
        <f aca="false" t="array" ref="EI23:EI23">INDEX(EH:EH,MIN(IF(ISNUMBER(EH23:EH219),ROW(EH23:EH219),"")))</f>
        <v>0</v>
      </c>
      <c r="EJ23" s="118" t="n">
        <f aca="false">IF('Données projet'!$A$192&gt;35,EJ22+EI23-ER22,IF(A23&lt;'Données projet'!$A$192,$EG$205^A23,IF(A23='Données projet'!$A$192,'Données projet'!$B$192,EJ22+EI23-ER22)))</f>
        <v>0</v>
      </c>
      <c r="EK23" s="125" t="e">
        <f aca="false">EJ23*VLOOKUP('Données projet'!$B$15,Paramètres!$A$1:$I$89,3,0)*VLOOKUP('Données projet'!$B$15,Paramètres!$A$1:$I$89,5,0)</f>
        <v>#N/A</v>
      </c>
      <c r="EL23" s="117" t="e">
        <f aca="false">EXP(-1.0587+0.8836*LN(EK23)+0.284)</f>
        <v>#N/A</v>
      </c>
      <c r="EM23" s="128" t="e">
        <f aca="false">(EK23+EL23)*0.475*44/12</f>
        <v>#N/A</v>
      </c>
      <c r="EN23" s="120" t="e">
        <f aca="false">EM23+(EE23+EF23)*44/12</f>
        <v>#N/A</v>
      </c>
      <c r="EO23" s="120" t="e">
        <f aca="true">AVERAGE(OFFSET($EN$3,0,0,'Données projet'!$E$15+1,1))-AVERAGE(OFFSET($H$3,0,0,'Données projet'!$E$15+1,1))</f>
        <v>#N/A</v>
      </c>
      <c r="EP23" s="120" t="e">
        <f aca="false">$EP$3</f>
        <v>#N/A</v>
      </c>
      <c r="EQ23" s="121" t="n">
        <f aca="false">IF(ISNA(VLOOKUP(A23,'Données projet'!$A$191:$I$211,3,0)),0,VLOOKUP(A23,'Données projet'!$A$191:$I$211,3,0))</f>
        <v>0</v>
      </c>
      <c r="ER23" s="121" t="n">
        <f aca="false">IF(ISNA(VLOOKUP(A23,'Données projet'!$A$191:$I$211,4,0)),0,VLOOKUP(A23,'Données projet'!$A$191:$I$211,4,0))</f>
        <v>0</v>
      </c>
      <c r="ES23" s="122" t="n">
        <f aca="false">IF(ISNA(VLOOKUP(A23,'Données projet'!$A$191:$I$211,5,0)),0%,VLOOKUP(A23,'Données projet'!$A$191:$I$211,5,0)*VLOOKUP('Données projet'!$B$15,Paramètres!$A$1:$I$89,7,0))</f>
        <v>0</v>
      </c>
      <c r="ET23" s="122" t="n">
        <f aca="false">IF(ISNA(VLOOKUP(A23,'Données projet'!$A$191:$I$211,6,0)),0%,VLOOKUP(A23,'Données projet'!$A$191:$I$211,6,0)*VLOOKUP('Données projet'!$B$15,Paramètres!$A$1:$I$89,7,0))</f>
        <v>0</v>
      </c>
      <c r="EU23" s="122" t="n">
        <f aca="false">IF(ISNA(VLOOKUP(A23,'Données projet'!$A$191:$I$211,7,0)),0%,VLOOKUP(A23,'Données projet'!$A$191:$I$211,7,0))</f>
        <v>0</v>
      </c>
      <c r="EV23" s="129" t="e">
        <f aca="false">EXP(-LN(2)/35)*EV22+(1-EXP(-LN(2)/35))/(LN(2)/35)*ER23*ES23*VLOOKUP('Données projet'!$B$15,Paramètres!$A$1:$I$89,3,0)*0.475*44/12</f>
        <v>#N/A</v>
      </c>
      <c r="EW23" s="129" t="e">
        <f aca="false">EXP(-LN(2)/25)*EW22+(1-EXP(-LN(2)/25))/(LN(2)/25)*Calculateur!ER23*Calculateur!ET23*VLOOKUP('Données projet'!$B$15,Paramètres!$A$1:$I$89,3,0)*0.475*44/12</f>
        <v>#N/A</v>
      </c>
      <c r="EX23" s="129" t="e">
        <f aca="false">EXP(-LN(2)/2)*EX22+(1-EXP(-LN(2)/2))/(LN(2)/2)*ER23*EU23*VLOOKUP('Données projet'!$B$15,Paramètres!$A$1:$I$89,3,0)*0.475*44/12</f>
        <v>#N/A</v>
      </c>
      <c r="EY23" s="130" t="e">
        <f aca="false">SUM(EV23:EX23)</f>
        <v>#N/A</v>
      </c>
      <c r="EZ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FB23" s="118" t="e">
        <f aca="false">VLOOKUP(A23,'Données projet'!$A$217:$I$237,2,0)</f>
        <v>#N/A</v>
      </c>
      <c r="FC23" s="118" t="e">
        <f aca="false">VLOOKUP(A23,'Données projet'!$A$217:$I$237,9,0)</f>
        <v>#N/A</v>
      </c>
      <c r="FD23" s="118" t="n">
        <f aca="false" t="array" ref="FD23:FD23">INDEX(FC:FC,MIN(IF(ISNUMBER(FC23:FC219),ROW(FC23:FC219),"")))</f>
        <v>0</v>
      </c>
      <c r="FE23" s="118" t="n">
        <f aca="false">IF('Données projet'!$A$218&gt;35,FE22+FD23-FM22,IF(A23&lt;'Données projet'!$A$218,$FB$205^A23,IF(A23='Données projet'!$A$218,'Données projet'!$B$218,FE22+FD23-FM22)))</f>
        <v>0</v>
      </c>
      <c r="FF23" s="125" t="e">
        <f aca="false">FE23*VLOOKUP('Données projet'!$B$16,Paramètres!$A$1:$I$89,3,0)*VLOOKUP('Données projet'!$B$16,Paramètres!$A$1:$I$89,5,0)</f>
        <v>#N/A</v>
      </c>
      <c r="FG23" s="117" t="e">
        <f aca="false">EXP(-1.0587+0.8836*LN(FF23)+0.284)</f>
        <v>#N/A</v>
      </c>
      <c r="FH23" s="128" t="e">
        <f aca="false">(FF23+FG23)*0.475*44/12</f>
        <v>#N/A</v>
      </c>
      <c r="FI23" s="120" t="e">
        <f aca="false">FH23+(EZ23+FA23)*44/12</f>
        <v>#N/A</v>
      </c>
      <c r="FJ23" s="120" t="e">
        <f aca="true">AVERAGE(OFFSET($FI$3,0,0,'Données projet'!$E$16+1,1))-AVERAGE(OFFSET($H$3,0,0,'Données projet'!$E$16+1,1))</f>
        <v>#N/A</v>
      </c>
      <c r="FK23" s="120" t="e">
        <f aca="false">$FK$3</f>
        <v>#N/A</v>
      </c>
      <c r="FL23" s="121" t="n">
        <f aca="false">IF(ISNA(VLOOKUP(A23,'Données projet'!$A$217:$I$237,3,0)),0,VLOOKUP(A23,'Données projet'!$A$217:$I$237,3,0))</f>
        <v>0</v>
      </c>
      <c r="FM23" s="121" t="n">
        <f aca="false">IF(ISNA(VLOOKUP(A23,'Données projet'!$A$217:$I$237,4,0)),0,VLOOKUP(A23,'Données projet'!$A$217:$I$237,4,0))</f>
        <v>0</v>
      </c>
      <c r="FN23" s="122" t="n">
        <f aca="false">IF(ISNA(VLOOKUP(A23,'Données projet'!$A$217:$I$237,5,0)),0%,VLOOKUP(A23,'Données projet'!$A$217:$I$237,5,0)*VLOOKUP('Données projet'!$B$16,Paramètres!$A$1:$I$89,7,0))</f>
        <v>0</v>
      </c>
      <c r="FO23" s="122" t="n">
        <f aca="false">IF(ISNA(VLOOKUP(A23,'Données projet'!$A$217:$I$237,6,0)),0%,VLOOKUP(A23,'Données projet'!$A$217:$I$237,6,0)*VLOOKUP('Données projet'!$B$16,Paramètres!$A$1:$I$89,7,0))</f>
        <v>0</v>
      </c>
      <c r="FP23" s="122" t="n">
        <f aca="false">IF(ISNA(VLOOKUP(A23,'Données projet'!$A$217:$I$237,7,0)),0%,VLOOKUP(A23,'Données projet'!$A$217:$I$237,7,0))</f>
        <v>0</v>
      </c>
      <c r="FQ23" s="129" t="e">
        <f aca="false">EXP(-LN(2)/35)*FQ22+(1-EXP(-LN(2)/35))/(LN(2)/35)*FM23*FN23*VLOOKUP('Données projet'!$B$16,Paramètres!$A$1:$I$89,3,0)*0.475*44/12</f>
        <v>#N/A</v>
      </c>
      <c r="FR23" s="129" t="e">
        <f aca="false">EXP(-LN(2)/25)*FR22+(1-EXP(-LN(2)/25))/(LN(2)/25)*Calculateur!FM23*Calculateur!FO23*VLOOKUP('Données projet'!$B$16,Paramètres!$A$1:$I$89,3,0)*0.475*44/12</f>
        <v>#N/A</v>
      </c>
      <c r="FS23" s="129" t="e">
        <f aca="false">EXP(-LN(2)/2)*FS22+(1-EXP(-LN(2)/2))/(LN(2)/2)*FM23*FP23*VLOOKUP('Données projet'!$B$16,Paramètres!$A$1:$I$89,3,0)*0.475*44/12</f>
        <v>#N/A</v>
      </c>
      <c r="FT23" s="130" t="e">
        <f aca="false">SUM(FQ23:FS23)</f>
        <v>#N/A</v>
      </c>
      <c r="FU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FW23" s="118" t="e">
        <f aca="false">VLOOKUP(A23,'Données projet'!$A$243:$I$263,2,0)</f>
        <v>#N/A</v>
      </c>
      <c r="FX23" s="118" t="e">
        <f aca="false">VLOOKUP(A23,'Données projet'!$A$243:$I$263,9,0)</f>
        <v>#N/A</v>
      </c>
      <c r="FY23" s="118" t="n">
        <f aca="false" t="array" ref="FY23:FY23">INDEX(FX:FX,MIN(IF(ISNUMBER(FX23:FX219),ROW(FX23:FX219),"")))</f>
        <v>0</v>
      </c>
      <c r="FZ23" s="118" t="n">
        <f aca="false">IF('Données projet'!$A$244&gt;35,FZ22+FY23-GH22,IF(A23&lt;'Données projet'!$A$244,$FW$205^A23,IF(A23='Données projet'!$A$244,'Données projet'!$B$244,FZ22+FY23-GH22)))</f>
        <v>0</v>
      </c>
      <c r="GA23" s="125" t="e">
        <f aca="false">FZ23*VLOOKUP('Données projet'!$B$17,Paramètres!$A$1:$I$89,3,0)*VLOOKUP('Données projet'!$B$17,Paramètres!$A$1:$I$89,5,0)</f>
        <v>#N/A</v>
      </c>
      <c r="GB23" s="117" t="e">
        <f aca="false">EXP(-1.0587+0.8836*LN(GA23)+0.284)</f>
        <v>#N/A</v>
      </c>
      <c r="GC23" s="128" t="e">
        <f aca="false">(GA23+GB23)*0.475*44/12</f>
        <v>#N/A</v>
      </c>
      <c r="GD23" s="120" t="e">
        <f aca="false">GC23+(FU23+FV23)*44/12</f>
        <v>#N/A</v>
      </c>
      <c r="GE23" s="120" t="e">
        <f aca="true">AVERAGE(OFFSET($GD$3,0,0,'Données projet'!$E$17+1,1))-AVERAGE(OFFSET($H$3,0,0,'Données projet'!$E$17+1,1))</f>
        <v>#N/A</v>
      </c>
      <c r="GF23" s="120" t="e">
        <f aca="false">$GF$3</f>
        <v>#N/A</v>
      </c>
      <c r="GG23" s="121" t="n">
        <f aca="false">IF(ISNA(VLOOKUP(A23,'Données projet'!$A$243:$I$263,3,0)),0,VLOOKUP(A23,'Données projet'!$A$243:$I$263,3,0))</f>
        <v>0</v>
      </c>
      <c r="GH23" s="121" t="n">
        <f aca="false">IF(ISNA(VLOOKUP(A23,'Données projet'!$A$243:$I$263,4,0)),0,VLOOKUP(A23,'Données projet'!$A$243:$I$263,4,0))</f>
        <v>0</v>
      </c>
      <c r="GI23" s="122" t="n">
        <f aca="false">IF(ISNA(VLOOKUP(A23,'Données projet'!$A$243:$I$263,5,0)),0%,VLOOKUP(A23,'Données projet'!$A$243:$I$263,5,0)*VLOOKUP('Données projet'!$B$17,Paramètres!$A$1:$I$89,7,0))</f>
        <v>0</v>
      </c>
      <c r="GJ23" s="122" t="n">
        <f aca="false">IF(ISNA(VLOOKUP(A23,'Données projet'!$A$243:$I$263,6,0)),0%,VLOOKUP(A23,'Données projet'!$A$243:$I$263,6,0)*VLOOKUP('Données projet'!$B$17,Paramètres!$A$1:$I$89,7,0))</f>
        <v>0</v>
      </c>
      <c r="GK23" s="122" t="n">
        <f aca="false">IF(ISNA(VLOOKUP(A23,'Données projet'!$A$243:$I$263,7,0)),0%,VLOOKUP(A23,'Données projet'!$A$243:$I$263,7,0))</f>
        <v>0</v>
      </c>
      <c r="GL23" s="129" t="e">
        <f aca="false">EXP(-LN(2)/35)*GL22+(1-EXP(-LN(2)/35))/(LN(2)/35)*GH23*GI23*VLOOKUP('Données projet'!$B$17,Paramètres!$A$1:$I$89,3,0)*0.475*44/12</f>
        <v>#N/A</v>
      </c>
      <c r="GM23" s="129" t="e">
        <f aca="false">EXP(-LN(2)/25)*GM22+(1-EXP(-LN(2)/25))/(LN(2)/25)*Calculateur!GH23*Calculateur!GJ23*VLOOKUP('Données projet'!$B$17,Paramètres!$A$1:$I$89,3,0)*0.475*44/12</f>
        <v>#N/A</v>
      </c>
      <c r="GN23" s="129" t="e">
        <f aca="false">EXP(-LN(2)/2)*GN22+(1-EXP(-LN(2)/2))/(LN(2)/2)*GH23*GK23*VLOOKUP('Données projet'!$B$17,Paramètres!$A$1:$I$89,3,0)*0.475*44/12</f>
        <v>#N/A</v>
      </c>
      <c r="GO23" s="129" t="e">
        <f aca="false">SUM(GL23:GN23)</f>
        <v>#N/A</v>
      </c>
      <c r="GP23" s="126" t="n">
        <f aca="false"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8" t="n">
        <f aca="false">IF(A23&gt;30,10,('Scénario référence'!$B$16+'Scénario référence'!$B$17+'Scénario référence'!$B$18+'Scénario référence'!$B$9+'Scénario référence'!$B$10)*A23*10/30+('Scénario référence'!$F$8+'Scénario référence'!$F$9)*10)</f>
        <v>6.66666666666667</v>
      </c>
      <c r="GR23" s="118" t="e">
        <f aca="false">VLOOKUP(A23,'Données projet'!$A$269:$I$289,2,0)</f>
        <v>#N/A</v>
      </c>
      <c r="GS23" s="118" t="e">
        <f aca="false">VLOOKUP(A23,'Données projet'!$A$269:$I$289,9,0)</f>
        <v>#N/A</v>
      </c>
      <c r="GT23" s="118" t="n">
        <f aca="false" t="array" ref="GT23:GT23">INDEX(GS:GS,MIN(IF(ISNUMBER(GS23:GS219),ROW(GS23:GS219),"")))</f>
        <v>0</v>
      </c>
      <c r="GU23" s="118" t="n">
        <f aca="false">IF('Données projet'!$A$270&gt;35,GU22+GT23-HC22,IF(A23&lt;'Données projet'!$A$270,$GR$205^A23,IF(A23='Données projet'!$A$270,'Données projet'!$B$270,GU22+GT23-HC22)))</f>
        <v>0</v>
      </c>
      <c r="GV23" s="125" t="e">
        <f aca="false">GU23*VLOOKUP('Données projet'!$B$18,Paramètres!$A$1:$I$89,3,0)*VLOOKUP('Données projet'!$B$18,Paramètres!$A$1:$I$89,5,0)</f>
        <v>#N/A</v>
      </c>
      <c r="GW23" s="117" t="e">
        <f aca="false">EXP(-1.0587+0.8836*LN(GV23)+0.284)</f>
        <v>#N/A</v>
      </c>
      <c r="GX23" s="128" t="e">
        <f aca="false">(GV23+GW23)*0.475*44/12</f>
        <v>#N/A</v>
      </c>
      <c r="GY23" s="120" t="e">
        <f aca="false">GX23+(GP23+GQ23)*44/12</f>
        <v>#N/A</v>
      </c>
      <c r="GZ23" s="120" t="e">
        <f aca="true">AVERAGE(OFFSET($GY$3,0,0,'Données projet'!$E$18+1,1))-AVERAGE(OFFSET($H$3,0,0,'Données projet'!$E$18+1,1))</f>
        <v>#N/A</v>
      </c>
      <c r="HA23" s="120" t="e">
        <f aca="false">$HA$3</f>
        <v>#N/A</v>
      </c>
      <c r="HB23" s="121" t="n">
        <f aca="false">IF(ISNA(VLOOKUP(A23,'Données projet'!$A$269:$I$289,3,0)),0,VLOOKUP(A23,'Données projet'!$A$269:$I$289,3,0))</f>
        <v>0</v>
      </c>
      <c r="HC23" s="121" t="n">
        <f aca="false">IF(ISNA(VLOOKUP(A23,'Données projet'!$A$269:$I$289,4,0)),0,VLOOKUP(A23,'Données projet'!$A$269:$I$289,4,0))</f>
        <v>0</v>
      </c>
      <c r="HD23" s="122" t="n">
        <f aca="false">IF(ISNA(VLOOKUP(A23,'Données projet'!$A$269:$I$289,5,0)),0%,VLOOKUP(A23,'Données projet'!$A$269:$I$289,5,0)*VLOOKUP('Données projet'!$B$18,Paramètres!$A$1:$I$89,7,0))</f>
        <v>0</v>
      </c>
      <c r="HE23" s="122" t="n">
        <f aca="false">IF(ISNA(VLOOKUP(A23,'Données projet'!$A$269:$I$289,6,0)),0%,VLOOKUP(A23,'Données projet'!$A$269:$I$289,6,0)*VLOOKUP('Données projet'!$B$18,Paramètres!$A$1:$I$89,7,0))</f>
        <v>0</v>
      </c>
      <c r="HF23" s="122" t="n">
        <f aca="false">IF(ISNA(VLOOKUP(A23,'Données projet'!$A$269:$I$289,7,0)),0%,VLOOKUP(A23,'Données projet'!$A$269:$I$289,7,0))</f>
        <v>0</v>
      </c>
      <c r="HG23" s="129" t="e">
        <f aca="false">EXP(-LN(2)/35)*HG22+(1-EXP(-LN(2)/35))/(LN(2)/35)*HC23*HD23*VLOOKUP('Données projet'!$B$18,Paramètres!$A$1:$I$89,3,0)*0.475*44/12</f>
        <v>#N/A</v>
      </c>
      <c r="HH23" s="129" t="e">
        <f aca="false">EXP(-LN(2)/25)*HH22+(1-EXP(-LN(2)/25))/(LN(2)/25)*Calculateur!HC23*Calculateur!HE23*VLOOKUP('Données projet'!$B$18,Paramètres!$A$1:$I$89,3,0)*0.475*44/12</f>
        <v>#N/A</v>
      </c>
      <c r="HI23" s="129" t="e">
        <f aca="false">EXP(-LN(2)/2)*HI22+(1-EXP(-LN(2)/2))/(LN(2)/2)*HC23*HF23*VLOOKUP('Données projet'!$B$18,Paramètres!$A$1:$I$89,3,0)*0.475*44/12</f>
        <v>#N/A</v>
      </c>
      <c r="HJ23" s="130" t="e">
        <f aca="false">SUM(HG23:HI23)</f>
        <v>#N/A</v>
      </c>
    </row>
    <row r="24" customFormat="false" ht="14.25" hidden="false" customHeight="false" outlineLevel="0" collapsed="false">
      <c r="A24" s="112" t="n">
        <f aca="false">A23+1</f>
        <v>21</v>
      </c>
      <c r="B24" s="113" t="n">
        <f aca="false">'Scénario référence'!$B$16*5+'Scénario référence'!$B$17*0+'Scénario référence'!$B$18*5</f>
        <v>0</v>
      </c>
      <c r="C24" s="127" t="n">
        <f aca="false"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4" t="n">
        <f aca="false">IFERROR(EXP(-1.0587+0.8836*LN(C24)+0.284),0)</f>
        <v>0</v>
      </c>
      <c r="E2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4" s="114" t="n">
        <f aca="false">IF(OR('Scénario référence'!$F$8&gt;0,'Scénario référence'!$F$9&gt;0),('Scénario référence'!$F$8+'Scénario référence'!$F$9)*10,0)</f>
        <v>0</v>
      </c>
      <c r="G24" s="114" t="n">
        <f aca="false"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15" t="n">
        <f aca="false">(B24+E24+F24)*44/12+(C24+D24)*0.475*44/12</f>
        <v>256.666666666667</v>
      </c>
      <c r="I24" s="11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7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18" t="e">
        <f aca="false">VLOOKUP(A24,'Données projet'!$A$35:$I$55,2,0)</f>
        <v>#N/A</v>
      </c>
      <c r="L24" s="118" t="e">
        <f aca="false">VLOOKUP(A24,'Données projet'!$A$35:$I$55,9,0)</f>
        <v>#N/A</v>
      </c>
      <c r="M24" s="118" t="n">
        <f aca="false" t="array" ref="M24:M24">INDEX(L:L,MIN(IF(ISNUMBER(L24:L220),ROW(L24:L220),"")))</f>
        <v>9.2</v>
      </c>
      <c r="N24" s="117" t="n">
        <f aca="false">IF('Données projet'!$A$36&gt;35,N23+M24-V23,IF(A24&lt;'Données projet'!$A$36,$K$205^A24,IF(A24='Données projet'!$A$36,'Données projet'!$B$36,N23+M24-V23)))</f>
        <v>127.7</v>
      </c>
      <c r="O24" s="117" t="n">
        <f aca="false">N24*VLOOKUP('Données projet'!$B$9,Paramètres!$A$1:$I$89,3,0)*VLOOKUP('Données projet'!$B$9,Paramètres!$A$1:$I$89,5,0)</f>
        <v>59.7636</v>
      </c>
      <c r="P24" s="117" t="n">
        <f aca="false">EXP(-1.0587+0.8836*LN(O24)+0.284)</f>
        <v>17.1084859497252</v>
      </c>
      <c r="Q24" s="128" t="n">
        <f aca="false">(O24+P24)*0.475*44/12</f>
        <v>133.885549695771</v>
      </c>
      <c r="R24" s="120" t="n">
        <f aca="false">Q24+(I24+J24)*44/12</f>
        <v>416.218883029105</v>
      </c>
      <c r="S24" s="120" t="n">
        <f aca="true">AVERAGE(OFFSET($R$3,0,0,'Données projet'!$E$9+1,1))-AVERAGE(OFFSET($H$3,0,0,'Données projet'!$E$9+1,1))</f>
        <v>319.229030946746</v>
      </c>
      <c r="T24" s="120" t="n">
        <f aca="false">$T$3</f>
        <v>254.586909731428</v>
      </c>
      <c r="U24" s="121" t="n">
        <f aca="false">IF(ISNA(VLOOKUP(A24,'Données projet'!$A$35:$I$55,3,0)),0,VLOOKUP(A24,'Données projet'!$A$35:$I$55,3,0))</f>
        <v>0</v>
      </c>
      <c r="V24" s="121" t="n">
        <f aca="false">IF(ISNA(VLOOKUP(A24,'Données projet'!$A$35:$I$55,4,0)),0,VLOOKUP(A24,'Données projet'!$A$35:$I$55,4,0))</f>
        <v>0</v>
      </c>
      <c r="W24" s="122" t="n">
        <f aca="false">IF(ISNA(VLOOKUP(A24,'Données projet'!$A$35:$I$55,5,0)),0%,VLOOKUP(A24,'Données projet'!$A$35:$I$55,5,0)*VLOOKUP('Données projet'!$B$9,Paramètres!$A$1:$I$89,7,0))</f>
        <v>0</v>
      </c>
      <c r="X24" s="122" t="n">
        <f aca="false">IF(ISNA(VLOOKUP(A24,'Données projet'!$A$35:$I$55,6,0)),0%,VLOOKUP(A24,'Données projet'!$A$35:$I$55,6,0)*VLOOKUP('Données projet'!$B$9,Paramètres!$A$1:$I$89,7,0))</f>
        <v>0</v>
      </c>
      <c r="Y24" s="122" t="n">
        <f aca="false">IF(ISNA(VLOOKUP(A24,'Données projet'!$A$35:$I$55,7,0)),0%,VLOOKUP(A24,'Données projet'!$A$35:$I$55,7,0))</f>
        <v>0</v>
      </c>
      <c r="Z24" s="129" t="n">
        <f aca="false">EXP(-LN(2)/35)*Z23+(1-EXP(-LN(2)/35))/(LN(2)/35)*V24*W24*VLOOKUP('Données projet'!$B$9,Paramètres!$A$1:$I$89,3,0)*0.475*44/12</f>
        <v>2.64461911887452</v>
      </c>
      <c r="AA24" s="129" t="n">
        <f aca="false">EXP(-LN(2)/25)*AA23+(1-EXP(-LN(2)/25))/(LN(2)/25)*Calculateur!V24*Calculateur!X24*VLOOKUP('Données projet'!$B$9,Paramètres!$A$1:$I$89,3,0)*0.475*44/12</f>
        <v>2.6134213357733</v>
      </c>
      <c r="AB24" s="129" t="n">
        <f aca="false">EXP(-LN(2)/2)*AB23+(1-EXP(-LN(2)/2))/(LN(2)/2)*V24*Y24*VLOOKUP('Données projet'!$B$9,Paramètres!$A$1:$I$89,3,0)*0.475*44/12</f>
        <v>8.88003628686135</v>
      </c>
      <c r="AC24" s="130" t="n">
        <f aca="false">SUM(Z24:AB24)</f>
        <v>14.1380767415092</v>
      </c>
      <c r="AD24" s="117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7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18" t="e">
        <f aca="false">VLOOKUP(A24,'Données projet'!$A$61:$I$81,2,0)</f>
        <v>#N/A</v>
      </c>
      <c r="AG24" s="118" t="e">
        <f aca="false">VLOOKUP(A24,'Données projet'!$A$61:$I$81,9,0)</f>
        <v>#N/A</v>
      </c>
      <c r="AH24" s="118" t="n">
        <f aca="false" t="array" ref="AH24:AH24">INDEX(AG:AG,MIN(IF(ISNUMBER(AG24:AG220),ROW(AG24:AG220),"")))</f>
        <v>7.04347826086957</v>
      </c>
      <c r="AI24" s="117" t="n">
        <f aca="false">IF('Données projet'!$A$62&gt;35,AI23+AH24-AQ23,IF(A24&lt;'Données projet'!$A$62,$AF$205^A24,IF(A24='Données projet'!$A$62,'Données projet'!$B$62,AI23+AH24-AQ23)))</f>
        <v>104.083832265299</v>
      </c>
      <c r="AJ24" s="117" t="n">
        <f aca="false">AI24*VLOOKUP('Données projet'!$B$10,Paramètres!$A$1:$I$89,3,0)*VLOOKUP('Données projet'!$B$10,Paramètres!$A$1:$I$89,5,0)</f>
        <v>58.1828622363023</v>
      </c>
      <c r="AK24" s="117" t="n">
        <f aca="false">EXP(-1.0587+0.8836*LN(AJ24)+0.284)</f>
        <v>16.708020496205</v>
      </c>
      <c r="AL24" s="128" t="n">
        <f aca="false">(AJ24+AK24)*0.475*44/12</f>
        <v>130.43495409245</v>
      </c>
      <c r="AM24" s="120" t="n">
        <f aca="false">AL24+(AD24+AE24)*44/12</f>
        <v>412.768287425784</v>
      </c>
      <c r="AN24" s="120" t="n">
        <f aca="true">AVERAGE(OFFSET($AM$3,0,0,'Données projet'!$E$10+1,1))-AVERAGE(OFFSET($H$3,0,0,'Données projet'!$E$10+1,1))</f>
        <v>365.705101827279</v>
      </c>
      <c r="AO24" s="120" t="n">
        <f aca="false">$AO$3</f>
        <v>436.238338449625</v>
      </c>
      <c r="AP24" s="121" t="n">
        <f aca="false">IF(ISNA(VLOOKUP(A24,'Données projet'!$A$61:$I$81,3,0)),0,VLOOKUP(A24,'Données projet'!$A$61:$I$81,3,0))</f>
        <v>0</v>
      </c>
      <c r="AQ24" s="121" t="n">
        <f aca="false">IF(ISNA(VLOOKUP(A24,'Données projet'!$A$61:$I$81,4,0)),0,VLOOKUP(A24,'Données projet'!$A$61:$I$81,4,0))</f>
        <v>0</v>
      </c>
      <c r="AR24" s="122" t="n">
        <f aca="false">IF(ISNA(VLOOKUP(A24,'Données projet'!$A$61:$I$81,5,0)),0%,VLOOKUP(A24,'Données projet'!$A$61:$I$81,5,0)*VLOOKUP('Données projet'!$B$10,Paramètres!$A$1:$I$89,7,0))</f>
        <v>0</v>
      </c>
      <c r="AS24" s="122" t="n">
        <f aca="false">IF(ISNA(VLOOKUP(A24,'Données projet'!$A$61:$I$81,6,0)),0%,VLOOKUP(A24,'Données projet'!$A$61:$I$81,6,0)*VLOOKUP('Données projet'!$B$10,Paramètres!$A$1:$I$89,7,0))</f>
        <v>0</v>
      </c>
      <c r="AT24" s="122" t="n">
        <f aca="false">IF(ISNA(VLOOKUP(A24,'Données projet'!$A$61:$I$81,7,0)),0%,VLOOKUP(A24,'Données projet'!$A$61:$I$81,7,0))</f>
        <v>0</v>
      </c>
      <c r="AU24" s="129" t="n">
        <f aca="false">EXP(-LN(2)/35)*AU23+(1-EXP(-LN(2)/35))/(LN(2)/35)*AQ24*AR24*VLOOKUP('Données projet'!$B$10,Paramètres!$A$1:$I$89,3,0)*0.475*44/12</f>
        <v>0</v>
      </c>
      <c r="AV24" s="129" t="n">
        <f aca="false">EXP(-LN(2)/25)*AV23+(1-EXP(-LN(2)/25))/(LN(2)/25)*Calculateur!AQ24*Calculateur!AS24*VLOOKUP('Données projet'!$B$10,Paramètres!$A$1:$I$89,3,0)*0.475*44/12</f>
        <v>0</v>
      </c>
      <c r="AW24" s="129" t="n">
        <f aca="false">EXP(-LN(2)/2)*AW23+(1-EXP(-LN(2)/2))/(LN(2)/2)*AQ24*AT24*VLOOKUP('Données projet'!$B$10,Paramètres!$A$1:$I$89,3,0)*0.475*44/12</f>
        <v>0</v>
      </c>
      <c r="AX24" s="129" t="n">
        <f aca="false">SUM(AU24:AW24)</f>
        <v>0</v>
      </c>
      <c r="AY24" s="124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18" t="e">
        <f aca="false">VLOOKUP(A24,'Données projet'!$A$87:$I$107,2,0)</f>
        <v>#N/A</v>
      </c>
      <c r="BB24" s="118" t="e">
        <f aca="false">VLOOKUP(A24,'Données projet'!$A$87:$I$107,9,0)</f>
        <v>#N/A</v>
      </c>
      <c r="BC24" s="118" t="n">
        <f aca="false" t="array" ref="BC24:BC24">INDEX(BB:BB,MIN(IF(ISNUMBER(BB24:BB220),ROW(BB24:BB220),"")))</f>
        <v>13.8</v>
      </c>
      <c r="BD24" s="118" t="n">
        <f aca="false">IF('Données projet'!$A$88&gt;35,BD23+BC24-BL23,IF(A24&lt;'Données projet'!$A$88,$BA$205^A24,IF(A24='Données projet'!$A$88,'Données projet'!$B$88,BD23+BC24-BL23)))</f>
        <v>107.8</v>
      </c>
      <c r="BE24" s="117" t="n">
        <f aca="false">BD24*VLOOKUP('Données projet'!$B$11,Paramètres!$A$1:$I$89,3,0)*VLOOKUP('Données projet'!$B$11,Paramètres!$A$1:$I$89,5,0)</f>
        <v>94.17408</v>
      </c>
      <c r="BF24" s="117" t="n">
        <f aca="false">EXP(-1.0587+0.8836*LN(BE24)+0.284)</f>
        <v>25.5692410677462</v>
      </c>
      <c r="BG24" s="128" t="n">
        <f aca="false">(BE24+BF24)*0.475*44/12</f>
        <v>208.552950859658</v>
      </c>
      <c r="BH24" s="120" t="n">
        <f aca="false">BG24+(AY24+AZ24)*44/12</f>
        <v>490.886284192991</v>
      </c>
      <c r="BI24" s="120" t="n">
        <f aca="true">AVERAGE(OFFSET($BH$3,0,0,'Données projet'!$E$11+1,1))-AVERAGE(OFFSET($H$3,0,0,'Données projet'!$E$11+1,1))</f>
        <v>321.235999689929</v>
      </c>
      <c r="BJ24" s="120" t="n">
        <f aca="false">$BJ$3</f>
        <v>388.051958478005</v>
      </c>
      <c r="BK24" s="121" t="n">
        <f aca="false">IF(ISNA(VLOOKUP(A24,'Données projet'!$A$87:$I$107,3,0)),0,VLOOKUP(A24,'Données projet'!$A$87:$I$107,3,0))</f>
        <v>0</v>
      </c>
      <c r="BL24" s="121" t="n">
        <f aca="false">IF(ISNA(VLOOKUP(A24,'Données projet'!$A$87:$I$107,4,0)),0,VLOOKUP(A24,'Données projet'!$A$87:$I$107,4,0))</f>
        <v>0</v>
      </c>
      <c r="BM24" s="122" t="n">
        <f aca="false">IF(ISNA(VLOOKUP(A24,'Données projet'!$A$87:$I$107,5,0)),0%,VLOOKUP(A24,'Données projet'!$A$87:$I$107,5,0)*VLOOKUP('Données projet'!$B$11,Paramètres!$A$1:$I$89,7,0))</f>
        <v>0</v>
      </c>
      <c r="BN24" s="122" t="n">
        <f aca="false">IF(ISNA(VLOOKUP(A24,'Données projet'!$A$87:$I$107,6,0)),0%,VLOOKUP(A24,'Données projet'!$A$87:$I$107,6,0)*VLOOKUP('Données projet'!$B$11,Paramètres!$A$1:$I$89,7,0))</f>
        <v>0</v>
      </c>
      <c r="BO24" s="122" t="n">
        <f aca="false">IF(ISNA(VLOOKUP(A24,'Données projet'!$A$87:$I$107,7,0)),0%,VLOOKUP(A24,'Données projet'!$A$87:$I$107,7,0))</f>
        <v>0</v>
      </c>
      <c r="BP24" s="129" t="n">
        <f aca="false">EXP(-LN(2)/35)*BP23+(1-EXP(-LN(2)/35))/(LN(2)/35)*BL24*BM24*VLOOKUP('Données projet'!$B$11,Paramètres!$A$1:$I$89,3,0)*0.475*44/12</f>
        <v>1.75063573740406</v>
      </c>
      <c r="BQ24" s="129" t="n">
        <f aca="false">EXP(-LN(2)/25)*BQ23+(1-EXP(-LN(2)/25))/(LN(2)/25)*Calculateur!BL24*Calculateur!BN24*VLOOKUP('Données projet'!$B$11,Paramètres!$A$1:$I$89,3,0)*0.475*44/12</f>
        <v>4.19547522016545</v>
      </c>
      <c r="BR24" s="129" t="n">
        <f aca="false">EXP(-LN(2)/2)*BR23+(1-EXP(-LN(2)/2))/(LN(2)/2)*BL24*BO24*VLOOKUP('Données projet'!$B$11,Paramètres!$A$1:$I$89,3,0)*0.475*44/12</f>
        <v>11.1067553108548</v>
      </c>
      <c r="BS24" s="130" t="n">
        <f aca="false">SUM(BP24:BR24)</f>
        <v>17.0528662684243</v>
      </c>
      <c r="BT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18" t="n">
        <f aca="false">VLOOKUP(A24,'Données projet'!$A$113:$I$133,2,0)</f>
        <v>146</v>
      </c>
      <c r="BW24" s="118" t="n">
        <f aca="false">VLOOKUP(A24,'Données projet'!$A$113:$I$133,9,0)</f>
        <v>18</v>
      </c>
      <c r="BX24" s="118" t="n">
        <f aca="false" t="array" ref="BX24:BX24">INDEX(BW:BW,MIN(IF(ISNUMBER(BW24:BW220),ROW(BW24:BW220),"")))</f>
        <v>18</v>
      </c>
      <c r="BY24" s="118" t="n">
        <f aca="false">IF('Données projet'!$A$114&gt;35,BY23+BX24-CG23,IF(A24&lt;'Données projet'!$A$114,$BV$205^A24,IF(A24='Données projet'!$A$114,'Données projet'!$B$114,BY23+BX24-CG23)))</f>
        <v>146</v>
      </c>
      <c r="BZ24" s="117" t="n">
        <f aca="false">BY24*VLOOKUP('Données projet'!$B$12,Paramètres!$A$1:$I$89,3,0)*VLOOKUP('Données projet'!$B$12,Paramètres!$A$1:$I$89,5,0)</f>
        <v>91.104</v>
      </c>
      <c r="CA24" s="117" t="n">
        <f aca="false">EXP(-1.0587+0.8836*LN(BZ24)+0.284)</f>
        <v>24.8312939847079</v>
      </c>
      <c r="CB24" s="128" t="n">
        <f aca="false">(BZ24+CA24)*0.475*44/12</f>
        <v>201.920637023366</v>
      </c>
      <c r="CC24" s="120" t="n">
        <f aca="false">CB24+(BT24+BU24)*44/12</f>
        <v>484.2539703567</v>
      </c>
      <c r="CD24" s="120" t="n">
        <f aca="true">AVERAGE(OFFSET($CC$3,0,0,'Données projet'!$E$12+1,1))-AVERAGE(OFFSET($H$3,0,0,'Données projet'!$E$12+1,1))</f>
        <v>240.228848647662</v>
      </c>
      <c r="CE24" s="120" t="n">
        <f aca="false">$CE$3</f>
        <v>343.237768841432</v>
      </c>
      <c r="CF24" s="121" t="n">
        <f aca="false">IF(ISNA(VLOOKUP(A24,'Données projet'!$A$113:$I$133,3,0)),0,VLOOKUP(A24,'Données projet'!$A$113:$I$133,3,0))</f>
        <v>2</v>
      </c>
      <c r="CG24" s="121" t="n">
        <f aca="false">IF(ISNA(VLOOKUP(A24,'Données projet'!$A$113:$I$133,4,0)),0,VLOOKUP(A24,'Données projet'!$A$113:$I$133,4,0))</f>
        <v>26</v>
      </c>
      <c r="CH24" s="122" t="n">
        <f aca="false">IF(ISNA(VLOOKUP(A24,'Données projet'!$A$113:$I$133,5,0)),0%,VLOOKUP(A24,'Données projet'!$A$113:$I$133,5,0)*VLOOKUP('Données projet'!$B$12,Paramètres!$A$1:$I$89,7,0))</f>
        <v>0</v>
      </c>
      <c r="CI24" s="122" t="n">
        <f aca="false">IF(ISNA(VLOOKUP(A24,'Données projet'!$A$113:$I$133,6,0)),0%,VLOOKUP(A24,'Données projet'!$A$113:$I$133,6,0)*VLOOKUP('Données projet'!$B$12,Paramètres!$A$1:$I$89,7,0))</f>
        <v>0.12</v>
      </c>
      <c r="CJ24" s="122" t="n">
        <f aca="false">IF(ISNA(VLOOKUP(A24,'Données projet'!$A$113:$I$133,7,0)),0%,VLOOKUP(A24,'Données projet'!$A$113:$I$133,7,0))</f>
        <v>0.8</v>
      </c>
      <c r="CK24" s="129" t="n">
        <f aca="false">EXP(-LN(2)/35)*CK23+(1-EXP(-LN(2)/35))/(LN(2)/35)*CG24*CH24*VLOOKUP('Données projet'!$B$12,Paramètres!$A$1:$I$89,3,0)*0.475*44/12</f>
        <v>0</v>
      </c>
      <c r="CL24" s="129" t="n">
        <f aca="false">EXP(-LN(2)/25)*CL23+(1-EXP(-LN(2)/25))/(LN(2)/25)*Calculateur!CG24*Calculateur!CI24*VLOOKUP('Données projet'!$B$12,Paramètres!$A$1:$I$89,3,0)*0.475*44/12</f>
        <v>2.57249288340065</v>
      </c>
      <c r="CM24" s="129" t="n">
        <f aca="false">EXP(-LN(2)/2)*CM23+(1-EXP(-LN(2)/2))/(LN(2)/2)*CG24*CJ24*VLOOKUP('Données projet'!$B$12,Paramètres!$A$1:$I$89,3,0)*0.475*44/12</f>
        <v>19.6912704413221</v>
      </c>
      <c r="CN24" s="130" t="n">
        <f aca="false">SUM(CK24:CM24)</f>
        <v>22.2637633247227</v>
      </c>
      <c r="CO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18" t="e">
        <f aca="false">VLOOKUP(A24,'Données projet'!$A$139:$I$159,2,0)</f>
        <v>#N/A</v>
      </c>
      <c r="CR24" s="118" t="e">
        <f aca="false">VLOOKUP(A24,'Données projet'!$A$139:$I$159,9,0)</f>
        <v>#N/A</v>
      </c>
      <c r="CS24" s="118" t="n">
        <f aca="false" t="array" ref="CS24:CS24">INDEX(CR:CR,MIN(IF(ISNUMBER(CR24:CR220),ROW(CR24:CR220),"")))</f>
        <v>19.1666666666667</v>
      </c>
      <c r="CT24" s="118" t="n">
        <f aca="false">IF('Données projet'!$A$140&gt;35,CT23+CS24-DB23,IF(A24&lt;'Données projet'!$A$140,$CQ$205^A24,IF(A24='Données projet'!$A$140,'Données projet'!$B$140,CT23+CS24-DB23)))</f>
        <v>181.5</v>
      </c>
      <c r="CU24" s="125" t="n">
        <f aca="false">CT24*VLOOKUP('Données projet'!$B$13,Paramètres!$A$1:$I$89,3,0)*VLOOKUP('Données projet'!$B$13,Paramètres!$A$1:$I$89,5,0)</f>
        <v>99.099</v>
      </c>
      <c r="CV24" s="117" t="n">
        <f aca="false">EXP(-1.0587+0.8836*LN(CU24)+0.284)</f>
        <v>26.7472337845971</v>
      </c>
      <c r="CW24" s="128" t="n">
        <f aca="false">(CU24+CV24)*0.475*44/12</f>
        <v>219.182190508173</v>
      </c>
      <c r="CX24" s="120" t="n">
        <f aca="false">CW24+(CO24+CP24)*44/12</f>
        <v>501.515523841507</v>
      </c>
      <c r="CY24" s="120" t="n">
        <f aca="true">AVERAGE(OFFSET($CX$3,0,0,'Données projet'!$E$13+1,1))-AVERAGE(OFFSET($H$3,0,0,'Données projet'!$E$13+1,1))</f>
        <v>207.023069645676</v>
      </c>
      <c r="CZ24" s="120" t="n">
        <f aca="false">$CZ$3</f>
        <v>342.068879333518</v>
      </c>
      <c r="DA24" s="121" t="n">
        <f aca="false">IF(ISNA(VLOOKUP(A24,'Données projet'!$A$139:$I$159,3,0)),0,VLOOKUP(A24,'Données projet'!$A$139:$I$159,3,0))</f>
        <v>0</v>
      </c>
      <c r="DB24" s="121" t="n">
        <f aca="false">IF(ISNA(VLOOKUP(A24,'Données projet'!$A$139:$I$159,4,0)),0,VLOOKUP(A24,'Données projet'!$A$139:$I$159,4,0))</f>
        <v>0</v>
      </c>
      <c r="DC24" s="122" t="n">
        <f aca="false">IF(ISNA(VLOOKUP(A24,'Données projet'!$A$139:$I$159,5,0)),0%,VLOOKUP(A24,'Données projet'!$A$139:$I$159,5,0)*VLOOKUP('Données projet'!$B$13,Paramètres!$A$1:$I$89,7,0))</f>
        <v>0</v>
      </c>
      <c r="DD24" s="122" t="n">
        <f aca="false">IF(ISNA(VLOOKUP(A24,'Données projet'!$A$139:$I$159,6,0)),0%,VLOOKUP(A24,'Données projet'!$A$139:$I$159,6,0)*VLOOKUP('Données projet'!$B$13,Paramètres!$A$1:$I$89,7,0))</f>
        <v>0</v>
      </c>
      <c r="DE24" s="122" t="n">
        <f aca="false">IF(ISNA(VLOOKUP(A24,'Données projet'!$A$139:$I$159,7,0)),0%,VLOOKUP(A24,'Données projet'!$A$139:$I$159,7,0))</f>
        <v>0</v>
      </c>
      <c r="DF24" s="129" t="n">
        <f aca="false">EXP(-LN(2)/35)*DF23+(1-EXP(-LN(2)/35))/(LN(2)/35)*DB24*DC24*VLOOKUP('Données projet'!$B$13,Paramètres!$A$1:$I$89,3,0)*0.475*44/12</f>
        <v>0</v>
      </c>
      <c r="DG24" s="129" t="n">
        <f aca="false">EXP(-LN(2)/25)*DG23+(1-EXP(-LN(2)/25))/(LN(2)/25)*Calculateur!DB24*Calculateur!DD24*VLOOKUP('Données projet'!$B$13,Paramètres!$A$1:$I$89,3,0)*0.475*44/12</f>
        <v>4.85953956721709</v>
      </c>
      <c r="DH24" s="129" t="n">
        <f aca="false">EXP(-LN(2)/2)*DH23+(1-EXP(-LN(2)/2))/(LN(2)/2)*DB24*DE24*VLOOKUP('Données projet'!$B$13,Paramètres!$A$1:$I$89,3,0)*0.475*44/12</f>
        <v>14.2979532986347</v>
      </c>
      <c r="DI24" s="130" t="n">
        <f aca="false">SUM(DF24:DH24)</f>
        <v>19.1574928658518</v>
      </c>
      <c r="DJ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18" t="e">
        <f aca="false">VLOOKUP(A24,'Données projet'!$A$165:$I$185,2,0)</f>
        <v>#N/A</v>
      </c>
      <c r="DM24" s="118" t="e">
        <f aca="false">VLOOKUP(A24,'Données projet'!$A$165:$I$185,9,0)</f>
        <v>#N/A</v>
      </c>
      <c r="DN24" s="118" t="n">
        <f aca="false" t="array" ref="DN24:DN24">INDEX(DM:DM,MIN(IF(ISNUMBER(DM24:DM220),ROW(DM24:DM220),"")))</f>
        <v>15</v>
      </c>
      <c r="DO24" s="118" t="n">
        <f aca="false">IF('Données projet'!$A$166&gt;35,DO23+DN24-DW23,IF(A24&lt;'Données projet'!$A$166,$DL$205^A24,IF(A24='Données projet'!$A$166,'Données projet'!$B$166,DO23+DN24-DW23)))</f>
        <v>112</v>
      </c>
      <c r="DP24" s="125" t="n">
        <f aca="false">DO24*VLOOKUP('Données projet'!$B$14,Paramètres!$A$1:$I$89,3,0)*VLOOKUP('Données projet'!$B$14,Paramètres!$A$1:$I$89,5,0)</f>
        <v>66.976</v>
      </c>
      <c r="DQ24" s="117" t="n">
        <f aca="false">EXP(-1.0587+0.8836*LN(DP24)+0.284)</f>
        <v>18.920572617447</v>
      </c>
      <c r="DR24" s="128" t="n">
        <f aca="false">(DP24+DQ24)*0.475*44/12</f>
        <v>149.60319730872</v>
      </c>
      <c r="DS24" s="120" t="n">
        <f aca="false">DR24+(DJ24+DK24)*44/12</f>
        <v>431.936530642053</v>
      </c>
      <c r="DT24" s="120" t="n">
        <f aca="true">AVERAGE(OFFSET($DS$3,0,0,'Données projet'!$E$14+1,1))-AVERAGE(OFFSET($H$3,0,0,'Données projet'!$E$14+1,1))</f>
        <v>549.432320957297</v>
      </c>
      <c r="DU24" s="120" t="n">
        <f aca="false">$DU$3</f>
        <v>280.26155987301</v>
      </c>
      <c r="DV24" s="121" t="n">
        <f aca="false">IF(ISNA(VLOOKUP(A24,'Données projet'!$A$165:$I$185,3,0)),0,VLOOKUP(A24,'Données projet'!$A$165:$I$185,3,0))</f>
        <v>0</v>
      </c>
      <c r="DW24" s="121" t="n">
        <f aca="false">IF(ISNA(VLOOKUP(A24,'Données projet'!$A$165:$I$185,4,0)),0,VLOOKUP(A24,'Données projet'!$A$165:$I$185,4,0))</f>
        <v>0</v>
      </c>
      <c r="DX24" s="122" t="n">
        <f aca="false">IF(ISNA(VLOOKUP(A24,'Données projet'!$A$165:$I$185,5,0)),0%,VLOOKUP(A24,'Données projet'!$A$165:$I$185,5,0)*VLOOKUP('Données projet'!$B$14,Paramètres!$A$1:$I$89,7,0))</f>
        <v>0</v>
      </c>
      <c r="DY24" s="122" t="n">
        <f aca="false">IF(ISNA(VLOOKUP(A24,'Données projet'!$A$165:$I$185,6,0)),0%,VLOOKUP(A24,'Données projet'!$A$165:$I$185,6,0)*VLOOKUP('Données projet'!$B$14,Paramètres!$A$1:$I$89,7,0))</f>
        <v>0</v>
      </c>
      <c r="DZ24" s="122" t="n">
        <f aca="false">IF(ISNA(VLOOKUP(A24,'Données projet'!$A$165:$I$185,7,0)),0%,VLOOKUP(A24,'Données projet'!$A$165:$I$185,7,0))</f>
        <v>0</v>
      </c>
      <c r="EA24" s="129" t="n">
        <f aca="false">EXP(-LN(2)/35)*EA23+(1-EXP(-LN(2)/35))/(LN(2)/35)*DW24*DX24*VLOOKUP('Données projet'!$B$14,Paramètres!$A$1:$I$89,3,0)*0.475*44/12</f>
        <v>0</v>
      </c>
      <c r="EB24" s="129" t="n">
        <f aca="false">EXP(-LN(2)/25)*EB23+(1-EXP(-LN(2)/25))/(LN(2)/25)*Calculateur!DW24*Calculateur!DY24*VLOOKUP('Données projet'!$B$14,Paramètres!$A$1:$I$89,3,0)*0.475*44/12</f>
        <v>0</v>
      </c>
      <c r="EC24" s="129" t="n">
        <f aca="false">EXP(-LN(2)/2)*EC23+(1-EXP(-LN(2)/2))/(LN(2)/2)*DW24*DZ24*VLOOKUP('Données projet'!$B$14,Paramètres!$A$1:$I$89,3,0)*0.475*44/12</f>
        <v>10.5328137861037</v>
      </c>
      <c r="ED24" s="130" t="n">
        <f aca="false">SUM(EA24:EC24)</f>
        <v>10.5328137861037</v>
      </c>
      <c r="EE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18" t="e">
        <f aca="false">VLOOKUP(A24,'Données projet'!$A$191:$I$211,2,0)</f>
        <v>#N/A</v>
      </c>
      <c r="EH24" s="118" t="e">
        <f aca="false">VLOOKUP(A24,'Données projet'!$A$191:$I$211,9,0)</f>
        <v>#N/A</v>
      </c>
      <c r="EI24" s="118" t="n">
        <f aca="false" t="array" ref="EI24:EI24">INDEX(EH:EH,MIN(IF(ISNUMBER(EH24:EH220),ROW(EH24:EH220),"")))</f>
        <v>0</v>
      </c>
      <c r="EJ24" s="118" t="n">
        <f aca="false">IF('Données projet'!$A$192&gt;35,EJ23+EI24-ER23,IF(A24&lt;'Données projet'!$A$192,$EG$205^A24,IF(A24='Données projet'!$A$192,'Données projet'!$B$192,EJ23+EI24-ER23)))</f>
        <v>0</v>
      </c>
      <c r="EK24" s="125" t="e">
        <f aca="false">EJ24*VLOOKUP('Données projet'!$B$15,Paramètres!$A$1:$I$89,3,0)*VLOOKUP('Données projet'!$B$15,Paramètres!$A$1:$I$89,5,0)</f>
        <v>#N/A</v>
      </c>
      <c r="EL24" s="117" t="e">
        <f aca="false">EXP(-1.0587+0.8836*LN(EK24)+0.284)</f>
        <v>#N/A</v>
      </c>
      <c r="EM24" s="128" t="e">
        <f aca="false">(EK24+EL24)*0.475*44/12</f>
        <v>#N/A</v>
      </c>
      <c r="EN24" s="120" t="e">
        <f aca="false">EM24+(EE24+EF24)*44/12</f>
        <v>#N/A</v>
      </c>
      <c r="EO24" s="120" t="e">
        <f aca="true">AVERAGE(OFFSET($EN$3,0,0,'Données projet'!$E$15+1,1))-AVERAGE(OFFSET($H$3,0,0,'Données projet'!$E$15+1,1))</f>
        <v>#N/A</v>
      </c>
      <c r="EP24" s="120" t="e">
        <f aca="false">$EP$3</f>
        <v>#N/A</v>
      </c>
      <c r="EQ24" s="121" t="n">
        <f aca="false">IF(ISNA(VLOOKUP(A24,'Données projet'!$A$191:$I$211,3,0)),0,VLOOKUP(A24,'Données projet'!$A$191:$I$211,3,0))</f>
        <v>0</v>
      </c>
      <c r="ER24" s="121" t="n">
        <f aca="false">IF(ISNA(VLOOKUP(A24,'Données projet'!$A$191:$I$211,4,0)),0,VLOOKUP(A24,'Données projet'!$A$191:$I$211,4,0))</f>
        <v>0</v>
      </c>
      <c r="ES24" s="122" t="n">
        <f aca="false">IF(ISNA(VLOOKUP(A24,'Données projet'!$A$191:$I$211,5,0)),0%,VLOOKUP(A24,'Données projet'!$A$191:$I$211,5,0)*VLOOKUP('Données projet'!$B$15,Paramètres!$A$1:$I$89,7,0))</f>
        <v>0</v>
      </c>
      <c r="ET24" s="122" t="n">
        <f aca="false">IF(ISNA(VLOOKUP(A24,'Données projet'!$A$191:$I$211,6,0)),0%,VLOOKUP(A24,'Données projet'!$A$191:$I$211,6,0)*VLOOKUP('Données projet'!$B$15,Paramètres!$A$1:$I$89,7,0))</f>
        <v>0</v>
      </c>
      <c r="EU24" s="122" t="n">
        <f aca="false">IF(ISNA(VLOOKUP(A24,'Données projet'!$A$191:$I$211,7,0)),0%,VLOOKUP(A24,'Données projet'!$A$191:$I$211,7,0))</f>
        <v>0</v>
      </c>
      <c r="EV24" s="129" t="e">
        <f aca="false">EXP(-LN(2)/35)*EV23+(1-EXP(-LN(2)/35))/(LN(2)/35)*ER24*ES24*VLOOKUP('Données projet'!$B$15,Paramètres!$A$1:$I$89,3,0)*0.475*44/12</f>
        <v>#N/A</v>
      </c>
      <c r="EW24" s="129" t="e">
        <f aca="false">EXP(-LN(2)/25)*EW23+(1-EXP(-LN(2)/25))/(LN(2)/25)*Calculateur!ER24*Calculateur!ET24*VLOOKUP('Données projet'!$B$15,Paramètres!$A$1:$I$89,3,0)*0.475*44/12</f>
        <v>#N/A</v>
      </c>
      <c r="EX24" s="129" t="e">
        <f aca="false">EXP(-LN(2)/2)*EX23+(1-EXP(-LN(2)/2))/(LN(2)/2)*ER24*EU24*VLOOKUP('Données projet'!$B$15,Paramètres!$A$1:$I$89,3,0)*0.475*44/12</f>
        <v>#N/A</v>
      </c>
      <c r="EY24" s="130" t="e">
        <f aca="false">SUM(EV24:EX24)</f>
        <v>#N/A</v>
      </c>
      <c r="EZ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18" t="e">
        <f aca="false">VLOOKUP(A24,'Données projet'!$A$217:$I$237,2,0)</f>
        <v>#N/A</v>
      </c>
      <c r="FC24" s="118" t="e">
        <f aca="false">VLOOKUP(A24,'Données projet'!$A$217:$I$237,9,0)</f>
        <v>#N/A</v>
      </c>
      <c r="FD24" s="118" t="n">
        <f aca="false" t="array" ref="FD24:FD24">INDEX(FC:FC,MIN(IF(ISNUMBER(FC24:FC220),ROW(FC24:FC220),"")))</f>
        <v>0</v>
      </c>
      <c r="FE24" s="118" t="n">
        <f aca="false">IF('Données projet'!$A$218&gt;35,FE23+FD24-FM23,IF(A24&lt;'Données projet'!$A$218,$FB$205^A24,IF(A24='Données projet'!$A$218,'Données projet'!$B$218,FE23+FD24-FM23)))</f>
        <v>0</v>
      </c>
      <c r="FF24" s="125" t="e">
        <f aca="false">FE24*VLOOKUP('Données projet'!$B$16,Paramètres!$A$1:$I$89,3,0)*VLOOKUP('Données projet'!$B$16,Paramètres!$A$1:$I$89,5,0)</f>
        <v>#N/A</v>
      </c>
      <c r="FG24" s="117" t="e">
        <f aca="false">EXP(-1.0587+0.8836*LN(FF24)+0.284)</f>
        <v>#N/A</v>
      </c>
      <c r="FH24" s="128" t="e">
        <f aca="false">(FF24+FG24)*0.475*44/12</f>
        <v>#N/A</v>
      </c>
      <c r="FI24" s="120" t="e">
        <f aca="false">FH24+(EZ24+FA24)*44/12</f>
        <v>#N/A</v>
      </c>
      <c r="FJ24" s="120" t="e">
        <f aca="true">AVERAGE(OFFSET($FI$3,0,0,'Données projet'!$E$16+1,1))-AVERAGE(OFFSET($H$3,0,0,'Données projet'!$E$16+1,1))</f>
        <v>#N/A</v>
      </c>
      <c r="FK24" s="120" t="e">
        <f aca="false">$FK$3</f>
        <v>#N/A</v>
      </c>
      <c r="FL24" s="121" t="n">
        <f aca="false">IF(ISNA(VLOOKUP(A24,'Données projet'!$A$217:$I$237,3,0)),0,VLOOKUP(A24,'Données projet'!$A$217:$I$237,3,0))</f>
        <v>0</v>
      </c>
      <c r="FM24" s="121" t="n">
        <f aca="false">IF(ISNA(VLOOKUP(A24,'Données projet'!$A$217:$I$237,4,0)),0,VLOOKUP(A24,'Données projet'!$A$217:$I$237,4,0))</f>
        <v>0</v>
      </c>
      <c r="FN24" s="122" t="n">
        <f aca="false">IF(ISNA(VLOOKUP(A24,'Données projet'!$A$217:$I$237,5,0)),0%,VLOOKUP(A24,'Données projet'!$A$217:$I$237,5,0)*VLOOKUP('Données projet'!$B$16,Paramètres!$A$1:$I$89,7,0))</f>
        <v>0</v>
      </c>
      <c r="FO24" s="122" t="n">
        <f aca="false">IF(ISNA(VLOOKUP(A24,'Données projet'!$A$217:$I$237,6,0)),0%,VLOOKUP(A24,'Données projet'!$A$217:$I$237,6,0)*VLOOKUP('Données projet'!$B$16,Paramètres!$A$1:$I$89,7,0))</f>
        <v>0</v>
      </c>
      <c r="FP24" s="122" t="n">
        <f aca="false">IF(ISNA(VLOOKUP(A24,'Données projet'!$A$217:$I$237,7,0)),0%,VLOOKUP(A24,'Données projet'!$A$217:$I$237,7,0))</f>
        <v>0</v>
      </c>
      <c r="FQ24" s="129" t="e">
        <f aca="false">EXP(-LN(2)/35)*FQ23+(1-EXP(-LN(2)/35))/(LN(2)/35)*FM24*FN24*VLOOKUP('Données projet'!$B$16,Paramètres!$A$1:$I$89,3,0)*0.475*44/12</f>
        <v>#N/A</v>
      </c>
      <c r="FR24" s="129" t="e">
        <f aca="false">EXP(-LN(2)/25)*FR23+(1-EXP(-LN(2)/25))/(LN(2)/25)*Calculateur!FM24*Calculateur!FO24*VLOOKUP('Données projet'!$B$16,Paramètres!$A$1:$I$89,3,0)*0.475*44/12</f>
        <v>#N/A</v>
      </c>
      <c r="FS24" s="129" t="e">
        <f aca="false">EXP(-LN(2)/2)*FS23+(1-EXP(-LN(2)/2))/(LN(2)/2)*FM24*FP24*VLOOKUP('Données projet'!$B$16,Paramètres!$A$1:$I$89,3,0)*0.475*44/12</f>
        <v>#N/A</v>
      </c>
      <c r="FT24" s="130" t="e">
        <f aca="false">SUM(FQ24:FS24)</f>
        <v>#N/A</v>
      </c>
      <c r="FU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18" t="e">
        <f aca="false">VLOOKUP(A24,'Données projet'!$A$243:$I$263,2,0)</f>
        <v>#N/A</v>
      </c>
      <c r="FX24" s="118" t="e">
        <f aca="false">VLOOKUP(A24,'Données projet'!$A$243:$I$263,9,0)</f>
        <v>#N/A</v>
      </c>
      <c r="FY24" s="118" t="n">
        <f aca="false" t="array" ref="FY24:FY24">INDEX(FX:FX,MIN(IF(ISNUMBER(FX24:FX220),ROW(FX24:FX220),"")))</f>
        <v>0</v>
      </c>
      <c r="FZ24" s="118" t="n">
        <f aca="false">IF('Données projet'!$A$244&gt;35,FZ23+FY24-GH23,IF(A24&lt;'Données projet'!$A$244,$FW$205^A24,IF(A24='Données projet'!$A$244,'Données projet'!$B$244,FZ23+FY24-GH23)))</f>
        <v>0</v>
      </c>
      <c r="GA24" s="125" t="e">
        <f aca="false">FZ24*VLOOKUP('Données projet'!$B$17,Paramètres!$A$1:$I$89,3,0)*VLOOKUP('Données projet'!$B$17,Paramètres!$A$1:$I$89,5,0)</f>
        <v>#N/A</v>
      </c>
      <c r="GB24" s="117" t="e">
        <f aca="false">EXP(-1.0587+0.8836*LN(GA24)+0.284)</f>
        <v>#N/A</v>
      </c>
      <c r="GC24" s="128" t="e">
        <f aca="false">(GA24+GB24)*0.475*44/12</f>
        <v>#N/A</v>
      </c>
      <c r="GD24" s="120" t="e">
        <f aca="false">GC24+(FU24+FV24)*44/12</f>
        <v>#N/A</v>
      </c>
      <c r="GE24" s="120" t="e">
        <f aca="true">AVERAGE(OFFSET($GD$3,0,0,'Données projet'!$E$17+1,1))-AVERAGE(OFFSET($H$3,0,0,'Données projet'!$E$17+1,1))</f>
        <v>#N/A</v>
      </c>
      <c r="GF24" s="120" t="e">
        <f aca="false">$GF$3</f>
        <v>#N/A</v>
      </c>
      <c r="GG24" s="121" t="n">
        <f aca="false">IF(ISNA(VLOOKUP(A24,'Données projet'!$A$243:$I$263,3,0)),0,VLOOKUP(A24,'Données projet'!$A$243:$I$263,3,0))</f>
        <v>0</v>
      </c>
      <c r="GH24" s="121" t="n">
        <f aca="false">IF(ISNA(VLOOKUP(A24,'Données projet'!$A$243:$I$263,4,0)),0,VLOOKUP(A24,'Données projet'!$A$243:$I$263,4,0))</f>
        <v>0</v>
      </c>
      <c r="GI24" s="122" t="n">
        <f aca="false">IF(ISNA(VLOOKUP(A24,'Données projet'!$A$243:$I$263,5,0)),0%,VLOOKUP(A24,'Données projet'!$A$243:$I$263,5,0)*VLOOKUP('Données projet'!$B$17,Paramètres!$A$1:$I$89,7,0))</f>
        <v>0</v>
      </c>
      <c r="GJ24" s="122" t="n">
        <f aca="false">IF(ISNA(VLOOKUP(A24,'Données projet'!$A$243:$I$263,6,0)),0%,VLOOKUP(A24,'Données projet'!$A$243:$I$263,6,0)*VLOOKUP('Données projet'!$B$17,Paramètres!$A$1:$I$89,7,0))</f>
        <v>0</v>
      </c>
      <c r="GK24" s="122" t="n">
        <f aca="false">IF(ISNA(VLOOKUP(A24,'Données projet'!$A$243:$I$263,7,0)),0%,VLOOKUP(A24,'Données projet'!$A$243:$I$263,7,0))</f>
        <v>0</v>
      </c>
      <c r="GL24" s="129" t="e">
        <f aca="false">EXP(-LN(2)/35)*GL23+(1-EXP(-LN(2)/35))/(LN(2)/35)*GH24*GI24*VLOOKUP('Données projet'!$B$17,Paramètres!$A$1:$I$89,3,0)*0.475*44/12</f>
        <v>#N/A</v>
      </c>
      <c r="GM24" s="129" t="e">
        <f aca="false">EXP(-LN(2)/25)*GM23+(1-EXP(-LN(2)/25))/(LN(2)/25)*Calculateur!GH24*Calculateur!GJ24*VLOOKUP('Données projet'!$B$17,Paramètres!$A$1:$I$89,3,0)*0.475*44/12</f>
        <v>#N/A</v>
      </c>
      <c r="GN24" s="129" t="e">
        <f aca="false">EXP(-LN(2)/2)*GN23+(1-EXP(-LN(2)/2))/(LN(2)/2)*GH24*GK24*VLOOKUP('Données projet'!$B$17,Paramètres!$A$1:$I$89,3,0)*0.475*44/12</f>
        <v>#N/A</v>
      </c>
      <c r="GO24" s="129" t="e">
        <f aca="false">SUM(GL24:GN24)</f>
        <v>#N/A</v>
      </c>
      <c r="GP24" s="126" t="n">
        <f aca="false"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8" t="n">
        <f aca="false"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18" t="e">
        <f aca="false">VLOOKUP(A24,'Données projet'!$A$269:$I$289,2,0)</f>
        <v>#N/A</v>
      </c>
      <c r="GS24" s="118" t="e">
        <f aca="false">VLOOKUP(A24,'Données projet'!$A$269:$I$289,9,0)</f>
        <v>#N/A</v>
      </c>
      <c r="GT24" s="118" t="n">
        <f aca="false" t="array" ref="GT24:GT24">INDEX(GS:GS,MIN(IF(ISNUMBER(GS24:GS220),ROW(GS24:GS220),"")))</f>
        <v>0</v>
      </c>
      <c r="GU24" s="118" t="n">
        <f aca="false">IF('Données projet'!$A$270&gt;35,GU23+GT24-HC23,IF(A24&lt;'Données projet'!$A$270,$GR$205^A24,IF(A24='Données projet'!$A$270,'Données projet'!$B$270,GU23+GT24-HC23)))</f>
        <v>0</v>
      </c>
      <c r="GV24" s="125" t="e">
        <f aca="false">GU24*VLOOKUP('Données projet'!$B$18,Paramètres!$A$1:$I$89,3,0)*VLOOKUP('Données projet'!$B$18,Paramètres!$A$1:$I$89,5,0)</f>
        <v>#N/A</v>
      </c>
      <c r="GW24" s="117" t="e">
        <f aca="false">EXP(-1.0587+0.8836*LN(GV24)+0.284)</f>
        <v>#N/A</v>
      </c>
      <c r="GX24" s="128" t="e">
        <f aca="false">(GV24+GW24)*0.475*44/12</f>
        <v>#N/A</v>
      </c>
      <c r="GY24" s="120" t="e">
        <f aca="false">GX24+(GP24+GQ24)*44/12</f>
        <v>#N/A</v>
      </c>
      <c r="GZ24" s="120" t="e">
        <f aca="true">AVERAGE(OFFSET($GY$3,0,0,'Données projet'!$E$18+1,1))-AVERAGE(OFFSET($H$3,0,0,'Données projet'!$E$18+1,1))</f>
        <v>#N/A</v>
      </c>
      <c r="HA24" s="120" t="e">
        <f aca="false">$HA$3</f>
        <v>#N/A</v>
      </c>
      <c r="HB24" s="121" t="n">
        <f aca="false">IF(ISNA(VLOOKUP(A24,'Données projet'!$A$269:$I$289,3,0)),0,VLOOKUP(A24,'Données projet'!$A$269:$I$289,3,0))</f>
        <v>0</v>
      </c>
      <c r="HC24" s="121" t="n">
        <f aca="false">IF(ISNA(VLOOKUP(A24,'Données projet'!$A$269:$I$289,4,0)),0,VLOOKUP(A24,'Données projet'!$A$269:$I$289,4,0))</f>
        <v>0</v>
      </c>
      <c r="HD24" s="122" t="n">
        <f aca="false">IF(ISNA(VLOOKUP(A24,'Données projet'!$A$269:$I$289,5,0)),0%,VLOOKUP(A24,'Données projet'!$A$269:$I$289,5,0)*VLOOKUP('Données projet'!$B$18,Paramètres!$A$1:$I$89,7,0))</f>
        <v>0</v>
      </c>
      <c r="HE24" s="122" t="n">
        <f aca="false">IF(ISNA(VLOOKUP(A24,'Données projet'!$A$269:$I$289,6,0)),0%,VLOOKUP(A24,'Données projet'!$A$269:$I$289,6,0)*VLOOKUP('Données projet'!$B$18,Paramètres!$A$1:$I$89,7,0))</f>
        <v>0</v>
      </c>
      <c r="HF24" s="122" t="n">
        <f aca="false">IF(ISNA(VLOOKUP(A24,'Données projet'!$A$269:$I$289,7,0)),0%,VLOOKUP(A24,'Données projet'!$A$269:$I$289,7,0))</f>
        <v>0</v>
      </c>
      <c r="HG24" s="129" t="e">
        <f aca="false">EXP(-LN(2)/35)*HG23+(1-EXP(-LN(2)/35))/(LN(2)/35)*HC24*HD24*VLOOKUP('Données projet'!$B$18,Paramètres!$A$1:$I$89,3,0)*0.475*44/12</f>
        <v>#N/A</v>
      </c>
      <c r="HH24" s="129" t="e">
        <f aca="false">EXP(-LN(2)/25)*HH23+(1-EXP(-LN(2)/25))/(LN(2)/25)*Calculateur!HC24*Calculateur!HE24*VLOOKUP('Données projet'!$B$18,Paramètres!$A$1:$I$89,3,0)*0.475*44/12</f>
        <v>#N/A</v>
      </c>
      <c r="HI24" s="129" t="e">
        <f aca="false">EXP(-LN(2)/2)*HI23+(1-EXP(-LN(2)/2))/(LN(2)/2)*HC24*HF24*VLOOKUP('Données projet'!$B$18,Paramètres!$A$1:$I$89,3,0)*0.475*44/12</f>
        <v>#N/A</v>
      </c>
      <c r="HJ24" s="130" t="e">
        <f aca="false">SUM(HG24:HI24)</f>
        <v>#N/A</v>
      </c>
    </row>
    <row r="25" customFormat="false" ht="14.25" hidden="false" customHeight="false" outlineLevel="0" collapsed="false">
      <c r="A25" s="112" t="n">
        <f aca="false">A24+1</f>
        <v>22</v>
      </c>
      <c r="B25" s="113" t="n">
        <f aca="false">'Scénario référence'!$B$16*5+'Scénario référence'!$B$17*0+'Scénario référence'!$B$18*5</f>
        <v>0</v>
      </c>
      <c r="C25" s="127" t="n">
        <f aca="false"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4" t="n">
        <f aca="false">IFERROR(EXP(-1.0587+0.8836*LN(C25)+0.284),0)</f>
        <v>0</v>
      </c>
      <c r="E2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5" s="114" t="n">
        <f aca="false">IF(OR('Scénario référence'!$F$8&gt;0,'Scénario référence'!$F$9&gt;0),('Scénario référence'!$F$8+'Scénario référence'!$F$9)*10,0)</f>
        <v>0</v>
      </c>
      <c r="G25" s="114" t="n">
        <f aca="false"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15" t="n">
        <f aca="false">(B25+E25+F25)*44/12+(C25+D25)*0.475*44/12</f>
        <v>256.666666666667</v>
      </c>
      <c r="I25" s="11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7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K25" s="118" t="e">
        <f aca="false">VLOOKUP(A25,'Données projet'!$A$35:$I$55,2,0)</f>
        <v>#N/A</v>
      </c>
      <c r="L25" s="118" t="e">
        <f aca="false">VLOOKUP(A25,'Données projet'!$A$35:$I$55,9,0)</f>
        <v>#N/A</v>
      </c>
      <c r="M25" s="118" t="n">
        <f aca="false" t="array" ref="M25:M25">INDEX(L:L,MIN(IF(ISNUMBER(L25:L221),ROW(L25:L221),"")))</f>
        <v>9.2</v>
      </c>
      <c r="N25" s="117" t="n">
        <f aca="false">IF('Données projet'!$A$36&gt;35,N24+M25-V24,IF(A25&lt;'Données projet'!$A$36,$K$205^A25,IF(A25='Données projet'!$A$36,'Données projet'!$B$36,N24+M25-V24)))</f>
        <v>136.9</v>
      </c>
      <c r="O25" s="117" t="n">
        <f aca="false">N25*VLOOKUP('Données projet'!$B$9,Paramètres!$A$1:$I$89,3,0)*VLOOKUP('Données projet'!$B$9,Paramètres!$A$1:$I$89,5,0)</f>
        <v>64.0692</v>
      </c>
      <c r="P25" s="117" t="n">
        <f aca="false">EXP(-1.0587+0.8836*LN(O25)+0.284)</f>
        <v>18.1931285177141</v>
      </c>
      <c r="Q25" s="128" t="n">
        <f aca="false">(O25+P25)*0.475*44/12</f>
        <v>143.273555501685</v>
      </c>
      <c r="R25" s="120" t="n">
        <f aca="false">Q25+(I25+J25)*44/12</f>
        <v>426.829111057241</v>
      </c>
      <c r="S25" s="120" t="n">
        <f aca="true">AVERAGE(OFFSET($R$3,0,0,'Données projet'!$E$9+1,1))-AVERAGE(OFFSET($H$3,0,0,'Données projet'!$E$9+1,1))</f>
        <v>319.229030946746</v>
      </c>
      <c r="T25" s="120" t="n">
        <f aca="false">$T$3</f>
        <v>254.586909731428</v>
      </c>
      <c r="U25" s="121" t="n">
        <f aca="false">IF(ISNA(VLOOKUP(A25,'Données projet'!$A$35:$I$55,3,0)),0,VLOOKUP(A25,'Données projet'!$A$35:$I$55,3,0))</f>
        <v>0</v>
      </c>
      <c r="V25" s="121" t="n">
        <f aca="false">IF(ISNA(VLOOKUP(A25,'Données projet'!$A$35:$I$55,4,0)),0,VLOOKUP(A25,'Données projet'!$A$35:$I$55,4,0))</f>
        <v>0</v>
      </c>
      <c r="W25" s="122" t="n">
        <f aca="false">IF(ISNA(VLOOKUP(A25,'Données projet'!$A$35:$I$55,5,0)),0%,VLOOKUP(A25,'Données projet'!$A$35:$I$55,5,0)*VLOOKUP('Données projet'!$B$9,Paramètres!$A$1:$I$89,7,0))</f>
        <v>0</v>
      </c>
      <c r="X25" s="122" t="n">
        <f aca="false">IF(ISNA(VLOOKUP(A25,'Données projet'!$A$35:$I$55,6,0)),0%,VLOOKUP(A25,'Données projet'!$A$35:$I$55,6,0)*VLOOKUP('Données projet'!$B$9,Paramètres!$A$1:$I$89,7,0))</f>
        <v>0</v>
      </c>
      <c r="Y25" s="122" t="n">
        <f aca="false">IF(ISNA(VLOOKUP(A25,'Données projet'!$A$35:$I$55,7,0)),0%,VLOOKUP(A25,'Données projet'!$A$35:$I$55,7,0))</f>
        <v>0</v>
      </c>
      <c r="Z25" s="129" t="n">
        <f aca="false">EXP(-LN(2)/35)*Z24+(1-EXP(-LN(2)/35))/(LN(2)/35)*V25*W25*VLOOKUP('Données projet'!$B$9,Paramètres!$A$1:$I$89,3,0)*0.475*44/12</f>
        <v>2.59275975101178</v>
      </c>
      <c r="AA25" s="129" t="n">
        <f aca="false">EXP(-LN(2)/25)*AA24+(1-EXP(-LN(2)/25))/(LN(2)/25)*Calculateur!V25*Calculateur!X25*VLOOKUP('Données projet'!$B$9,Paramètres!$A$1:$I$89,3,0)*0.475*44/12</f>
        <v>2.54195719191272</v>
      </c>
      <c r="AB25" s="129" t="n">
        <f aca="false">EXP(-LN(2)/2)*AB24+(1-EXP(-LN(2)/2))/(LN(2)/2)*V25*Y25*VLOOKUP('Données projet'!$B$9,Paramètres!$A$1:$I$89,3,0)*0.475*44/12</f>
        <v>6.27913387562227</v>
      </c>
      <c r="AC25" s="130" t="n">
        <f aca="false">SUM(Z25:AB25)</f>
        <v>11.4138508185468</v>
      </c>
      <c r="AD25" s="117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7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AF25" s="118" t="e">
        <f aca="false">VLOOKUP(A25,'Données projet'!$A$61:$I$81,2,0)</f>
        <v>#N/A</v>
      </c>
      <c r="AG25" s="118" t="e">
        <f aca="false">VLOOKUP(A25,'Données projet'!$A$61:$I$81,9,0)</f>
        <v>#N/A</v>
      </c>
      <c r="AH25" s="118" t="n">
        <f aca="false" t="array" ref="AH25:AH25">INDEX(AG:AG,MIN(IF(ISNUMBER(AG25:AG221),ROW(AG25:AG221),"")))</f>
        <v>7.04347826086957</v>
      </c>
      <c r="AI25" s="117" t="n">
        <f aca="false">IF('Données projet'!$A$62&gt;35,AI24+AH25-AQ24,IF(A25&lt;'Données projet'!$A$62,$AF$205^A25,IF(A25='Données projet'!$A$62,'Données projet'!$B$62,AI24+AH25-AQ24)))</f>
        <v>129.852149874303</v>
      </c>
      <c r="AJ25" s="117" t="n">
        <f aca="false">AI25*VLOOKUP('Données projet'!$B$10,Paramètres!$A$1:$I$89,3,0)*VLOOKUP('Données projet'!$B$10,Paramètres!$A$1:$I$89,5,0)</f>
        <v>72.5873517797354</v>
      </c>
      <c r="AK25" s="117" t="n">
        <f aca="false">EXP(-1.0587+0.8836*LN(AJ25)+0.284)</f>
        <v>20.3146246459285</v>
      </c>
      <c r="AL25" s="128" t="n">
        <f aca="false">(AJ25+AK25)*0.475*44/12</f>
        <v>161.804275608031</v>
      </c>
      <c r="AM25" s="120" t="n">
        <f aca="false">AL25+(AD25+AE25)*44/12</f>
        <v>445.359831163587</v>
      </c>
      <c r="AN25" s="120" t="n">
        <f aca="true">AVERAGE(OFFSET($AM$3,0,0,'Données projet'!$E$10+1,1))-AVERAGE(OFFSET($H$3,0,0,'Données projet'!$E$10+1,1))</f>
        <v>365.705101827279</v>
      </c>
      <c r="AO25" s="120" t="n">
        <f aca="false">$AO$3</f>
        <v>436.238338449625</v>
      </c>
      <c r="AP25" s="121" t="n">
        <f aca="false">IF(ISNA(VLOOKUP(A25,'Données projet'!$A$61:$I$81,3,0)),0,VLOOKUP(A25,'Données projet'!$A$61:$I$81,3,0))</f>
        <v>0</v>
      </c>
      <c r="AQ25" s="121" t="n">
        <f aca="false">IF(ISNA(VLOOKUP(A25,'Données projet'!$A$61:$I$81,4,0)),0,VLOOKUP(A25,'Données projet'!$A$61:$I$81,4,0))</f>
        <v>0</v>
      </c>
      <c r="AR25" s="122" t="n">
        <f aca="false">IF(ISNA(VLOOKUP(A25,'Données projet'!$A$61:$I$81,5,0)),0%,VLOOKUP(A25,'Données projet'!$A$61:$I$81,5,0)*VLOOKUP('Données projet'!$B$10,Paramètres!$A$1:$I$89,7,0))</f>
        <v>0</v>
      </c>
      <c r="AS25" s="122" t="n">
        <f aca="false">IF(ISNA(VLOOKUP(A25,'Données projet'!$A$61:$I$81,6,0)),0%,VLOOKUP(A25,'Données projet'!$A$61:$I$81,6,0)*VLOOKUP('Données projet'!$B$10,Paramètres!$A$1:$I$89,7,0))</f>
        <v>0</v>
      </c>
      <c r="AT25" s="122" t="n">
        <f aca="false">IF(ISNA(VLOOKUP(A25,'Données projet'!$A$61:$I$81,7,0)),0%,VLOOKUP(A25,'Données projet'!$A$61:$I$81,7,0))</f>
        <v>0</v>
      </c>
      <c r="AU25" s="129" t="n">
        <f aca="false">EXP(-LN(2)/35)*AU24+(1-EXP(-LN(2)/35))/(LN(2)/35)*AQ25*AR25*VLOOKUP('Données projet'!$B$10,Paramètres!$A$1:$I$89,3,0)*0.475*44/12</f>
        <v>0</v>
      </c>
      <c r="AV25" s="129" t="n">
        <f aca="false">EXP(-LN(2)/25)*AV24+(1-EXP(-LN(2)/25))/(LN(2)/25)*Calculateur!AQ25*Calculateur!AS25*VLOOKUP('Données projet'!$B$10,Paramètres!$A$1:$I$89,3,0)*0.475*44/12</f>
        <v>0</v>
      </c>
      <c r="AW25" s="129" t="n">
        <f aca="false">EXP(-LN(2)/2)*AW24+(1-EXP(-LN(2)/2))/(LN(2)/2)*AQ25*AT25*VLOOKUP('Données projet'!$B$10,Paramètres!$A$1:$I$89,3,0)*0.475*44/12</f>
        <v>0</v>
      </c>
      <c r="AX25" s="129" t="n">
        <f aca="false">SUM(AU25:AW25)</f>
        <v>0</v>
      </c>
      <c r="AY25" s="124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BA25" s="118" t="e">
        <f aca="false">VLOOKUP(A25,'Données projet'!$A$87:$I$107,2,0)</f>
        <v>#N/A</v>
      </c>
      <c r="BB25" s="118" t="e">
        <f aca="false">VLOOKUP(A25,'Données projet'!$A$87:$I$107,9,0)</f>
        <v>#N/A</v>
      </c>
      <c r="BC25" s="118" t="n">
        <f aca="false" t="array" ref="BC25:BC25">INDEX(BB:BB,MIN(IF(ISNUMBER(BB25:BB221),ROW(BB25:BB221),"")))</f>
        <v>13.8</v>
      </c>
      <c r="BD25" s="118" t="n">
        <f aca="false">IF('Données projet'!$A$88&gt;35,BD24+BC25-BL24,IF(A25&lt;'Données projet'!$A$88,$BA$205^A25,IF(A25='Données projet'!$A$88,'Données projet'!$B$88,BD24+BC25-BL24)))</f>
        <v>121.6</v>
      </c>
      <c r="BE25" s="117" t="n">
        <f aca="false">BD25*VLOOKUP('Données projet'!$B$11,Paramètres!$A$1:$I$89,3,0)*VLOOKUP('Données projet'!$B$11,Paramètres!$A$1:$I$89,5,0)</f>
        <v>106.22976</v>
      </c>
      <c r="BF25" s="117" t="n">
        <f aca="false">EXP(-1.0587+0.8836*LN(BE25)+0.284)</f>
        <v>28.4408916251715</v>
      </c>
      <c r="BG25" s="128" t="n">
        <f aca="false">(BE25+BF25)*0.475*44/12</f>
        <v>234.55138491384</v>
      </c>
      <c r="BH25" s="120" t="n">
        <f aca="false">BG25+(AY25+AZ25)*44/12</f>
        <v>518.106940469396</v>
      </c>
      <c r="BI25" s="120" t="n">
        <f aca="true">AVERAGE(OFFSET($BH$3,0,0,'Données projet'!$E$11+1,1))-AVERAGE(OFFSET($H$3,0,0,'Données projet'!$E$11+1,1))</f>
        <v>321.235999689929</v>
      </c>
      <c r="BJ25" s="120" t="n">
        <f aca="false">$BJ$3</f>
        <v>388.051958478005</v>
      </c>
      <c r="BK25" s="121" t="n">
        <f aca="false">IF(ISNA(VLOOKUP(A25,'Données projet'!$A$87:$I$107,3,0)),0,VLOOKUP(A25,'Données projet'!$A$87:$I$107,3,0))</f>
        <v>0</v>
      </c>
      <c r="BL25" s="121" t="n">
        <f aca="false">IF(ISNA(VLOOKUP(A25,'Données projet'!$A$87:$I$107,4,0)),0,VLOOKUP(A25,'Données projet'!$A$87:$I$107,4,0))</f>
        <v>0</v>
      </c>
      <c r="BM25" s="122" t="n">
        <f aca="false">IF(ISNA(VLOOKUP(A25,'Données projet'!$A$87:$I$107,5,0)),0%,VLOOKUP(A25,'Données projet'!$A$87:$I$107,5,0)*VLOOKUP('Données projet'!$B$11,Paramètres!$A$1:$I$89,7,0))</f>
        <v>0</v>
      </c>
      <c r="BN25" s="122" t="n">
        <f aca="false">IF(ISNA(VLOOKUP(A25,'Données projet'!$A$87:$I$107,6,0)),0%,VLOOKUP(A25,'Données projet'!$A$87:$I$107,6,0)*VLOOKUP('Données projet'!$B$11,Paramètres!$A$1:$I$89,7,0))</f>
        <v>0</v>
      </c>
      <c r="BO25" s="122" t="n">
        <f aca="false">IF(ISNA(VLOOKUP(A25,'Données projet'!$A$87:$I$107,7,0)),0%,VLOOKUP(A25,'Données projet'!$A$87:$I$107,7,0))</f>
        <v>0</v>
      </c>
      <c r="BP25" s="129" t="n">
        <f aca="false">EXP(-LN(2)/35)*BP24+(1-EXP(-LN(2)/35))/(LN(2)/35)*BL25*BM25*VLOOKUP('Données projet'!$B$11,Paramètres!$A$1:$I$89,3,0)*0.475*44/12</f>
        <v>1.71630683837594</v>
      </c>
      <c r="BQ25" s="129" t="n">
        <f aca="false">EXP(-LN(2)/25)*BQ24+(1-EXP(-LN(2)/25))/(LN(2)/25)*Calculateur!BL25*Calculateur!BN25*VLOOKUP('Données projet'!$B$11,Paramètres!$A$1:$I$89,3,0)*0.475*44/12</f>
        <v>4.08074972963957</v>
      </c>
      <c r="BR25" s="129" t="n">
        <f aca="false">EXP(-LN(2)/2)*BR24+(1-EXP(-LN(2)/2))/(LN(2)/2)*BL25*BO25*VLOOKUP('Données projet'!$B$11,Paramètres!$A$1:$I$89,3,0)*0.475*44/12</f>
        <v>7.85366199728515</v>
      </c>
      <c r="BS25" s="130" t="n">
        <f aca="false">SUM(BP25:BR25)</f>
        <v>13.6507185653007</v>
      </c>
      <c r="BT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BV25" s="118" t="e">
        <f aca="false">VLOOKUP(A25,'Données projet'!$A$113:$I$133,2,0)</f>
        <v>#N/A</v>
      </c>
      <c r="BW25" s="118" t="e">
        <f aca="false">VLOOKUP(A25,'Données projet'!$A$113:$I$133,9,0)</f>
        <v>#N/A</v>
      </c>
      <c r="BX25" s="118" t="n">
        <f aca="false" t="array" ref="BX25:BX25">INDEX(BW:BW,MIN(IF(ISNUMBER(BW25:BW221),ROW(BW25:BW221),"")))</f>
        <v>16</v>
      </c>
      <c r="BY25" s="118" t="n">
        <f aca="false">IF('Données projet'!$A$114&gt;35,BY24+BX25-CG24,IF(A25&lt;'Données projet'!$A$114,$BV$205^A25,IF(A25='Données projet'!$A$114,'Données projet'!$B$114,BY24+BX25-CG24)))</f>
        <v>136</v>
      </c>
      <c r="BZ25" s="117" t="n">
        <f aca="false">BY25*VLOOKUP('Données projet'!$B$12,Paramètres!$A$1:$I$89,3,0)*VLOOKUP('Données projet'!$B$12,Paramètres!$A$1:$I$89,5,0)</f>
        <v>84.864</v>
      </c>
      <c r="CA25" s="117" t="n">
        <f aca="false">EXP(-1.0587+0.8836*LN(BZ25)+0.284)</f>
        <v>23.3223413647662</v>
      </c>
      <c r="CB25" s="128" t="n">
        <f aca="false">(BZ25+CA25)*0.475*44/12</f>
        <v>188.424544543634</v>
      </c>
      <c r="CC25" s="120" t="n">
        <f aca="false">CB25+(BT25+BU25)*44/12</f>
        <v>471.98010009919</v>
      </c>
      <c r="CD25" s="120" t="n">
        <f aca="true">AVERAGE(OFFSET($CC$3,0,0,'Données projet'!$E$12+1,1))-AVERAGE(OFFSET($H$3,0,0,'Données projet'!$E$12+1,1))</f>
        <v>240.228848647662</v>
      </c>
      <c r="CE25" s="120" t="n">
        <f aca="false">$CE$3</f>
        <v>343.237768841432</v>
      </c>
      <c r="CF25" s="121" t="n">
        <f aca="false">IF(ISNA(VLOOKUP(A25,'Données projet'!$A$113:$I$133,3,0)),0,VLOOKUP(A25,'Données projet'!$A$113:$I$133,3,0))</f>
        <v>0</v>
      </c>
      <c r="CG25" s="121" t="n">
        <f aca="false">IF(ISNA(VLOOKUP(A25,'Données projet'!$A$113:$I$133,4,0)),0,VLOOKUP(A25,'Données projet'!$A$113:$I$133,4,0))</f>
        <v>0</v>
      </c>
      <c r="CH25" s="122" t="n">
        <f aca="false">IF(ISNA(VLOOKUP(A25,'Données projet'!$A$113:$I$133,5,0)),0%,VLOOKUP(A25,'Données projet'!$A$113:$I$133,5,0)*VLOOKUP('Données projet'!$B$12,Paramètres!$A$1:$I$89,7,0))</f>
        <v>0</v>
      </c>
      <c r="CI25" s="122" t="n">
        <f aca="false">IF(ISNA(VLOOKUP(A25,'Données projet'!$A$113:$I$133,6,0)),0%,VLOOKUP(A25,'Données projet'!$A$113:$I$133,6,0)*VLOOKUP('Données projet'!$B$12,Paramètres!$A$1:$I$89,7,0))</f>
        <v>0</v>
      </c>
      <c r="CJ25" s="122" t="n">
        <f aca="false">IF(ISNA(VLOOKUP(A25,'Données projet'!$A$113:$I$133,7,0)),0%,VLOOKUP(A25,'Données projet'!$A$113:$I$133,7,0))</f>
        <v>0</v>
      </c>
      <c r="CK25" s="129" t="n">
        <f aca="false">EXP(-LN(2)/35)*CK24+(1-EXP(-LN(2)/35))/(LN(2)/35)*CG25*CH25*VLOOKUP('Données projet'!$B$12,Paramètres!$A$1:$I$89,3,0)*0.475*44/12</f>
        <v>0</v>
      </c>
      <c r="CL25" s="129" t="n">
        <f aca="false">EXP(-LN(2)/25)*CL24+(1-EXP(-LN(2)/25))/(LN(2)/25)*Calculateur!CG25*Calculateur!CI25*VLOOKUP('Données projet'!$B$12,Paramètres!$A$1:$I$89,3,0)*0.475*44/12</f>
        <v>2.50214793022254</v>
      </c>
      <c r="CM25" s="129" t="n">
        <f aca="false">EXP(-LN(2)/2)*CM24+(1-EXP(-LN(2)/2))/(LN(2)/2)*CG25*CJ25*VLOOKUP('Données projet'!$B$12,Paramètres!$A$1:$I$89,3,0)*0.475*44/12</f>
        <v>13.9238308592371</v>
      </c>
      <c r="CN25" s="130" t="n">
        <f aca="false">SUM(CK25:CM25)</f>
        <v>16.4259787894596</v>
      </c>
      <c r="CO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CQ25" s="118" t="e">
        <f aca="false">VLOOKUP(A25,'Données projet'!$A$139:$I$159,2,0)</f>
        <v>#N/A</v>
      </c>
      <c r="CR25" s="118" t="e">
        <f aca="false">VLOOKUP(A25,'Données projet'!$A$139:$I$159,9,0)</f>
        <v>#N/A</v>
      </c>
      <c r="CS25" s="118" t="n">
        <f aca="false" t="array" ref="CS25:CS25">INDEX(CR:CR,MIN(IF(ISNUMBER(CR25:CR221),ROW(CR25:CR221),"")))</f>
        <v>19.1666666666667</v>
      </c>
      <c r="CT25" s="118" t="n">
        <f aca="false">IF('Données projet'!$A$140&gt;35,CT24+CS25-DB24,IF(A25&lt;'Données projet'!$A$140,$CQ$205^A25,IF(A25='Données projet'!$A$140,'Données projet'!$B$140,CT24+CS25-DB24)))</f>
        <v>200.666666666667</v>
      </c>
      <c r="CU25" s="125" t="n">
        <f aca="false">CT25*VLOOKUP('Données projet'!$B$13,Paramètres!$A$1:$I$89,3,0)*VLOOKUP('Données projet'!$B$13,Paramètres!$A$1:$I$89,5,0)</f>
        <v>109.564</v>
      </c>
      <c r="CV25" s="117" t="n">
        <f aca="false">EXP(-1.0587+0.8836*LN(CU25)+0.284)</f>
        <v>29.2282358398814</v>
      </c>
      <c r="CW25" s="128" t="n">
        <f aca="false">(CU25+CV25)*0.475*44/12</f>
        <v>241.72981075446</v>
      </c>
      <c r="CX25" s="120" t="n">
        <f aca="false">CW25+(CO25+CP25)*44/12</f>
        <v>525.285366310016</v>
      </c>
      <c r="CY25" s="120" t="n">
        <f aca="true">AVERAGE(OFFSET($CX$3,0,0,'Données projet'!$E$13+1,1))-AVERAGE(OFFSET($H$3,0,0,'Données projet'!$E$13+1,1))</f>
        <v>207.023069645676</v>
      </c>
      <c r="CZ25" s="120" t="n">
        <f aca="false">$CZ$3</f>
        <v>342.068879333518</v>
      </c>
      <c r="DA25" s="121" t="n">
        <f aca="false">IF(ISNA(VLOOKUP(A25,'Données projet'!$A$139:$I$159,3,0)),0,VLOOKUP(A25,'Données projet'!$A$139:$I$159,3,0))</f>
        <v>0</v>
      </c>
      <c r="DB25" s="121" t="n">
        <f aca="false">IF(ISNA(VLOOKUP(A25,'Données projet'!$A$139:$I$159,4,0)),0,VLOOKUP(A25,'Données projet'!$A$139:$I$159,4,0))</f>
        <v>0</v>
      </c>
      <c r="DC25" s="122" t="n">
        <f aca="false">IF(ISNA(VLOOKUP(A25,'Données projet'!$A$139:$I$159,5,0)),0%,VLOOKUP(A25,'Données projet'!$A$139:$I$159,5,0)*VLOOKUP('Données projet'!$B$13,Paramètres!$A$1:$I$89,7,0))</f>
        <v>0</v>
      </c>
      <c r="DD25" s="122" t="n">
        <f aca="false">IF(ISNA(VLOOKUP(A25,'Données projet'!$A$139:$I$159,6,0)),0%,VLOOKUP(A25,'Données projet'!$A$139:$I$159,6,0)*VLOOKUP('Données projet'!$B$13,Paramètres!$A$1:$I$89,7,0))</f>
        <v>0</v>
      </c>
      <c r="DE25" s="122" t="n">
        <f aca="false">IF(ISNA(VLOOKUP(A25,'Données projet'!$A$139:$I$159,7,0)),0%,VLOOKUP(A25,'Données projet'!$A$139:$I$159,7,0))</f>
        <v>0</v>
      </c>
      <c r="DF25" s="129" t="n">
        <f aca="false">EXP(-LN(2)/35)*DF24+(1-EXP(-LN(2)/35))/(LN(2)/35)*DB25*DC25*VLOOKUP('Données projet'!$B$13,Paramètres!$A$1:$I$89,3,0)*0.475*44/12</f>
        <v>0</v>
      </c>
      <c r="DG25" s="129" t="n">
        <f aca="false">EXP(-LN(2)/25)*DG24+(1-EXP(-LN(2)/25))/(LN(2)/25)*Calculateur!DB25*Calculateur!DD25*VLOOKUP('Données projet'!$B$13,Paramètres!$A$1:$I$89,3,0)*0.475*44/12</f>
        <v>4.72665520219946</v>
      </c>
      <c r="DH25" s="129" t="n">
        <f aca="false">EXP(-LN(2)/2)*DH24+(1-EXP(-LN(2)/2))/(LN(2)/2)*DB25*DE25*VLOOKUP('Données projet'!$B$13,Paramètres!$A$1:$I$89,3,0)*0.475*44/12</f>
        <v>10.1101797345532</v>
      </c>
      <c r="DI25" s="130" t="n">
        <f aca="false">SUM(DF25:DH25)</f>
        <v>14.8368349367526</v>
      </c>
      <c r="DJ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DL25" s="118" t="e">
        <f aca="false">VLOOKUP(A25,'Données projet'!$A$165:$I$185,2,0)</f>
        <v>#N/A</v>
      </c>
      <c r="DM25" s="118" t="e">
        <f aca="false">VLOOKUP(A25,'Données projet'!$A$165:$I$185,9,0)</f>
        <v>#N/A</v>
      </c>
      <c r="DN25" s="118" t="n">
        <f aca="false" t="array" ref="DN25:DN25">INDEX(DM:DM,MIN(IF(ISNUMBER(DM25:DM221),ROW(DM25:DM221),"")))</f>
        <v>15</v>
      </c>
      <c r="DO25" s="118" t="n">
        <f aca="false">IF('Données projet'!$A$166&gt;35,DO24+DN25-DW24,IF(A25&lt;'Données projet'!$A$166,$DL$205^A25,IF(A25='Données projet'!$A$166,'Données projet'!$B$166,DO24+DN25-DW24)))</f>
        <v>127</v>
      </c>
      <c r="DP25" s="125" t="n">
        <f aca="false">DO25*VLOOKUP('Données projet'!$B$14,Paramètres!$A$1:$I$89,3,0)*VLOOKUP('Données projet'!$B$14,Paramètres!$A$1:$I$89,5,0)</f>
        <v>75.946</v>
      </c>
      <c r="DQ25" s="117" t="n">
        <f aca="false">EXP(-1.0587+0.8836*LN(DP25)+0.284)</f>
        <v>21.1429799952268</v>
      </c>
      <c r="DR25" s="128" t="n">
        <f aca="false">(DP25+DQ25)*0.475*44/12</f>
        <v>169.096640158353</v>
      </c>
      <c r="DS25" s="120" t="n">
        <f aca="false">DR25+(DJ25+DK25)*44/12</f>
        <v>452.652195713909</v>
      </c>
      <c r="DT25" s="120" t="n">
        <f aca="true">AVERAGE(OFFSET($DS$3,0,0,'Données projet'!$E$14+1,1))-AVERAGE(OFFSET($H$3,0,0,'Données projet'!$E$14+1,1))</f>
        <v>549.432320957297</v>
      </c>
      <c r="DU25" s="120" t="n">
        <f aca="false">$DU$3</f>
        <v>280.26155987301</v>
      </c>
      <c r="DV25" s="121" t="n">
        <f aca="false">IF(ISNA(VLOOKUP(A25,'Données projet'!$A$165:$I$185,3,0)),0,VLOOKUP(A25,'Données projet'!$A$165:$I$185,3,0))</f>
        <v>0</v>
      </c>
      <c r="DW25" s="121" t="n">
        <f aca="false">IF(ISNA(VLOOKUP(A25,'Données projet'!$A$165:$I$185,4,0)),0,VLOOKUP(A25,'Données projet'!$A$165:$I$185,4,0))</f>
        <v>0</v>
      </c>
      <c r="DX25" s="122" t="n">
        <f aca="false">IF(ISNA(VLOOKUP(A25,'Données projet'!$A$165:$I$185,5,0)),0%,VLOOKUP(A25,'Données projet'!$A$165:$I$185,5,0)*VLOOKUP('Données projet'!$B$14,Paramètres!$A$1:$I$89,7,0))</f>
        <v>0</v>
      </c>
      <c r="DY25" s="122" t="n">
        <f aca="false">IF(ISNA(VLOOKUP(A25,'Données projet'!$A$165:$I$185,6,0)),0%,VLOOKUP(A25,'Données projet'!$A$165:$I$185,6,0)*VLOOKUP('Données projet'!$B$14,Paramètres!$A$1:$I$89,7,0))</f>
        <v>0</v>
      </c>
      <c r="DZ25" s="122" t="n">
        <f aca="false">IF(ISNA(VLOOKUP(A25,'Données projet'!$A$165:$I$185,7,0)),0%,VLOOKUP(A25,'Données projet'!$A$165:$I$185,7,0))</f>
        <v>0</v>
      </c>
      <c r="EA25" s="129" t="n">
        <f aca="false">EXP(-LN(2)/35)*EA24+(1-EXP(-LN(2)/35))/(LN(2)/35)*DW25*DX25*VLOOKUP('Données projet'!$B$14,Paramètres!$A$1:$I$89,3,0)*0.475*44/12</f>
        <v>0</v>
      </c>
      <c r="EB25" s="129" t="n">
        <f aca="false">EXP(-LN(2)/25)*EB24+(1-EXP(-LN(2)/25))/(LN(2)/25)*Calculateur!DW25*Calculateur!DY25*VLOOKUP('Données projet'!$B$14,Paramètres!$A$1:$I$89,3,0)*0.475*44/12</f>
        <v>0</v>
      </c>
      <c r="EC25" s="129" t="n">
        <f aca="false">EXP(-LN(2)/2)*EC24+(1-EXP(-LN(2)/2))/(LN(2)/2)*DW25*DZ25*VLOOKUP('Données projet'!$B$14,Paramètres!$A$1:$I$89,3,0)*0.475*44/12</f>
        <v>7.44782405312909</v>
      </c>
      <c r="ED25" s="130" t="n">
        <f aca="false">SUM(EA25:EC25)</f>
        <v>7.44782405312909</v>
      </c>
      <c r="EE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EG25" s="118" t="e">
        <f aca="false">VLOOKUP(A25,'Données projet'!$A$191:$I$211,2,0)</f>
        <v>#N/A</v>
      </c>
      <c r="EH25" s="118" t="e">
        <f aca="false">VLOOKUP(A25,'Données projet'!$A$191:$I$211,9,0)</f>
        <v>#N/A</v>
      </c>
      <c r="EI25" s="118" t="n">
        <f aca="false" t="array" ref="EI25:EI25">INDEX(EH:EH,MIN(IF(ISNUMBER(EH25:EH221),ROW(EH25:EH221),"")))</f>
        <v>0</v>
      </c>
      <c r="EJ25" s="118" t="n">
        <f aca="false">IF('Données projet'!$A$192&gt;35,EJ24+EI25-ER24,IF(A25&lt;'Données projet'!$A$192,$EG$205^A25,IF(A25='Données projet'!$A$192,'Données projet'!$B$192,EJ24+EI25-ER24)))</f>
        <v>0</v>
      </c>
      <c r="EK25" s="125" t="e">
        <f aca="false">EJ25*VLOOKUP('Données projet'!$B$15,Paramètres!$A$1:$I$89,3,0)*VLOOKUP('Données projet'!$B$15,Paramètres!$A$1:$I$89,5,0)</f>
        <v>#N/A</v>
      </c>
      <c r="EL25" s="117" t="e">
        <f aca="false">EXP(-1.0587+0.8836*LN(EK25)+0.284)</f>
        <v>#N/A</v>
      </c>
      <c r="EM25" s="128" t="e">
        <f aca="false">(EK25+EL25)*0.475*44/12</f>
        <v>#N/A</v>
      </c>
      <c r="EN25" s="120" t="e">
        <f aca="false">EM25+(EE25+EF25)*44/12</f>
        <v>#N/A</v>
      </c>
      <c r="EO25" s="120" t="e">
        <f aca="true">AVERAGE(OFFSET($EN$3,0,0,'Données projet'!$E$15+1,1))-AVERAGE(OFFSET($H$3,0,0,'Données projet'!$E$15+1,1))</f>
        <v>#N/A</v>
      </c>
      <c r="EP25" s="120" t="e">
        <f aca="false">$EP$3</f>
        <v>#N/A</v>
      </c>
      <c r="EQ25" s="121" t="n">
        <f aca="false">IF(ISNA(VLOOKUP(A25,'Données projet'!$A$191:$I$211,3,0)),0,VLOOKUP(A25,'Données projet'!$A$191:$I$211,3,0))</f>
        <v>0</v>
      </c>
      <c r="ER25" s="121" t="n">
        <f aca="false">IF(ISNA(VLOOKUP(A25,'Données projet'!$A$191:$I$211,4,0)),0,VLOOKUP(A25,'Données projet'!$A$191:$I$211,4,0))</f>
        <v>0</v>
      </c>
      <c r="ES25" s="122" t="n">
        <f aca="false">IF(ISNA(VLOOKUP(A25,'Données projet'!$A$191:$I$211,5,0)),0%,VLOOKUP(A25,'Données projet'!$A$191:$I$211,5,0)*VLOOKUP('Données projet'!$B$15,Paramètres!$A$1:$I$89,7,0))</f>
        <v>0</v>
      </c>
      <c r="ET25" s="122" t="n">
        <f aca="false">IF(ISNA(VLOOKUP(A25,'Données projet'!$A$191:$I$211,6,0)),0%,VLOOKUP(A25,'Données projet'!$A$191:$I$211,6,0)*VLOOKUP('Données projet'!$B$15,Paramètres!$A$1:$I$89,7,0))</f>
        <v>0</v>
      </c>
      <c r="EU25" s="122" t="n">
        <f aca="false">IF(ISNA(VLOOKUP(A25,'Données projet'!$A$191:$I$211,7,0)),0%,VLOOKUP(A25,'Données projet'!$A$191:$I$211,7,0))</f>
        <v>0</v>
      </c>
      <c r="EV25" s="129" t="e">
        <f aca="false">EXP(-LN(2)/35)*EV24+(1-EXP(-LN(2)/35))/(LN(2)/35)*ER25*ES25*VLOOKUP('Données projet'!$B$15,Paramètres!$A$1:$I$89,3,0)*0.475*44/12</f>
        <v>#N/A</v>
      </c>
      <c r="EW25" s="129" t="e">
        <f aca="false">EXP(-LN(2)/25)*EW24+(1-EXP(-LN(2)/25))/(LN(2)/25)*Calculateur!ER25*Calculateur!ET25*VLOOKUP('Données projet'!$B$15,Paramètres!$A$1:$I$89,3,0)*0.475*44/12</f>
        <v>#N/A</v>
      </c>
      <c r="EX25" s="129" t="e">
        <f aca="false">EXP(-LN(2)/2)*EX24+(1-EXP(-LN(2)/2))/(LN(2)/2)*ER25*EU25*VLOOKUP('Données projet'!$B$15,Paramètres!$A$1:$I$89,3,0)*0.475*44/12</f>
        <v>#N/A</v>
      </c>
      <c r="EY25" s="130" t="e">
        <f aca="false">SUM(EV25:EX25)</f>
        <v>#N/A</v>
      </c>
      <c r="EZ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FB25" s="118" t="e">
        <f aca="false">VLOOKUP(A25,'Données projet'!$A$217:$I$237,2,0)</f>
        <v>#N/A</v>
      </c>
      <c r="FC25" s="118" t="e">
        <f aca="false">VLOOKUP(A25,'Données projet'!$A$217:$I$237,9,0)</f>
        <v>#N/A</v>
      </c>
      <c r="FD25" s="118" t="n">
        <f aca="false" t="array" ref="FD25:FD25">INDEX(FC:FC,MIN(IF(ISNUMBER(FC25:FC221),ROW(FC25:FC221),"")))</f>
        <v>0</v>
      </c>
      <c r="FE25" s="118" t="n">
        <f aca="false">IF('Données projet'!$A$218&gt;35,FE24+FD25-FM24,IF(A25&lt;'Données projet'!$A$218,$FB$205^A25,IF(A25='Données projet'!$A$218,'Données projet'!$B$218,FE24+FD25-FM24)))</f>
        <v>0</v>
      </c>
      <c r="FF25" s="125" t="e">
        <f aca="false">FE25*VLOOKUP('Données projet'!$B$16,Paramètres!$A$1:$I$89,3,0)*VLOOKUP('Données projet'!$B$16,Paramètres!$A$1:$I$89,5,0)</f>
        <v>#N/A</v>
      </c>
      <c r="FG25" s="117" t="e">
        <f aca="false">EXP(-1.0587+0.8836*LN(FF25)+0.284)</f>
        <v>#N/A</v>
      </c>
      <c r="FH25" s="128" t="e">
        <f aca="false">(FF25+FG25)*0.475*44/12</f>
        <v>#N/A</v>
      </c>
      <c r="FI25" s="120" t="e">
        <f aca="false">FH25+(EZ25+FA25)*44/12</f>
        <v>#N/A</v>
      </c>
      <c r="FJ25" s="120" t="e">
        <f aca="true">AVERAGE(OFFSET($FI$3,0,0,'Données projet'!$E$16+1,1))-AVERAGE(OFFSET($H$3,0,0,'Données projet'!$E$16+1,1))</f>
        <v>#N/A</v>
      </c>
      <c r="FK25" s="120" t="e">
        <f aca="false">$FK$3</f>
        <v>#N/A</v>
      </c>
      <c r="FL25" s="121" t="n">
        <f aca="false">IF(ISNA(VLOOKUP(A25,'Données projet'!$A$217:$I$237,3,0)),0,VLOOKUP(A25,'Données projet'!$A$217:$I$237,3,0))</f>
        <v>0</v>
      </c>
      <c r="FM25" s="121" t="n">
        <f aca="false">IF(ISNA(VLOOKUP(A25,'Données projet'!$A$217:$I$237,4,0)),0,VLOOKUP(A25,'Données projet'!$A$217:$I$237,4,0))</f>
        <v>0</v>
      </c>
      <c r="FN25" s="122" t="n">
        <f aca="false">IF(ISNA(VLOOKUP(A25,'Données projet'!$A$217:$I$237,5,0)),0%,VLOOKUP(A25,'Données projet'!$A$217:$I$237,5,0)*VLOOKUP('Données projet'!$B$16,Paramètres!$A$1:$I$89,7,0))</f>
        <v>0</v>
      </c>
      <c r="FO25" s="122" t="n">
        <f aca="false">IF(ISNA(VLOOKUP(A25,'Données projet'!$A$217:$I$237,6,0)),0%,VLOOKUP(A25,'Données projet'!$A$217:$I$237,6,0)*VLOOKUP('Données projet'!$B$16,Paramètres!$A$1:$I$89,7,0))</f>
        <v>0</v>
      </c>
      <c r="FP25" s="122" t="n">
        <f aca="false">IF(ISNA(VLOOKUP(A25,'Données projet'!$A$217:$I$237,7,0)),0%,VLOOKUP(A25,'Données projet'!$A$217:$I$237,7,0))</f>
        <v>0</v>
      </c>
      <c r="FQ25" s="129" t="e">
        <f aca="false">EXP(-LN(2)/35)*FQ24+(1-EXP(-LN(2)/35))/(LN(2)/35)*FM25*FN25*VLOOKUP('Données projet'!$B$16,Paramètres!$A$1:$I$89,3,0)*0.475*44/12</f>
        <v>#N/A</v>
      </c>
      <c r="FR25" s="129" t="e">
        <f aca="false">EXP(-LN(2)/25)*FR24+(1-EXP(-LN(2)/25))/(LN(2)/25)*Calculateur!FM25*Calculateur!FO25*VLOOKUP('Données projet'!$B$16,Paramètres!$A$1:$I$89,3,0)*0.475*44/12</f>
        <v>#N/A</v>
      </c>
      <c r="FS25" s="129" t="e">
        <f aca="false">EXP(-LN(2)/2)*FS24+(1-EXP(-LN(2)/2))/(LN(2)/2)*FM25*FP25*VLOOKUP('Données projet'!$B$16,Paramètres!$A$1:$I$89,3,0)*0.475*44/12</f>
        <v>#N/A</v>
      </c>
      <c r="FT25" s="130" t="e">
        <f aca="false">SUM(FQ25:FS25)</f>
        <v>#N/A</v>
      </c>
      <c r="FU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FW25" s="118" t="e">
        <f aca="false">VLOOKUP(A25,'Données projet'!$A$243:$I$263,2,0)</f>
        <v>#N/A</v>
      </c>
      <c r="FX25" s="118" t="e">
        <f aca="false">VLOOKUP(A25,'Données projet'!$A$243:$I$263,9,0)</f>
        <v>#N/A</v>
      </c>
      <c r="FY25" s="118" t="n">
        <f aca="false" t="array" ref="FY25:FY25">INDEX(FX:FX,MIN(IF(ISNUMBER(FX25:FX221),ROW(FX25:FX221),"")))</f>
        <v>0</v>
      </c>
      <c r="FZ25" s="118" t="n">
        <f aca="false">IF('Données projet'!$A$244&gt;35,FZ24+FY25-GH24,IF(A25&lt;'Données projet'!$A$244,$FW$205^A25,IF(A25='Données projet'!$A$244,'Données projet'!$B$244,FZ24+FY25-GH24)))</f>
        <v>0</v>
      </c>
      <c r="GA25" s="125" t="e">
        <f aca="false">FZ25*VLOOKUP('Données projet'!$B$17,Paramètres!$A$1:$I$89,3,0)*VLOOKUP('Données projet'!$B$17,Paramètres!$A$1:$I$89,5,0)</f>
        <v>#N/A</v>
      </c>
      <c r="GB25" s="117" t="e">
        <f aca="false">EXP(-1.0587+0.8836*LN(GA25)+0.284)</f>
        <v>#N/A</v>
      </c>
      <c r="GC25" s="128" t="e">
        <f aca="false">(GA25+GB25)*0.475*44/12</f>
        <v>#N/A</v>
      </c>
      <c r="GD25" s="120" t="e">
        <f aca="false">GC25+(FU25+FV25)*44/12</f>
        <v>#N/A</v>
      </c>
      <c r="GE25" s="120" t="e">
        <f aca="true">AVERAGE(OFFSET($GD$3,0,0,'Données projet'!$E$17+1,1))-AVERAGE(OFFSET($H$3,0,0,'Données projet'!$E$17+1,1))</f>
        <v>#N/A</v>
      </c>
      <c r="GF25" s="120" t="e">
        <f aca="false">$GF$3</f>
        <v>#N/A</v>
      </c>
      <c r="GG25" s="121" t="n">
        <f aca="false">IF(ISNA(VLOOKUP(A25,'Données projet'!$A$243:$I$263,3,0)),0,VLOOKUP(A25,'Données projet'!$A$243:$I$263,3,0))</f>
        <v>0</v>
      </c>
      <c r="GH25" s="121" t="n">
        <f aca="false">IF(ISNA(VLOOKUP(A25,'Données projet'!$A$243:$I$263,4,0)),0,VLOOKUP(A25,'Données projet'!$A$243:$I$263,4,0))</f>
        <v>0</v>
      </c>
      <c r="GI25" s="122" t="n">
        <f aca="false">IF(ISNA(VLOOKUP(A25,'Données projet'!$A$243:$I$263,5,0)),0%,VLOOKUP(A25,'Données projet'!$A$243:$I$263,5,0)*VLOOKUP('Données projet'!$B$17,Paramètres!$A$1:$I$89,7,0))</f>
        <v>0</v>
      </c>
      <c r="GJ25" s="122" t="n">
        <f aca="false">IF(ISNA(VLOOKUP(A25,'Données projet'!$A$243:$I$263,6,0)),0%,VLOOKUP(A25,'Données projet'!$A$243:$I$263,6,0)*VLOOKUP('Données projet'!$B$17,Paramètres!$A$1:$I$89,7,0))</f>
        <v>0</v>
      </c>
      <c r="GK25" s="122" t="n">
        <f aca="false">IF(ISNA(VLOOKUP(A25,'Données projet'!$A$243:$I$263,7,0)),0%,VLOOKUP(A25,'Données projet'!$A$243:$I$263,7,0))</f>
        <v>0</v>
      </c>
      <c r="GL25" s="129" t="e">
        <f aca="false">EXP(-LN(2)/35)*GL24+(1-EXP(-LN(2)/35))/(LN(2)/35)*GH25*GI25*VLOOKUP('Données projet'!$B$17,Paramètres!$A$1:$I$89,3,0)*0.475*44/12</f>
        <v>#N/A</v>
      </c>
      <c r="GM25" s="129" t="e">
        <f aca="false">EXP(-LN(2)/25)*GM24+(1-EXP(-LN(2)/25))/(LN(2)/25)*Calculateur!GH25*Calculateur!GJ25*VLOOKUP('Données projet'!$B$17,Paramètres!$A$1:$I$89,3,0)*0.475*44/12</f>
        <v>#N/A</v>
      </c>
      <c r="GN25" s="129" t="e">
        <f aca="false">EXP(-LN(2)/2)*GN24+(1-EXP(-LN(2)/2))/(LN(2)/2)*GH25*GK25*VLOOKUP('Données projet'!$B$17,Paramètres!$A$1:$I$89,3,0)*0.475*44/12</f>
        <v>#N/A</v>
      </c>
      <c r="GO25" s="129" t="e">
        <f aca="false">SUM(GL25:GN25)</f>
        <v>#N/A</v>
      </c>
      <c r="GP25" s="126" t="n">
        <f aca="false"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8" t="n">
        <f aca="false">IF(A25&gt;30,10,('Scénario référence'!$B$16+'Scénario référence'!$B$17+'Scénario référence'!$B$18+'Scénario référence'!$B$9+'Scénario référence'!$B$10)*A25*10/30+('Scénario référence'!$F$8+'Scénario référence'!$F$9)*10)</f>
        <v>7.33333333333333</v>
      </c>
      <c r="GR25" s="118" t="e">
        <f aca="false">VLOOKUP(A25,'Données projet'!$A$269:$I$289,2,0)</f>
        <v>#N/A</v>
      </c>
      <c r="GS25" s="118" t="e">
        <f aca="false">VLOOKUP(A25,'Données projet'!$A$269:$I$289,9,0)</f>
        <v>#N/A</v>
      </c>
      <c r="GT25" s="118" t="n">
        <f aca="false" t="array" ref="GT25:GT25">INDEX(GS:GS,MIN(IF(ISNUMBER(GS25:GS221),ROW(GS25:GS221),"")))</f>
        <v>0</v>
      </c>
      <c r="GU25" s="118" t="n">
        <f aca="false">IF('Données projet'!$A$270&gt;35,GU24+GT25-HC24,IF(A25&lt;'Données projet'!$A$270,$GR$205^A25,IF(A25='Données projet'!$A$270,'Données projet'!$B$270,GU24+GT25-HC24)))</f>
        <v>0</v>
      </c>
      <c r="GV25" s="125" t="e">
        <f aca="false">GU25*VLOOKUP('Données projet'!$B$18,Paramètres!$A$1:$I$89,3,0)*VLOOKUP('Données projet'!$B$18,Paramètres!$A$1:$I$89,5,0)</f>
        <v>#N/A</v>
      </c>
      <c r="GW25" s="117" t="e">
        <f aca="false">EXP(-1.0587+0.8836*LN(GV25)+0.284)</f>
        <v>#N/A</v>
      </c>
      <c r="GX25" s="128" t="e">
        <f aca="false">(GV25+GW25)*0.475*44/12</f>
        <v>#N/A</v>
      </c>
      <c r="GY25" s="120" t="e">
        <f aca="false">GX25+(GP25+GQ25)*44/12</f>
        <v>#N/A</v>
      </c>
      <c r="GZ25" s="120" t="e">
        <f aca="true">AVERAGE(OFFSET($GY$3,0,0,'Données projet'!$E$18+1,1))-AVERAGE(OFFSET($H$3,0,0,'Données projet'!$E$18+1,1))</f>
        <v>#N/A</v>
      </c>
      <c r="HA25" s="120" t="e">
        <f aca="false">$HA$3</f>
        <v>#N/A</v>
      </c>
      <c r="HB25" s="121" t="n">
        <f aca="false">IF(ISNA(VLOOKUP(A25,'Données projet'!$A$269:$I$289,3,0)),0,VLOOKUP(A25,'Données projet'!$A$269:$I$289,3,0))</f>
        <v>0</v>
      </c>
      <c r="HC25" s="121" t="n">
        <f aca="false">IF(ISNA(VLOOKUP(A25,'Données projet'!$A$269:$I$289,4,0)),0,VLOOKUP(A25,'Données projet'!$A$269:$I$289,4,0))</f>
        <v>0</v>
      </c>
      <c r="HD25" s="122" t="n">
        <f aca="false">IF(ISNA(VLOOKUP(A25,'Données projet'!$A$269:$I$289,5,0)),0%,VLOOKUP(A25,'Données projet'!$A$269:$I$289,5,0)*VLOOKUP('Données projet'!$B$18,Paramètres!$A$1:$I$89,7,0))</f>
        <v>0</v>
      </c>
      <c r="HE25" s="122" t="n">
        <f aca="false">IF(ISNA(VLOOKUP(A25,'Données projet'!$A$269:$I$289,6,0)),0%,VLOOKUP(A25,'Données projet'!$A$269:$I$289,6,0)*VLOOKUP('Données projet'!$B$18,Paramètres!$A$1:$I$89,7,0))</f>
        <v>0</v>
      </c>
      <c r="HF25" s="122" t="n">
        <f aca="false">IF(ISNA(VLOOKUP(A25,'Données projet'!$A$269:$I$289,7,0)),0%,VLOOKUP(A25,'Données projet'!$A$269:$I$289,7,0))</f>
        <v>0</v>
      </c>
      <c r="HG25" s="129" t="e">
        <f aca="false">EXP(-LN(2)/35)*HG24+(1-EXP(-LN(2)/35))/(LN(2)/35)*HC25*HD25*VLOOKUP('Données projet'!$B$18,Paramètres!$A$1:$I$89,3,0)*0.475*44/12</f>
        <v>#N/A</v>
      </c>
      <c r="HH25" s="129" t="e">
        <f aca="false">EXP(-LN(2)/25)*HH24+(1-EXP(-LN(2)/25))/(LN(2)/25)*Calculateur!HC25*Calculateur!HE25*VLOOKUP('Données projet'!$B$18,Paramètres!$A$1:$I$89,3,0)*0.475*44/12</f>
        <v>#N/A</v>
      </c>
      <c r="HI25" s="129" t="e">
        <f aca="false">EXP(-LN(2)/2)*HI24+(1-EXP(-LN(2)/2))/(LN(2)/2)*HC25*HF25*VLOOKUP('Données projet'!$B$18,Paramètres!$A$1:$I$89,3,0)*0.475*44/12</f>
        <v>#N/A</v>
      </c>
      <c r="HJ25" s="130" t="e">
        <f aca="false">SUM(HG25:HI25)</f>
        <v>#N/A</v>
      </c>
    </row>
    <row r="26" customFormat="false" ht="14.25" hidden="false" customHeight="false" outlineLevel="0" collapsed="false">
      <c r="A26" s="112" t="n">
        <f aca="false">A25+1</f>
        <v>23</v>
      </c>
      <c r="B26" s="113" t="n">
        <f aca="false">'Scénario référence'!$B$16*5+'Scénario référence'!$B$17*0+'Scénario référence'!$B$18*5</f>
        <v>0</v>
      </c>
      <c r="C26" s="127" t="n">
        <f aca="false"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4" t="n">
        <f aca="false">IFERROR(EXP(-1.0587+0.8836*LN(C26)+0.284),0)</f>
        <v>0</v>
      </c>
      <c r="E2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6" s="114" t="n">
        <f aca="false">IF(OR('Scénario référence'!$F$8&gt;0,'Scénario référence'!$F$9&gt;0),('Scénario référence'!$F$8+'Scénario référence'!$F$9)*10,0)</f>
        <v>0</v>
      </c>
      <c r="G26" s="114" t="n">
        <f aca="false"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15" t="n">
        <f aca="false">(B26+E26+F26)*44/12+(C26+D26)*0.475*44/12</f>
        <v>256.666666666667</v>
      </c>
      <c r="I26" s="11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7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K26" s="118" t="e">
        <f aca="false">VLOOKUP(A26,'Données projet'!$A$35:$I$55,2,0)</f>
        <v>#N/A</v>
      </c>
      <c r="L26" s="118" t="e">
        <f aca="false">VLOOKUP(A26,'Données projet'!$A$35:$I$55,9,0)</f>
        <v>#N/A</v>
      </c>
      <c r="M26" s="118" t="n">
        <f aca="false" t="array" ref="M26:M26">INDEX(L:L,MIN(IF(ISNUMBER(L26:L222),ROW(L26:L222),"")))</f>
        <v>9.2</v>
      </c>
      <c r="N26" s="117" t="n">
        <f aca="false">IF('Données projet'!$A$36&gt;35,N25+M26-V25,IF(A26&lt;'Données projet'!$A$36,$K$205^A26,IF(A26='Données projet'!$A$36,'Données projet'!$B$36,N25+M26-V25)))</f>
        <v>146.1</v>
      </c>
      <c r="O26" s="117" t="n">
        <f aca="false">N26*VLOOKUP('Données projet'!$B$9,Paramètres!$A$1:$I$89,3,0)*VLOOKUP('Données projet'!$B$9,Paramètres!$A$1:$I$89,5,0)</f>
        <v>68.3748</v>
      </c>
      <c r="P26" s="117" t="n">
        <f aca="false">EXP(-1.0587+0.8836*LN(O26)+0.284)</f>
        <v>19.2693130096009</v>
      </c>
      <c r="Q26" s="128" t="n">
        <f aca="false">(O26+P26)*0.475*44/12</f>
        <v>152.646830158388</v>
      </c>
      <c r="R26" s="120" t="n">
        <f aca="false">Q26+(I26+J26)*44/12</f>
        <v>437.424607936166</v>
      </c>
      <c r="S26" s="120" t="n">
        <f aca="true">AVERAGE(OFFSET($R$3,0,0,'Données projet'!$E$9+1,1))-AVERAGE(OFFSET($H$3,0,0,'Données projet'!$E$9+1,1))</f>
        <v>319.229030946746</v>
      </c>
      <c r="T26" s="120" t="n">
        <f aca="false">$T$3</f>
        <v>254.586909731428</v>
      </c>
      <c r="U26" s="121" t="n">
        <f aca="false">IF(ISNA(VLOOKUP(A26,'Données projet'!$A$35:$I$55,3,0)),0,VLOOKUP(A26,'Données projet'!$A$35:$I$55,3,0))</f>
        <v>0</v>
      </c>
      <c r="V26" s="121" t="n">
        <f aca="false">IF(ISNA(VLOOKUP(A26,'Données projet'!$A$35:$I$55,4,0)),0,VLOOKUP(A26,'Données projet'!$A$35:$I$55,4,0))</f>
        <v>0</v>
      </c>
      <c r="W26" s="122" t="n">
        <f aca="false">IF(ISNA(VLOOKUP(A26,'Données projet'!$A$35:$I$55,5,0)),0%,VLOOKUP(A26,'Données projet'!$A$35:$I$55,5,0)*VLOOKUP('Données projet'!$B$9,Paramètres!$A$1:$I$89,7,0))</f>
        <v>0</v>
      </c>
      <c r="X26" s="122" t="n">
        <f aca="false">IF(ISNA(VLOOKUP(A26,'Données projet'!$A$35:$I$55,6,0)),0%,VLOOKUP(A26,'Données projet'!$A$35:$I$55,6,0)*VLOOKUP('Données projet'!$B$9,Paramètres!$A$1:$I$89,7,0))</f>
        <v>0</v>
      </c>
      <c r="Y26" s="122" t="n">
        <f aca="false">IF(ISNA(VLOOKUP(A26,'Données projet'!$A$35:$I$55,7,0)),0%,VLOOKUP(A26,'Données projet'!$A$35:$I$55,7,0))</f>
        <v>0</v>
      </c>
      <c r="Z26" s="129" t="n">
        <f aca="false">EXP(-LN(2)/35)*Z25+(1-EXP(-LN(2)/35))/(LN(2)/35)*V26*W26*VLOOKUP('Données projet'!$B$9,Paramètres!$A$1:$I$89,3,0)*0.475*44/12</f>
        <v>2.54191731372173</v>
      </c>
      <c r="AA26" s="129" t="n">
        <f aca="false">EXP(-LN(2)/25)*AA25+(1-EXP(-LN(2)/25))/(LN(2)/25)*Calculateur!V26*Calculateur!X26*VLOOKUP('Données projet'!$B$9,Paramètres!$A$1:$I$89,3,0)*0.475*44/12</f>
        <v>2.47244723882415</v>
      </c>
      <c r="AB26" s="129" t="n">
        <f aca="false">EXP(-LN(2)/2)*AB25+(1-EXP(-LN(2)/2))/(LN(2)/2)*V26*Y26*VLOOKUP('Données projet'!$B$9,Paramètres!$A$1:$I$89,3,0)*0.475*44/12</f>
        <v>4.44001814343068</v>
      </c>
      <c r="AC26" s="130" t="n">
        <f aca="false">SUM(Z26:AB26)</f>
        <v>9.45438269597656</v>
      </c>
      <c r="AD26" s="117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7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AF26" s="118" t="n">
        <f aca="false">VLOOKUP(A26,'Données projet'!$A$61:$I$81,2,0)</f>
        <v>162</v>
      </c>
      <c r="AG26" s="118" t="n">
        <f aca="false">VLOOKUP(A26,'Données projet'!$A$61:$I$81,9,0)</f>
        <v>7.04347826086957</v>
      </c>
      <c r="AH26" s="118" t="n">
        <f aca="false" t="array" ref="AH26:AH26">INDEX(AG:AG,MIN(IF(ISNUMBER(AG26:AG222),ROW(AG26:AG222),"")))</f>
        <v>7.04347826086957</v>
      </c>
      <c r="AI26" s="117" t="n">
        <f aca="false">IF('Données projet'!$A$62&gt;35,AI25+AH26-AQ25,IF(A26&lt;'Données projet'!$A$62,$AF$205^A26,IF(A26='Données projet'!$A$62,'Données projet'!$B$62,AI25+AH26-AQ25)))</f>
        <v>162</v>
      </c>
      <c r="AJ26" s="117" t="n">
        <f aca="false">AI26*VLOOKUP('Données projet'!$B$10,Paramètres!$A$1:$I$89,3,0)*VLOOKUP('Données projet'!$B$10,Paramètres!$A$1:$I$89,5,0)</f>
        <v>90.558</v>
      </c>
      <c r="AK26" s="117" t="n">
        <f aca="false">EXP(-1.0587+0.8836*LN(AJ26)+0.284)</f>
        <v>24.6997527085091</v>
      </c>
      <c r="AL26" s="128" t="n">
        <f aca="false">(AJ26+AK26)*0.475*44/12</f>
        <v>200.74058596732</v>
      </c>
      <c r="AM26" s="120" t="n">
        <f aca="false">AL26+(AD26+AE26)*44/12</f>
        <v>485.518363745098</v>
      </c>
      <c r="AN26" s="120" t="n">
        <f aca="true">AVERAGE(OFFSET($AM$3,0,0,'Données projet'!$E$10+1,1))-AVERAGE(OFFSET($H$3,0,0,'Données projet'!$E$10+1,1))</f>
        <v>365.705101827279</v>
      </c>
      <c r="AO26" s="120" t="n">
        <f aca="false">$AO$3</f>
        <v>436.238338449625</v>
      </c>
      <c r="AP26" s="121" t="n">
        <f aca="false">IF(ISNA(VLOOKUP(A26,'Données projet'!$A$61:$I$81,3,0)),0,VLOOKUP(A26,'Données projet'!$A$61:$I$81,3,0))</f>
        <v>1</v>
      </c>
      <c r="AQ26" s="121" t="n">
        <f aca="false">IF(ISNA(VLOOKUP(A26,'Données projet'!$A$61:$I$81,4,0)),0,VLOOKUP(A26,'Données projet'!$A$61:$I$81,4,0))</f>
        <v>0</v>
      </c>
      <c r="AR26" s="122" t="n">
        <f aca="false">IF(ISNA(VLOOKUP(A26,'Données projet'!$A$61:$I$81,5,0)),0%,VLOOKUP(A26,'Données projet'!$A$61:$I$81,5,0)*VLOOKUP('Données projet'!$B$10,Paramètres!$A$1:$I$89,7,0))</f>
        <v>0</v>
      </c>
      <c r="AS26" s="122" t="n">
        <f aca="false">IF(ISNA(VLOOKUP(A26,'Données projet'!$A$61:$I$81,6,0)),0%,VLOOKUP(A26,'Données projet'!$A$61:$I$81,6,0)*VLOOKUP('Données projet'!$B$10,Paramètres!$A$1:$I$89,7,0))</f>
        <v>0.22</v>
      </c>
      <c r="AT26" s="122" t="n">
        <f aca="false">IF(ISNA(VLOOKUP(A26,'Données projet'!$A$61:$I$81,7,0)),0%,VLOOKUP(A26,'Données projet'!$A$61:$I$81,7,0))</f>
        <v>0.6</v>
      </c>
      <c r="AU26" s="129" t="n">
        <f aca="false">EXP(-LN(2)/35)*AU25+(1-EXP(-LN(2)/35))/(LN(2)/35)*AQ26*AR26*VLOOKUP('Données projet'!$B$10,Paramètres!$A$1:$I$89,3,0)*0.475*44/12</f>
        <v>0</v>
      </c>
      <c r="AV26" s="129" t="n">
        <f aca="false">EXP(-LN(2)/25)*AV25+(1-EXP(-LN(2)/25))/(LN(2)/25)*Calculateur!AQ26*Calculateur!AS26*VLOOKUP('Données projet'!$B$10,Paramètres!$A$1:$I$89,3,0)*0.475*44/12</f>
        <v>0</v>
      </c>
      <c r="AW26" s="129" t="n">
        <f aca="false">EXP(-LN(2)/2)*AW25+(1-EXP(-LN(2)/2))/(LN(2)/2)*AQ26*AT26*VLOOKUP('Données projet'!$B$10,Paramètres!$A$1:$I$89,3,0)*0.475*44/12</f>
        <v>0</v>
      </c>
      <c r="AX26" s="129" t="n">
        <f aca="false">SUM(AU26:AW26)</f>
        <v>0</v>
      </c>
      <c r="AY26" s="124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BA26" s="118" t="e">
        <f aca="false">VLOOKUP(A26,'Données projet'!$A$87:$I$107,2,0)</f>
        <v>#N/A</v>
      </c>
      <c r="BB26" s="118" t="e">
        <f aca="false">VLOOKUP(A26,'Données projet'!$A$87:$I$107,9,0)</f>
        <v>#N/A</v>
      </c>
      <c r="BC26" s="118" t="n">
        <f aca="false" t="array" ref="BC26:BC26">INDEX(BB:BB,MIN(IF(ISNUMBER(BB26:BB222),ROW(BB26:BB222),"")))</f>
        <v>13.8</v>
      </c>
      <c r="BD26" s="118" t="n">
        <f aca="false">IF('Données projet'!$A$88&gt;35,BD25+BC26-BL25,IF(A26&lt;'Données projet'!$A$88,$BA$205^A26,IF(A26='Données projet'!$A$88,'Données projet'!$B$88,BD25+BC26-BL25)))</f>
        <v>135.4</v>
      </c>
      <c r="BE26" s="117" t="n">
        <f aca="false">BD26*VLOOKUP('Données projet'!$B$11,Paramètres!$A$1:$I$89,3,0)*VLOOKUP('Données projet'!$B$11,Paramètres!$A$1:$I$89,5,0)</f>
        <v>118.28544</v>
      </c>
      <c r="BF26" s="117" t="n">
        <f aca="false">EXP(-1.0587+0.8836*LN(BE26)+0.284)</f>
        <v>31.2747720131696</v>
      </c>
      <c r="BG26" s="128" t="n">
        <f aca="false">(BE26+BF26)*0.475*44/12</f>
        <v>260.484035922937</v>
      </c>
      <c r="BH26" s="120" t="n">
        <f aca="false">BG26+(AY26+AZ26)*44/12</f>
        <v>545.261813700715</v>
      </c>
      <c r="BI26" s="120" t="n">
        <f aca="true">AVERAGE(OFFSET($BH$3,0,0,'Données projet'!$E$11+1,1))-AVERAGE(OFFSET($H$3,0,0,'Données projet'!$E$11+1,1))</f>
        <v>321.235999689929</v>
      </c>
      <c r="BJ26" s="120" t="n">
        <f aca="false">$BJ$3</f>
        <v>388.051958478005</v>
      </c>
      <c r="BK26" s="121" t="n">
        <f aca="false">IF(ISNA(VLOOKUP(A26,'Données projet'!$A$87:$I$107,3,0)),0,VLOOKUP(A26,'Données projet'!$A$87:$I$107,3,0))</f>
        <v>0</v>
      </c>
      <c r="BL26" s="121" t="n">
        <f aca="false">IF(ISNA(VLOOKUP(A26,'Données projet'!$A$87:$I$107,4,0)),0,VLOOKUP(A26,'Données projet'!$A$87:$I$107,4,0))</f>
        <v>0</v>
      </c>
      <c r="BM26" s="122" t="n">
        <f aca="false">IF(ISNA(VLOOKUP(A26,'Données projet'!$A$87:$I$107,5,0)),0%,VLOOKUP(A26,'Données projet'!$A$87:$I$107,5,0)*VLOOKUP('Données projet'!$B$11,Paramètres!$A$1:$I$89,7,0))</f>
        <v>0</v>
      </c>
      <c r="BN26" s="122" t="n">
        <f aca="false">IF(ISNA(VLOOKUP(A26,'Données projet'!$A$87:$I$107,6,0)),0%,VLOOKUP(A26,'Données projet'!$A$87:$I$107,6,0)*VLOOKUP('Données projet'!$B$11,Paramètres!$A$1:$I$89,7,0))</f>
        <v>0</v>
      </c>
      <c r="BO26" s="122" t="n">
        <f aca="false">IF(ISNA(VLOOKUP(A26,'Données projet'!$A$87:$I$107,7,0)),0%,VLOOKUP(A26,'Données projet'!$A$87:$I$107,7,0))</f>
        <v>0</v>
      </c>
      <c r="BP26" s="129" t="n">
        <f aca="false">EXP(-LN(2)/35)*BP25+(1-EXP(-LN(2)/35))/(LN(2)/35)*BL26*BM26*VLOOKUP('Données projet'!$B$11,Paramètres!$A$1:$I$89,3,0)*0.475*44/12</f>
        <v>1.68265110811919</v>
      </c>
      <c r="BQ26" s="129" t="n">
        <f aca="false">EXP(-LN(2)/25)*BQ25+(1-EXP(-LN(2)/25))/(LN(2)/25)*Calculateur!BL26*Calculateur!BN26*VLOOKUP('Données projet'!$B$11,Paramètres!$A$1:$I$89,3,0)*0.475*44/12</f>
        <v>3.96916141368528</v>
      </c>
      <c r="BR26" s="129" t="n">
        <f aca="false">EXP(-LN(2)/2)*BR25+(1-EXP(-LN(2)/2))/(LN(2)/2)*BL26*BO26*VLOOKUP('Données projet'!$B$11,Paramètres!$A$1:$I$89,3,0)*0.475*44/12</f>
        <v>5.55337765542741</v>
      </c>
      <c r="BS26" s="130" t="n">
        <f aca="false">SUM(BP26:BR26)</f>
        <v>11.2051901772319</v>
      </c>
      <c r="BT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BV26" s="118" t="e">
        <f aca="false">VLOOKUP(A26,'Données projet'!$A$113:$I$133,2,0)</f>
        <v>#N/A</v>
      </c>
      <c r="BW26" s="118" t="e">
        <f aca="false">VLOOKUP(A26,'Données projet'!$A$113:$I$133,9,0)</f>
        <v>#N/A</v>
      </c>
      <c r="BX26" s="118" t="n">
        <f aca="false" t="array" ref="BX26:BX26">INDEX(BW:BW,MIN(IF(ISNUMBER(BW26:BW222),ROW(BW26:BW222),"")))</f>
        <v>16</v>
      </c>
      <c r="BY26" s="118" t="n">
        <f aca="false">IF('Données projet'!$A$114&gt;35,BY25+BX26-CG25,IF(A26&lt;'Données projet'!$A$114,$BV$205^A26,IF(A26='Données projet'!$A$114,'Données projet'!$B$114,BY25+BX26-CG25)))</f>
        <v>152</v>
      </c>
      <c r="BZ26" s="117" t="n">
        <f aca="false">BY26*VLOOKUP('Données projet'!$B$12,Paramètres!$A$1:$I$89,3,0)*VLOOKUP('Données projet'!$B$12,Paramètres!$A$1:$I$89,5,0)</f>
        <v>94.848</v>
      </c>
      <c r="CA26" s="117" t="n">
        <f aca="false">EXP(-1.0587+0.8836*LN(BZ26)+0.284)</f>
        <v>25.7308517519392</v>
      </c>
      <c r="CB26" s="128" t="n">
        <f aca="false">(BZ26+CA26)*0.475*44/12</f>
        <v>210.008166801294</v>
      </c>
      <c r="CC26" s="120" t="n">
        <f aca="false">CB26+(BT26+BU26)*44/12</f>
        <v>494.785944579072</v>
      </c>
      <c r="CD26" s="120" t="n">
        <f aca="true">AVERAGE(OFFSET($CC$3,0,0,'Données projet'!$E$12+1,1))-AVERAGE(OFFSET($H$3,0,0,'Données projet'!$E$12+1,1))</f>
        <v>240.228848647662</v>
      </c>
      <c r="CE26" s="120" t="n">
        <f aca="false">$CE$3</f>
        <v>343.237768841432</v>
      </c>
      <c r="CF26" s="121" t="n">
        <f aca="false">IF(ISNA(VLOOKUP(A26,'Données projet'!$A$113:$I$133,3,0)),0,VLOOKUP(A26,'Données projet'!$A$113:$I$133,3,0))</f>
        <v>0</v>
      </c>
      <c r="CG26" s="121" t="n">
        <f aca="false">IF(ISNA(VLOOKUP(A26,'Données projet'!$A$113:$I$133,4,0)),0,VLOOKUP(A26,'Données projet'!$A$113:$I$133,4,0))</f>
        <v>0</v>
      </c>
      <c r="CH26" s="122" t="n">
        <f aca="false">IF(ISNA(VLOOKUP(A26,'Données projet'!$A$113:$I$133,5,0)),0%,VLOOKUP(A26,'Données projet'!$A$113:$I$133,5,0)*VLOOKUP('Données projet'!$B$12,Paramètres!$A$1:$I$89,7,0))</f>
        <v>0</v>
      </c>
      <c r="CI26" s="122" t="n">
        <f aca="false">IF(ISNA(VLOOKUP(A26,'Données projet'!$A$113:$I$133,6,0)),0%,VLOOKUP(A26,'Données projet'!$A$113:$I$133,6,0)*VLOOKUP('Données projet'!$B$12,Paramètres!$A$1:$I$89,7,0))</f>
        <v>0</v>
      </c>
      <c r="CJ26" s="122" t="n">
        <f aca="false">IF(ISNA(VLOOKUP(A26,'Données projet'!$A$113:$I$133,7,0)),0%,VLOOKUP(A26,'Données projet'!$A$113:$I$133,7,0))</f>
        <v>0</v>
      </c>
      <c r="CK26" s="129" t="n">
        <f aca="false">EXP(-LN(2)/35)*CK25+(1-EXP(-LN(2)/35))/(LN(2)/35)*CG26*CH26*VLOOKUP('Données projet'!$B$12,Paramètres!$A$1:$I$89,3,0)*0.475*44/12</f>
        <v>0</v>
      </c>
      <c r="CL26" s="129" t="n">
        <f aca="false">EXP(-LN(2)/25)*CL25+(1-EXP(-LN(2)/25))/(LN(2)/25)*Calculateur!CG26*Calculateur!CI26*VLOOKUP('Données projet'!$B$12,Paramètres!$A$1:$I$89,3,0)*0.475*44/12</f>
        <v>2.43372656348836</v>
      </c>
      <c r="CM26" s="129" t="n">
        <f aca="false">EXP(-LN(2)/2)*CM25+(1-EXP(-LN(2)/2))/(LN(2)/2)*CG26*CJ26*VLOOKUP('Données projet'!$B$12,Paramètres!$A$1:$I$89,3,0)*0.475*44/12</f>
        <v>9.84563522066105</v>
      </c>
      <c r="CN26" s="130" t="n">
        <f aca="false">SUM(CK26:CM26)</f>
        <v>12.2793617841494</v>
      </c>
      <c r="CO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CQ26" s="118" t="e">
        <f aca="false">VLOOKUP(A26,'Données projet'!$A$139:$I$159,2,0)</f>
        <v>#N/A</v>
      </c>
      <c r="CR26" s="118" t="e">
        <f aca="false">VLOOKUP(A26,'Données projet'!$A$139:$I$159,9,0)</f>
        <v>#N/A</v>
      </c>
      <c r="CS26" s="118" t="n">
        <f aca="false" t="array" ref="CS26:CS26">INDEX(CR:CR,MIN(IF(ISNUMBER(CR26:CR222),ROW(CR26:CR222),"")))</f>
        <v>19.1666666666667</v>
      </c>
      <c r="CT26" s="118" t="n">
        <f aca="false">IF('Données projet'!$A$140&gt;35,CT25+CS26-DB25,IF(A26&lt;'Données projet'!$A$140,$CQ$205^A26,IF(A26='Données projet'!$A$140,'Données projet'!$B$140,CT25+CS26-DB25)))</f>
        <v>219.833333333333</v>
      </c>
      <c r="CU26" s="125" t="n">
        <f aca="false">CT26*VLOOKUP('Données projet'!$B$13,Paramètres!$A$1:$I$89,3,0)*VLOOKUP('Données projet'!$B$13,Paramètres!$A$1:$I$89,5,0)</f>
        <v>120.029</v>
      </c>
      <c r="CV26" s="117" t="n">
        <f aca="false">EXP(-1.0587+0.8836*LN(CU26)+0.284)</f>
        <v>31.6817629727651</v>
      </c>
      <c r="CW26" s="128" t="n">
        <f aca="false">(CU26+CV26)*0.475*44/12</f>
        <v>264.229578844232</v>
      </c>
      <c r="CX26" s="120" t="n">
        <f aca="false">CW26+(CO26+CP26)*44/12</f>
        <v>549.00735662201</v>
      </c>
      <c r="CY26" s="120" t="n">
        <f aca="true">AVERAGE(OFFSET($CX$3,0,0,'Données projet'!$E$13+1,1))-AVERAGE(OFFSET($H$3,0,0,'Données projet'!$E$13+1,1))</f>
        <v>207.023069645676</v>
      </c>
      <c r="CZ26" s="120" t="n">
        <f aca="false">$CZ$3</f>
        <v>342.068879333518</v>
      </c>
      <c r="DA26" s="121" t="n">
        <f aca="false">IF(ISNA(VLOOKUP(A26,'Données projet'!$A$139:$I$159,3,0)),0,VLOOKUP(A26,'Données projet'!$A$139:$I$159,3,0))</f>
        <v>0</v>
      </c>
      <c r="DB26" s="121" t="n">
        <f aca="false">IF(ISNA(VLOOKUP(A26,'Données projet'!$A$139:$I$159,4,0)),0,VLOOKUP(A26,'Données projet'!$A$139:$I$159,4,0))</f>
        <v>0</v>
      </c>
      <c r="DC26" s="122" t="n">
        <f aca="false">IF(ISNA(VLOOKUP(A26,'Données projet'!$A$139:$I$159,5,0)),0%,VLOOKUP(A26,'Données projet'!$A$139:$I$159,5,0)*VLOOKUP('Données projet'!$B$13,Paramètres!$A$1:$I$89,7,0))</f>
        <v>0</v>
      </c>
      <c r="DD26" s="122" t="n">
        <f aca="false">IF(ISNA(VLOOKUP(A26,'Données projet'!$A$139:$I$159,6,0)),0%,VLOOKUP(A26,'Données projet'!$A$139:$I$159,6,0)*VLOOKUP('Données projet'!$B$13,Paramètres!$A$1:$I$89,7,0))</f>
        <v>0</v>
      </c>
      <c r="DE26" s="122" t="n">
        <f aca="false">IF(ISNA(VLOOKUP(A26,'Données projet'!$A$139:$I$159,7,0)),0%,VLOOKUP(A26,'Données projet'!$A$139:$I$159,7,0))</f>
        <v>0</v>
      </c>
      <c r="DF26" s="129" t="n">
        <f aca="false">EXP(-LN(2)/35)*DF25+(1-EXP(-LN(2)/35))/(LN(2)/35)*DB26*DC26*VLOOKUP('Données projet'!$B$13,Paramètres!$A$1:$I$89,3,0)*0.475*44/12</f>
        <v>0</v>
      </c>
      <c r="DG26" s="129" t="n">
        <f aca="false">EXP(-LN(2)/25)*DG25+(1-EXP(-LN(2)/25))/(LN(2)/25)*Calculateur!DB26*Calculateur!DD26*VLOOKUP('Données projet'!$B$13,Paramètres!$A$1:$I$89,3,0)*0.475*44/12</f>
        <v>4.59740456713132</v>
      </c>
      <c r="DH26" s="129" t="n">
        <f aca="false">EXP(-LN(2)/2)*DH25+(1-EXP(-LN(2)/2))/(LN(2)/2)*DB26*DE26*VLOOKUP('Données projet'!$B$13,Paramètres!$A$1:$I$89,3,0)*0.475*44/12</f>
        <v>7.14897664931734</v>
      </c>
      <c r="DI26" s="130" t="n">
        <f aca="false">SUM(DF26:DH26)</f>
        <v>11.7463812164487</v>
      </c>
      <c r="DJ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DL26" s="118" t="e">
        <f aca="false">VLOOKUP(A26,'Données projet'!$A$165:$I$185,2,0)</f>
        <v>#N/A</v>
      </c>
      <c r="DM26" s="118" t="e">
        <f aca="false">VLOOKUP(A26,'Données projet'!$A$165:$I$185,9,0)</f>
        <v>#N/A</v>
      </c>
      <c r="DN26" s="118" t="n">
        <f aca="false" t="array" ref="DN26:DN26">INDEX(DM:DM,MIN(IF(ISNUMBER(DM26:DM222),ROW(DM26:DM222),"")))</f>
        <v>15</v>
      </c>
      <c r="DO26" s="118" t="n">
        <f aca="false">IF('Données projet'!$A$166&gt;35,DO25+DN26-DW25,IF(A26&lt;'Données projet'!$A$166,$DL$205^A26,IF(A26='Données projet'!$A$166,'Données projet'!$B$166,DO25+DN26-DW25)))</f>
        <v>142</v>
      </c>
      <c r="DP26" s="125" t="n">
        <f aca="false">DO26*VLOOKUP('Données projet'!$B$14,Paramètres!$A$1:$I$89,3,0)*VLOOKUP('Données projet'!$B$14,Paramètres!$A$1:$I$89,5,0)</f>
        <v>84.916</v>
      </c>
      <c r="DQ26" s="117" t="n">
        <f aca="false">EXP(-1.0587+0.8836*LN(DP26)+0.284)</f>
        <v>23.3349681332057</v>
      </c>
      <c r="DR26" s="128" t="n">
        <f aca="false">(DP26+DQ26)*0.475*44/12</f>
        <v>188.537102832</v>
      </c>
      <c r="DS26" s="120" t="n">
        <f aca="false">DR26+(DJ26+DK26)*44/12</f>
        <v>473.314880609778</v>
      </c>
      <c r="DT26" s="120" t="n">
        <f aca="true">AVERAGE(OFFSET($DS$3,0,0,'Données projet'!$E$14+1,1))-AVERAGE(OFFSET($H$3,0,0,'Données projet'!$E$14+1,1))</f>
        <v>549.432320957297</v>
      </c>
      <c r="DU26" s="120" t="n">
        <f aca="false">$DU$3</f>
        <v>280.26155987301</v>
      </c>
      <c r="DV26" s="121" t="n">
        <f aca="false">IF(ISNA(VLOOKUP(A26,'Données projet'!$A$165:$I$185,3,0)),0,VLOOKUP(A26,'Données projet'!$A$165:$I$185,3,0))</f>
        <v>0</v>
      </c>
      <c r="DW26" s="121" t="n">
        <f aca="false">IF(ISNA(VLOOKUP(A26,'Données projet'!$A$165:$I$185,4,0)),0,VLOOKUP(A26,'Données projet'!$A$165:$I$185,4,0))</f>
        <v>0</v>
      </c>
      <c r="DX26" s="122" t="n">
        <f aca="false">IF(ISNA(VLOOKUP(A26,'Données projet'!$A$165:$I$185,5,0)),0%,VLOOKUP(A26,'Données projet'!$A$165:$I$185,5,0)*VLOOKUP('Données projet'!$B$14,Paramètres!$A$1:$I$89,7,0))</f>
        <v>0</v>
      </c>
      <c r="DY26" s="122" t="n">
        <f aca="false">IF(ISNA(VLOOKUP(A26,'Données projet'!$A$165:$I$185,6,0)),0%,VLOOKUP(A26,'Données projet'!$A$165:$I$185,6,0)*VLOOKUP('Données projet'!$B$14,Paramètres!$A$1:$I$89,7,0))</f>
        <v>0</v>
      </c>
      <c r="DZ26" s="122" t="n">
        <f aca="false">IF(ISNA(VLOOKUP(A26,'Données projet'!$A$165:$I$185,7,0)),0%,VLOOKUP(A26,'Données projet'!$A$165:$I$185,7,0))</f>
        <v>0</v>
      </c>
      <c r="EA26" s="129" t="n">
        <f aca="false">EXP(-LN(2)/35)*EA25+(1-EXP(-LN(2)/35))/(LN(2)/35)*DW26*DX26*VLOOKUP('Données projet'!$B$14,Paramètres!$A$1:$I$89,3,0)*0.475*44/12</f>
        <v>0</v>
      </c>
      <c r="EB26" s="129" t="n">
        <f aca="false">EXP(-LN(2)/25)*EB25+(1-EXP(-LN(2)/25))/(LN(2)/25)*Calculateur!DW26*Calculateur!DY26*VLOOKUP('Données projet'!$B$14,Paramètres!$A$1:$I$89,3,0)*0.475*44/12</f>
        <v>0</v>
      </c>
      <c r="EC26" s="129" t="n">
        <f aca="false">EXP(-LN(2)/2)*EC25+(1-EXP(-LN(2)/2))/(LN(2)/2)*DW26*DZ26*VLOOKUP('Données projet'!$B$14,Paramètres!$A$1:$I$89,3,0)*0.475*44/12</f>
        <v>5.26640689305186</v>
      </c>
      <c r="ED26" s="130" t="n">
        <f aca="false">SUM(EA26:EC26)</f>
        <v>5.26640689305186</v>
      </c>
      <c r="EE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EG26" s="118" t="e">
        <f aca="false">VLOOKUP(A26,'Données projet'!$A$191:$I$211,2,0)</f>
        <v>#N/A</v>
      </c>
      <c r="EH26" s="118" t="e">
        <f aca="false">VLOOKUP(A26,'Données projet'!$A$191:$I$211,9,0)</f>
        <v>#N/A</v>
      </c>
      <c r="EI26" s="118" t="n">
        <f aca="false" t="array" ref="EI26:EI26">INDEX(EH:EH,MIN(IF(ISNUMBER(EH26:EH222),ROW(EH26:EH222),"")))</f>
        <v>0</v>
      </c>
      <c r="EJ26" s="118" t="n">
        <f aca="false">IF('Données projet'!$A$192&gt;35,EJ25+EI26-ER25,IF(A26&lt;'Données projet'!$A$192,$EG$205^A26,IF(A26='Données projet'!$A$192,'Données projet'!$B$192,EJ25+EI26-ER25)))</f>
        <v>0</v>
      </c>
      <c r="EK26" s="125" t="e">
        <f aca="false">EJ26*VLOOKUP('Données projet'!$B$15,Paramètres!$A$1:$I$89,3,0)*VLOOKUP('Données projet'!$B$15,Paramètres!$A$1:$I$89,5,0)</f>
        <v>#N/A</v>
      </c>
      <c r="EL26" s="117" t="e">
        <f aca="false">EXP(-1.0587+0.8836*LN(EK26)+0.284)</f>
        <v>#N/A</v>
      </c>
      <c r="EM26" s="128" t="e">
        <f aca="false">(EK26+EL26)*0.475*44/12</f>
        <v>#N/A</v>
      </c>
      <c r="EN26" s="120" t="e">
        <f aca="false">EM26+(EE26+EF26)*44/12</f>
        <v>#N/A</v>
      </c>
      <c r="EO26" s="120" t="e">
        <f aca="true">AVERAGE(OFFSET($EN$3,0,0,'Données projet'!$E$15+1,1))-AVERAGE(OFFSET($H$3,0,0,'Données projet'!$E$15+1,1))</f>
        <v>#N/A</v>
      </c>
      <c r="EP26" s="120" t="e">
        <f aca="false">$EP$3</f>
        <v>#N/A</v>
      </c>
      <c r="EQ26" s="121" t="n">
        <f aca="false">IF(ISNA(VLOOKUP(A26,'Données projet'!$A$191:$I$211,3,0)),0,VLOOKUP(A26,'Données projet'!$A$191:$I$211,3,0))</f>
        <v>0</v>
      </c>
      <c r="ER26" s="121" t="n">
        <f aca="false">IF(ISNA(VLOOKUP(A26,'Données projet'!$A$191:$I$211,4,0)),0,VLOOKUP(A26,'Données projet'!$A$191:$I$211,4,0))</f>
        <v>0</v>
      </c>
      <c r="ES26" s="122" t="n">
        <f aca="false">IF(ISNA(VLOOKUP(A26,'Données projet'!$A$191:$I$211,5,0)),0%,VLOOKUP(A26,'Données projet'!$A$191:$I$211,5,0)*VLOOKUP('Données projet'!$B$15,Paramètres!$A$1:$I$89,7,0))</f>
        <v>0</v>
      </c>
      <c r="ET26" s="122" t="n">
        <f aca="false">IF(ISNA(VLOOKUP(A26,'Données projet'!$A$191:$I$211,6,0)),0%,VLOOKUP(A26,'Données projet'!$A$191:$I$211,6,0)*VLOOKUP('Données projet'!$B$15,Paramètres!$A$1:$I$89,7,0))</f>
        <v>0</v>
      </c>
      <c r="EU26" s="122" t="n">
        <f aca="false">IF(ISNA(VLOOKUP(A26,'Données projet'!$A$191:$I$211,7,0)),0%,VLOOKUP(A26,'Données projet'!$A$191:$I$211,7,0))</f>
        <v>0</v>
      </c>
      <c r="EV26" s="129" t="e">
        <f aca="false">EXP(-LN(2)/35)*EV25+(1-EXP(-LN(2)/35))/(LN(2)/35)*ER26*ES26*VLOOKUP('Données projet'!$B$15,Paramètres!$A$1:$I$89,3,0)*0.475*44/12</f>
        <v>#N/A</v>
      </c>
      <c r="EW26" s="129" t="e">
        <f aca="false">EXP(-LN(2)/25)*EW25+(1-EXP(-LN(2)/25))/(LN(2)/25)*Calculateur!ER26*Calculateur!ET26*VLOOKUP('Données projet'!$B$15,Paramètres!$A$1:$I$89,3,0)*0.475*44/12</f>
        <v>#N/A</v>
      </c>
      <c r="EX26" s="129" t="e">
        <f aca="false">EXP(-LN(2)/2)*EX25+(1-EXP(-LN(2)/2))/(LN(2)/2)*ER26*EU26*VLOOKUP('Données projet'!$B$15,Paramètres!$A$1:$I$89,3,0)*0.475*44/12</f>
        <v>#N/A</v>
      </c>
      <c r="EY26" s="130" t="e">
        <f aca="false">SUM(EV26:EX26)</f>
        <v>#N/A</v>
      </c>
      <c r="EZ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FB26" s="118" t="e">
        <f aca="false">VLOOKUP(A26,'Données projet'!$A$217:$I$237,2,0)</f>
        <v>#N/A</v>
      </c>
      <c r="FC26" s="118" t="e">
        <f aca="false">VLOOKUP(A26,'Données projet'!$A$217:$I$237,9,0)</f>
        <v>#N/A</v>
      </c>
      <c r="FD26" s="118" t="n">
        <f aca="false" t="array" ref="FD26:FD26">INDEX(FC:FC,MIN(IF(ISNUMBER(FC26:FC222),ROW(FC26:FC222),"")))</f>
        <v>0</v>
      </c>
      <c r="FE26" s="118" t="n">
        <f aca="false">IF('Données projet'!$A$218&gt;35,FE25+FD26-FM25,IF(A26&lt;'Données projet'!$A$218,$FB$205^A26,IF(A26='Données projet'!$A$218,'Données projet'!$B$218,FE25+FD26-FM25)))</f>
        <v>0</v>
      </c>
      <c r="FF26" s="125" t="e">
        <f aca="false">FE26*VLOOKUP('Données projet'!$B$16,Paramètres!$A$1:$I$89,3,0)*VLOOKUP('Données projet'!$B$16,Paramètres!$A$1:$I$89,5,0)</f>
        <v>#N/A</v>
      </c>
      <c r="FG26" s="117" t="e">
        <f aca="false">EXP(-1.0587+0.8836*LN(FF26)+0.284)</f>
        <v>#N/A</v>
      </c>
      <c r="FH26" s="128" t="e">
        <f aca="false">(FF26+FG26)*0.475*44/12</f>
        <v>#N/A</v>
      </c>
      <c r="FI26" s="120" t="e">
        <f aca="false">FH26+(EZ26+FA26)*44/12</f>
        <v>#N/A</v>
      </c>
      <c r="FJ26" s="120" t="e">
        <f aca="true">AVERAGE(OFFSET($FI$3,0,0,'Données projet'!$E$16+1,1))-AVERAGE(OFFSET($H$3,0,0,'Données projet'!$E$16+1,1))</f>
        <v>#N/A</v>
      </c>
      <c r="FK26" s="120" t="e">
        <f aca="false">$FK$3</f>
        <v>#N/A</v>
      </c>
      <c r="FL26" s="121" t="n">
        <f aca="false">IF(ISNA(VLOOKUP(A26,'Données projet'!$A$217:$I$237,3,0)),0,VLOOKUP(A26,'Données projet'!$A$217:$I$237,3,0))</f>
        <v>0</v>
      </c>
      <c r="FM26" s="121" t="n">
        <f aca="false">IF(ISNA(VLOOKUP(A26,'Données projet'!$A$217:$I$237,4,0)),0,VLOOKUP(A26,'Données projet'!$A$217:$I$237,4,0))</f>
        <v>0</v>
      </c>
      <c r="FN26" s="122" t="n">
        <f aca="false">IF(ISNA(VLOOKUP(A26,'Données projet'!$A$217:$I$237,5,0)),0%,VLOOKUP(A26,'Données projet'!$A$217:$I$237,5,0)*VLOOKUP('Données projet'!$B$16,Paramètres!$A$1:$I$89,7,0))</f>
        <v>0</v>
      </c>
      <c r="FO26" s="122" t="n">
        <f aca="false">IF(ISNA(VLOOKUP(A26,'Données projet'!$A$217:$I$237,6,0)),0%,VLOOKUP(A26,'Données projet'!$A$217:$I$237,6,0)*VLOOKUP('Données projet'!$B$16,Paramètres!$A$1:$I$89,7,0))</f>
        <v>0</v>
      </c>
      <c r="FP26" s="122" t="n">
        <f aca="false">IF(ISNA(VLOOKUP(A26,'Données projet'!$A$217:$I$237,7,0)),0%,VLOOKUP(A26,'Données projet'!$A$217:$I$237,7,0))</f>
        <v>0</v>
      </c>
      <c r="FQ26" s="129" t="e">
        <f aca="false">EXP(-LN(2)/35)*FQ25+(1-EXP(-LN(2)/35))/(LN(2)/35)*FM26*FN26*VLOOKUP('Données projet'!$B$16,Paramètres!$A$1:$I$89,3,0)*0.475*44/12</f>
        <v>#N/A</v>
      </c>
      <c r="FR26" s="129" t="e">
        <f aca="false">EXP(-LN(2)/25)*FR25+(1-EXP(-LN(2)/25))/(LN(2)/25)*Calculateur!FM26*Calculateur!FO26*VLOOKUP('Données projet'!$B$16,Paramètres!$A$1:$I$89,3,0)*0.475*44/12</f>
        <v>#N/A</v>
      </c>
      <c r="FS26" s="129" t="e">
        <f aca="false">EXP(-LN(2)/2)*FS25+(1-EXP(-LN(2)/2))/(LN(2)/2)*FM26*FP26*VLOOKUP('Données projet'!$B$16,Paramètres!$A$1:$I$89,3,0)*0.475*44/12</f>
        <v>#N/A</v>
      </c>
      <c r="FT26" s="130" t="e">
        <f aca="false">SUM(FQ26:FS26)</f>
        <v>#N/A</v>
      </c>
      <c r="FU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FW26" s="118" t="e">
        <f aca="false">VLOOKUP(A26,'Données projet'!$A$243:$I$263,2,0)</f>
        <v>#N/A</v>
      </c>
      <c r="FX26" s="118" t="e">
        <f aca="false">VLOOKUP(A26,'Données projet'!$A$243:$I$263,9,0)</f>
        <v>#N/A</v>
      </c>
      <c r="FY26" s="118" t="n">
        <f aca="false" t="array" ref="FY26:FY26">INDEX(FX:FX,MIN(IF(ISNUMBER(FX26:FX222),ROW(FX26:FX222),"")))</f>
        <v>0</v>
      </c>
      <c r="FZ26" s="118" t="n">
        <f aca="false">IF('Données projet'!$A$244&gt;35,FZ25+FY26-GH25,IF(A26&lt;'Données projet'!$A$244,$FW$205^A26,IF(A26='Données projet'!$A$244,'Données projet'!$B$244,FZ25+FY26-GH25)))</f>
        <v>0</v>
      </c>
      <c r="GA26" s="125" t="e">
        <f aca="false">FZ26*VLOOKUP('Données projet'!$B$17,Paramètres!$A$1:$I$89,3,0)*VLOOKUP('Données projet'!$B$17,Paramètres!$A$1:$I$89,5,0)</f>
        <v>#N/A</v>
      </c>
      <c r="GB26" s="117" t="e">
        <f aca="false">EXP(-1.0587+0.8836*LN(GA26)+0.284)</f>
        <v>#N/A</v>
      </c>
      <c r="GC26" s="128" t="e">
        <f aca="false">(GA26+GB26)*0.475*44/12</f>
        <v>#N/A</v>
      </c>
      <c r="GD26" s="120" t="e">
        <f aca="false">GC26+(FU26+FV26)*44/12</f>
        <v>#N/A</v>
      </c>
      <c r="GE26" s="120" t="e">
        <f aca="true">AVERAGE(OFFSET($GD$3,0,0,'Données projet'!$E$17+1,1))-AVERAGE(OFFSET($H$3,0,0,'Données projet'!$E$17+1,1))</f>
        <v>#N/A</v>
      </c>
      <c r="GF26" s="120" t="e">
        <f aca="false">$GF$3</f>
        <v>#N/A</v>
      </c>
      <c r="GG26" s="121" t="n">
        <f aca="false">IF(ISNA(VLOOKUP(A26,'Données projet'!$A$243:$I$263,3,0)),0,VLOOKUP(A26,'Données projet'!$A$243:$I$263,3,0))</f>
        <v>0</v>
      </c>
      <c r="GH26" s="121" t="n">
        <f aca="false">IF(ISNA(VLOOKUP(A26,'Données projet'!$A$243:$I$263,4,0)),0,VLOOKUP(A26,'Données projet'!$A$243:$I$263,4,0))</f>
        <v>0</v>
      </c>
      <c r="GI26" s="122" t="n">
        <f aca="false">IF(ISNA(VLOOKUP(A26,'Données projet'!$A$243:$I$263,5,0)),0%,VLOOKUP(A26,'Données projet'!$A$243:$I$263,5,0)*VLOOKUP('Données projet'!$B$17,Paramètres!$A$1:$I$89,7,0))</f>
        <v>0</v>
      </c>
      <c r="GJ26" s="122" t="n">
        <f aca="false">IF(ISNA(VLOOKUP(A26,'Données projet'!$A$243:$I$263,6,0)),0%,VLOOKUP(A26,'Données projet'!$A$243:$I$263,6,0)*VLOOKUP('Données projet'!$B$17,Paramètres!$A$1:$I$89,7,0))</f>
        <v>0</v>
      </c>
      <c r="GK26" s="122" t="n">
        <f aca="false">IF(ISNA(VLOOKUP(A26,'Données projet'!$A$243:$I$263,7,0)),0%,VLOOKUP(A26,'Données projet'!$A$243:$I$263,7,0))</f>
        <v>0</v>
      </c>
      <c r="GL26" s="129" t="e">
        <f aca="false">EXP(-LN(2)/35)*GL25+(1-EXP(-LN(2)/35))/(LN(2)/35)*GH26*GI26*VLOOKUP('Données projet'!$B$17,Paramètres!$A$1:$I$89,3,0)*0.475*44/12</f>
        <v>#N/A</v>
      </c>
      <c r="GM26" s="129" t="e">
        <f aca="false">EXP(-LN(2)/25)*GM25+(1-EXP(-LN(2)/25))/(LN(2)/25)*Calculateur!GH26*Calculateur!GJ26*VLOOKUP('Données projet'!$B$17,Paramètres!$A$1:$I$89,3,0)*0.475*44/12</f>
        <v>#N/A</v>
      </c>
      <c r="GN26" s="129" t="e">
        <f aca="false">EXP(-LN(2)/2)*GN25+(1-EXP(-LN(2)/2))/(LN(2)/2)*GH26*GK26*VLOOKUP('Données projet'!$B$17,Paramètres!$A$1:$I$89,3,0)*0.475*44/12</f>
        <v>#N/A</v>
      </c>
      <c r="GO26" s="129" t="e">
        <f aca="false">SUM(GL26:GN26)</f>
        <v>#N/A</v>
      </c>
      <c r="GP26" s="126" t="n">
        <f aca="false"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8" t="n">
        <f aca="false">IF(A26&gt;30,10,('Scénario référence'!$B$16+'Scénario référence'!$B$17+'Scénario référence'!$B$18+'Scénario référence'!$B$9+'Scénario référence'!$B$10)*A26*10/30+('Scénario référence'!$F$8+'Scénario référence'!$F$9)*10)</f>
        <v>7.66666666666667</v>
      </c>
      <c r="GR26" s="118" t="e">
        <f aca="false">VLOOKUP(A26,'Données projet'!$A$269:$I$289,2,0)</f>
        <v>#N/A</v>
      </c>
      <c r="GS26" s="118" t="e">
        <f aca="false">VLOOKUP(A26,'Données projet'!$A$269:$I$289,9,0)</f>
        <v>#N/A</v>
      </c>
      <c r="GT26" s="118" t="n">
        <f aca="false" t="array" ref="GT26:GT26">INDEX(GS:GS,MIN(IF(ISNUMBER(GS26:GS222),ROW(GS26:GS222),"")))</f>
        <v>0</v>
      </c>
      <c r="GU26" s="118" t="n">
        <f aca="false">IF('Données projet'!$A$270&gt;35,GU25+GT26-HC25,IF(A26&lt;'Données projet'!$A$270,$GR$205^A26,IF(A26='Données projet'!$A$270,'Données projet'!$B$270,GU25+GT26-HC25)))</f>
        <v>0</v>
      </c>
      <c r="GV26" s="125" t="e">
        <f aca="false">GU26*VLOOKUP('Données projet'!$B$18,Paramètres!$A$1:$I$89,3,0)*VLOOKUP('Données projet'!$B$18,Paramètres!$A$1:$I$89,5,0)</f>
        <v>#N/A</v>
      </c>
      <c r="GW26" s="117" t="e">
        <f aca="false">EXP(-1.0587+0.8836*LN(GV26)+0.284)</f>
        <v>#N/A</v>
      </c>
      <c r="GX26" s="128" t="e">
        <f aca="false">(GV26+GW26)*0.475*44/12</f>
        <v>#N/A</v>
      </c>
      <c r="GY26" s="120" t="e">
        <f aca="false">GX26+(GP26+GQ26)*44/12</f>
        <v>#N/A</v>
      </c>
      <c r="GZ26" s="120" t="e">
        <f aca="true">AVERAGE(OFFSET($GY$3,0,0,'Données projet'!$E$18+1,1))-AVERAGE(OFFSET($H$3,0,0,'Données projet'!$E$18+1,1))</f>
        <v>#N/A</v>
      </c>
      <c r="HA26" s="120" t="e">
        <f aca="false">$HA$3</f>
        <v>#N/A</v>
      </c>
      <c r="HB26" s="121" t="n">
        <f aca="false">IF(ISNA(VLOOKUP(A26,'Données projet'!$A$269:$I$289,3,0)),0,VLOOKUP(A26,'Données projet'!$A$269:$I$289,3,0))</f>
        <v>0</v>
      </c>
      <c r="HC26" s="121" t="n">
        <f aca="false">IF(ISNA(VLOOKUP(A26,'Données projet'!$A$269:$I$289,4,0)),0,VLOOKUP(A26,'Données projet'!$A$269:$I$289,4,0))</f>
        <v>0</v>
      </c>
      <c r="HD26" s="122" t="n">
        <f aca="false">IF(ISNA(VLOOKUP(A26,'Données projet'!$A$269:$I$289,5,0)),0%,VLOOKUP(A26,'Données projet'!$A$269:$I$289,5,0)*VLOOKUP('Données projet'!$B$18,Paramètres!$A$1:$I$89,7,0))</f>
        <v>0</v>
      </c>
      <c r="HE26" s="122" t="n">
        <f aca="false">IF(ISNA(VLOOKUP(A26,'Données projet'!$A$269:$I$289,6,0)),0%,VLOOKUP(A26,'Données projet'!$A$269:$I$289,6,0)*VLOOKUP('Données projet'!$B$18,Paramètres!$A$1:$I$89,7,0))</f>
        <v>0</v>
      </c>
      <c r="HF26" s="122" t="n">
        <f aca="false">IF(ISNA(VLOOKUP(A26,'Données projet'!$A$269:$I$289,7,0)),0%,VLOOKUP(A26,'Données projet'!$A$269:$I$289,7,0))</f>
        <v>0</v>
      </c>
      <c r="HG26" s="129" t="e">
        <f aca="false">EXP(-LN(2)/35)*HG25+(1-EXP(-LN(2)/35))/(LN(2)/35)*HC26*HD26*VLOOKUP('Données projet'!$B$18,Paramètres!$A$1:$I$89,3,0)*0.475*44/12</f>
        <v>#N/A</v>
      </c>
      <c r="HH26" s="129" t="e">
        <f aca="false">EXP(-LN(2)/25)*HH25+(1-EXP(-LN(2)/25))/(LN(2)/25)*Calculateur!HC26*Calculateur!HE26*VLOOKUP('Données projet'!$B$18,Paramètres!$A$1:$I$89,3,0)*0.475*44/12</f>
        <v>#N/A</v>
      </c>
      <c r="HI26" s="129" t="e">
        <f aca="false">EXP(-LN(2)/2)*HI25+(1-EXP(-LN(2)/2))/(LN(2)/2)*HC26*HF26*VLOOKUP('Données projet'!$B$18,Paramètres!$A$1:$I$89,3,0)*0.475*44/12</f>
        <v>#N/A</v>
      </c>
      <c r="HJ26" s="130" t="e">
        <f aca="false">SUM(HG26:HI26)</f>
        <v>#N/A</v>
      </c>
    </row>
    <row r="27" customFormat="false" ht="14.25" hidden="false" customHeight="false" outlineLevel="0" collapsed="false">
      <c r="A27" s="112" t="n">
        <f aca="false">A26+1</f>
        <v>24</v>
      </c>
      <c r="B27" s="113" t="n">
        <f aca="false">'Scénario référence'!$B$16*5+'Scénario référence'!$B$17*0+'Scénario référence'!$B$18*5</f>
        <v>0</v>
      </c>
      <c r="C27" s="127" t="n">
        <f aca="false"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4" t="n">
        <f aca="false">IFERROR(EXP(-1.0587+0.8836*LN(C27)+0.284),0)</f>
        <v>0</v>
      </c>
      <c r="E2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7" s="114" t="n">
        <f aca="false">IF(OR('Scénario référence'!$F$8&gt;0,'Scénario référence'!$F$9&gt;0),('Scénario référence'!$F$8+'Scénario référence'!$F$9)*10,0)</f>
        <v>0</v>
      </c>
      <c r="G27" s="114" t="n">
        <f aca="false"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15" t="n">
        <f aca="false">(B27+E27+F27)*44/12+(C27+D27)*0.475*44/12</f>
        <v>256.666666666667</v>
      </c>
      <c r="I27" s="11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7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18" t="e">
        <f aca="false">VLOOKUP(A27,'Données projet'!$A$35:$I$55,2,0)</f>
        <v>#N/A</v>
      </c>
      <c r="L27" s="118" t="e">
        <f aca="false">VLOOKUP(A27,'Données projet'!$A$35:$I$55,9,0)</f>
        <v>#N/A</v>
      </c>
      <c r="M27" s="118" t="n">
        <f aca="false" t="array" ref="M27:M27">INDEX(L:L,MIN(IF(ISNUMBER(L27:L223),ROW(L27:L223),"")))</f>
        <v>9.2</v>
      </c>
      <c r="N27" s="117" t="n">
        <f aca="false">IF('Données projet'!$A$36&gt;35,N26+M27-V26,IF(A27&lt;'Données projet'!$A$36,$K$205^A27,IF(A27='Données projet'!$A$36,'Données projet'!$B$36,N26+M27-V26)))</f>
        <v>155.3</v>
      </c>
      <c r="O27" s="117" t="n">
        <f aca="false">N27*VLOOKUP('Données projet'!$B$9,Paramètres!$A$1:$I$89,3,0)*VLOOKUP('Données projet'!$B$9,Paramètres!$A$1:$I$89,5,0)</f>
        <v>72.6804</v>
      </c>
      <c r="P27" s="117" t="n">
        <f aca="false">EXP(-1.0587+0.8836*LN(O27)+0.284)</f>
        <v>20.3376326656812</v>
      </c>
      <c r="Q27" s="128" t="n">
        <f aca="false">(O27+P27)*0.475*44/12</f>
        <v>162.006406892728</v>
      </c>
      <c r="R27" s="120" t="n">
        <f aca="false">Q27+(I27+J27)*44/12</f>
        <v>448.006406892728</v>
      </c>
      <c r="S27" s="120" t="n">
        <f aca="true">AVERAGE(OFFSET($R$3,0,0,'Données projet'!$E$9+1,1))-AVERAGE(OFFSET($H$3,0,0,'Données projet'!$E$9+1,1))</f>
        <v>319.229030946746</v>
      </c>
      <c r="T27" s="120" t="n">
        <f aca="false">$T$3</f>
        <v>254.586909731428</v>
      </c>
      <c r="U27" s="121" t="n">
        <f aca="false">IF(ISNA(VLOOKUP(A27,'Données projet'!$A$35:$I$55,3,0)),0,VLOOKUP(A27,'Données projet'!$A$35:$I$55,3,0))</f>
        <v>0</v>
      </c>
      <c r="V27" s="121" t="n">
        <f aca="false">IF(ISNA(VLOOKUP(A27,'Données projet'!$A$35:$I$55,4,0)),0,VLOOKUP(A27,'Données projet'!$A$35:$I$55,4,0))</f>
        <v>0</v>
      </c>
      <c r="W27" s="122" t="n">
        <f aca="false">IF(ISNA(VLOOKUP(A27,'Données projet'!$A$35:$I$55,5,0)),0%,VLOOKUP(A27,'Données projet'!$A$35:$I$55,5,0)*VLOOKUP('Données projet'!$B$9,Paramètres!$A$1:$I$89,7,0))</f>
        <v>0</v>
      </c>
      <c r="X27" s="122" t="n">
        <f aca="false">IF(ISNA(VLOOKUP(A27,'Données projet'!$A$35:$I$55,6,0)),0%,VLOOKUP(A27,'Données projet'!$A$35:$I$55,6,0)*VLOOKUP('Données projet'!$B$9,Paramètres!$A$1:$I$89,7,0))</f>
        <v>0</v>
      </c>
      <c r="Y27" s="122" t="n">
        <f aca="false">IF(ISNA(VLOOKUP(A27,'Données projet'!$A$35:$I$55,7,0)),0%,VLOOKUP(A27,'Données projet'!$A$35:$I$55,7,0))</f>
        <v>0</v>
      </c>
      <c r="Z27" s="129" t="n">
        <f aca="false">EXP(-LN(2)/35)*Z26+(1-EXP(-LN(2)/35))/(LN(2)/35)*V27*W27*VLOOKUP('Données projet'!$B$9,Paramètres!$A$1:$I$89,3,0)*0.475*44/12</f>
        <v>2.49207186561612</v>
      </c>
      <c r="AA27" s="129" t="n">
        <f aca="false">EXP(-LN(2)/25)*AA26+(1-EXP(-LN(2)/25))/(LN(2)/25)*Calculateur!V27*Calculateur!X27*VLOOKUP('Données projet'!$B$9,Paramètres!$A$1:$I$89,3,0)*0.475*44/12</f>
        <v>2.40483803905816</v>
      </c>
      <c r="AB27" s="129" t="n">
        <f aca="false">EXP(-LN(2)/2)*AB26+(1-EXP(-LN(2)/2))/(LN(2)/2)*V27*Y27*VLOOKUP('Données projet'!$B$9,Paramètres!$A$1:$I$89,3,0)*0.475*44/12</f>
        <v>3.13956693781114</v>
      </c>
      <c r="AC27" s="130" t="n">
        <f aca="false">SUM(Z27:AB27)</f>
        <v>8.03647684248542</v>
      </c>
      <c r="AD27" s="117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7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18" t="e">
        <f aca="false">VLOOKUP(A27,'Données projet'!$A$61:$I$81,2,0)</f>
        <v>#N/A</v>
      </c>
      <c r="AG27" s="118" t="e">
        <f aca="false">VLOOKUP(A27,'Données projet'!$A$61:$I$81,9,0)</f>
        <v>#N/A</v>
      </c>
      <c r="AH27" s="118" t="n">
        <f aca="false" t="array" ref="AH27:AH27">INDEX(AG:AG,MIN(IF(ISNUMBER(AG27:AG223),ROW(AG27:AG223),"")))</f>
        <v>28</v>
      </c>
      <c r="AI27" s="117" t="n">
        <f aca="false">IF('Données projet'!$A$62&gt;35,AI26+AH27-AQ26,IF(A27&lt;'Données projet'!$A$62,$AF$205^A27,IF(A27='Données projet'!$A$62,'Données projet'!$B$62,AI26+AH27-AQ26)))</f>
        <v>190</v>
      </c>
      <c r="AJ27" s="117" t="n">
        <f aca="false">AI27*VLOOKUP('Données projet'!$B$10,Paramètres!$A$1:$I$89,3,0)*VLOOKUP('Données projet'!$B$10,Paramètres!$A$1:$I$89,5,0)</f>
        <v>106.21</v>
      </c>
      <c r="AK27" s="117" t="n">
        <f aca="false">EXP(-1.0587+0.8836*LN(AJ27)+0.284)</f>
        <v>28.4362170262285</v>
      </c>
      <c r="AL27" s="128" t="n">
        <f aca="false">(AJ27+AK27)*0.475*44/12</f>
        <v>234.508827987348</v>
      </c>
      <c r="AM27" s="120" t="n">
        <f aca="false">AL27+(AD27+AE27)*44/12</f>
        <v>520.508827987348</v>
      </c>
      <c r="AN27" s="120" t="n">
        <f aca="true">AVERAGE(OFFSET($AM$3,0,0,'Données projet'!$E$10+1,1))-AVERAGE(OFFSET($H$3,0,0,'Données projet'!$E$10+1,1))</f>
        <v>365.705101827279</v>
      </c>
      <c r="AO27" s="120" t="n">
        <f aca="false">$AO$3</f>
        <v>436.238338449625</v>
      </c>
      <c r="AP27" s="121" t="n">
        <f aca="false">IF(ISNA(VLOOKUP(A27,'Données projet'!$A$61:$I$81,3,0)),0,VLOOKUP(A27,'Données projet'!$A$61:$I$81,3,0))</f>
        <v>0</v>
      </c>
      <c r="AQ27" s="121" t="n">
        <f aca="false">IF(ISNA(VLOOKUP(A27,'Données projet'!$A$61:$I$81,4,0)),0,VLOOKUP(A27,'Données projet'!$A$61:$I$81,4,0))</f>
        <v>0</v>
      </c>
      <c r="AR27" s="122" t="n">
        <f aca="false">IF(ISNA(VLOOKUP(A27,'Données projet'!$A$61:$I$81,5,0)),0%,VLOOKUP(A27,'Données projet'!$A$61:$I$81,5,0)*VLOOKUP('Données projet'!$B$10,Paramètres!$A$1:$I$89,7,0))</f>
        <v>0</v>
      </c>
      <c r="AS27" s="122" t="n">
        <f aca="false">IF(ISNA(VLOOKUP(A27,'Données projet'!$A$61:$I$81,6,0)),0%,VLOOKUP(A27,'Données projet'!$A$61:$I$81,6,0)*VLOOKUP('Données projet'!$B$10,Paramètres!$A$1:$I$89,7,0))</f>
        <v>0</v>
      </c>
      <c r="AT27" s="122" t="n">
        <f aca="false">IF(ISNA(VLOOKUP(A27,'Données projet'!$A$61:$I$81,7,0)),0%,VLOOKUP(A27,'Données projet'!$A$61:$I$81,7,0))</f>
        <v>0</v>
      </c>
      <c r="AU27" s="129" t="n">
        <f aca="false">EXP(-LN(2)/35)*AU26+(1-EXP(-LN(2)/35))/(LN(2)/35)*AQ27*AR27*VLOOKUP('Données projet'!$B$10,Paramètres!$A$1:$I$89,3,0)*0.475*44/12</f>
        <v>0</v>
      </c>
      <c r="AV27" s="129" t="n">
        <f aca="false">EXP(-LN(2)/25)*AV26+(1-EXP(-LN(2)/25))/(LN(2)/25)*Calculateur!AQ27*Calculateur!AS27*VLOOKUP('Données projet'!$B$10,Paramètres!$A$1:$I$89,3,0)*0.475*44/12</f>
        <v>0</v>
      </c>
      <c r="AW27" s="129" t="n">
        <f aca="false">EXP(-LN(2)/2)*AW26+(1-EXP(-LN(2)/2))/(LN(2)/2)*AQ27*AT27*VLOOKUP('Données projet'!$B$10,Paramètres!$A$1:$I$89,3,0)*0.475*44/12</f>
        <v>0</v>
      </c>
      <c r="AX27" s="129" t="n">
        <f aca="false">SUM(AU27:AW27)</f>
        <v>0</v>
      </c>
      <c r="AY27" s="124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18" t="e">
        <f aca="false">VLOOKUP(A27,'Données projet'!$A$87:$I$107,2,0)</f>
        <v>#N/A</v>
      </c>
      <c r="BB27" s="118" t="e">
        <f aca="false">VLOOKUP(A27,'Données projet'!$A$87:$I$107,9,0)</f>
        <v>#N/A</v>
      </c>
      <c r="BC27" s="118" t="n">
        <f aca="false" t="array" ref="BC27:BC27">INDEX(BB:BB,MIN(IF(ISNUMBER(BB27:BB223),ROW(BB27:BB223),"")))</f>
        <v>13.8</v>
      </c>
      <c r="BD27" s="118" t="n">
        <f aca="false">IF('Données projet'!$A$88&gt;35,BD26+BC27-BL26,IF(A27&lt;'Données projet'!$A$88,$BA$205^A27,IF(A27='Données projet'!$A$88,'Données projet'!$B$88,BD26+BC27-BL26)))</f>
        <v>149.2</v>
      </c>
      <c r="BE27" s="117" t="n">
        <f aca="false">BD27*VLOOKUP('Données projet'!$B$11,Paramètres!$A$1:$I$89,3,0)*VLOOKUP('Données projet'!$B$11,Paramètres!$A$1:$I$89,5,0)</f>
        <v>130.34112</v>
      </c>
      <c r="BF27" s="117" t="n">
        <f aca="false">EXP(-1.0587+0.8836*LN(BE27)+0.284)</f>
        <v>34.0751701229899</v>
      </c>
      <c r="BG27" s="128" t="n">
        <f aca="false">(BE27+BF27)*0.475*44/12</f>
        <v>286.358371964207</v>
      </c>
      <c r="BH27" s="120" t="n">
        <f aca="false">BG27+(AY27+AZ27)*44/12</f>
        <v>572.358371964207</v>
      </c>
      <c r="BI27" s="120" t="n">
        <f aca="true">AVERAGE(OFFSET($BH$3,0,0,'Données projet'!$E$11+1,1))-AVERAGE(OFFSET($H$3,0,0,'Données projet'!$E$11+1,1))</f>
        <v>321.235999689929</v>
      </c>
      <c r="BJ27" s="120" t="n">
        <f aca="false">$BJ$3</f>
        <v>388.051958478005</v>
      </c>
      <c r="BK27" s="121" t="n">
        <f aca="false">IF(ISNA(VLOOKUP(A27,'Données projet'!$A$87:$I$107,3,0)),0,VLOOKUP(A27,'Données projet'!$A$87:$I$107,3,0))</f>
        <v>0</v>
      </c>
      <c r="BL27" s="121" t="n">
        <f aca="false">IF(ISNA(VLOOKUP(A27,'Données projet'!$A$87:$I$107,4,0)),0,VLOOKUP(A27,'Données projet'!$A$87:$I$107,4,0))</f>
        <v>0</v>
      </c>
      <c r="BM27" s="122" t="n">
        <f aca="false">IF(ISNA(VLOOKUP(A27,'Données projet'!$A$87:$I$107,5,0)),0%,VLOOKUP(A27,'Données projet'!$A$87:$I$107,5,0)*VLOOKUP('Données projet'!$B$11,Paramètres!$A$1:$I$89,7,0))</f>
        <v>0</v>
      </c>
      <c r="BN27" s="122" t="n">
        <f aca="false">IF(ISNA(VLOOKUP(A27,'Données projet'!$A$87:$I$107,6,0)),0%,VLOOKUP(A27,'Données projet'!$A$87:$I$107,6,0)*VLOOKUP('Données projet'!$B$11,Paramètres!$A$1:$I$89,7,0))</f>
        <v>0</v>
      </c>
      <c r="BO27" s="122" t="n">
        <f aca="false">IF(ISNA(VLOOKUP(A27,'Données projet'!$A$87:$I$107,7,0)),0%,VLOOKUP(A27,'Données projet'!$A$87:$I$107,7,0))</f>
        <v>0</v>
      </c>
      <c r="BP27" s="129" t="n">
        <f aca="false">EXP(-LN(2)/35)*BP26+(1-EXP(-LN(2)/35))/(LN(2)/35)*BL27*BM27*VLOOKUP('Données projet'!$B$11,Paramètres!$A$1:$I$89,3,0)*0.475*44/12</f>
        <v>1.64965534620481</v>
      </c>
      <c r="BQ27" s="129" t="n">
        <f aca="false">EXP(-LN(2)/25)*BQ26+(1-EXP(-LN(2)/25))/(LN(2)/25)*Calculateur!BL27*Calculateur!BN27*VLOOKUP('Données projet'!$B$11,Paramètres!$A$1:$I$89,3,0)*0.475*44/12</f>
        <v>3.86062448609893</v>
      </c>
      <c r="BR27" s="129" t="n">
        <f aca="false">EXP(-LN(2)/2)*BR26+(1-EXP(-LN(2)/2))/(LN(2)/2)*BL27*BO27*VLOOKUP('Données projet'!$B$11,Paramètres!$A$1:$I$89,3,0)*0.475*44/12</f>
        <v>3.92683099864257</v>
      </c>
      <c r="BS27" s="130" t="n">
        <f aca="false">SUM(BP27:BR27)</f>
        <v>9.43711083094631</v>
      </c>
      <c r="BT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18" t="n">
        <f aca="false">VLOOKUP(A27,'Données projet'!$A$113:$I$133,2,0)</f>
        <v>168</v>
      </c>
      <c r="BW27" s="118" t="n">
        <f aca="false">VLOOKUP(A27,'Données projet'!$A$113:$I$133,9,0)</f>
        <v>16</v>
      </c>
      <c r="BX27" s="118" t="n">
        <f aca="false" t="array" ref="BX27:BX27">INDEX(BW:BW,MIN(IF(ISNUMBER(BW27:BW223),ROW(BW27:BW223),"")))</f>
        <v>16</v>
      </c>
      <c r="BY27" s="118" t="n">
        <f aca="false">IF('Données projet'!$A$114&gt;35,BY26+BX27-CG26,IF(A27&lt;'Données projet'!$A$114,$BV$205^A27,IF(A27='Données projet'!$A$114,'Données projet'!$B$114,BY26+BX27-CG26)))</f>
        <v>168</v>
      </c>
      <c r="BZ27" s="117" t="n">
        <f aca="false">BY27*VLOOKUP('Données projet'!$B$12,Paramètres!$A$1:$I$89,3,0)*VLOOKUP('Données projet'!$B$12,Paramètres!$A$1:$I$89,5,0)</f>
        <v>104.832</v>
      </c>
      <c r="CA27" s="117" t="n">
        <f aca="false">EXP(-1.0587+0.8836*LN(BZ27)+0.284)</f>
        <v>28.1099743711377</v>
      </c>
      <c r="CB27" s="128" t="n">
        <f aca="false">(BZ27+CA27)*0.475*44/12</f>
        <v>231.540605363065</v>
      </c>
      <c r="CC27" s="120" t="n">
        <f aca="false">CB27+(BT27+BU27)*44/12</f>
        <v>517.540605363065</v>
      </c>
      <c r="CD27" s="120" t="n">
        <f aca="true">AVERAGE(OFFSET($CC$3,0,0,'Données projet'!$E$12+1,1))-AVERAGE(OFFSET($H$3,0,0,'Données projet'!$E$12+1,1))</f>
        <v>240.228848647662</v>
      </c>
      <c r="CE27" s="120" t="n">
        <f aca="false">$CE$3</f>
        <v>343.237768841432</v>
      </c>
      <c r="CF27" s="121" t="n">
        <f aca="false">IF(ISNA(VLOOKUP(A27,'Données projet'!$A$113:$I$133,3,0)),0,VLOOKUP(A27,'Données projet'!$A$113:$I$133,3,0))</f>
        <v>3</v>
      </c>
      <c r="CG27" s="121" t="n">
        <f aca="false">IF(ISNA(VLOOKUP(A27,'Données projet'!$A$113:$I$133,4,0)),0,VLOOKUP(A27,'Données projet'!$A$113:$I$133,4,0))</f>
        <v>29</v>
      </c>
      <c r="CH27" s="122" t="n">
        <f aca="false">IF(ISNA(VLOOKUP(A27,'Données projet'!$A$113:$I$133,5,0)),0%,VLOOKUP(A27,'Données projet'!$A$113:$I$133,5,0)*VLOOKUP('Données projet'!$B$12,Paramètres!$A$1:$I$89,7,0))</f>
        <v>0</v>
      </c>
      <c r="CI27" s="122" t="n">
        <f aca="false">IF(ISNA(VLOOKUP(A27,'Données projet'!$A$113:$I$133,6,0)),0%,VLOOKUP(A27,'Données projet'!$A$113:$I$133,6,0)*VLOOKUP('Données projet'!$B$12,Paramètres!$A$1:$I$89,7,0))</f>
        <v>0.3</v>
      </c>
      <c r="CJ27" s="122" t="n">
        <f aca="false">IF(ISNA(VLOOKUP(A27,'Données projet'!$A$113:$I$133,7,0)),0%,VLOOKUP(A27,'Données projet'!$A$113:$I$133,7,0))</f>
        <v>0.5</v>
      </c>
      <c r="CK27" s="129" t="n">
        <f aca="false">EXP(-LN(2)/35)*CK26+(1-EXP(-LN(2)/35))/(LN(2)/35)*CG27*CH27*VLOOKUP('Données projet'!$B$12,Paramètres!$A$1:$I$89,3,0)*0.475*44/12</f>
        <v>0</v>
      </c>
      <c r="CL27" s="129" t="n">
        <f aca="false">EXP(-LN(2)/25)*CL26+(1-EXP(-LN(2)/25))/(LN(2)/25)*Calculateur!CG27*Calculateur!CI27*VLOOKUP('Données projet'!$B$12,Paramètres!$A$1:$I$89,3,0)*0.475*44/12</f>
        <v>9.54047364595439</v>
      </c>
      <c r="CM27" s="129" t="n">
        <f aca="false">EXP(-LN(2)/2)*CM26+(1-EXP(-LN(2)/2))/(LN(2)/2)*CG27*CJ27*VLOOKUP('Données projet'!$B$12,Paramètres!$A$1:$I$89,3,0)*0.475*44/12</f>
        <v>17.206353257638</v>
      </c>
      <c r="CN27" s="130" t="n">
        <f aca="false">SUM(CK27:CM27)</f>
        <v>26.7468269035924</v>
      </c>
      <c r="CO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18" t="n">
        <f aca="false">VLOOKUP(A27,'Données projet'!$A$139:$I$159,2,0)</f>
        <v>239</v>
      </c>
      <c r="CR27" s="118" t="n">
        <f aca="false">VLOOKUP(A27,'Données projet'!$A$139:$I$159,9,0)</f>
        <v>19.1666666666667</v>
      </c>
      <c r="CS27" s="118" t="n">
        <f aca="false" t="array" ref="CS27:CS27">INDEX(CR:CR,MIN(IF(ISNUMBER(CR27:CR223),ROW(CR27:CR223),"")))</f>
        <v>19.1666666666667</v>
      </c>
      <c r="CT27" s="118" t="n">
        <f aca="false">IF('Données projet'!$A$140&gt;35,CT26+CS27-DB26,IF(A27&lt;'Données projet'!$A$140,$CQ$205^A27,IF(A27='Données projet'!$A$140,'Données projet'!$B$140,CT26+CS27-DB26)))</f>
        <v>239</v>
      </c>
      <c r="CU27" s="125" t="n">
        <f aca="false">CT27*VLOOKUP('Données projet'!$B$13,Paramètres!$A$1:$I$89,3,0)*VLOOKUP('Données projet'!$B$13,Paramètres!$A$1:$I$89,5,0)</f>
        <v>130.494</v>
      </c>
      <c r="CV27" s="117" t="n">
        <f aca="false">EXP(-1.0587+0.8836*LN(CU27)+0.284)</f>
        <v>34.1104830186108</v>
      </c>
      <c r="CW27" s="128" t="n">
        <f aca="false">(CU27+CV27)*0.475*44/12</f>
        <v>286.686141257414</v>
      </c>
      <c r="CX27" s="120" t="n">
        <f aca="false">CW27+(CO27+CP27)*44/12</f>
        <v>572.686141257414</v>
      </c>
      <c r="CY27" s="120" t="n">
        <f aca="true">AVERAGE(OFFSET($CX$3,0,0,'Données projet'!$E$13+1,1))-AVERAGE(OFFSET($H$3,0,0,'Données projet'!$E$13+1,1))</f>
        <v>207.023069645676</v>
      </c>
      <c r="CZ27" s="120" t="n">
        <f aca="false">$CZ$3</f>
        <v>342.068879333518</v>
      </c>
      <c r="DA27" s="121" t="n">
        <f aca="false">IF(ISNA(VLOOKUP(A27,'Données projet'!$A$139:$I$159,3,0)),0,VLOOKUP(A27,'Données projet'!$A$139:$I$159,3,0))</f>
        <v>4</v>
      </c>
      <c r="DB27" s="121" t="n">
        <f aca="false">IF(ISNA(VLOOKUP(A27,'Données projet'!$A$139:$I$159,4,0)),0,VLOOKUP(A27,'Données projet'!$A$139:$I$159,4,0))</f>
        <v>84</v>
      </c>
      <c r="DC27" s="122" t="n">
        <f aca="false">IF(ISNA(VLOOKUP(A27,'Données projet'!$A$139:$I$159,5,0)),0%,VLOOKUP(A27,'Données projet'!$A$139:$I$159,5,0)*VLOOKUP('Données projet'!$B$13,Paramètres!$A$1:$I$89,7,0))</f>
        <v>0</v>
      </c>
      <c r="DD27" s="122" t="n">
        <f aca="false">IF(ISNA(VLOOKUP(A27,'Données projet'!$A$139:$I$159,6,0)),0%,VLOOKUP(A27,'Données projet'!$A$139:$I$159,6,0)*VLOOKUP('Données projet'!$B$13,Paramètres!$A$1:$I$89,7,0))</f>
        <v>0.3</v>
      </c>
      <c r="DE27" s="122" t="n">
        <f aca="false">IF(ISNA(VLOOKUP(A27,'Données projet'!$A$139:$I$159,7,0)),0%,VLOOKUP(A27,'Données projet'!$A$139:$I$159,7,0))</f>
        <v>0.5</v>
      </c>
      <c r="DF27" s="129" t="n">
        <f aca="false">EXP(-LN(2)/35)*DF26+(1-EXP(-LN(2)/35))/(LN(2)/35)*DB27*DC27*VLOOKUP('Données projet'!$B$13,Paramètres!$A$1:$I$89,3,0)*0.475*44/12</f>
        <v>0</v>
      </c>
      <c r="DG27" s="129" t="n">
        <f aca="false">EXP(-LN(2)/25)*DG26+(1-EXP(-LN(2)/25))/(LN(2)/25)*Calculateur!DB27*Calculateur!DD27*VLOOKUP('Données projet'!$B$13,Paramètres!$A$1:$I$89,3,0)*0.475*44/12</f>
        <v>22.6522870407403</v>
      </c>
      <c r="DH27" s="129" t="n">
        <f aca="false">EXP(-LN(2)/2)*DH26+(1-EXP(-LN(2)/2))/(LN(2)/2)*DB27*DE27*VLOOKUP('Données projet'!$B$13,Paramètres!$A$1:$I$89,3,0)*0.475*44/12</f>
        <v>31.0194409141535</v>
      </c>
      <c r="DI27" s="130" t="n">
        <f aca="false">SUM(DF27:DH27)</f>
        <v>53.6717279548938</v>
      </c>
      <c r="DJ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18" t="n">
        <f aca="false">VLOOKUP(A27,'Données projet'!$A$165:$I$185,2,0)</f>
        <v>157</v>
      </c>
      <c r="DM27" s="118" t="n">
        <f aca="false">VLOOKUP(A27,'Données projet'!$A$165:$I$185,9,0)</f>
        <v>15</v>
      </c>
      <c r="DN27" s="118" t="n">
        <f aca="false" t="array" ref="DN27:DN27">INDEX(DM:DM,MIN(IF(ISNUMBER(DM27:DM223),ROW(DM27:DM223),"")))</f>
        <v>15</v>
      </c>
      <c r="DO27" s="118" t="n">
        <f aca="false">IF('Données projet'!$A$166&gt;35,DO26+DN27-DW26,IF(A27&lt;'Données projet'!$A$166,$DL$205^A27,IF(A27='Données projet'!$A$166,'Données projet'!$B$166,DO26+DN27-DW26)))</f>
        <v>157</v>
      </c>
      <c r="DP27" s="125" t="n">
        <f aca="false">DO27*VLOOKUP('Données projet'!$B$14,Paramètres!$A$1:$I$89,3,0)*VLOOKUP('Données projet'!$B$14,Paramètres!$A$1:$I$89,5,0)</f>
        <v>93.886</v>
      </c>
      <c r="DQ27" s="117" t="n">
        <f aca="false">EXP(-1.0587+0.8836*LN(DP27)+0.284)</f>
        <v>25.5001164619164</v>
      </c>
      <c r="DR27" s="128" t="n">
        <f aca="false">(DP27+DQ27)*0.475*44/12</f>
        <v>207.930819504504</v>
      </c>
      <c r="DS27" s="120" t="n">
        <f aca="false">DR27+(DJ27+DK27)*44/12</f>
        <v>493.930819504504</v>
      </c>
      <c r="DT27" s="120" t="n">
        <f aca="true">AVERAGE(OFFSET($DS$3,0,0,'Données projet'!$E$14+1,1))-AVERAGE(OFFSET($H$3,0,0,'Données projet'!$E$14+1,1))</f>
        <v>549.432320957297</v>
      </c>
      <c r="DU27" s="120" t="n">
        <f aca="false">$DU$3</f>
        <v>280.26155987301</v>
      </c>
      <c r="DV27" s="121" t="n">
        <f aca="false">IF(ISNA(VLOOKUP(A27,'Données projet'!$A$165:$I$185,3,0)),0,VLOOKUP(A27,'Données projet'!$A$165:$I$185,3,0))</f>
        <v>4</v>
      </c>
      <c r="DW27" s="121" t="n">
        <f aca="false">IF(ISNA(VLOOKUP(A27,'Données projet'!$A$165:$I$185,4,0)),0,VLOOKUP(A27,'Données projet'!$A$165:$I$185,4,0))</f>
        <v>31</v>
      </c>
      <c r="DX27" s="122" t="n">
        <f aca="false">IF(ISNA(VLOOKUP(A27,'Données projet'!$A$165:$I$185,5,0)),0%,VLOOKUP(A27,'Données projet'!$A$165:$I$185,5,0)*VLOOKUP('Données projet'!$B$14,Paramètres!$A$1:$I$89,7,0))</f>
        <v>0</v>
      </c>
      <c r="DY27" s="122" t="n">
        <f aca="false">IF(ISNA(VLOOKUP(A27,'Données projet'!$A$165:$I$185,6,0)),0%,VLOOKUP(A27,'Données projet'!$A$165:$I$185,6,0)*VLOOKUP('Données projet'!$B$14,Paramètres!$A$1:$I$89,7,0))</f>
        <v>0.09</v>
      </c>
      <c r="DZ27" s="122" t="n">
        <f aca="false">IF(ISNA(VLOOKUP(A27,'Données projet'!$A$165:$I$185,7,0)),0%,VLOOKUP(A27,'Données projet'!$A$165:$I$185,7,0))</f>
        <v>0.8</v>
      </c>
      <c r="EA27" s="129" t="n">
        <f aca="false">EXP(-LN(2)/35)*EA26+(1-EXP(-LN(2)/35))/(LN(2)/35)*DW27*DX27*VLOOKUP('Données projet'!$B$14,Paramètres!$A$1:$I$89,3,0)*0.475*44/12</f>
        <v>0</v>
      </c>
      <c r="EB27" s="129" t="n">
        <f aca="false">EXP(-LN(2)/25)*EB26+(1-EXP(-LN(2)/25))/(LN(2)/25)*Calculateur!DW27*Calculateur!DY27*VLOOKUP('Données projet'!$B$14,Paramètres!$A$1:$I$89,3,0)*0.475*44/12</f>
        <v>2.20455219454887</v>
      </c>
      <c r="EC27" s="129" t="n">
        <f aca="false">EXP(-LN(2)/2)*EC26+(1-EXP(-LN(2)/2))/(LN(2)/2)*DW27*DZ27*VLOOKUP('Données projet'!$B$14,Paramètres!$A$1:$I$89,3,0)*0.475*44/12</f>
        <v>20.515369891801</v>
      </c>
      <c r="ED27" s="130" t="n">
        <f aca="false">SUM(EA27:EC27)</f>
        <v>22.7199220863499</v>
      </c>
      <c r="EE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18" t="e">
        <f aca="false">VLOOKUP(A27,'Données projet'!$A$191:$I$211,2,0)</f>
        <v>#N/A</v>
      </c>
      <c r="EH27" s="118" t="e">
        <f aca="false">VLOOKUP(A27,'Données projet'!$A$191:$I$211,9,0)</f>
        <v>#N/A</v>
      </c>
      <c r="EI27" s="118" t="n">
        <f aca="false" t="array" ref="EI27:EI27">INDEX(EH:EH,MIN(IF(ISNUMBER(EH27:EH223),ROW(EH27:EH223),"")))</f>
        <v>0</v>
      </c>
      <c r="EJ27" s="118" t="n">
        <f aca="false">IF('Données projet'!$A$192&gt;35,EJ26+EI27-ER26,IF(A27&lt;'Données projet'!$A$192,$EG$205^A27,IF(A27='Données projet'!$A$192,'Données projet'!$B$192,EJ26+EI27-ER26)))</f>
        <v>0</v>
      </c>
      <c r="EK27" s="125" t="e">
        <f aca="false">EJ27*VLOOKUP('Données projet'!$B$15,Paramètres!$A$1:$I$89,3,0)*VLOOKUP('Données projet'!$B$15,Paramètres!$A$1:$I$89,5,0)</f>
        <v>#N/A</v>
      </c>
      <c r="EL27" s="117" t="e">
        <f aca="false">EXP(-1.0587+0.8836*LN(EK27)+0.284)</f>
        <v>#N/A</v>
      </c>
      <c r="EM27" s="128" t="e">
        <f aca="false">(EK27+EL27)*0.475*44/12</f>
        <v>#N/A</v>
      </c>
      <c r="EN27" s="120" t="e">
        <f aca="false">EM27+(EE27+EF27)*44/12</f>
        <v>#N/A</v>
      </c>
      <c r="EO27" s="120" t="e">
        <f aca="true">AVERAGE(OFFSET($EN$3,0,0,'Données projet'!$E$15+1,1))-AVERAGE(OFFSET($H$3,0,0,'Données projet'!$E$15+1,1))</f>
        <v>#N/A</v>
      </c>
      <c r="EP27" s="120" t="e">
        <f aca="false">$EP$3</f>
        <v>#N/A</v>
      </c>
      <c r="EQ27" s="121" t="n">
        <f aca="false">IF(ISNA(VLOOKUP(A27,'Données projet'!$A$191:$I$211,3,0)),0,VLOOKUP(A27,'Données projet'!$A$191:$I$211,3,0))</f>
        <v>0</v>
      </c>
      <c r="ER27" s="121" t="n">
        <f aca="false">IF(ISNA(VLOOKUP(A27,'Données projet'!$A$191:$I$211,4,0)),0,VLOOKUP(A27,'Données projet'!$A$191:$I$211,4,0))</f>
        <v>0</v>
      </c>
      <c r="ES27" s="122" t="n">
        <f aca="false">IF(ISNA(VLOOKUP(A27,'Données projet'!$A$191:$I$211,5,0)),0%,VLOOKUP(A27,'Données projet'!$A$191:$I$211,5,0)*VLOOKUP('Données projet'!$B$15,Paramètres!$A$1:$I$89,7,0))</f>
        <v>0</v>
      </c>
      <c r="ET27" s="122" t="n">
        <f aca="false">IF(ISNA(VLOOKUP(A27,'Données projet'!$A$191:$I$211,6,0)),0%,VLOOKUP(A27,'Données projet'!$A$191:$I$211,6,0)*VLOOKUP('Données projet'!$B$15,Paramètres!$A$1:$I$89,7,0))</f>
        <v>0</v>
      </c>
      <c r="EU27" s="122" t="n">
        <f aca="false">IF(ISNA(VLOOKUP(A27,'Données projet'!$A$191:$I$211,7,0)),0%,VLOOKUP(A27,'Données projet'!$A$191:$I$211,7,0))</f>
        <v>0</v>
      </c>
      <c r="EV27" s="129" t="e">
        <f aca="false">EXP(-LN(2)/35)*EV26+(1-EXP(-LN(2)/35))/(LN(2)/35)*ER27*ES27*VLOOKUP('Données projet'!$B$15,Paramètres!$A$1:$I$89,3,0)*0.475*44/12</f>
        <v>#N/A</v>
      </c>
      <c r="EW27" s="129" t="e">
        <f aca="false">EXP(-LN(2)/25)*EW26+(1-EXP(-LN(2)/25))/(LN(2)/25)*Calculateur!ER27*Calculateur!ET27*VLOOKUP('Données projet'!$B$15,Paramètres!$A$1:$I$89,3,0)*0.475*44/12</f>
        <v>#N/A</v>
      </c>
      <c r="EX27" s="129" t="e">
        <f aca="false">EXP(-LN(2)/2)*EX26+(1-EXP(-LN(2)/2))/(LN(2)/2)*ER27*EU27*VLOOKUP('Données projet'!$B$15,Paramètres!$A$1:$I$89,3,0)*0.475*44/12</f>
        <v>#N/A</v>
      </c>
      <c r="EY27" s="130" t="e">
        <f aca="false">SUM(EV27:EX27)</f>
        <v>#N/A</v>
      </c>
      <c r="EZ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18" t="e">
        <f aca="false">VLOOKUP(A27,'Données projet'!$A$217:$I$237,2,0)</f>
        <v>#N/A</v>
      </c>
      <c r="FC27" s="118" t="e">
        <f aca="false">VLOOKUP(A27,'Données projet'!$A$217:$I$237,9,0)</f>
        <v>#N/A</v>
      </c>
      <c r="FD27" s="118" t="n">
        <f aca="false" t="array" ref="FD27:FD27">INDEX(FC:FC,MIN(IF(ISNUMBER(FC27:FC223),ROW(FC27:FC223),"")))</f>
        <v>0</v>
      </c>
      <c r="FE27" s="118" t="n">
        <f aca="false">IF('Données projet'!$A$218&gt;35,FE26+FD27-FM26,IF(A27&lt;'Données projet'!$A$218,$FB$205^A27,IF(A27='Données projet'!$A$218,'Données projet'!$B$218,FE26+FD27-FM26)))</f>
        <v>0</v>
      </c>
      <c r="FF27" s="125" t="e">
        <f aca="false">FE27*VLOOKUP('Données projet'!$B$16,Paramètres!$A$1:$I$89,3,0)*VLOOKUP('Données projet'!$B$16,Paramètres!$A$1:$I$89,5,0)</f>
        <v>#N/A</v>
      </c>
      <c r="FG27" s="117" t="e">
        <f aca="false">EXP(-1.0587+0.8836*LN(FF27)+0.284)</f>
        <v>#N/A</v>
      </c>
      <c r="FH27" s="128" t="e">
        <f aca="false">(FF27+FG27)*0.475*44/12</f>
        <v>#N/A</v>
      </c>
      <c r="FI27" s="120" t="e">
        <f aca="false">FH27+(EZ27+FA27)*44/12</f>
        <v>#N/A</v>
      </c>
      <c r="FJ27" s="120" t="e">
        <f aca="true">AVERAGE(OFFSET($FI$3,0,0,'Données projet'!$E$16+1,1))-AVERAGE(OFFSET($H$3,0,0,'Données projet'!$E$16+1,1))</f>
        <v>#N/A</v>
      </c>
      <c r="FK27" s="120" t="e">
        <f aca="false">$FK$3</f>
        <v>#N/A</v>
      </c>
      <c r="FL27" s="121" t="n">
        <f aca="false">IF(ISNA(VLOOKUP(A27,'Données projet'!$A$217:$I$237,3,0)),0,VLOOKUP(A27,'Données projet'!$A$217:$I$237,3,0))</f>
        <v>0</v>
      </c>
      <c r="FM27" s="121" t="n">
        <f aca="false">IF(ISNA(VLOOKUP(A27,'Données projet'!$A$217:$I$237,4,0)),0,VLOOKUP(A27,'Données projet'!$A$217:$I$237,4,0))</f>
        <v>0</v>
      </c>
      <c r="FN27" s="122" t="n">
        <f aca="false">IF(ISNA(VLOOKUP(A27,'Données projet'!$A$217:$I$237,5,0)),0%,VLOOKUP(A27,'Données projet'!$A$217:$I$237,5,0)*VLOOKUP('Données projet'!$B$16,Paramètres!$A$1:$I$89,7,0))</f>
        <v>0</v>
      </c>
      <c r="FO27" s="122" t="n">
        <f aca="false">IF(ISNA(VLOOKUP(A27,'Données projet'!$A$217:$I$237,6,0)),0%,VLOOKUP(A27,'Données projet'!$A$217:$I$237,6,0)*VLOOKUP('Données projet'!$B$16,Paramètres!$A$1:$I$89,7,0))</f>
        <v>0</v>
      </c>
      <c r="FP27" s="122" t="n">
        <f aca="false">IF(ISNA(VLOOKUP(A27,'Données projet'!$A$217:$I$237,7,0)),0%,VLOOKUP(A27,'Données projet'!$A$217:$I$237,7,0))</f>
        <v>0</v>
      </c>
      <c r="FQ27" s="129" t="e">
        <f aca="false">EXP(-LN(2)/35)*FQ26+(1-EXP(-LN(2)/35))/(LN(2)/35)*FM27*FN27*VLOOKUP('Données projet'!$B$16,Paramètres!$A$1:$I$89,3,0)*0.475*44/12</f>
        <v>#N/A</v>
      </c>
      <c r="FR27" s="129" t="e">
        <f aca="false">EXP(-LN(2)/25)*FR26+(1-EXP(-LN(2)/25))/(LN(2)/25)*Calculateur!FM27*Calculateur!FO27*VLOOKUP('Données projet'!$B$16,Paramètres!$A$1:$I$89,3,0)*0.475*44/12</f>
        <v>#N/A</v>
      </c>
      <c r="FS27" s="129" t="e">
        <f aca="false">EXP(-LN(2)/2)*FS26+(1-EXP(-LN(2)/2))/(LN(2)/2)*FM27*FP27*VLOOKUP('Données projet'!$B$16,Paramètres!$A$1:$I$89,3,0)*0.475*44/12</f>
        <v>#N/A</v>
      </c>
      <c r="FT27" s="130" t="e">
        <f aca="false">SUM(FQ27:FS27)</f>
        <v>#N/A</v>
      </c>
      <c r="FU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18" t="e">
        <f aca="false">VLOOKUP(A27,'Données projet'!$A$243:$I$263,2,0)</f>
        <v>#N/A</v>
      </c>
      <c r="FX27" s="118" t="e">
        <f aca="false">VLOOKUP(A27,'Données projet'!$A$243:$I$263,9,0)</f>
        <v>#N/A</v>
      </c>
      <c r="FY27" s="118" t="n">
        <f aca="false" t="array" ref="FY27:FY27">INDEX(FX:FX,MIN(IF(ISNUMBER(FX27:FX223),ROW(FX27:FX223),"")))</f>
        <v>0</v>
      </c>
      <c r="FZ27" s="118" t="n">
        <f aca="false">IF('Données projet'!$A$244&gt;35,FZ26+FY27-GH26,IF(A27&lt;'Données projet'!$A$244,$FW$205^A27,IF(A27='Données projet'!$A$244,'Données projet'!$B$244,FZ26+FY27-GH26)))</f>
        <v>0</v>
      </c>
      <c r="GA27" s="125" t="e">
        <f aca="false">FZ27*VLOOKUP('Données projet'!$B$17,Paramètres!$A$1:$I$89,3,0)*VLOOKUP('Données projet'!$B$17,Paramètres!$A$1:$I$89,5,0)</f>
        <v>#N/A</v>
      </c>
      <c r="GB27" s="117" t="e">
        <f aca="false">EXP(-1.0587+0.8836*LN(GA27)+0.284)</f>
        <v>#N/A</v>
      </c>
      <c r="GC27" s="128" t="e">
        <f aca="false">(GA27+GB27)*0.475*44/12</f>
        <v>#N/A</v>
      </c>
      <c r="GD27" s="120" t="e">
        <f aca="false">GC27+(FU27+FV27)*44/12</f>
        <v>#N/A</v>
      </c>
      <c r="GE27" s="120" t="e">
        <f aca="true">AVERAGE(OFFSET($GD$3,0,0,'Données projet'!$E$17+1,1))-AVERAGE(OFFSET($H$3,0,0,'Données projet'!$E$17+1,1))</f>
        <v>#N/A</v>
      </c>
      <c r="GF27" s="120" t="e">
        <f aca="false">$GF$3</f>
        <v>#N/A</v>
      </c>
      <c r="GG27" s="121" t="n">
        <f aca="false">IF(ISNA(VLOOKUP(A27,'Données projet'!$A$243:$I$263,3,0)),0,VLOOKUP(A27,'Données projet'!$A$243:$I$263,3,0))</f>
        <v>0</v>
      </c>
      <c r="GH27" s="121" t="n">
        <f aca="false">IF(ISNA(VLOOKUP(A27,'Données projet'!$A$243:$I$263,4,0)),0,VLOOKUP(A27,'Données projet'!$A$243:$I$263,4,0))</f>
        <v>0</v>
      </c>
      <c r="GI27" s="122" t="n">
        <f aca="false">IF(ISNA(VLOOKUP(A27,'Données projet'!$A$243:$I$263,5,0)),0%,VLOOKUP(A27,'Données projet'!$A$243:$I$263,5,0)*VLOOKUP('Données projet'!$B$17,Paramètres!$A$1:$I$89,7,0))</f>
        <v>0</v>
      </c>
      <c r="GJ27" s="122" t="n">
        <f aca="false">IF(ISNA(VLOOKUP(A27,'Données projet'!$A$243:$I$263,6,0)),0%,VLOOKUP(A27,'Données projet'!$A$243:$I$263,6,0)*VLOOKUP('Données projet'!$B$17,Paramètres!$A$1:$I$89,7,0))</f>
        <v>0</v>
      </c>
      <c r="GK27" s="122" t="n">
        <f aca="false">IF(ISNA(VLOOKUP(A27,'Données projet'!$A$243:$I$263,7,0)),0%,VLOOKUP(A27,'Données projet'!$A$243:$I$263,7,0))</f>
        <v>0</v>
      </c>
      <c r="GL27" s="129" t="e">
        <f aca="false">EXP(-LN(2)/35)*GL26+(1-EXP(-LN(2)/35))/(LN(2)/35)*GH27*GI27*VLOOKUP('Données projet'!$B$17,Paramètres!$A$1:$I$89,3,0)*0.475*44/12</f>
        <v>#N/A</v>
      </c>
      <c r="GM27" s="129" t="e">
        <f aca="false">EXP(-LN(2)/25)*GM26+(1-EXP(-LN(2)/25))/(LN(2)/25)*Calculateur!GH27*Calculateur!GJ27*VLOOKUP('Données projet'!$B$17,Paramètres!$A$1:$I$89,3,0)*0.475*44/12</f>
        <v>#N/A</v>
      </c>
      <c r="GN27" s="129" t="e">
        <f aca="false">EXP(-LN(2)/2)*GN26+(1-EXP(-LN(2)/2))/(LN(2)/2)*GH27*GK27*VLOOKUP('Données projet'!$B$17,Paramètres!$A$1:$I$89,3,0)*0.475*44/12</f>
        <v>#N/A</v>
      </c>
      <c r="GO27" s="129" t="e">
        <f aca="false">SUM(GL27:GN27)</f>
        <v>#N/A</v>
      </c>
      <c r="GP27" s="126" t="n">
        <f aca="false"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8" t="n">
        <f aca="false"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18" t="e">
        <f aca="false">VLOOKUP(A27,'Données projet'!$A$269:$I$289,2,0)</f>
        <v>#N/A</v>
      </c>
      <c r="GS27" s="118" t="e">
        <f aca="false">VLOOKUP(A27,'Données projet'!$A$269:$I$289,9,0)</f>
        <v>#N/A</v>
      </c>
      <c r="GT27" s="118" t="n">
        <f aca="false" t="array" ref="GT27:GT27">INDEX(GS:GS,MIN(IF(ISNUMBER(GS27:GS223),ROW(GS27:GS223),"")))</f>
        <v>0</v>
      </c>
      <c r="GU27" s="118" t="n">
        <f aca="false">IF('Données projet'!$A$270&gt;35,GU26+GT27-HC26,IF(A27&lt;'Données projet'!$A$270,$GR$205^A27,IF(A27='Données projet'!$A$270,'Données projet'!$B$270,GU26+GT27-HC26)))</f>
        <v>0</v>
      </c>
      <c r="GV27" s="125" t="e">
        <f aca="false">GU27*VLOOKUP('Données projet'!$B$18,Paramètres!$A$1:$I$89,3,0)*VLOOKUP('Données projet'!$B$18,Paramètres!$A$1:$I$89,5,0)</f>
        <v>#N/A</v>
      </c>
      <c r="GW27" s="117" t="e">
        <f aca="false">EXP(-1.0587+0.8836*LN(GV27)+0.284)</f>
        <v>#N/A</v>
      </c>
      <c r="GX27" s="128" t="e">
        <f aca="false">(GV27+GW27)*0.475*44/12</f>
        <v>#N/A</v>
      </c>
      <c r="GY27" s="120" t="e">
        <f aca="false">GX27+(GP27+GQ27)*44/12</f>
        <v>#N/A</v>
      </c>
      <c r="GZ27" s="120" t="e">
        <f aca="true">AVERAGE(OFFSET($GY$3,0,0,'Données projet'!$E$18+1,1))-AVERAGE(OFFSET($H$3,0,0,'Données projet'!$E$18+1,1))</f>
        <v>#N/A</v>
      </c>
      <c r="HA27" s="120" t="e">
        <f aca="false">$HA$3</f>
        <v>#N/A</v>
      </c>
      <c r="HB27" s="121" t="n">
        <f aca="false">IF(ISNA(VLOOKUP(A27,'Données projet'!$A$269:$I$289,3,0)),0,VLOOKUP(A27,'Données projet'!$A$269:$I$289,3,0))</f>
        <v>0</v>
      </c>
      <c r="HC27" s="121" t="n">
        <f aca="false">IF(ISNA(VLOOKUP(A27,'Données projet'!$A$269:$I$289,4,0)),0,VLOOKUP(A27,'Données projet'!$A$269:$I$289,4,0))</f>
        <v>0</v>
      </c>
      <c r="HD27" s="122" t="n">
        <f aca="false">IF(ISNA(VLOOKUP(A27,'Données projet'!$A$269:$I$289,5,0)),0%,VLOOKUP(A27,'Données projet'!$A$269:$I$289,5,0)*VLOOKUP('Données projet'!$B$18,Paramètres!$A$1:$I$89,7,0))</f>
        <v>0</v>
      </c>
      <c r="HE27" s="122" t="n">
        <f aca="false">IF(ISNA(VLOOKUP(A27,'Données projet'!$A$269:$I$289,6,0)),0%,VLOOKUP(A27,'Données projet'!$A$269:$I$289,6,0)*VLOOKUP('Données projet'!$B$18,Paramètres!$A$1:$I$89,7,0))</f>
        <v>0</v>
      </c>
      <c r="HF27" s="122" t="n">
        <f aca="false">IF(ISNA(VLOOKUP(A27,'Données projet'!$A$269:$I$289,7,0)),0%,VLOOKUP(A27,'Données projet'!$A$269:$I$289,7,0))</f>
        <v>0</v>
      </c>
      <c r="HG27" s="129" t="e">
        <f aca="false">EXP(-LN(2)/35)*HG26+(1-EXP(-LN(2)/35))/(LN(2)/35)*HC27*HD27*VLOOKUP('Données projet'!$B$18,Paramètres!$A$1:$I$89,3,0)*0.475*44/12</f>
        <v>#N/A</v>
      </c>
      <c r="HH27" s="129" t="e">
        <f aca="false">EXP(-LN(2)/25)*HH26+(1-EXP(-LN(2)/25))/(LN(2)/25)*Calculateur!HC27*Calculateur!HE27*VLOOKUP('Données projet'!$B$18,Paramètres!$A$1:$I$89,3,0)*0.475*44/12</f>
        <v>#N/A</v>
      </c>
      <c r="HI27" s="129" t="e">
        <f aca="false">EXP(-LN(2)/2)*HI26+(1-EXP(-LN(2)/2))/(LN(2)/2)*HC27*HF27*VLOOKUP('Données projet'!$B$18,Paramètres!$A$1:$I$89,3,0)*0.475*44/12</f>
        <v>#N/A</v>
      </c>
      <c r="HJ27" s="130" t="e">
        <f aca="false">SUM(HG27:HI27)</f>
        <v>#N/A</v>
      </c>
    </row>
    <row r="28" customFormat="false" ht="14.25" hidden="false" customHeight="false" outlineLevel="0" collapsed="false">
      <c r="A28" s="112" t="n">
        <f aca="false">A27+1</f>
        <v>25</v>
      </c>
      <c r="B28" s="113" t="n">
        <f aca="false">'Scénario référence'!$B$16*5+'Scénario référence'!$B$17*0+'Scénario référence'!$B$18*5</f>
        <v>0</v>
      </c>
      <c r="C28" s="127" t="n">
        <f aca="false"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4" t="n">
        <f aca="false">IFERROR(EXP(-1.0587+0.8836*LN(C28)+0.284),0)</f>
        <v>0</v>
      </c>
      <c r="E2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8" s="114" t="n">
        <f aca="false">IF(OR('Scénario référence'!$F$8&gt;0,'Scénario référence'!$F$9&gt;0),('Scénario référence'!$F$8+'Scénario référence'!$F$9)*10,0)</f>
        <v>0</v>
      </c>
      <c r="G28" s="114" t="n">
        <f aca="false"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15" t="n">
        <f aca="false">(B28+E28+F28)*44/12+(C28+D28)*0.475*44/12</f>
        <v>256.666666666667</v>
      </c>
      <c r="I28" s="11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7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K28" s="118" t="e">
        <f aca="false">VLOOKUP(A28,'Données projet'!$A$35:$I$55,2,0)</f>
        <v>#N/A</v>
      </c>
      <c r="L28" s="118" t="e">
        <f aca="false">VLOOKUP(A28,'Données projet'!$A$35:$I$55,9,0)</f>
        <v>#N/A</v>
      </c>
      <c r="M28" s="118" t="n">
        <f aca="false" t="array" ref="M28:M28">INDEX(L:L,MIN(IF(ISNUMBER(L28:L224),ROW(L28:L224),"")))</f>
        <v>9.2</v>
      </c>
      <c r="N28" s="117" t="n">
        <f aca="false">IF('Données projet'!$A$36&gt;35,N27+M28-V27,IF(A28&lt;'Données projet'!$A$36,$K$205^A28,IF(A28='Données projet'!$A$36,'Données projet'!$B$36,N27+M28-V27)))</f>
        <v>164.5</v>
      </c>
      <c r="O28" s="117" t="n">
        <f aca="false">N28*VLOOKUP('Données projet'!$B$9,Paramètres!$A$1:$I$89,3,0)*VLOOKUP('Données projet'!$B$9,Paramètres!$A$1:$I$89,5,0)</f>
        <v>76.986</v>
      </c>
      <c r="P28" s="117" t="n">
        <f aca="false">EXP(-1.0587+0.8836*LN(O28)+0.284)</f>
        <v>21.3986064681706</v>
      </c>
      <c r="Q28" s="128" t="n">
        <f aca="false">(O28+P28)*0.475*44/12</f>
        <v>171.35318959873</v>
      </c>
      <c r="R28" s="120" t="n">
        <f aca="false">Q28+(I28+J28)*44/12</f>
        <v>458.575411820953</v>
      </c>
      <c r="S28" s="120" t="n">
        <f aca="true">AVERAGE(OFFSET($R$3,0,0,'Données projet'!$E$9+1,1))-AVERAGE(OFFSET($H$3,0,0,'Données projet'!$E$9+1,1))</f>
        <v>319.229030946746</v>
      </c>
      <c r="T28" s="120" t="n">
        <f aca="false">$T$3</f>
        <v>254.586909731428</v>
      </c>
      <c r="U28" s="121" t="n">
        <f aca="false">IF(ISNA(VLOOKUP(A28,'Données projet'!$A$35:$I$55,3,0)),0,VLOOKUP(A28,'Données projet'!$A$35:$I$55,3,0))</f>
        <v>0</v>
      </c>
      <c r="V28" s="121" t="n">
        <f aca="false">IF(ISNA(VLOOKUP(A28,'Données projet'!$A$35:$I$55,4,0)),0,VLOOKUP(A28,'Données projet'!$A$35:$I$55,4,0))</f>
        <v>0</v>
      </c>
      <c r="W28" s="122" t="n">
        <f aca="false">IF(ISNA(VLOOKUP(A28,'Données projet'!$A$35:$I$55,5,0)),0%,VLOOKUP(A28,'Données projet'!$A$35:$I$55,5,0)*VLOOKUP('Données projet'!$B$9,Paramètres!$A$1:$I$89,7,0))</f>
        <v>0</v>
      </c>
      <c r="X28" s="122" t="n">
        <f aca="false">IF(ISNA(VLOOKUP(A28,'Données projet'!$A$35:$I$55,6,0)),0%,VLOOKUP(A28,'Données projet'!$A$35:$I$55,6,0)*VLOOKUP('Données projet'!$B$9,Paramètres!$A$1:$I$89,7,0))</f>
        <v>0</v>
      </c>
      <c r="Y28" s="122" t="n">
        <f aca="false">IF(ISNA(VLOOKUP(A28,'Données projet'!$A$35:$I$55,7,0)),0%,VLOOKUP(A28,'Données projet'!$A$35:$I$55,7,0))</f>
        <v>0</v>
      </c>
      <c r="Z28" s="129" t="n">
        <f aca="false">EXP(-LN(2)/35)*Z27+(1-EXP(-LN(2)/35))/(LN(2)/35)*V28*W28*VLOOKUP('Données projet'!$B$9,Paramètres!$A$1:$I$89,3,0)*0.475*44/12</f>
        <v>2.44320385634514</v>
      </c>
      <c r="AA28" s="129" t="n">
        <f aca="false">EXP(-LN(2)/25)*AA27+(1-EXP(-LN(2)/25))/(LN(2)/25)*Calculateur!V28*Calculateur!X28*VLOOKUP('Données projet'!$B$9,Paramètres!$A$1:$I$89,3,0)*0.475*44/12</f>
        <v>2.33907761641517</v>
      </c>
      <c r="AB28" s="129" t="n">
        <f aca="false">EXP(-LN(2)/2)*AB27+(1-EXP(-LN(2)/2))/(LN(2)/2)*V28*Y28*VLOOKUP('Données projet'!$B$9,Paramètres!$A$1:$I$89,3,0)*0.475*44/12</f>
        <v>2.22000907171534</v>
      </c>
      <c r="AC28" s="130" t="n">
        <f aca="false">SUM(Z28:AB28)</f>
        <v>7.00229054447565</v>
      </c>
      <c r="AD28" s="117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7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AF28" s="118" t="n">
        <f aca="false">VLOOKUP(A28,'Données projet'!$A$61:$I$81,2,0)</f>
        <v>218</v>
      </c>
      <c r="AG28" s="118" t="n">
        <f aca="false">VLOOKUP(A28,'Données projet'!$A$61:$I$81,9,0)</f>
        <v>28</v>
      </c>
      <c r="AH28" s="118" t="n">
        <f aca="false" t="array" ref="AH28:AH28">INDEX(AG:AG,MIN(IF(ISNUMBER(AG28:AG224),ROW(AG28:AG224),"")))</f>
        <v>28</v>
      </c>
      <c r="AI28" s="117" t="n">
        <f aca="false">IF('Données projet'!$A$62&gt;35,AI27+AH28-AQ27,IF(A28&lt;'Données projet'!$A$62,$AF$205^A28,IF(A28='Données projet'!$A$62,'Données projet'!$B$62,AI27+AH28-AQ27)))</f>
        <v>218</v>
      </c>
      <c r="AJ28" s="117" t="n">
        <f aca="false">AI28*VLOOKUP('Données projet'!$B$10,Paramètres!$A$1:$I$89,3,0)*VLOOKUP('Données projet'!$B$10,Paramètres!$A$1:$I$89,5,0)</f>
        <v>121.862</v>
      </c>
      <c r="AK28" s="117" t="n">
        <f aca="false">EXP(-1.0587+0.8836*LN(AJ28)+0.284)</f>
        <v>32.1088902767129</v>
      </c>
      <c r="AL28" s="128" t="n">
        <f aca="false">(AJ28+AK28)*0.475*44/12</f>
        <v>268.165967231942</v>
      </c>
      <c r="AM28" s="120" t="n">
        <f aca="false">AL28+(AD28+AE28)*44/12</f>
        <v>555.388189454164</v>
      </c>
      <c r="AN28" s="120" t="n">
        <f aca="true">AVERAGE(OFFSET($AM$3,0,0,'Données projet'!$E$10+1,1))-AVERAGE(OFFSET($H$3,0,0,'Données projet'!$E$10+1,1))</f>
        <v>365.705101827279</v>
      </c>
      <c r="AO28" s="120" t="n">
        <f aca="false">$AO$3</f>
        <v>436.238338449625</v>
      </c>
      <c r="AP28" s="121" t="n">
        <f aca="false">IF(ISNA(VLOOKUP(A28,'Données projet'!$A$61:$I$81,3,0)),0,VLOOKUP(A28,'Données projet'!$A$61:$I$81,3,0))</f>
        <v>2</v>
      </c>
      <c r="AQ28" s="121" t="n">
        <f aca="false">IF(ISNA(VLOOKUP(A28,'Données projet'!$A$61:$I$81,4,0)),0,VLOOKUP(A28,'Données projet'!$A$61:$I$81,4,0))</f>
        <v>14</v>
      </c>
      <c r="AR28" s="122" t="n">
        <f aca="false">IF(ISNA(VLOOKUP(A28,'Données projet'!$A$61:$I$81,5,0)),0%,VLOOKUP(A28,'Données projet'!$A$61:$I$81,5,0)*VLOOKUP('Données projet'!$B$10,Paramètres!$A$1:$I$89,7,0))</f>
        <v>0</v>
      </c>
      <c r="AS28" s="122" t="n">
        <f aca="false">IF(ISNA(VLOOKUP(A28,'Données projet'!$A$61:$I$81,6,0)),0%,VLOOKUP(A28,'Données projet'!$A$61:$I$81,6,0)*VLOOKUP('Données projet'!$B$10,Paramètres!$A$1:$I$89,7,0))</f>
        <v>0.33</v>
      </c>
      <c r="AT28" s="122" t="n">
        <f aca="false">IF(ISNA(VLOOKUP(A28,'Données projet'!$A$61:$I$81,7,0)),0%,VLOOKUP(A28,'Données projet'!$A$61:$I$81,7,0))</f>
        <v>0.4</v>
      </c>
      <c r="AU28" s="129" t="n">
        <f aca="false">EXP(-LN(2)/35)*AU27+(1-EXP(-LN(2)/35))/(LN(2)/35)*AQ28*AR28*VLOOKUP('Données projet'!$B$10,Paramètres!$A$1:$I$89,3,0)*0.475*44/12</f>
        <v>0</v>
      </c>
      <c r="AV28" s="129" t="n">
        <f aca="false">EXP(-LN(2)/25)*AV27+(1-EXP(-LN(2)/25))/(LN(2)/25)*Calculateur!AQ28*Calculateur!AS28*VLOOKUP('Données projet'!$B$10,Paramètres!$A$1:$I$89,3,0)*0.475*44/12</f>
        <v>3.41246952601745</v>
      </c>
      <c r="AW28" s="129" t="n">
        <f aca="false">EXP(-LN(2)/2)*AW27+(1-EXP(-LN(2)/2))/(LN(2)/2)*AQ28*AT28*VLOOKUP('Données projet'!$B$10,Paramètres!$A$1:$I$89,3,0)*0.475*44/12</f>
        <v>3.54433998417685</v>
      </c>
      <c r="AX28" s="129" t="n">
        <f aca="false">SUM(AU28:AW28)</f>
        <v>6.9568095101943</v>
      </c>
      <c r="AY28" s="124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BA28" s="118" t="n">
        <f aca="false">VLOOKUP(A28,'Données projet'!$A$87:$I$107,2,0)</f>
        <v>163</v>
      </c>
      <c r="BB28" s="118" t="n">
        <f aca="false">VLOOKUP(A28,'Données projet'!$A$87:$I$107,9,0)</f>
        <v>13.8</v>
      </c>
      <c r="BC28" s="118" t="n">
        <f aca="false" t="array" ref="BC28:BC28">INDEX(BB:BB,MIN(IF(ISNUMBER(BB28:BB224),ROW(BB28:BB224),"")))</f>
        <v>13.8</v>
      </c>
      <c r="BD28" s="118" t="n">
        <f aca="false">IF('Données projet'!$A$88&gt;35,BD27+BC28-BL27,IF(A28&lt;'Données projet'!$A$88,$BA$205^A28,IF(A28='Données projet'!$A$88,'Données projet'!$B$88,BD27+BC28-BL27)))</f>
        <v>163</v>
      </c>
      <c r="BE28" s="117" t="n">
        <f aca="false">BD28*VLOOKUP('Données projet'!$B$11,Paramètres!$A$1:$I$89,3,0)*VLOOKUP('Données projet'!$B$11,Paramètres!$A$1:$I$89,5,0)</f>
        <v>142.3968</v>
      </c>
      <c r="BF28" s="117" t="n">
        <f aca="false">EXP(-1.0587+0.8836*LN(BE28)+0.284)</f>
        <v>36.845535084477</v>
      </c>
      <c r="BG28" s="128" t="n">
        <f aca="false">(BE28+BF28)*0.475*44/12</f>
        <v>312.180400272131</v>
      </c>
      <c r="BH28" s="120" t="n">
        <f aca="false">BG28+(AY28+AZ28)*44/12</f>
        <v>599.402622494353</v>
      </c>
      <c r="BI28" s="120" t="n">
        <f aca="true">AVERAGE(OFFSET($BH$3,0,0,'Données projet'!$E$11+1,1))-AVERAGE(OFFSET($H$3,0,0,'Données projet'!$E$11+1,1))</f>
        <v>321.235999689929</v>
      </c>
      <c r="BJ28" s="120" t="n">
        <f aca="false">$BJ$3</f>
        <v>388.051958478005</v>
      </c>
      <c r="BK28" s="121" t="n">
        <f aca="false">IF(ISNA(VLOOKUP(A28,'Données projet'!$A$87:$I$107,3,0)),0,VLOOKUP(A28,'Données projet'!$A$87:$I$107,3,0))</f>
        <v>3</v>
      </c>
      <c r="BL28" s="121" t="n">
        <f aca="false">IF(ISNA(VLOOKUP(A28,'Données projet'!$A$87:$I$107,4,0)),0,VLOOKUP(A28,'Données projet'!$A$87:$I$107,4,0))</f>
        <v>44</v>
      </c>
      <c r="BM28" s="122" t="n">
        <f aca="false">IF(ISNA(VLOOKUP(A28,'Données projet'!$A$87:$I$107,5,0)),0%,VLOOKUP(A28,'Données projet'!$A$87:$I$107,5,0)*VLOOKUP('Données projet'!$B$11,Paramètres!$A$1:$I$89,7,0))</f>
        <v>0.043</v>
      </c>
      <c r="BN28" s="122" t="n">
        <f aca="false">IF(ISNA(VLOOKUP(A28,'Données projet'!$A$87:$I$107,6,0)),0%,VLOOKUP(A28,'Données projet'!$A$87:$I$107,6,0)*VLOOKUP('Données projet'!$B$11,Paramètres!$A$1:$I$89,7,0))</f>
        <v>0.129</v>
      </c>
      <c r="BO28" s="122" t="n">
        <f aca="false">IF(ISNA(VLOOKUP(A28,'Données projet'!$A$87:$I$107,7,0)),0%,VLOOKUP(A28,'Données projet'!$A$87:$I$107,7,0))</f>
        <v>0.3</v>
      </c>
      <c r="BP28" s="129" t="n">
        <f aca="false">EXP(-LN(2)/35)*BP27+(1-EXP(-LN(2)/35))/(LN(2)/35)*BL28*BM28*VLOOKUP('Données projet'!$B$11,Paramètres!$A$1:$I$89,3,0)*0.475*44/12</f>
        <v>3.44448465443163</v>
      </c>
      <c r="BQ28" s="129" t="n">
        <f aca="false">EXP(-LN(2)/25)*BQ27+(1-EXP(-LN(2)/25))/(LN(2)/25)*Calculateur!BL28*Calculateur!BN28*VLOOKUP('Données projet'!$B$11,Paramètres!$A$1:$I$89,3,0)*0.475*44/12</f>
        <v>9.21500674813305</v>
      </c>
      <c r="BR28" s="129" t="n">
        <f aca="false">EXP(-LN(2)/2)*BR27+(1-EXP(-LN(2)/2))/(LN(2)/2)*BL28*BO28*VLOOKUP('Données projet'!$B$11,Paramètres!$A$1:$I$89,3,0)*0.475*44/12</f>
        <v>13.656988314024</v>
      </c>
      <c r="BS28" s="130" t="n">
        <f aca="false">SUM(BP28:BR28)</f>
        <v>26.3164797165887</v>
      </c>
      <c r="BT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BV28" s="118" t="e">
        <f aca="false">VLOOKUP(A28,'Données projet'!$A$113:$I$133,2,0)</f>
        <v>#N/A</v>
      </c>
      <c r="BW28" s="118" t="e">
        <f aca="false">VLOOKUP(A28,'Données projet'!$A$113:$I$133,9,0)</f>
        <v>#N/A</v>
      </c>
      <c r="BX28" s="118" t="n">
        <f aca="false" t="array" ref="BX28:BX28">INDEX(BW:BW,MIN(IF(ISNUMBER(BW28:BW224),ROW(BW28:BW224),"")))</f>
        <v>14.1666666666667</v>
      </c>
      <c r="BY28" s="118" t="n">
        <f aca="false">IF('Données projet'!$A$114&gt;35,BY27+BX28-CG27,IF(A28&lt;'Données projet'!$A$114,$BV$205^A28,IF(A28='Données projet'!$A$114,'Données projet'!$B$114,BY27+BX28-CG27)))</f>
        <v>153.166666666667</v>
      </c>
      <c r="BZ28" s="117" t="n">
        <f aca="false">BY28*VLOOKUP('Données projet'!$B$12,Paramètres!$A$1:$I$89,3,0)*VLOOKUP('Données projet'!$B$12,Paramètres!$A$1:$I$89,5,0)</f>
        <v>95.576</v>
      </c>
      <c r="CA28" s="117" t="n">
        <f aca="false">EXP(-1.0587+0.8836*LN(BZ28)+0.284)</f>
        <v>25.9052811075456</v>
      </c>
      <c r="CB28" s="128" t="n">
        <f aca="false">(BZ28+CA28)*0.475*44/12</f>
        <v>211.579897928975</v>
      </c>
      <c r="CC28" s="120" t="n">
        <f aca="false">CB28+(BT28+BU28)*44/12</f>
        <v>498.802120151198</v>
      </c>
      <c r="CD28" s="120" t="n">
        <f aca="true">AVERAGE(OFFSET($CC$3,0,0,'Données projet'!$E$12+1,1))-AVERAGE(OFFSET($H$3,0,0,'Données projet'!$E$12+1,1))</f>
        <v>240.228848647662</v>
      </c>
      <c r="CE28" s="120" t="n">
        <f aca="false">$CE$3</f>
        <v>343.237768841432</v>
      </c>
      <c r="CF28" s="121" t="n">
        <f aca="false">IF(ISNA(VLOOKUP(A28,'Données projet'!$A$113:$I$133,3,0)),0,VLOOKUP(A28,'Données projet'!$A$113:$I$133,3,0))</f>
        <v>0</v>
      </c>
      <c r="CG28" s="121" t="n">
        <f aca="false">IF(ISNA(VLOOKUP(A28,'Données projet'!$A$113:$I$133,4,0)),0,VLOOKUP(A28,'Données projet'!$A$113:$I$133,4,0))</f>
        <v>0</v>
      </c>
      <c r="CH28" s="122" t="n">
        <f aca="false">IF(ISNA(VLOOKUP(A28,'Données projet'!$A$113:$I$133,5,0)),0%,VLOOKUP(A28,'Données projet'!$A$113:$I$133,5,0)*VLOOKUP('Données projet'!$B$12,Paramètres!$A$1:$I$89,7,0))</f>
        <v>0</v>
      </c>
      <c r="CI28" s="122" t="n">
        <f aca="false">IF(ISNA(VLOOKUP(A28,'Données projet'!$A$113:$I$133,6,0)),0%,VLOOKUP(A28,'Données projet'!$A$113:$I$133,6,0)*VLOOKUP('Données projet'!$B$12,Paramètres!$A$1:$I$89,7,0))</f>
        <v>0</v>
      </c>
      <c r="CJ28" s="122" t="n">
        <f aca="false">IF(ISNA(VLOOKUP(A28,'Données projet'!$A$113:$I$133,7,0)),0%,VLOOKUP(A28,'Données projet'!$A$113:$I$133,7,0))</f>
        <v>0</v>
      </c>
      <c r="CK28" s="129" t="n">
        <f aca="false">EXP(-LN(2)/35)*CK27+(1-EXP(-LN(2)/35))/(LN(2)/35)*CG28*CH28*VLOOKUP('Données projet'!$B$12,Paramètres!$A$1:$I$89,3,0)*0.475*44/12</f>
        <v>0</v>
      </c>
      <c r="CL28" s="129" t="n">
        <f aca="false">EXP(-LN(2)/25)*CL27+(1-EXP(-LN(2)/25))/(LN(2)/25)*Calculateur!CG28*Calculateur!CI28*VLOOKUP('Données projet'!$B$12,Paramètres!$A$1:$I$89,3,0)*0.475*44/12</f>
        <v>9.27958889239407</v>
      </c>
      <c r="CM28" s="129" t="n">
        <f aca="false">EXP(-LN(2)/2)*CM27+(1-EXP(-LN(2)/2))/(LN(2)/2)*CG28*CJ28*VLOOKUP('Données projet'!$B$12,Paramètres!$A$1:$I$89,3,0)*0.475*44/12</f>
        <v>12.1667290679671</v>
      </c>
      <c r="CN28" s="130" t="n">
        <f aca="false">SUM(CK28:CM28)</f>
        <v>21.4463179603611</v>
      </c>
      <c r="CO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CQ28" s="118" t="e">
        <f aca="false">VLOOKUP(A28,'Données projet'!$A$139:$I$159,2,0)</f>
        <v>#N/A</v>
      </c>
      <c r="CR28" s="118" t="e">
        <f aca="false">VLOOKUP(A28,'Données projet'!$A$139:$I$159,9,0)</f>
        <v>#N/A</v>
      </c>
      <c r="CS28" s="118" t="n">
        <f aca="false" t="array" ref="CS28:CS28">INDEX(CR:CR,MIN(IF(ISNUMBER(CR28:CR224),ROW(CR28:CR224),"")))</f>
        <v>16.6666666666667</v>
      </c>
      <c r="CT28" s="118" t="n">
        <f aca="false">IF('Données projet'!$A$140&gt;35,CT27+CS28-DB27,IF(A28&lt;'Données projet'!$A$140,$CQ$205^A28,IF(A28='Données projet'!$A$140,'Données projet'!$B$140,CT27+CS28-DB27)))</f>
        <v>171.666666666667</v>
      </c>
      <c r="CU28" s="125" t="n">
        <f aca="false">CT28*VLOOKUP('Données projet'!$B$13,Paramètres!$A$1:$I$89,3,0)*VLOOKUP('Données projet'!$B$13,Paramètres!$A$1:$I$89,5,0)</f>
        <v>93.73</v>
      </c>
      <c r="CV28" s="117" t="n">
        <f aca="false">EXP(-1.0587+0.8836*LN(CU28)+0.284)</f>
        <v>25.4626740639253</v>
      </c>
      <c r="CW28" s="128" t="n">
        <f aca="false">(CU28+CV28)*0.475*44/12</f>
        <v>207.593907328003</v>
      </c>
      <c r="CX28" s="120" t="n">
        <f aca="false">CW28+(CO28+CP28)*44/12</f>
        <v>494.816129550225</v>
      </c>
      <c r="CY28" s="120" t="n">
        <f aca="true">AVERAGE(OFFSET($CX$3,0,0,'Données projet'!$E$13+1,1))-AVERAGE(OFFSET($H$3,0,0,'Données projet'!$E$13+1,1))</f>
        <v>207.023069645676</v>
      </c>
      <c r="CZ28" s="120" t="n">
        <f aca="false">$CZ$3</f>
        <v>342.068879333518</v>
      </c>
      <c r="DA28" s="121" t="n">
        <f aca="false">IF(ISNA(VLOOKUP(A28,'Données projet'!$A$139:$I$159,3,0)),0,VLOOKUP(A28,'Données projet'!$A$139:$I$159,3,0))</f>
        <v>0</v>
      </c>
      <c r="DB28" s="121" t="n">
        <f aca="false">IF(ISNA(VLOOKUP(A28,'Données projet'!$A$139:$I$159,4,0)),0,VLOOKUP(A28,'Données projet'!$A$139:$I$159,4,0))</f>
        <v>0</v>
      </c>
      <c r="DC28" s="122" t="n">
        <f aca="false">IF(ISNA(VLOOKUP(A28,'Données projet'!$A$139:$I$159,5,0)),0%,VLOOKUP(A28,'Données projet'!$A$139:$I$159,5,0)*VLOOKUP('Données projet'!$B$13,Paramètres!$A$1:$I$89,7,0))</f>
        <v>0</v>
      </c>
      <c r="DD28" s="122" t="n">
        <f aca="false">IF(ISNA(VLOOKUP(A28,'Données projet'!$A$139:$I$159,6,0)),0%,VLOOKUP(A28,'Données projet'!$A$139:$I$159,6,0)*VLOOKUP('Données projet'!$B$13,Paramètres!$A$1:$I$89,7,0))</f>
        <v>0</v>
      </c>
      <c r="DE28" s="122" t="n">
        <f aca="false">IF(ISNA(VLOOKUP(A28,'Données projet'!$A$139:$I$159,7,0)),0%,VLOOKUP(A28,'Données projet'!$A$139:$I$159,7,0))</f>
        <v>0</v>
      </c>
      <c r="DF28" s="129" t="n">
        <f aca="false">EXP(-LN(2)/35)*DF27+(1-EXP(-LN(2)/35))/(LN(2)/35)*DB28*DC28*VLOOKUP('Données projet'!$B$13,Paramètres!$A$1:$I$89,3,0)*0.475*44/12</f>
        <v>0</v>
      </c>
      <c r="DG28" s="129" t="n">
        <f aca="false">EXP(-LN(2)/25)*DG27+(1-EXP(-LN(2)/25))/(LN(2)/25)*Calculateur!DB28*Calculateur!DD28*VLOOKUP('Données projet'!$B$13,Paramètres!$A$1:$I$89,3,0)*0.475*44/12</f>
        <v>22.0328590603793</v>
      </c>
      <c r="DH28" s="129" t="n">
        <f aca="false">EXP(-LN(2)/2)*DH27+(1-EXP(-LN(2)/2))/(LN(2)/2)*DB28*DE28*VLOOKUP('Données projet'!$B$13,Paramètres!$A$1:$I$89,3,0)*0.475*44/12</f>
        <v>21.9340570190134</v>
      </c>
      <c r="DI28" s="130" t="n">
        <f aca="false">SUM(DF28:DH28)</f>
        <v>43.9669160793927</v>
      </c>
      <c r="DJ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DL28" s="118" t="e">
        <f aca="false">VLOOKUP(A28,'Données projet'!$A$165:$I$185,2,0)</f>
        <v>#N/A</v>
      </c>
      <c r="DM28" s="118" t="e">
        <f aca="false">VLOOKUP(A28,'Données projet'!$A$165:$I$185,9,0)</f>
        <v>#N/A</v>
      </c>
      <c r="DN28" s="118" t="n">
        <f aca="false" t="array" ref="DN28:DN28">INDEX(DM:DM,MIN(IF(ISNUMBER(DM28:DM224),ROW(DM28:DM224),"")))</f>
        <v>16</v>
      </c>
      <c r="DO28" s="118" t="n">
        <f aca="false">IF('Données projet'!$A$166&gt;35,DO27+DN28-DW27,IF(A28&lt;'Données projet'!$A$166,$DL$205^A28,IF(A28='Données projet'!$A$166,'Données projet'!$B$166,DO27+DN28-DW27)))</f>
        <v>142</v>
      </c>
      <c r="DP28" s="125" t="n">
        <f aca="false">DO28*VLOOKUP('Données projet'!$B$14,Paramètres!$A$1:$I$89,3,0)*VLOOKUP('Données projet'!$B$14,Paramètres!$A$1:$I$89,5,0)</f>
        <v>84.916</v>
      </c>
      <c r="DQ28" s="117" t="n">
        <f aca="false">EXP(-1.0587+0.8836*LN(DP28)+0.284)</f>
        <v>23.3349681332057</v>
      </c>
      <c r="DR28" s="128" t="n">
        <f aca="false">(DP28+DQ28)*0.475*44/12</f>
        <v>188.537102832</v>
      </c>
      <c r="DS28" s="120" t="n">
        <f aca="false">DR28+(DJ28+DK28)*44/12</f>
        <v>475.759325054222</v>
      </c>
      <c r="DT28" s="120" t="n">
        <f aca="true">AVERAGE(OFFSET($DS$3,0,0,'Données projet'!$E$14+1,1))-AVERAGE(OFFSET($H$3,0,0,'Données projet'!$E$14+1,1))</f>
        <v>549.432320957297</v>
      </c>
      <c r="DU28" s="120" t="n">
        <f aca="false">$DU$3</f>
        <v>280.26155987301</v>
      </c>
      <c r="DV28" s="121" t="n">
        <f aca="false">IF(ISNA(VLOOKUP(A28,'Données projet'!$A$165:$I$185,3,0)),0,VLOOKUP(A28,'Données projet'!$A$165:$I$185,3,0))</f>
        <v>0</v>
      </c>
      <c r="DW28" s="121" t="n">
        <f aca="false">IF(ISNA(VLOOKUP(A28,'Données projet'!$A$165:$I$185,4,0)),0,VLOOKUP(A28,'Données projet'!$A$165:$I$185,4,0))</f>
        <v>0</v>
      </c>
      <c r="DX28" s="122" t="n">
        <f aca="false">IF(ISNA(VLOOKUP(A28,'Données projet'!$A$165:$I$185,5,0)),0%,VLOOKUP(A28,'Données projet'!$A$165:$I$185,5,0)*VLOOKUP('Données projet'!$B$14,Paramètres!$A$1:$I$89,7,0))</f>
        <v>0</v>
      </c>
      <c r="DY28" s="122" t="n">
        <f aca="false">IF(ISNA(VLOOKUP(A28,'Données projet'!$A$165:$I$185,6,0)),0%,VLOOKUP(A28,'Données projet'!$A$165:$I$185,6,0)*VLOOKUP('Données projet'!$B$14,Paramètres!$A$1:$I$89,7,0))</f>
        <v>0</v>
      </c>
      <c r="DZ28" s="122" t="n">
        <f aca="false">IF(ISNA(VLOOKUP(A28,'Données projet'!$A$165:$I$185,7,0)),0%,VLOOKUP(A28,'Données projet'!$A$165:$I$185,7,0))</f>
        <v>0</v>
      </c>
      <c r="EA28" s="129" t="n">
        <f aca="false">EXP(-LN(2)/35)*EA27+(1-EXP(-LN(2)/35))/(LN(2)/35)*DW28*DX28*VLOOKUP('Données projet'!$B$14,Paramètres!$A$1:$I$89,3,0)*0.475*44/12</f>
        <v>0</v>
      </c>
      <c r="EB28" s="129" t="n">
        <f aca="false">EXP(-LN(2)/25)*EB27+(1-EXP(-LN(2)/25))/(LN(2)/25)*Calculateur!DW28*Calculateur!DY28*VLOOKUP('Données projet'!$B$14,Paramètres!$A$1:$I$89,3,0)*0.475*44/12</f>
        <v>2.14426859885657</v>
      </c>
      <c r="EC28" s="129" t="n">
        <f aca="false">EXP(-LN(2)/2)*EC27+(1-EXP(-LN(2)/2))/(LN(2)/2)*DW28*DZ28*VLOOKUP('Données projet'!$B$14,Paramètres!$A$1:$I$89,3,0)*0.475*44/12</f>
        <v>14.5065571690429</v>
      </c>
      <c r="ED28" s="130" t="n">
        <f aca="false">SUM(EA28:EC28)</f>
        <v>16.6508257678994</v>
      </c>
      <c r="EE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EG28" s="118" t="e">
        <f aca="false">VLOOKUP(A28,'Données projet'!$A$191:$I$211,2,0)</f>
        <v>#N/A</v>
      </c>
      <c r="EH28" s="118" t="e">
        <f aca="false">VLOOKUP(A28,'Données projet'!$A$191:$I$211,9,0)</f>
        <v>#N/A</v>
      </c>
      <c r="EI28" s="118" t="n">
        <f aca="false" t="array" ref="EI28:EI28">INDEX(EH:EH,MIN(IF(ISNUMBER(EH28:EH224),ROW(EH28:EH224),"")))</f>
        <v>0</v>
      </c>
      <c r="EJ28" s="118" t="n">
        <f aca="false">IF('Données projet'!$A$192&gt;35,EJ27+EI28-ER27,IF(A28&lt;'Données projet'!$A$192,$EG$205^A28,IF(A28='Données projet'!$A$192,'Données projet'!$B$192,EJ27+EI28-ER27)))</f>
        <v>0</v>
      </c>
      <c r="EK28" s="125" t="e">
        <f aca="false">EJ28*VLOOKUP('Données projet'!$B$15,Paramètres!$A$1:$I$89,3,0)*VLOOKUP('Données projet'!$B$15,Paramètres!$A$1:$I$89,5,0)</f>
        <v>#N/A</v>
      </c>
      <c r="EL28" s="117" t="e">
        <f aca="false">EXP(-1.0587+0.8836*LN(EK28)+0.284)</f>
        <v>#N/A</v>
      </c>
      <c r="EM28" s="128" t="e">
        <f aca="false">(EK28+EL28)*0.475*44/12</f>
        <v>#N/A</v>
      </c>
      <c r="EN28" s="120" t="e">
        <f aca="false">EM28+(EE28+EF28)*44/12</f>
        <v>#N/A</v>
      </c>
      <c r="EO28" s="120" t="e">
        <f aca="true">AVERAGE(OFFSET($EN$3,0,0,'Données projet'!$E$15+1,1))-AVERAGE(OFFSET($H$3,0,0,'Données projet'!$E$15+1,1))</f>
        <v>#N/A</v>
      </c>
      <c r="EP28" s="120" t="e">
        <f aca="false">$EP$3</f>
        <v>#N/A</v>
      </c>
      <c r="EQ28" s="121" t="n">
        <f aca="false">IF(ISNA(VLOOKUP(A28,'Données projet'!$A$191:$I$211,3,0)),0,VLOOKUP(A28,'Données projet'!$A$191:$I$211,3,0))</f>
        <v>0</v>
      </c>
      <c r="ER28" s="121" t="n">
        <f aca="false">IF(ISNA(VLOOKUP(A28,'Données projet'!$A$191:$I$211,4,0)),0,VLOOKUP(A28,'Données projet'!$A$191:$I$211,4,0))</f>
        <v>0</v>
      </c>
      <c r="ES28" s="122" t="n">
        <f aca="false">IF(ISNA(VLOOKUP(A28,'Données projet'!$A$191:$I$211,5,0)),0%,VLOOKUP(A28,'Données projet'!$A$191:$I$211,5,0)*VLOOKUP('Données projet'!$B$15,Paramètres!$A$1:$I$89,7,0))</f>
        <v>0</v>
      </c>
      <c r="ET28" s="122" t="n">
        <f aca="false">IF(ISNA(VLOOKUP(A28,'Données projet'!$A$191:$I$211,6,0)),0%,VLOOKUP(A28,'Données projet'!$A$191:$I$211,6,0)*VLOOKUP('Données projet'!$B$15,Paramètres!$A$1:$I$89,7,0))</f>
        <v>0</v>
      </c>
      <c r="EU28" s="122" t="n">
        <f aca="false">IF(ISNA(VLOOKUP(A28,'Données projet'!$A$191:$I$211,7,0)),0%,VLOOKUP(A28,'Données projet'!$A$191:$I$211,7,0))</f>
        <v>0</v>
      </c>
      <c r="EV28" s="129" t="e">
        <f aca="false">EXP(-LN(2)/35)*EV27+(1-EXP(-LN(2)/35))/(LN(2)/35)*ER28*ES28*VLOOKUP('Données projet'!$B$15,Paramètres!$A$1:$I$89,3,0)*0.475*44/12</f>
        <v>#N/A</v>
      </c>
      <c r="EW28" s="129" t="e">
        <f aca="false">EXP(-LN(2)/25)*EW27+(1-EXP(-LN(2)/25))/(LN(2)/25)*Calculateur!ER28*Calculateur!ET28*VLOOKUP('Données projet'!$B$15,Paramètres!$A$1:$I$89,3,0)*0.475*44/12</f>
        <v>#N/A</v>
      </c>
      <c r="EX28" s="129" t="e">
        <f aca="false">EXP(-LN(2)/2)*EX27+(1-EXP(-LN(2)/2))/(LN(2)/2)*ER28*EU28*VLOOKUP('Données projet'!$B$15,Paramètres!$A$1:$I$89,3,0)*0.475*44/12</f>
        <v>#N/A</v>
      </c>
      <c r="EY28" s="130" t="e">
        <f aca="false">SUM(EV28:EX28)</f>
        <v>#N/A</v>
      </c>
      <c r="EZ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FB28" s="118" t="e">
        <f aca="false">VLOOKUP(A28,'Données projet'!$A$217:$I$237,2,0)</f>
        <v>#N/A</v>
      </c>
      <c r="FC28" s="118" t="e">
        <f aca="false">VLOOKUP(A28,'Données projet'!$A$217:$I$237,9,0)</f>
        <v>#N/A</v>
      </c>
      <c r="FD28" s="118" t="n">
        <f aca="false" t="array" ref="FD28:FD28">INDEX(FC:FC,MIN(IF(ISNUMBER(FC28:FC224),ROW(FC28:FC224),"")))</f>
        <v>0</v>
      </c>
      <c r="FE28" s="118" t="n">
        <f aca="false">IF('Données projet'!$A$218&gt;35,FE27+FD28-FM27,IF(A28&lt;'Données projet'!$A$218,$FB$205^A28,IF(A28='Données projet'!$A$218,'Données projet'!$B$218,FE27+FD28-FM27)))</f>
        <v>0</v>
      </c>
      <c r="FF28" s="125" t="e">
        <f aca="false">FE28*VLOOKUP('Données projet'!$B$16,Paramètres!$A$1:$I$89,3,0)*VLOOKUP('Données projet'!$B$16,Paramètres!$A$1:$I$89,5,0)</f>
        <v>#N/A</v>
      </c>
      <c r="FG28" s="117" t="e">
        <f aca="false">EXP(-1.0587+0.8836*LN(FF28)+0.284)</f>
        <v>#N/A</v>
      </c>
      <c r="FH28" s="128" t="e">
        <f aca="false">(FF28+FG28)*0.475*44/12</f>
        <v>#N/A</v>
      </c>
      <c r="FI28" s="120" t="e">
        <f aca="false">FH28+(EZ28+FA28)*44/12</f>
        <v>#N/A</v>
      </c>
      <c r="FJ28" s="120" t="e">
        <f aca="true">AVERAGE(OFFSET($FI$3,0,0,'Données projet'!$E$16+1,1))-AVERAGE(OFFSET($H$3,0,0,'Données projet'!$E$16+1,1))</f>
        <v>#N/A</v>
      </c>
      <c r="FK28" s="120" t="e">
        <f aca="false">$FK$3</f>
        <v>#N/A</v>
      </c>
      <c r="FL28" s="121" t="n">
        <f aca="false">IF(ISNA(VLOOKUP(A28,'Données projet'!$A$217:$I$237,3,0)),0,VLOOKUP(A28,'Données projet'!$A$217:$I$237,3,0))</f>
        <v>0</v>
      </c>
      <c r="FM28" s="121" t="n">
        <f aca="false">IF(ISNA(VLOOKUP(A28,'Données projet'!$A$217:$I$237,4,0)),0,VLOOKUP(A28,'Données projet'!$A$217:$I$237,4,0))</f>
        <v>0</v>
      </c>
      <c r="FN28" s="122" t="n">
        <f aca="false">IF(ISNA(VLOOKUP(A28,'Données projet'!$A$217:$I$237,5,0)),0%,VLOOKUP(A28,'Données projet'!$A$217:$I$237,5,0)*VLOOKUP('Données projet'!$B$16,Paramètres!$A$1:$I$89,7,0))</f>
        <v>0</v>
      </c>
      <c r="FO28" s="122" t="n">
        <f aca="false">IF(ISNA(VLOOKUP(A28,'Données projet'!$A$217:$I$237,6,0)),0%,VLOOKUP(A28,'Données projet'!$A$217:$I$237,6,0)*VLOOKUP('Données projet'!$B$16,Paramètres!$A$1:$I$89,7,0))</f>
        <v>0</v>
      </c>
      <c r="FP28" s="122" t="n">
        <f aca="false">IF(ISNA(VLOOKUP(A28,'Données projet'!$A$217:$I$237,7,0)),0%,VLOOKUP(A28,'Données projet'!$A$217:$I$237,7,0))</f>
        <v>0</v>
      </c>
      <c r="FQ28" s="129" t="e">
        <f aca="false">EXP(-LN(2)/35)*FQ27+(1-EXP(-LN(2)/35))/(LN(2)/35)*FM28*FN28*VLOOKUP('Données projet'!$B$16,Paramètres!$A$1:$I$89,3,0)*0.475*44/12</f>
        <v>#N/A</v>
      </c>
      <c r="FR28" s="129" t="e">
        <f aca="false">EXP(-LN(2)/25)*FR27+(1-EXP(-LN(2)/25))/(LN(2)/25)*Calculateur!FM28*Calculateur!FO28*VLOOKUP('Données projet'!$B$16,Paramètres!$A$1:$I$89,3,0)*0.475*44/12</f>
        <v>#N/A</v>
      </c>
      <c r="FS28" s="129" t="e">
        <f aca="false">EXP(-LN(2)/2)*FS27+(1-EXP(-LN(2)/2))/(LN(2)/2)*FM28*FP28*VLOOKUP('Données projet'!$B$16,Paramètres!$A$1:$I$89,3,0)*0.475*44/12</f>
        <v>#N/A</v>
      </c>
      <c r="FT28" s="130" t="e">
        <f aca="false">SUM(FQ28:FS28)</f>
        <v>#N/A</v>
      </c>
      <c r="FU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FW28" s="118" t="e">
        <f aca="false">VLOOKUP(A28,'Données projet'!$A$243:$I$263,2,0)</f>
        <v>#N/A</v>
      </c>
      <c r="FX28" s="118" t="e">
        <f aca="false">VLOOKUP(A28,'Données projet'!$A$243:$I$263,9,0)</f>
        <v>#N/A</v>
      </c>
      <c r="FY28" s="118" t="n">
        <f aca="false" t="array" ref="FY28:FY28">INDEX(FX:FX,MIN(IF(ISNUMBER(FX28:FX224),ROW(FX28:FX224),"")))</f>
        <v>0</v>
      </c>
      <c r="FZ28" s="118" t="n">
        <f aca="false">IF('Données projet'!$A$244&gt;35,FZ27+FY28-GH27,IF(A28&lt;'Données projet'!$A$244,$FW$205^A28,IF(A28='Données projet'!$A$244,'Données projet'!$B$244,FZ27+FY28-GH27)))</f>
        <v>0</v>
      </c>
      <c r="GA28" s="125" t="e">
        <f aca="false">FZ28*VLOOKUP('Données projet'!$B$17,Paramètres!$A$1:$I$89,3,0)*VLOOKUP('Données projet'!$B$17,Paramètres!$A$1:$I$89,5,0)</f>
        <v>#N/A</v>
      </c>
      <c r="GB28" s="117" t="e">
        <f aca="false">EXP(-1.0587+0.8836*LN(GA28)+0.284)</f>
        <v>#N/A</v>
      </c>
      <c r="GC28" s="128" t="e">
        <f aca="false">(GA28+GB28)*0.475*44/12</f>
        <v>#N/A</v>
      </c>
      <c r="GD28" s="120" t="e">
        <f aca="false">GC28+(FU28+FV28)*44/12</f>
        <v>#N/A</v>
      </c>
      <c r="GE28" s="120" t="e">
        <f aca="true">AVERAGE(OFFSET($GD$3,0,0,'Données projet'!$E$17+1,1))-AVERAGE(OFFSET($H$3,0,0,'Données projet'!$E$17+1,1))</f>
        <v>#N/A</v>
      </c>
      <c r="GF28" s="120" t="e">
        <f aca="false">$GF$3</f>
        <v>#N/A</v>
      </c>
      <c r="GG28" s="121" t="n">
        <f aca="false">IF(ISNA(VLOOKUP(A28,'Données projet'!$A$243:$I$263,3,0)),0,VLOOKUP(A28,'Données projet'!$A$243:$I$263,3,0))</f>
        <v>0</v>
      </c>
      <c r="GH28" s="121" t="n">
        <f aca="false">IF(ISNA(VLOOKUP(A28,'Données projet'!$A$243:$I$263,4,0)),0,VLOOKUP(A28,'Données projet'!$A$243:$I$263,4,0))</f>
        <v>0</v>
      </c>
      <c r="GI28" s="122" t="n">
        <f aca="false">IF(ISNA(VLOOKUP(A28,'Données projet'!$A$243:$I$263,5,0)),0%,VLOOKUP(A28,'Données projet'!$A$243:$I$263,5,0)*VLOOKUP('Données projet'!$B$17,Paramètres!$A$1:$I$89,7,0))</f>
        <v>0</v>
      </c>
      <c r="GJ28" s="122" t="n">
        <f aca="false">IF(ISNA(VLOOKUP(A28,'Données projet'!$A$243:$I$263,6,0)),0%,VLOOKUP(A28,'Données projet'!$A$243:$I$263,6,0)*VLOOKUP('Données projet'!$B$17,Paramètres!$A$1:$I$89,7,0))</f>
        <v>0</v>
      </c>
      <c r="GK28" s="122" t="n">
        <f aca="false">IF(ISNA(VLOOKUP(A28,'Données projet'!$A$243:$I$263,7,0)),0%,VLOOKUP(A28,'Données projet'!$A$243:$I$263,7,0))</f>
        <v>0</v>
      </c>
      <c r="GL28" s="129" t="e">
        <f aca="false">EXP(-LN(2)/35)*GL27+(1-EXP(-LN(2)/35))/(LN(2)/35)*GH28*GI28*VLOOKUP('Données projet'!$B$17,Paramètres!$A$1:$I$89,3,0)*0.475*44/12</f>
        <v>#N/A</v>
      </c>
      <c r="GM28" s="129" t="e">
        <f aca="false">EXP(-LN(2)/25)*GM27+(1-EXP(-LN(2)/25))/(LN(2)/25)*Calculateur!GH28*Calculateur!GJ28*VLOOKUP('Données projet'!$B$17,Paramètres!$A$1:$I$89,3,0)*0.475*44/12</f>
        <v>#N/A</v>
      </c>
      <c r="GN28" s="129" t="e">
        <f aca="false">EXP(-LN(2)/2)*GN27+(1-EXP(-LN(2)/2))/(LN(2)/2)*GH28*GK28*VLOOKUP('Données projet'!$B$17,Paramètres!$A$1:$I$89,3,0)*0.475*44/12</f>
        <v>#N/A</v>
      </c>
      <c r="GO28" s="129" t="e">
        <f aca="false">SUM(GL28:GN28)</f>
        <v>#N/A</v>
      </c>
      <c r="GP28" s="126" t="n">
        <f aca="false"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8" t="n">
        <f aca="false">IF(A28&gt;30,10,('Scénario référence'!$B$16+'Scénario référence'!$B$17+'Scénario référence'!$B$18+'Scénario référence'!$B$9+'Scénario référence'!$B$10)*A28*10/30+('Scénario référence'!$F$8+'Scénario référence'!$F$9)*10)</f>
        <v>8.33333333333333</v>
      </c>
      <c r="GR28" s="118" t="e">
        <f aca="false">VLOOKUP(A28,'Données projet'!$A$269:$I$289,2,0)</f>
        <v>#N/A</v>
      </c>
      <c r="GS28" s="118" t="e">
        <f aca="false">VLOOKUP(A28,'Données projet'!$A$269:$I$289,9,0)</f>
        <v>#N/A</v>
      </c>
      <c r="GT28" s="118" t="n">
        <f aca="false" t="array" ref="GT28:GT28">INDEX(GS:GS,MIN(IF(ISNUMBER(GS28:GS224),ROW(GS28:GS224),"")))</f>
        <v>0</v>
      </c>
      <c r="GU28" s="118" t="n">
        <f aca="false">IF('Données projet'!$A$270&gt;35,GU27+GT28-HC27,IF(A28&lt;'Données projet'!$A$270,$GR$205^A28,IF(A28='Données projet'!$A$270,'Données projet'!$B$270,GU27+GT28-HC27)))</f>
        <v>0</v>
      </c>
      <c r="GV28" s="125" t="e">
        <f aca="false">GU28*VLOOKUP('Données projet'!$B$18,Paramètres!$A$1:$I$89,3,0)*VLOOKUP('Données projet'!$B$18,Paramètres!$A$1:$I$89,5,0)</f>
        <v>#N/A</v>
      </c>
      <c r="GW28" s="117" t="e">
        <f aca="false">EXP(-1.0587+0.8836*LN(GV28)+0.284)</f>
        <v>#N/A</v>
      </c>
      <c r="GX28" s="128" t="e">
        <f aca="false">(GV28+GW28)*0.475*44/12</f>
        <v>#N/A</v>
      </c>
      <c r="GY28" s="120" t="e">
        <f aca="false">GX28+(GP28+GQ28)*44/12</f>
        <v>#N/A</v>
      </c>
      <c r="GZ28" s="120" t="e">
        <f aca="true">AVERAGE(OFFSET($GY$3,0,0,'Données projet'!$E$18+1,1))-AVERAGE(OFFSET($H$3,0,0,'Données projet'!$E$18+1,1))</f>
        <v>#N/A</v>
      </c>
      <c r="HA28" s="120" t="e">
        <f aca="false">$HA$3</f>
        <v>#N/A</v>
      </c>
      <c r="HB28" s="121" t="n">
        <f aca="false">IF(ISNA(VLOOKUP(A28,'Données projet'!$A$269:$I$289,3,0)),0,VLOOKUP(A28,'Données projet'!$A$269:$I$289,3,0))</f>
        <v>0</v>
      </c>
      <c r="HC28" s="121" t="n">
        <f aca="false">IF(ISNA(VLOOKUP(A28,'Données projet'!$A$269:$I$289,4,0)),0,VLOOKUP(A28,'Données projet'!$A$269:$I$289,4,0))</f>
        <v>0</v>
      </c>
      <c r="HD28" s="122" t="n">
        <f aca="false">IF(ISNA(VLOOKUP(A28,'Données projet'!$A$269:$I$289,5,0)),0%,VLOOKUP(A28,'Données projet'!$A$269:$I$289,5,0)*VLOOKUP('Données projet'!$B$18,Paramètres!$A$1:$I$89,7,0))</f>
        <v>0</v>
      </c>
      <c r="HE28" s="122" t="n">
        <f aca="false">IF(ISNA(VLOOKUP(A28,'Données projet'!$A$269:$I$289,6,0)),0%,VLOOKUP(A28,'Données projet'!$A$269:$I$289,6,0)*VLOOKUP('Données projet'!$B$18,Paramètres!$A$1:$I$89,7,0))</f>
        <v>0</v>
      </c>
      <c r="HF28" s="122" t="n">
        <f aca="false">IF(ISNA(VLOOKUP(A28,'Données projet'!$A$269:$I$289,7,0)),0%,VLOOKUP(A28,'Données projet'!$A$269:$I$289,7,0))</f>
        <v>0</v>
      </c>
      <c r="HG28" s="129" t="e">
        <f aca="false">EXP(-LN(2)/35)*HG27+(1-EXP(-LN(2)/35))/(LN(2)/35)*HC28*HD28*VLOOKUP('Données projet'!$B$18,Paramètres!$A$1:$I$89,3,0)*0.475*44/12</f>
        <v>#N/A</v>
      </c>
      <c r="HH28" s="129" t="e">
        <f aca="false">EXP(-LN(2)/25)*HH27+(1-EXP(-LN(2)/25))/(LN(2)/25)*Calculateur!HC28*Calculateur!HE28*VLOOKUP('Données projet'!$B$18,Paramètres!$A$1:$I$89,3,0)*0.475*44/12</f>
        <v>#N/A</v>
      </c>
      <c r="HI28" s="129" t="e">
        <f aca="false">EXP(-LN(2)/2)*HI27+(1-EXP(-LN(2)/2))/(LN(2)/2)*HC28*HF28*VLOOKUP('Données projet'!$B$18,Paramètres!$A$1:$I$89,3,0)*0.475*44/12</f>
        <v>#N/A</v>
      </c>
      <c r="HJ28" s="130" t="e">
        <f aca="false">SUM(HG28:HI28)</f>
        <v>#N/A</v>
      </c>
    </row>
    <row r="29" customFormat="false" ht="14.25" hidden="false" customHeight="false" outlineLevel="0" collapsed="false">
      <c r="A29" s="112" t="n">
        <f aca="false">A28+1</f>
        <v>26</v>
      </c>
      <c r="B29" s="113" t="n">
        <f aca="false">'Scénario référence'!$B$16*5+'Scénario référence'!$B$17*0+'Scénario référence'!$B$18*5</f>
        <v>0</v>
      </c>
      <c r="C29" s="127" t="n">
        <f aca="false"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4" t="n">
        <f aca="false">IFERROR(EXP(-1.0587+0.8836*LN(C29)+0.284),0)</f>
        <v>0</v>
      </c>
      <c r="E2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9" s="114" t="n">
        <f aca="false">IF(OR('Scénario référence'!$F$8&gt;0,'Scénario référence'!$F$9&gt;0),('Scénario référence'!$F$8+'Scénario référence'!$F$9)*10,0)</f>
        <v>0</v>
      </c>
      <c r="G29" s="114" t="n">
        <f aca="false"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15" t="n">
        <f aca="false">(B29+E29+F29)*44/12+(C29+D29)*0.475*44/12</f>
        <v>256.666666666667</v>
      </c>
      <c r="I29" s="11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7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K29" s="118" t="e">
        <f aca="false">VLOOKUP(A29,'Données projet'!$A$35:$I$55,2,0)</f>
        <v>#N/A</v>
      </c>
      <c r="L29" s="118" t="e">
        <f aca="false">VLOOKUP(A29,'Données projet'!$A$35:$I$55,9,0)</f>
        <v>#N/A</v>
      </c>
      <c r="M29" s="118" t="n">
        <f aca="false" t="array" ref="M29:M29">INDEX(L:L,MIN(IF(ISNUMBER(L29:L225),ROW(L29:L225),"")))</f>
        <v>9.2</v>
      </c>
      <c r="N29" s="117" t="n">
        <f aca="false">IF('Données projet'!$A$36&gt;35,N28+M29-V28,IF(A29&lt;'Données projet'!$A$36,$K$205^A29,IF(A29='Données projet'!$A$36,'Données projet'!$B$36,N28+M29-V28)))</f>
        <v>173.7</v>
      </c>
      <c r="O29" s="117" t="n">
        <f aca="false">N29*VLOOKUP('Données projet'!$B$9,Paramètres!$A$1:$I$89,3,0)*VLOOKUP('Données projet'!$B$9,Paramètres!$A$1:$I$89,5,0)</f>
        <v>81.2916</v>
      </c>
      <c r="P29" s="117" t="n">
        <f aca="false">EXP(-1.0587+0.8836*LN(O29)+0.284)</f>
        <v>22.4526920703365</v>
      </c>
      <c r="Q29" s="128" t="n">
        <f aca="false">(O29+P29)*0.475*44/12</f>
        <v>180.687975355836</v>
      </c>
      <c r="R29" s="120" t="n">
        <f aca="false">Q29+(I29+J29)*44/12</f>
        <v>469.13241980028</v>
      </c>
      <c r="S29" s="120" t="n">
        <f aca="true">AVERAGE(OFFSET($R$3,0,0,'Données projet'!$E$9+1,1))-AVERAGE(OFFSET($H$3,0,0,'Données projet'!$E$9+1,1))</f>
        <v>319.229030946746</v>
      </c>
      <c r="T29" s="120" t="n">
        <f aca="false">$T$3</f>
        <v>254.586909731428</v>
      </c>
      <c r="U29" s="121" t="n">
        <f aca="false">IF(ISNA(VLOOKUP(A29,'Données projet'!$A$35:$I$55,3,0)),0,VLOOKUP(A29,'Données projet'!$A$35:$I$55,3,0))</f>
        <v>0</v>
      </c>
      <c r="V29" s="121" t="n">
        <f aca="false">IF(ISNA(VLOOKUP(A29,'Données projet'!$A$35:$I$55,4,0)),0,VLOOKUP(A29,'Données projet'!$A$35:$I$55,4,0))</f>
        <v>0</v>
      </c>
      <c r="W29" s="122" t="n">
        <f aca="false">IF(ISNA(VLOOKUP(A29,'Données projet'!$A$35:$I$55,5,0)),0%,VLOOKUP(A29,'Données projet'!$A$35:$I$55,5,0)*VLOOKUP('Données projet'!$B$9,Paramètres!$A$1:$I$89,7,0))</f>
        <v>0</v>
      </c>
      <c r="X29" s="122" t="n">
        <f aca="false">IF(ISNA(VLOOKUP(A29,'Données projet'!$A$35:$I$55,6,0)),0%,VLOOKUP(A29,'Données projet'!$A$35:$I$55,6,0)*VLOOKUP('Données projet'!$B$9,Paramètres!$A$1:$I$89,7,0))</f>
        <v>0</v>
      </c>
      <c r="Y29" s="122" t="n">
        <f aca="false">IF(ISNA(VLOOKUP(A29,'Données projet'!$A$35:$I$55,7,0)),0%,VLOOKUP(A29,'Données projet'!$A$35:$I$55,7,0))</f>
        <v>0</v>
      </c>
      <c r="Z29" s="129" t="n">
        <f aca="false">EXP(-LN(2)/35)*Z28+(1-EXP(-LN(2)/35))/(LN(2)/35)*V29*W29*VLOOKUP('Données projet'!$B$9,Paramètres!$A$1:$I$89,3,0)*0.475*44/12</f>
        <v>2.39529411892942</v>
      </c>
      <c r="AA29" s="129" t="n">
        <f aca="false">EXP(-LN(2)/25)*AA28+(1-EXP(-LN(2)/25))/(LN(2)/25)*Calculateur!V29*Calculateur!X29*VLOOKUP('Données projet'!$B$9,Paramètres!$A$1:$I$89,3,0)*0.475*44/12</f>
        <v>2.27511541598756</v>
      </c>
      <c r="AB29" s="129" t="n">
        <f aca="false">EXP(-LN(2)/2)*AB28+(1-EXP(-LN(2)/2))/(LN(2)/2)*V29*Y29*VLOOKUP('Données projet'!$B$9,Paramètres!$A$1:$I$89,3,0)*0.475*44/12</f>
        <v>1.56978346890557</v>
      </c>
      <c r="AC29" s="130" t="n">
        <f aca="false">SUM(Z29:AB29)</f>
        <v>6.24019300382254</v>
      </c>
      <c r="AD29" s="117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7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AF29" s="118" t="e">
        <f aca="false">VLOOKUP(A29,'Données projet'!$A$61:$I$81,2,0)</f>
        <v>#N/A</v>
      </c>
      <c r="AG29" s="118" t="e">
        <f aca="false">VLOOKUP(A29,'Données projet'!$A$61:$I$81,9,0)</f>
        <v>#N/A</v>
      </c>
      <c r="AH29" s="118" t="n">
        <f aca="false" t="array" ref="AH29:AH29">INDEX(AG:AG,MIN(IF(ISNUMBER(AG29:AG225),ROW(AG29:AG225),"")))</f>
        <v>24.8</v>
      </c>
      <c r="AI29" s="117" t="n">
        <f aca="false">IF('Données projet'!$A$62&gt;35,AI28+AH29-AQ28,IF(A29&lt;'Données projet'!$A$62,$AF$205^A29,IF(A29='Données projet'!$A$62,'Données projet'!$B$62,AI28+AH29-AQ28)))</f>
        <v>228.8</v>
      </c>
      <c r="AJ29" s="117" t="n">
        <f aca="false">AI29*VLOOKUP('Données projet'!$B$10,Paramètres!$A$1:$I$89,3,0)*VLOOKUP('Données projet'!$B$10,Paramètres!$A$1:$I$89,5,0)</f>
        <v>127.8992</v>
      </c>
      <c r="AK29" s="117" t="n">
        <f aca="false">EXP(-1.0587+0.8836*LN(AJ29)+0.284)</f>
        <v>33.5104668083147</v>
      </c>
      <c r="AL29" s="128" t="n">
        <f aca="false">(AJ29+AK29)*0.475*44/12</f>
        <v>281.121836357815</v>
      </c>
      <c r="AM29" s="120" t="n">
        <f aca="false">AL29+(AD29+AE29)*44/12</f>
        <v>569.566280802259</v>
      </c>
      <c r="AN29" s="120" t="n">
        <f aca="true">AVERAGE(OFFSET($AM$3,0,0,'Données projet'!$E$10+1,1))-AVERAGE(OFFSET($H$3,0,0,'Données projet'!$E$10+1,1))</f>
        <v>365.705101827279</v>
      </c>
      <c r="AO29" s="120" t="n">
        <f aca="false">$AO$3</f>
        <v>436.238338449625</v>
      </c>
      <c r="AP29" s="121" t="n">
        <f aca="false">IF(ISNA(VLOOKUP(A29,'Données projet'!$A$61:$I$81,3,0)),0,VLOOKUP(A29,'Données projet'!$A$61:$I$81,3,0))</f>
        <v>0</v>
      </c>
      <c r="AQ29" s="121" t="n">
        <f aca="false">IF(ISNA(VLOOKUP(A29,'Données projet'!$A$61:$I$81,4,0)),0,VLOOKUP(A29,'Données projet'!$A$61:$I$81,4,0))</f>
        <v>0</v>
      </c>
      <c r="AR29" s="122" t="n">
        <f aca="false">IF(ISNA(VLOOKUP(A29,'Données projet'!$A$61:$I$81,5,0)),0%,VLOOKUP(A29,'Données projet'!$A$61:$I$81,5,0)*VLOOKUP('Données projet'!$B$10,Paramètres!$A$1:$I$89,7,0))</f>
        <v>0</v>
      </c>
      <c r="AS29" s="122" t="n">
        <f aca="false">IF(ISNA(VLOOKUP(A29,'Données projet'!$A$61:$I$81,6,0)),0%,VLOOKUP(A29,'Données projet'!$A$61:$I$81,6,0)*VLOOKUP('Données projet'!$B$10,Paramètres!$A$1:$I$89,7,0))</f>
        <v>0</v>
      </c>
      <c r="AT29" s="122" t="n">
        <f aca="false">IF(ISNA(VLOOKUP(A29,'Données projet'!$A$61:$I$81,7,0)),0%,VLOOKUP(A29,'Données projet'!$A$61:$I$81,7,0))</f>
        <v>0</v>
      </c>
      <c r="AU29" s="129" t="n">
        <f aca="false">EXP(-LN(2)/35)*AU28+(1-EXP(-LN(2)/35))/(LN(2)/35)*AQ29*AR29*VLOOKUP('Données projet'!$B$10,Paramètres!$A$1:$I$89,3,0)*0.475*44/12</f>
        <v>0</v>
      </c>
      <c r="AV29" s="129" t="n">
        <f aca="false">EXP(-LN(2)/25)*AV28+(1-EXP(-LN(2)/25))/(LN(2)/25)*Calculateur!AQ29*Calculateur!AS29*VLOOKUP('Données projet'!$B$10,Paramètres!$A$1:$I$89,3,0)*0.475*44/12</f>
        <v>3.31915536737453</v>
      </c>
      <c r="AW29" s="129" t="n">
        <f aca="false">EXP(-LN(2)/2)*AW28+(1-EXP(-LN(2)/2))/(LN(2)/2)*AQ29*AT29*VLOOKUP('Données projet'!$B$10,Paramètres!$A$1:$I$89,3,0)*0.475*44/12</f>
        <v>2.50622683764207</v>
      </c>
      <c r="AX29" s="129" t="n">
        <f aca="false">SUM(AU29:AW29)</f>
        <v>5.8253822050166</v>
      </c>
      <c r="AY29" s="124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BA29" s="118" t="e">
        <f aca="false">VLOOKUP(A29,'Données projet'!$A$87:$I$107,2,0)</f>
        <v>#N/A</v>
      </c>
      <c r="BB29" s="118" t="e">
        <f aca="false">VLOOKUP(A29,'Données projet'!$A$87:$I$107,9,0)</f>
        <v>#N/A</v>
      </c>
      <c r="BC29" s="118" t="n">
        <f aca="false" t="array" ref="BC29:BC29">INDEX(BB:BB,MIN(IF(ISNUMBER(BB29:BB225),ROW(BB29:BB225),"")))</f>
        <v>13</v>
      </c>
      <c r="BD29" s="118" t="n">
        <f aca="false">IF('Données projet'!$A$88&gt;35,BD28+BC29-BL28,IF(A29&lt;'Données projet'!$A$88,$BA$205^A29,IF(A29='Données projet'!$A$88,'Données projet'!$B$88,BD28+BC29-BL28)))</f>
        <v>132</v>
      </c>
      <c r="BE29" s="117" t="n">
        <f aca="false">BD29*VLOOKUP('Données projet'!$B$11,Paramètres!$A$1:$I$89,3,0)*VLOOKUP('Données projet'!$B$11,Paramètres!$A$1:$I$89,5,0)</f>
        <v>115.3152</v>
      </c>
      <c r="BF29" s="117" t="n">
        <f aca="false">EXP(-1.0587+0.8836*LN(BE29)+0.284)</f>
        <v>30.5798271487973</v>
      </c>
      <c r="BG29" s="128" t="n">
        <f aca="false">(BE29+BF29)*0.475*44/12</f>
        <v>254.100505617489</v>
      </c>
      <c r="BH29" s="120" t="n">
        <f aca="false">BG29+(AY29+AZ29)*44/12</f>
        <v>542.544950061933</v>
      </c>
      <c r="BI29" s="120" t="n">
        <f aca="true">AVERAGE(OFFSET($BH$3,0,0,'Données projet'!$E$11+1,1))-AVERAGE(OFFSET($H$3,0,0,'Données projet'!$E$11+1,1))</f>
        <v>321.235999689929</v>
      </c>
      <c r="BJ29" s="120" t="n">
        <f aca="false">$BJ$3</f>
        <v>388.051958478005</v>
      </c>
      <c r="BK29" s="121" t="n">
        <f aca="false">IF(ISNA(VLOOKUP(A29,'Données projet'!$A$87:$I$107,3,0)),0,VLOOKUP(A29,'Données projet'!$A$87:$I$107,3,0))</f>
        <v>0</v>
      </c>
      <c r="BL29" s="121" t="n">
        <f aca="false">IF(ISNA(VLOOKUP(A29,'Données projet'!$A$87:$I$107,4,0)),0,VLOOKUP(A29,'Données projet'!$A$87:$I$107,4,0))</f>
        <v>0</v>
      </c>
      <c r="BM29" s="122" t="n">
        <f aca="false">IF(ISNA(VLOOKUP(A29,'Données projet'!$A$87:$I$107,5,0)),0%,VLOOKUP(A29,'Données projet'!$A$87:$I$107,5,0)*VLOOKUP('Données projet'!$B$11,Paramètres!$A$1:$I$89,7,0))</f>
        <v>0</v>
      </c>
      <c r="BN29" s="122" t="n">
        <f aca="false">IF(ISNA(VLOOKUP(A29,'Données projet'!$A$87:$I$107,6,0)),0%,VLOOKUP(A29,'Données projet'!$A$87:$I$107,6,0)*VLOOKUP('Données projet'!$B$11,Paramètres!$A$1:$I$89,7,0))</f>
        <v>0</v>
      </c>
      <c r="BO29" s="122" t="n">
        <f aca="false">IF(ISNA(VLOOKUP(A29,'Données projet'!$A$87:$I$107,7,0)),0%,VLOOKUP(A29,'Données projet'!$A$87:$I$107,7,0))</f>
        <v>0</v>
      </c>
      <c r="BP29" s="129" t="n">
        <f aca="false">EXP(-LN(2)/35)*BP28+(1-EXP(-LN(2)/35))/(LN(2)/35)*BL29*BM29*VLOOKUP('Données projet'!$B$11,Paramètres!$A$1:$I$89,3,0)*0.475*44/12</f>
        <v>3.37694041128642</v>
      </c>
      <c r="BQ29" s="129" t="n">
        <f aca="false">EXP(-LN(2)/25)*BQ28+(1-EXP(-LN(2)/25))/(LN(2)/25)*Calculateur!BL29*Calculateur!BN29*VLOOKUP('Données projet'!$B$11,Paramètres!$A$1:$I$89,3,0)*0.475*44/12</f>
        <v>8.96302190400921</v>
      </c>
      <c r="BR29" s="129" t="n">
        <f aca="false">EXP(-LN(2)/2)*BR28+(1-EXP(-LN(2)/2))/(LN(2)/2)*BL29*BO29*VLOOKUP('Données projet'!$B$11,Paramètres!$A$1:$I$89,3,0)*0.475*44/12</f>
        <v>9.65694904743183</v>
      </c>
      <c r="BS29" s="130" t="n">
        <f aca="false">SUM(BP29:BR29)</f>
        <v>21.9969113627275</v>
      </c>
      <c r="BT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BV29" s="118" t="e">
        <f aca="false">VLOOKUP(A29,'Données projet'!$A$113:$I$133,2,0)</f>
        <v>#N/A</v>
      </c>
      <c r="BW29" s="118" t="e">
        <f aca="false">VLOOKUP(A29,'Données projet'!$A$113:$I$133,9,0)</f>
        <v>#N/A</v>
      </c>
      <c r="BX29" s="118" t="n">
        <f aca="false" t="array" ref="BX29:BX29">INDEX(BW:BW,MIN(IF(ISNUMBER(BW29:BW225),ROW(BW29:BW225),"")))</f>
        <v>14.1666666666667</v>
      </c>
      <c r="BY29" s="118" t="n">
        <f aca="false">IF('Données projet'!$A$114&gt;35,BY28+BX29-CG28,IF(A29&lt;'Données projet'!$A$114,$BV$205^A29,IF(A29='Données projet'!$A$114,'Données projet'!$B$114,BY28+BX29-CG28)))</f>
        <v>167.333333333333</v>
      </c>
      <c r="BZ29" s="117" t="n">
        <f aca="false">BY29*VLOOKUP('Données projet'!$B$12,Paramètres!$A$1:$I$89,3,0)*VLOOKUP('Données projet'!$B$12,Paramètres!$A$1:$I$89,5,0)</f>
        <v>104.416</v>
      </c>
      <c r="CA29" s="117" t="n">
        <f aca="false">EXP(-1.0587+0.8836*LN(BZ29)+0.284)</f>
        <v>28.0113881876762</v>
      </c>
      <c r="CB29" s="128" t="n">
        <f aca="false">(BZ29+CA29)*0.475*44/12</f>
        <v>230.644367760203</v>
      </c>
      <c r="CC29" s="120" t="n">
        <f aca="false">CB29+(BT29+BU29)*44/12</f>
        <v>519.088812204647</v>
      </c>
      <c r="CD29" s="120" t="n">
        <f aca="true">AVERAGE(OFFSET($CC$3,0,0,'Données projet'!$E$12+1,1))-AVERAGE(OFFSET($H$3,0,0,'Données projet'!$E$12+1,1))</f>
        <v>240.228848647662</v>
      </c>
      <c r="CE29" s="120" t="n">
        <f aca="false">$CE$3</f>
        <v>343.237768841432</v>
      </c>
      <c r="CF29" s="121" t="n">
        <f aca="false">IF(ISNA(VLOOKUP(A29,'Données projet'!$A$113:$I$133,3,0)),0,VLOOKUP(A29,'Données projet'!$A$113:$I$133,3,0))</f>
        <v>0</v>
      </c>
      <c r="CG29" s="121" t="n">
        <f aca="false">IF(ISNA(VLOOKUP(A29,'Données projet'!$A$113:$I$133,4,0)),0,VLOOKUP(A29,'Données projet'!$A$113:$I$133,4,0))</f>
        <v>0</v>
      </c>
      <c r="CH29" s="122" t="n">
        <f aca="false">IF(ISNA(VLOOKUP(A29,'Données projet'!$A$113:$I$133,5,0)),0%,VLOOKUP(A29,'Données projet'!$A$113:$I$133,5,0)*VLOOKUP('Données projet'!$B$12,Paramètres!$A$1:$I$89,7,0))</f>
        <v>0</v>
      </c>
      <c r="CI29" s="122" t="n">
        <f aca="false">IF(ISNA(VLOOKUP(A29,'Données projet'!$A$113:$I$133,6,0)),0%,VLOOKUP(A29,'Données projet'!$A$113:$I$133,6,0)*VLOOKUP('Données projet'!$B$12,Paramètres!$A$1:$I$89,7,0))</f>
        <v>0</v>
      </c>
      <c r="CJ29" s="122" t="n">
        <f aca="false">IF(ISNA(VLOOKUP(A29,'Données projet'!$A$113:$I$133,7,0)),0%,VLOOKUP(A29,'Données projet'!$A$113:$I$133,7,0))</f>
        <v>0</v>
      </c>
      <c r="CK29" s="129" t="n">
        <f aca="false">EXP(-LN(2)/35)*CK28+(1-EXP(-LN(2)/35))/(LN(2)/35)*CG29*CH29*VLOOKUP('Données projet'!$B$12,Paramètres!$A$1:$I$89,3,0)*0.475*44/12</f>
        <v>0</v>
      </c>
      <c r="CL29" s="129" t="n">
        <f aca="false">EXP(-LN(2)/25)*CL28+(1-EXP(-LN(2)/25))/(LN(2)/25)*Calculateur!CG29*Calculateur!CI29*VLOOKUP('Données projet'!$B$12,Paramètres!$A$1:$I$89,3,0)*0.475*44/12</f>
        <v>9.02583804613918</v>
      </c>
      <c r="CM29" s="129" t="n">
        <f aca="false">EXP(-LN(2)/2)*CM28+(1-EXP(-LN(2)/2))/(LN(2)/2)*CG29*CJ29*VLOOKUP('Données projet'!$B$12,Paramètres!$A$1:$I$89,3,0)*0.475*44/12</f>
        <v>8.603176628819</v>
      </c>
      <c r="CN29" s="130" t="n">
        <f aca="false">SUM(CK29:CM29)</f>
        <v>17.6290146749582</v>
      </c>
      <c r="CO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CQ29" s="118" t="e">
        <f aca="false">VLOOKUP(A29,'Données projet'!$A$139:$I$159,2,0)</f>
        <v>#N/A</v>
      </c>
      <c r="CR29" s="118" t="e">
        <f aca="false">VLOOKUP(A29,'Données projet'!$A$139:$I$159,9,0)</f>
        <v>#N/A</v>
      </c>
      <c r="CS29" s="118" t="n">
        <f aca="false" t="array" ref="CS29:CS29">INDEX(CR:CR,MIN(IF(ISNUMBER(CR29:CR225),ROW(CR29:CR225),"")))</f>
        <v>16.6666666666667</v>
      </c>
      <c r="CT29" s="118" t="n">
        <f aca="false">IF('Données projet'!$A$140&gt;35,CT28+CS29-DB28,IF(A29&lt;'Données projet'!$A$140,$CQ$205^A29,IF(A29='Données projet'!$A$140,'Données projet'!$B$140,CT28+CS29-DB28)))</f>
        <v>188.333333333333</v>
      </c>
      <c r="CU29" s="125" t="n">
        <f aca="false">CT29*VLOOKUP('Données projet'!$B$13,Paramètres!$A$1:$I$89,3,0)*VLOOKUP('Données projet'!$B$13,Paramètres!$A$1:$I$89,5,0)</f>
        <v>102.83</v>
      </c>
      <c r="CV29" s="117" t="n">
        <f aca="false">EXP(-1.0587+0.8836*LN(CU29)+0.284)</f>
        <v>27.6351070844012</v>
      </c>
      <c r="CW29" s="128" t="n">
        <f aca="false">(CU29+CV29)*0.475*44/12</f>
        <v>227.226728171999</v>
      </c>
      <c r="CX29" s="120" t="n">
        <f aca="false">CW29+(CO29+CP29)*44/12</f>
        <v>515.671172616443</v>
      </c>
      <c r="CY29" s="120" t="n">
        <f aca="true">AVERAGE(OFFSET($CX$3,0,0,'Données projet'!$E$13+1,1))-AVERAGE(OFFSET($H$3,0,0,'Données projet'!$E$13+1,1))</f>
        <v>207.023069645676</v>
      </c>
      <c r="CZ29" s="120" t="n">
        <f aca="false">$CZ$3</f>
        <v>342.068879333518</v>
      </c>
      <c r="DA29" s="121" t="n">
        <f aca="false">IF(ISNA(VLOOKUP(A29,'Données projet'!$A$139:$I$159,3,0)),0,VLOOKUP(A29,'Données projet'!$A$139:$I$159,3,0))</f>
        <v>0</v>
      </c>
      <c r="DB29" s="121" t="n">
        <f aca="false">IF(ISNA(VLOOKUP(A29,'Données projet'!$A$139:$I$159,4,0)),0,VLOOKUP(A29,'Données projet'!$A$139:$I$159,4,0))</f>
        <v>0</v>
      </c>
      <c r="DC29" s="122" t="n">
        <f aca="false">IF(ISNA(VLOOKUP(A29,'Données projet'!$A$139:$I$159,5,0)),0%,VLOOKUP(A29,'Données projet'!$A$139:$I$159,5,0)*VLOOKUP('Données projet'!$B$13,Paramètres!$A$1:$I$89,7,0))</f>
        <v>0</v>
      </c>
      <c r="DD29" s="122" t="n">
        <f aca="false">IF(ISNA(VLOOKUP(A29,'Données projet'!$A$139:$I$159,6,0)),0%,VLOOKUP(A29,'Données projet'!$A$139:$I$159,6,0)*VLOOKUP('Données projet'!$B$13,Paramètres!$A$1:$I$89,7,0))</f>
        <v>0</v>
      </c>
      <c r="DE29" s="122" t="n">
        <f aca="false">IF(ISNA(VLOOKUP(A29,'Données projet'!$A$139:$I$159,7,0)),0%,VLOOKUP(A29,'Données projet'!$A$139:$I$159,7,0))</f>
        <v>0</v>
      </c>
      <c r="DF29" s="129" t="n">
        <f aca="false">EXP(-LN(2)/35)*DF28+(1-EXP(-LN(2)/35))/(LN(2)/35)*DB29*DC29*VLOOKUP('Données projet'!$B$13,Paramètres!$A$1:$I$89,3,0)*0.475*44/12</f>
        <v>0</v>
      </c>
      <c r="DG29" s="129" t="n">
        <f aca="false">EXP(-LN(2)/25)*DG28+(1-EXP(-LN(2)/25))/(LN(2)/25)*Calculateur!DB29*Calculateur!DD29*VLOOKUP('Données projet'!$B$13,Paramètres!$A$1:$I$89,3,0)*0.475*44/12</f>
        <v>21.4303693707155</v>
      </c>
      <c r="DH29" s="129" t="n">
        <f aca="false">EXP(-LN(2)/2)*DH28+(1-EXP(-LN(2)/2))/(LN(2)/2)*DB29*DE29*VLOOKUP('Données projet'!$B$13,Paramètres!$A$1:$I$89,3,0)*0.475*44/12</f>
        <v>15.5097204570767</v>
      </c>
      <c r="DI29" s="130" t="n">
        <f aca="false">SUM(DF29:DH29)</f>
        <v>36.9400898277923</v>
      </c>
      <c r="DJ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DL29" s="118" t="e">
        <f aca="false">VLOOKUP(A29,'Données projet'!$A$165:$I$185,2,0)</f>
        <v>#N/A</v>
      </c>
      <c r="DM29" s="118" t="e">
        <f aca="false">VLOOKUP(A29,'Données projet'!$A$165:$I$185,9,0)</f>
        <v>#N/A</v>
      </c>
      <c r="DN29" s="118" t="n">
        <f aca="false" t="array" ref="DN29:DN29">INDEX(DM:DM,MIN(IF(ISNUMBER(DM29:DM225),ROW(DM29:DM225),"")))</f>
        <v>16</v>
      </c>
      <c r="DO29" s="118" t="n">
        <f aca="false">IF('Données projet'!$A$166&gt;35,DO28+DN29-DW28,IF(A29&lt;'Données projet'!$A$166,$DL$205^A29,IF(A29='Données projet'!$A$166,'Données projet'!$B$166,DO28+DN29-DW28)))</f>
        <v>158</v>
      </c>
      <c r="DP29" s="125" t="n">
        <f aca="false">DO29*VLOOKUP('Données projet'!$B$14,Paramètres!$A$1:$I$89,3,0)*VLOOKUP('Données projet'!$B$14,Paramètres!$A$1:$I$89,5,0)</f>
        <v>94.484</v>
      </c>
      <c r="DQ29" s="117" t="n">
        <f aca="false">EXP(-1.0587+0.8836*LN(DP29)+0.284)</f>
        <v>25.6435786915118</v>
      </c>
      <c r="DR29" s="128" t="n">
        <f aca="false">(DP29+DQ29)*0.475*44/12</f>
        <v>209.222199554383</v>
      </c>
      <c r="DS29" s="120" t="n">
        <f aca="false">DR29+(DJ29+DK29)*44/12</f>
        <v>497.666643998828</v>
      </c>
      <c r="DT29" s="120" t="n">
        <f aca="true">AVERAGE(OFFSET($DS$3,0,0,'Données projet'!$E$14+1,1))-AVERAGE(OFFSET($H$3,0,0,'Données projet'!$E$14+1,1))</f>
        <v>549.432320957297</v>
      </c>
      <c r="DU29" s="120" t="n">
        <f aca="false">$DU$3</f>
        <v>280.26155987301</v>
      </c>
      <c r="DV29" s="121" t="n">
        <f aca="false">IF(ISNA(VLOOKUP(A29,'Données projet'!$A$165:$I$185,3,0)),0,VLOOKUP(A29,'Données projet'!$A$165:$I$185,3,0))</f>
        <v>0</v>
      </c>
      <c r="DW29" s="121" t="n">
        <f aca="false">IF(ISNA(VLOOKUP(A29,'Données projet'!$A$165:$I$185,4,0)),0,VLOOKUP(A29,'Données projet'!$A$165:$I$185,4,0))</f>
        <v>0</v>
      </c>
      <c r="DX29" s="122" t="n">
        <f aca="false">IF(ISNA(VLOOKUP(A29,'Données projet'!$A$165:$I$185,5,0)),0%,VLOOKUP(A29,'Données projet'!$A$165:$I$185,5,0)*VLOOKUP('Données projet'!$B$14,Paramètres!$A$1:$I$89,7,0))</f>
        <v>0</v>
      </c>
      <c r="DY29" s="122" t="n">
        <f aca="false">IF(ISNA(VLOOKUP(A29,'Données projet'!$A$165:$I$185,6,0)),0%,VLOOKUP(A29,'Données projet'!$A$165:$I$185,6,0)*VLOOKUP('Données projet'!$B$14,Paramètres!$A$1:$I$89,7,0))</f>
        <v>0</v>
      </c>
      <c r="DZ29" s="122" t="n">
        <f aca="false">IF(ISNA(VLOOKUP(A29,'Données projet'!$A$165:$I$185,7,0)),0%,VLOOKUP(A29,'Données projet'!$A$165:$I$185,7,0))</f>
        <v>0</v>
      </c>
      <c r="EA29" s="129" t="n">
        <f aca="false">EXP(-LN(2)/35)*EA28+(1-EXP(-LN(2)/35))/(LN(2)/35)*DW29*DX29*VLOOKUP('Données projet'!$B$14,Paramètres!$A$1:$I$89,3,0)*0.475*44/12</f>
        <v>0</v>
      </c>
      <c r="EB29" s="129" t="n">
        <f aca="false">EXP(-LN(2)/25)*EB28+(1-EXP(-LN(2)/25))/(LN(2)/25)*Calculateur!DW29*Calculateur!DY29*VLOOKUP('Données projet'!$B$14,Paramètres!$A$1:$I$89,3,0)*0.475*44/12</f>
        <v>2.08563346125866</v>
      </c>
      <c r="EC29" s="129" t="n">
        <f aca="false">EXP(-LN(2)/2)*EC28+(1-EXP(-LN(2)/2))/(LN(2)/2)*DW29*DZ29*VLOOKUP('Données projet'!$B$14,Paramètres!$A$1:$I$89,3,0)*0.475*44/12</f>
        <v>10.2576849459005</v>
      </c>
      <c r="ED29" s="130" t="n">
        <f aca="false">SUM(EA29:EC29)</f>
        <v>12.3433184071592</v>
      </c>
      <c r="EE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EG29" s="118" t="e">
        <f aca="false">VLOOKUP(A29,'Données projet'!$A$191:$I$211,2,0)</f>
        <v>#N/A</v>
      </c>
      <c r="EH29" s="118" t="e">
        <f aca="false">VLOOKUP(A29,'Données projet'!$A$191:$I$211,9,0)</f>
        <v>#N/A</v>
      </c>
      <c r="EI29" s="118" t="n">
        <f aca="false" t="array" ref="EI29:EI29">INDEX(EH:EH,MIN(IF(ISNUMBER(EH29:EH225),ROW(EH29:EH225),"")))</f>
        <v>0</v>
      </c>
      <c r="EJ29" s="118" t="n">
        <f aca="false">IF('Données projet'!$A$192&gt;35,EJ28+EI29-ER28,IF(A29&lt;'Données projet'!$A$192,$EG$205^A29,IF(A29='Données projet'!$A$192,'Données projet'!$B$192,EJ28+EI29-ER28)))</f>
        <v>0</v>
      </c>
      <c r="EK29" s="125" t="e">
        <f aca="false">EJ29*VLOOKUP('Données projet'!$B$15,Paramètres!$A$1:$I$89,3,0)*VLOOKUP('Données projet'!$B$15,Paramètres!$A$1:$I$89,5,0)</f>
        <v>#N/A</v>
      </c>
      <c r="EL29" s="117" t="e">
        <f aca="false">EXP(-1.0587+0.8836*LN(EK29)+0.284)</f>
        <v>#N/A</v>
      </c>
      <c r="EM29" s="128" t="e">
        <f aca="false">(EK29+EL29)*0.475*44/12</f>
        <v>#N/A</v>
      </c>
      <c r="EN29" s="120" t="e">
        <f aca="false">EM29+(EE29+EF29)*44/12</f>
        <v>#N/A</v>
      </c>
      <c r="EO29" s="120" t="e">
        <f aca="true">AVERAGE(OFFSET($EN$3,0,0,'Données projet'!$E$15+1,1))-AVERAGE(OFFSET($H$3,0,0,'Données projet'!$E$15+1,1))</f>
        <v>#N/A</v>
      </c>
      <c r="EP29" s="120" t="e">
        <f aca="false">$EP$3</f>
        <v>#N/A</v>
      </c>
      <c r="EQ29" s="121" t="n">
        <f aca="false">IF(ISNA(VLOOKUP(A29,'Données projet'!$A$191:$I$211,3,0)),0,VLOOKUP(A29,'Données projet'!$A$191:$I$211,3,0))</f>
        <v>0</v>
      </c>
      <c r="ER29" s="121" t="n">
        <f aca="false">IF(ISNA(VLOOKUP(A29,'Données projet'!$A$191:$I$211,4,0)),0,VLOOKUP(A29,'Données projet'!$A$191:$I$211,4,0))</f>
        <v>0</v>
      </c>
      <c r="ES29" s="122" t="n">
        <f aca="false">IF(ISNA(VLOOKUP(A29,'Données projet'!$A$191:$I$211,5,0)),0%,VLOOKUP(A29,'Données projet'!$A$191:$I$211,5,0)*VLOOKUP('Données projet'!$B$15,Paramètres!$A$1:$I$89,7,0))</f>
        <v>0</v>
      </c>
      <c r="ET29" s="122" t="n">
        <f aca="false">IF(ISNA(VLOOKUP(A29,'Données projet'!$A$191:$I$211,6,0)),0%,VLOOKUP(A29,'Données projet'!$A$191:$I$211,6,0)*VLOOKUP('Données projet'!$B$15,Paramètres!$A$1:$I$89,7,0))</f>
        <v>0</v>
      </c>
      <c r="EU29" s="122" t="n">
        <f aca="false">IF(ISNA(VLOOKUP(A29,'Données projet'!$A$191:$I$211,7,0)),0%,VLOOKUP(A29,'Données projet'!$A$191:$I$211,7,0))</f>
        <v>0</v>
      </c>
      <c r="EV29" s="129" t="e">
        <f aca="false">EXP(-LN(2)/35)*EV28+(1-EXP(-LN(2)/35))/(LN(2)/35)*ER29*ES29*VLOOKUP('Données projet'!$B$15,Paramètres!$A$1:$I$89,3,0)*0.475*44/12</f>
        <v>#N/A</v>
      </c>
      <c r="EW29" s="129" t="e">
        <f aca="false">EXP(-LN(2)/25)*EW28+(1-EXP(-LN(2)/25))/(LN(2)/25)*Calculateur!ER29*Calculateur!ET29*VLOOKUP('Données projet'!$B$15,Paramètres!$A$1:$I$89,3,0)*0.475*44/12</f>
        <v>#N/A</v>
      </c>
      <c r="EX29" s="129" t="e">
        <f aca="false">EXP(-LN(2)/2)*EX28+(1-EXP(-LN(2)/2))/(LN(2)/2)*ER29*EU29*VLOOKUP('Données projet'!$B$15,Paramètres!$A$1:$I$89,3,0)*0.475*44/12</f>
        <v>#N/A</v>
      </c>
      <c r="EY29" s="130" t="e">
        <f aca="false">SUM(EV29:EX29)</f>
        <v>#N/A</v>
      </c>
      <c r="EZ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FB29" s="118" t="e">
        <f aca="false">VLOOKUP(A29,'Données projet'!$A$217:$I$237,2,0)</f>
        <v>#N/A</v>
      </c>
      <c r="FC29" s="118" t="e">
        <f aca="false">VLOOKUP(A29,'Données projet'!$A$217:$I$237,9,0)</f>
        <v>#N/A</v>
      </c>
      <c r="FD29" s="118" t="n">
        <f aca="false" t="array" ref="FD29:FD29">INDEX(FC:FC,MIN(IF(ISNUMBER(FC29:FC225),ROW(FC29:FC225),"")))</f>
        <v>0</v>
      </c>
      <c r="FE29" s="118" t="n">
        <f aca="false">IF('Données projet'!$A$218&gt;35,FE28+FD29-FM28,IF(A29&lt;'Données projet'!$A$218,$FB$205^A29,IF(A29='Données projet'!$A$218,'Données projet'!$B$218,FE28+FD29-FM28)))</f>
        <v>0</v>
      </c>
      <c r="FF29" s="125" t="e">
        <f aca="false">FE29*VLOOKUP('Données projet'!$B$16,Paramètres!$A$1:$I$89,3,0)*VLOOKUP('Données projet'!$B$16,Paramètres!$A$1:$I$89,5,0)</f>
        <v>#N/A</v>
      </c>
      <c r="FG29" s="117" t="e">
        <f aca="false">EXP(-1.0587+0.8836*LN(FF29)+0.284)</f>
        <v>#N/A</v>
      </c>
      <c r="FH29" s="128" t="e">
        <f aca="false">(FF29+FG29)*0.475*44/12</f>
        <v>#N/A</v>
      </c>
      <c r="FI29" s="120" t="e">
        <f aca="false">FH29+(EZ29+FA29)*44/12</f>
        <v>#N/A</v>
      </c>
      <c r="FJ29" s="120" t="e">
        <f aca="true">AVERAGE(OFFSET($FI$3,0,0,'Données projet'!$E$16+1,1))-AVERAGE(OFFSET($H$3,0,0,'Données projet'!$E$16+1,1))</f>
        <v>#N/A</v>
      </c>
      <c r="FK29" s="120" t="e">
        <f aca="false">$FK$3</f>
        <v>#N/A</v>
      </c>
      <c r="FL29" s="121" t="n">
        <f aca="false">IF(ISNA(VLOOKUP(A29,'Données projet'!$A$217:$I$237,3,0)),0,VLOOKUP(A29,'Données projet'!$A$217:$I$237,3,0))</f>
        <v>0</v>
      </c>
      <c r="FM29" s="121" t="n">
        <f aca="false">IF(ISNA(VLOOKUP(A29,'Données projet'!$A$217:$I$237,4,0)),0,VLOOKUP(A29,'Données projet'!$A$217:$I$237,4,0))</f>
        <v>0</v>
      </c>
      <c r="FN29" s="122" t="n">
        <f aca="false">IF(ISNA(VLOOKUP(A29,'Données projet'!$A$217:$I$237,5,0)),0%,VLOOKUP(A29,'Données projet'!$A$217:$I$237,5,0)*VLOOKUP('Données projet'!$B$16,Paramètres!$A$1:$I$89,7,0))</f>
        <v>0</v>
      </c>
      <c r="FO29" s="122" t="n">
        <f aca="false">IF(ISNA(VLOOKUP(A29,'Données projet'!$A$217:$I$237,6,0)),0%,VLOOKUP(A29,'Données projet'!$A$217:$I$237,6,0)*VLOOKUP('Données projet'!$B$16,Paramètres!$A$1:$I$89,7,0))</f>
        <v>0</v>
      </c>
      <c r="FP29" s="122" t="n">
        <f aca="false">IF(ISNA(VLOOKUP(A29,'Données projet'!$A$217:$I$237,7,0)),0%,VLOOKUP(A29,'Données projet'!$A$217:$I$237,7,0))</f>
        <v>0</v>
      </c>
      <c r="FQ29" s="129" t="e">
        <f aca="false">EXP(-LN(2)/35)*FQ28+(1-EXP(-LN(2)/35))/(LN(2)/35)*FM29*FN29*VLOOKUP('Données projet'!$B$16,Paramètres!$A$1:$I$89,3,0)*0.475*44/12</f>
        <v>#N/A</v>
      </c>
      <c r="FR29" s="129" t="e">
        <f aca="false">EXP(-LN(2)/25)*FR28+(1-EXP(-LN(2)/25))/(LN(2)/25)*Calculateur!FM29*Calculateur!FO29*VLOOKUP('Données projet'!$B$16,Paramètres!$A$1:$I$89,3,0)*0.475*44/12</f>
        <v>#N/A</v>
      </c>
      <c r="FS29" s="129" t="e">
        <f aca="false">EXP(-LN(2)/2)*FS28+(1-EXP(-LN(2)/2))/(LN(2)/2)*FM29*FP29*VLOOKUP('Données projet'!$B$16,Paramètres!$A$1:$I$89,3,0)*0.475*44/12</f>
        <v>#N/A</v>
      </c>
      <c r="FT29" s="130" t="e">
        <f aca="false">SUM(FQ29:FS29)</f>
        <v>#N/A</v>
      </c>
      <c r="FU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FW29" s="118" t="e">
        <f aca="false">VLOOKUP(A29,'Données projet'!$A$243:$I$263,2,0)</f>
        <v>#N/A</v>
      </c>
      <c r="FX29" s="118" t="e">
        <f aca="false">VLOOKUP(A29,'Données projet'!$A$243:$I$263,9,0)</f>
        <v>#N/A</v>
      </c>
      <c r="FY29" s="118" t="n">
        <f aca="false" t="array" ref="FY29:FY29">INDEX(FX:FX,MIN(IF(ISNUMBER(FX29:FX225),ROW(FX29:FX225),"")))</f>
        <v>0</v>
      </c>
      <c r="FZ29" s="118" t="n">
        <f aca="false">IF('Données projet'!$A$244&gt;35,FZ28+FY29-GH28,IF(A29&lt;'Données projet'!$A$244,$FW$205^A29,IF(A29='Données projet'!$A$244,'Données projet'!$B$244,FZ28+FY29-GH28)))</f>
        <v>0</v>
      </c>
      <c r="GA29" s="125" t="e">
        <f aca="false">FZ29*VLOOKUP('Données projet'!$B$17,Paramètres!$A$1:$I$89,3,0)*VLOOKUP('Données projet'!$B$17,Paramètres!$A$1:$I$89,5,0)</f>
        <v>#N/A</v>
      </c>
      <c r="GB29" s="117" t="e">
        <f aca="false">EXP(-1.0587+0.8836*LN(GA29)+0.284)</f>
        <v>#N/A</v>
      </c>
      <c r="GC29" s="128" t="e">
        <f aca="false">(GA29+GB29)*0.475*44/12</f>
        <v>#N/A</v>
      </c>
      <c r="GD29" s="120" t="e">
        <f aca="false">GC29+(FU29+FV29)*44/12</f>
        <v>#N/A</v>
      </c>
      <c r="GE29" s="120" t="e">
        <f aca="true">AVERAGE(OFFSET($GD$3,0,0,'Données projet'!$E$17+1,1))-AVERAGE(OFFSET($H$3,0,0,'Données projet'!$E$17+1,1))</f>
        <v>#N/A</v>
      </c>
      <c r="GF29" s="120" t="e">
        <f aca="false">$GF$3</f>
        <v>#N/A</v>
      </c>
      <c r="GG29" s="121" t="n">
        <f aca="false">IF(ISNA(VLOOKUP(A29,'Données projet'!$A$243:$I$263,3,0)),0,VLOOKUP(A29,'Données projet'!$A$243:$I$263,3,0))</f>
        <v>0</v>
      </c>
      <c r="GH29" s="121" t="n">
        <f aca="false">IF(ISNA(VLOOKUP(A29,'Données projet'!$A$243:$I$263,4,0)),0,VLOOKUP(A29,'Données projet'!$A$243:$I$263,4,0))</f>
        <v>0</v>
      </c>
      <c r="GI29" s="122" t="n">
        <f aca="false">IF(ISNA(VLOOKUP(A29,'Données projet'!$A$243:$I$263,5,0)),0%,VLOOKUP(A29,'Données projet'!$A$243:$I$263,5,0)*VLOOKUP('Données projet'!$B$17,Paramètres!$A$1:$I$89,7,0))</f>
        <v>0</v>
      </c>
      <c r="GJ29" s="122" t="n">
        <f aca="false">IF(ISNA(VLOOKUP(A29,'Données projet'!$A$243:$I$263,6,0)),0%,VLOOKUP(A29,'Données projet'!$A$243:$I$263,6,0)*VLOOKUP('Données projet'!$B$17,Paramètres!$A$1:$I$89,7,0))</f>
        <v>0</v>
      </c>
      <c r="GK29" s="122" t="n">
        <f aca="false">IF(ISNA(VLOOKUP(A29,'Données projet'!$A$243:$I$263,7,0)),0%,VLOOKUP(A29,'Données projet'!$A$243:$I$263,7,0))</f>
        <v>0</v>
      </c>
      <c r="GL29" s="129" t="e">
        <f aca="false">EXP(-LN(2)/35)*GL28+(1-EXP(-LN(2)/35))/(LN(2)/35)*GH29*GI29*VLOOKUP('Données projet'!$B$17,Paramètres!$A$1:$I$89,3,0)*0.475*44/12</f>
        <v>#N/A</v>
      </c>
      <c r="GM29" s="129" t="e">
        <f aca="false">EXP(-LN(2)/25)*GM28+(1-EXP(-LN(2)/25))/(LN(2)/25)*Calculateur!GH29*Calculateur!GJ29*VLOOKUP('Données projet'!$B$17,Paramètres!$A$1:$I$89,3,0)*0.475*44/12</f>
        <v>#N/A</v>
      </c>
      <c r="GN29" s="129" t="e">
        <f aca="false">EXP(-LN(2)/2)*GN28+(1-EXP(-LN(2)/2))/(LN(2)/2)*GH29*GK29*VLOOKUP('Données projet'!$B$17,Paramètres!$A$1:$I$89,3,0)*0.475*44/12</f>
        <v>#N/A</v>
      </c>
      <c r="GO29" s="129" t="e">
        <f aca="false">SUM(GL29:GN29)</f>
        <v>#N/A</v>
      </c>
      <c r="GP29" s="126" t="n">
        <f aca="false"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8" t="n">
        <f aca="false">IF(A29&gt;30,10,('Scénario référence'!$B$16+'Scénario référence'!$B$17+'Scénario référence'!$B$18+'Scénario référence'!$B$9+'Scénario référence'!$B$10)*A29*10/30+('Scénario référence'!$F$8+'Scénario référence'!$F$9)*10)</f>
        <v>8.66666666666667</v>
      </c>
      <c r="GR29" s="118" t="e">
        <f aca="false">VLOOKUP(A29,'Données projet'!$A$269:$I$289,2,0)</f>
        <v>#N/A</v>
      </c>
      <c r="GS29" s="118" t="e">
        <f aca="false">VLOOKUP(A29,'Données projet'!$A$269:$I$289,9,0)</f>
        <v>#N/A</v>
      </c>
      <c r="GT29" s="118" t="n">
        <f aca="false" t="array" ref="GT29:GT29">INDEX(GS:GS,MIN(IF(ISNUMBER(GS29:GS225),ROW(GS29:GS225),"")))</f>
        <v>0</v>
      </c>
      <c r="GU29" s="118" t="n">
        <f aca="false">IF('Données projet'!$A$270&gt;35,GU28+GT29-HC28,IF(A29&lt;'Données projet'!$A$270,$GR$205^A29,IF(A29='Données projet'!$A$270,'Données projet'!$B$270,GU28+GT29-HC28)))</f>
        <v>0</v>
      </c>
      <c r="GV29" s="125" t="e">
        <f aca="false">GU29*VLOOKUP('Données projet'!$B$18,Paramètres!$A$1:$I$89,3,0)*VLOOKUP('Données projet'!$B$18,Paramètres!$A$1:$I$89,5,0)</f>
        <v>#N/A</v>
      </c>
      <c r="GW29" s="117" t="e">
        <f aca="false">EXP(-1.0587+0.8836*LN(GV29)+0.284)</f>
        <v>#N/A</v>
      </c>
      <c r="GX29" s="128" t="e">
        <f aca="false">(GV29+GW29)*0.475*44/12</f>
        <v>#N/A</v>
      </c>
      <c r="GY29" s="120" t="e">
        <f aca="false">GX29+(GP29+GQ29)*44/12</f>
        <v>#N/A</v>
      </c>
      <c r="GZ29" s="120" t="e">
        <f aca="true">AVERAGE(OFFSET($GY$3,0,0,'Données projet'!$E$18+1,1))-AVERAGE(OFFSET($H$3,0,0,'Données projet'!$E$18+1,1))</f>
        <v>#N/A</v>
      </c>
      <c r="HA29" s="120" t="e">
        <f aca="false">$HA$3</f>
        <v>#N/A</v>
      </c>
      <c r="HB29" s="121" t="n">
        <f aca="false">IF(ISNA(VLOOKUP(A29,'Données projet'!$A$269:$I$289,3,0)),0,VLOOKUP(A29,'Données projet'!$A$269:$I$289,3,0))</f>
        <v>0</v>
      </c>
      <c r="HC29" s="121" t="n">
        <f aca="false">IF(ISNA(VLOOKUP(A29,'Données projet'!$A$269:$I$289,4,0)),0,VLOOKUP(A29,'Données projet'!$A$269:$I$289,4,0))</f>
        <v>0</v>
      </c>
      <c r="HD29" s="122" t="n">
        <f aca="false">IF(ISNA(VLOOKUP(A29,'Données projet'!$A$269:$I$289,5,0)),0%,VLOOKUP(A29,'Données projet'!$A$269:$I$289,5,0)*VLOOKUP('Données projet'!$B$18,Paramètres!$A$1:$I$89,7,0))</f>
        <v>0</v>
      </c>
      <c r="HE29" s="122" t="n">
        <f aca="false">IF(ISNA(VLOOKUP(A29,'Données projet'!$A$269:$I$289,6,0)),0%,VLOOKUP(A29,'Données projet'!$A$269:$I$289,6,0)*VLOOKUP('Données projet'!$B$18,Paramètres!$A$1:$I$89,7,0))</f>
        <v>0</v>
      </c>
      <c r="HF29" s="122" t="n">
        <f aca="false">IF(ISNA(VLOOKUP(A29,'Données projet'!$A$269:$I$289,7,0)),0%,VLOOKUP(A29,'Données projet'!$A$269:$I$289,7,0))</f>
        <v>0</v>
      </c>
      <c r="HG29" s="129" t="e">
        <f aca="false">EXP(-LN(2)/35)*HG28+(1-EXP(-LN(2)/35))/(LN(2)/35)*HC29*HD29*VLOOKUP('Données projet'!$B$18,Paramètres!$A$1:$I$89,3,0)*0.475*44/12</f>
        <v>#N/A</v>
      </c>
      <c r="HH29" s="129" t="e">
        <f aca="false">EXP(-LN(2)/25)*HH28+(1-EXP(-LN(2)/25))/(LN(2)/25)*Calculateur!HC29*Calculateur!HE29*VLOOKUP('Données projet'!$B$18,Paramètres!$A$1:$I$89,3,0)*0.475*44/12</f>
        <v>#N/A</v>
      </c>
      <c r="HI29" s="129" t="e">
        <f aca="false">EXP(-LN(2)/2)*HI28+(1-EXP(-LN(2)/2))/(LN(2)/2)*HC29*HF29*VLOOKUP('Données projet'!$B$18,Paramètres!$A$1:$I$89,3,0)*0.475*44/12</f>
        <v>#N/A</v>
      </c>
      <c r="HJ29" s="130" t="e">
        <f aca="false">SUM(HG29:HI29)</f>
        <v>#N/A</v>
      </c>
    </row>
    <row r="30" customFormat="false" ht="14.25" hidden="false" customHeight="false" outlineLevel="0" collapsed="false">
      <c r="A30" s="112" t="n">
        <f aca="false">A29+1</f>
        <v>27</v>
      </c>
      <c r="B30" s="113" t="n">
        <f aca="false">'Scénario référence'!$B$16*5+'Scénario référence'!$B$17*0+'Scénario référence'!$B$18*5</f>
        <v>0</v>
      </c>
      <c r="C30" s="127" t="n">
        <f aca="false"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4" t="n">
        <f aca="false">IFERROR(EXP(-1.0587+0.8836*LN(C30)+0.284),0)</f>
        <v>0</v>
      </c>
      <c r="E3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0" s="114" t="n">
        <f aca="false">IF(OR('Scénario référence'!$F$8&gt;0,'Scénario référence'!$F$9&gt;0),('Scénario référence'!$F$8+'Scénario référence'!$F$9)*10,0)</f>
        <v>0</v>
      </c>
      <c r="G30" s="114" t="n">
        <f aca="false"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15" t="n">
        <f aca="false">(B30+E30+F30)*44/12+(C30+D30)*0.475*44/12</f>
        <v>256.666666666667</v>
      </c>
      <c r="I30" s="11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7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18" t="e">
        <f aca="false">VLOOKUP(A30,'Données projet'!$A$35:$I$55,2,0)</f>
        <v>#N/A</v>
      </c>
      <c r="L30" s="118" t="e">
        <f aca="false">VLOOKUP(A30,'Données projet'!$A$35:$I$55,9,0)</f>
        <v>#N/A</v>
      </c>
      <c r="M30" s="118" t="n">
        <f aca="false" t="array" ref="M30:M30">INDEX(L:L,MIN(IF(ISNUMBER(L30:L226),ROW(L30:L226),"")))</f>
        <v>9.2</v>
      </c>
      <c r="N30" s="117" t="n">
        <f aca="false">IF('Données projet'!$A$36&gt;35,N29+M30-V29,IF(A30&lt;'Données projet'!$A$36,$K$205^A30,IF(A30='Données projet'!$A$36,'Données projet'!$B$36,N29+M30-V29)))</f>
        <v>182.9</v>
      </c>
      <c r="O30" s="117" t="n">
        <f aca="false">N30*VLOOKUP('Données projet'!$B$9,Paramètres!$A$1:$I$89,3,0)*VLOOKUP('Données projet'!$B$9,Paramètres!$A$1:$I$89,5,0)</f>
        <v>85.5972</v>
      </c>
      <c r="P30" s="117" t="n">
        <f aca="false">EXP(-1.0587+0.8836*LN(O30)+0.284)</f>
        <v>23.5002959082872</v>
      </c>
      <c r="Q30" s="128" t="n">
        <f aca="false">(O30+P30)*0.475*44/12</f>
        <v>190.011472040267</v>
      </c>
      <c r="R30" s="120" t="n">
        <f aca="false">Q30+(I30+J30)*44/12</f>
        <v>479.678138706934</v>
      </c>
      <c r="S30" s="120" t="n">
        <f aca="true">AVERAGE(OFFSET($R$3,0,0,'Données projet'!$E$9+1,1))-AVERAGE(OFFSET($H$3,0,0,'Données projet'!$E$9+1,1))</f>
        <v>319.229030946746</v>
      </c>
      <c r="T30" s="120" t="n">
        <f aca="false">$T$3</f>
        <v>254.586909731428</v>
      </c>
      <c r="U30" s="121" t="n">
        <f aca="false">IF(ISNA(VLOOKUP(A30,'Données projet'!$A$35:$I$55,3,0)),0,VLOOKUP(A30,'Données projet'!$A$35:$I$55,3,0))</f>
        <v>0</v>
      </c>
      <c r="V30" s="121" t="n">
        <f aca="false">IF(ISNA(VLOOKUP(A30,'Données projet'!$A$35:$I$55,4,0)),0,VLOOKUP(A30,'Données projet'!$A$35:$I$55,4,0))</f>
        <v>0</v>
      </c>
      <c r="W30" s="122" t="n">
        <f aca="false">IF(ISNA(VLOOKUP(A30,'Données projet'!$A$35:$I$55,5,0)),0%,VLOOKUP(A30,'Données projet'!$A$35:$I$55,5,0)*VLOOKUP('Données projet'!$B$9,Paramètres!$A$1:$I$89,7,0))</f>
        <v>0</v>
      </c>
      <c r="X30" s="122" t="n">
        <f aca="false">IF(ISNA(VLOOKUP(A30,'Données projet'!$A$35:$I$55,6,0)),0%,VLOOKUP(A30,'Données projet'!$A$35:$I$55,6,0)*VLOOKUP('Données projet'!$B$9,Paramètres!$A$1:$I$89,7,0))</f>
        <v>0</v>
      </c>
      <c r="Y30" s="122" t="n">
        <f aca="false">IF(ISNA(VLOOKUP(A30,'Données projet'!$A$35:$I$55,7,0)),0%,VLOOKUP(A30,'Données projet'!$A$35:$I$55,7,0))</f>
        <v>0</v>
      </c>
      <c r="Z30" s="129" t="n">
        <f aca="false">EXP(-LN(2)/35)*Z29+(1-EXP(-LN(2)/35))/(LN(2)/35)*V30*W30*VLOOKUP('Données projet'!$B$9,Paramètres!$A$1:$I$89,3,0)*0.475*44/12</f>
        <v>2.34832386224236</v>
      </c>
      <c r="AA30" s="129" t="n">
        <f aca="false">EXP(-LN(2)/25)*AA29+(1-EXP(-LN(2)/25))/(LN(2)/25)*Calculateur!V30*Calculateur!X30*VLOOKUP('Données projet'!$B$9,Paramètres!$A$1:$I$89,3,0)*0.475*44/12</f>
        <v>2.21290226529426</v>
      </c>
      <c r="AB30" s="129" t="n">
        <f aca="false">EXP(-LN(2)/2)*AB29+(1-EXP(-LN(2)/2))/(LN(2)/2)*V30*Y30*VLOOKUP('Données projet'!$B$9,Paramètres!$A$1:$I$89,3,0)*0.475*44/12</f>
        <v>1.11000453585767</v>
      </c>
      <c r="AC30" s="130" t="n">
        <f aca="false">SUM(Z30:AB30)</f>
        <v>5.67123066339429</v>
      </c>
      <c r="AD30" s="117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7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18" t="e">
        <f aca="false">VLOOKUP(A30,'Données projet'!$A$61:$I$81,2,0)</f>
        <v>#N/A</v>
      </c>
      <c r="AG30" s="118" t="e">
        <f aca="false">VLOOKUP(A30,'Données projet'!$A$61:$I$81,9,0)</f>
        <v>#N/A</v>
      </c>
      <c r="AH30" s="118" t="n">
        <f aca="false" t="array" ref="AH30:AH30">INDEX(AG:AG,MIN(IF(ISNUMBER(AG30:AG226),ROW(AG30:AG226),"")))</f>
        <v>24.8</v>
      </c>
      <c r="AI30" s="117" t="n">
        <f aca="false">IF('Données projet'!$A$62&gt;35,AI29+AH30-AQ29,IF(A30&lt;'Données projet'!$A$62,$AF$205^A30,IF(A30='Données projet'!$A$62,'Données projet'!$B$62,AI29+AH30-AQ29)))</f>
        <v>253.6</v>
      </c>
      <c r="AJ30" s="117" t="n">
        <f aca="false">AI30*VLOOKUP('Données projet'!$B$10,Paramètres!$A$1:$I$89,3,0)*VLOOKUP('Données projet'!$B$10,Paramètres!$A$1:$I$89,5,0)</f>
        <v>141.7624</v>
      </c>
      <c r="AK30" s="117" t="n">
        <f aca="false">EXP(-1.0587+0.8836*LN(AJ30)+0.284)</f>
        <v>36.7004521602702</v>
      </c>
      <c r="AL30" s="128" t="n">
        <f aca="false">(AJ30+AK30)*0.475*44/12</f>
        <v>310.822800845804</v>
      </c>
      <c r="AM30" s="120" t="n">
        <f aca="false">AL30+(AD30+AE30)*44/12</f>
        <v>600.489467512471</v>
      </c>
      <c r="AN30" s="120" t="n">
        <f aca="true">AVERAGE(OFFSET($AM$3,0,0,'Données projet'!$E$10+1,1))-AVERAGE(OFFSET($H$3,0,0,'Données projet'!$E$10+1,1))</f>
        <v>365.705101827279</v>
      </c>
      <c r="AO30" s="120" t="n">
        <f aca="false">$AO$3</f>
        <v>436.238338449625</v>
      </c>
      <c r="AP30" s="121" t="n">
        <f aca="false">IF(ISNA(VLOOKUP(A30,'Données projet'!$A$61:$I$81,3,0)),0,VLOOKUP(A30,'Données projet'!$A$61:$I$81,3,0))</f>
        <v>0</v>
      </c>
      <c r="AQ30" s="121" t="n">
        <f aca="false">IF(ISNA(VLOOKUP(A30,'Données projet'!$A$61:$I$81,4,0)),0,VLOOKUP(A30,'Données projet'!$A$61:$I$81,4,0))</f>
        <v>0</v>
      </c>
      <c r="AR30" s="122" t="n">
        <f aca="false">IF(ISNA(VLOOKUP(A30,'Données projet'!$A$61:$I$81,5,0)),0%,VLOOKUP(A30,'Données projet'!$A$61:$I$81,5,0)*VLOOKUP('Données projet'!$B$10,Paramètres!$A$1:$I$89,7,0))</f>
        <v>0</v>
      </c>
      <c r="AS30" s="122" t="n">
        <f aca="false">IF(ISNA(VLOOKUP(A30,'Données projet'!$A$61:$I$81,6,0)),0%,VLOOKUP(A30,'Données projet'!$A$61:$I$81,6,0)*VLOOKUP('Données projet'!$B$10,Paramètres!$A$1:$I$89,7,0))</f>
        <v>0</v>
      </c>
      <c r="AT30" s="122" t="n">
        <f aca="false">IF(ISNA(VLOOKUP(A30,'Données projet'!$A$61:$I$81,7,0)),0%,VLOOKUP(A30,'Données projet'!$A$61:$I$81,7,0))</f>
        <v>0</v>
      </c>
      <c r="AU30" s="129" t="n">
        <f aca="false">EXP(-LN(2)/35)*AU29+(1-EXP(-LN(2)/35))/(LN(2)/35)*AQ30*AR30*VLOOKUP('Données projet'!$B$10,Paramètres!$A$1:$I$89,3,0)*0.475*44/12</f>
        <v>0</v>
      </c>
      <c r="AV30" s="129" t="n">
        <f aca="false">EXP(-LN(2)/25)*AV29+(1-EXP(-LN(2)/25))/(LN(2)/25)*Calculateur!AQ30*Calculateur!AS30*VLOOKUP('Données projet'!$B$10,Paramètres!$A$1:$I$89,3,0)*0.475*44/12</f>
        <v>3.22839288930688</v>
      </c>
      <c r="AW30" s="129" t="n">
        <f aca="false">EXP(-LN(2)/2)*AW29+(1-EXP(-LN(2)/2))/(LN(2)/2)*AQ30*AT30*VLOOKUP('Données projet'!$B$10,Paramètres!$A$1:$I$89,3,0)*0.475*44/12</f>
        <v>1.77216999208842</v>
      </c>
      <c r="AX30" s="129" t="n">
        <f aca="false">SUM(AU30:AW30)</f>
        <v>5.0005628813953</v>
      </c>
      <c r="AY30" s="124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18" t="e">
        <f aca="false">VLOOKUP(A30,'Données projet'!$A$87:$I$107,2,0)</f>
        <v>#N/A</v>
      </c>
      <c r="BB30" s="118" t="e">
        <f aca="false">VLOOKUP(A30,'Données projet'!$A$87:$I$107,9,0)</f>
        <v>#N/A</v>
      </c>
      <c r="BC30" s="118" t="n">
        <f aca="false" t="array" ref="BC30:BC30">INDEX(BB:BB,MIN(IF(ISNUMBER(BB30:BB226),ROW(BB30:BB226),"")))</f>
        <v>13</v>
      </c>
      <c r="BD30" s="118" t="n">
        <f aca="false">IF('Données projet'!$A$88&gt;35,BD29+BC30-BL29,IF(A30&lt;'Données projet'!$A$88,$BA$205^A30,IF(A30='Données projet'!$A$88,'Données projet'!$B$88,BD29+BC30-BL29)))</f>
        <v>145</v>
      </c>
      <c r="BE30" s="117" t="n">
        <f aca="false">BD30*VLOOKUP('Données projet'!$B$11,Paramètres!$A$1:$I$89,3,0)*VLOOKUP('Données projet'!$B$11,Paramètres!$A$1:$I$89,5,0)</f>
        <v>126.672</v>
      </c>
      <c r="BF30" s="117" t="n">
        <f aca="false">EXP(-1.0587+0.8836*LN(BE30)+0.284)</f>
        <v>33.2261994263613</v>
      </c>
      <c r="BG30" s="128" t="n">
        <f aca="false">(BE30+BF30)*0.475*44/12</f>
        <v>278.489364000913</v>
      </c>
      <c r="BH30" s="120" t="n">
        <f aca="false">BG30+(AY30+AZ30)*44/12</f>
        <v>568.156030667579</v>
      </c>
      <c r="BI30" s="120" t="n">
        <f aca="true">AVERAGE(OFFSET($BH$3,0,0,'Données projet'!$E$11+1,1))-AVERAGE(OFFSET($H$3,0,0,'Données projet'!$E$11+1,1))</f>
        <v>321.235999689929</v>
      </c>
      <c r="BJ30" s="120" t="n">
        <f aca="false">$BJ$3</f>
        <v>388.051958478005</v>
      </c>
      <c r="BK30" s="121" t="n">
        <f aca="false">IF(ISNA(VLOOKUP(A30,'Données projet'!$A$87:$I$107,3,0)),0,VLOOKUP(A30,'Données projet'!$A$87:$I$107,3,0))</f>
        <v>0</v>
      </c>
      <c r="BL30" s="121" t="n">
        <f aca="false">IF(ISNA(VLOOKUP(A30,'Données projet'!$A$87:$I$107,4,0)),0,VLOOKUP(A30,'Données projet'!$A$87:$I$107,4,0))</f>
        <v>0</v>
      </c>
      <c r="BM30" s="122" t="n">
        <f aca="false">IF(ISNA(VLOOKUP(A30,'Données projet'!$A$87:$I$107,5,0)),0%,VLOOKUP(A30,'Données projet'!$A$87:$I$107,5,0)*VLOOKUP('Données projet'!$B$11,Paramètres!$A$1:$I$89,7,0))</f>
        <v>0</v>
      </c>
      <c r="BN30" s="122" t="n">
        <f aca="false">IF(ISNA(VLOOKUP(A30,'Données projet'!$A$87:$I$107,6,0)),0%,VLOOKUP(A30,'Données projet'!$A$87:$I$107,6,0)*VLOOKUP('Données projet'!$B$11,Paramètres!$A$1:$I$89,7,0))</f>
        <v>0</v>
      </c>
      <c r="BO30" s="122" t="n">
        <f aca="false">IF(ISNA(VLOOKUP(A30,'Données projet'!$A$87:$I$107,7,0)),0%,VLOOKUP(A30,'Données projet'!$A$87:$I$107,7,0))</f>
        <v>0</v>
      </c>
      <c r="BP30" s="129" t="n">
        <f aca="false">EXP(-LN(2)/35)*BP29+(1-EXP(-LN(2)/35))/(LN(2)/35)*BL30*BM30*VLOOKUP('Données projet'!$B$11,Paramètres!$A$1:$I$89,3,0)*0.475*44/12</f>
        <v>3.31072066955136</v>
      </c>
      <c r="BQ30" s="129" t="n">
        <f aca="false">EXP(-LN(2)/25)*BQ29+(1-EXP(-LN(2)/25))/(LN(2)/25)*Calculateur!BL30*Calculateur!BN30*VLOOKUP('Données projet'!$B$11,Paramètres!$A$1:$I$89,3,0)*0.475*44/12</f>
        <v>8.71792759869924</v>
      </c>
      <c r="BR30" s="129" t="n">
        <f aca="false">EXP(-LN(2)/2)*BR29+(1-EXP(-LN(2)/2))/(LN(2)/2)*BL30*BO30*VLOOKUP('Données projet'!$B$11,Paramètres!$A$1:$I$89,3,0)*0.475*44/12</f>
        <v>6.82849415701202</v>
      </c>
      <c r="BS30" s="130" t="n">
        <f aca="false">SUM(BP30:BR30)</f>
        <v>18.8571424252626</v>
      </c>
      <c r="BT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18" t="e">
        <f aca="false">VLOOKUP(A30,'Données projet'!$A$113:$I$133,2,0)</f>
        <v>#N/A</v>
      </c>
      <c r="BW30" s="118" t="e">
        <f aca="false">VLOOKUP(A30,'Données projet'!$A$113:$I$133,9,0)</f>
        <v>#N/A</v>
      </c>
      <c r="BX30" s="118" t="n">
        <f aca="false" t="array" ref="BX30:BX30">INDEX(BW:BW,MIN(IF(ISNUMBER(BW30:BW226),ROW(BW30:BW226),"")))</f>
        <v>14.1666666666667</v>
      </c>
      <c r="BY30" s="118" t="n">
        <f aca="false">IF('Données projet'!$A$114&gt;35,BY29+BX30-CG29,IF(A30&lt;'Données projet'!$A$114,$BV$205^A30,IF(A30='Données projet'!$A$114,'Données projet'!$B$114,BY29+BX30-CG29)))</f>
        <v>181.5</v>
      </c>
      <c r="BZ30" s="117" t="n">
        <f aca="false">BY30*VLOOKUP('Données projet'!$B$12,Paramètres!$A$1:$I$89,3,0)*VLOOKUP('Données projet'!$B$12,Paramètres!$A$1:$I$89,5,0)</f>
        <v>113.256</v>
      </c>
      <c r="CA30" s="117" t="n">
        <f aca="false">EXP(-1.0587+0.8836*LN(BZ30)+0.284)</f>
        <v>30.0968163361064</v>
      </c>
      <c r="CB30" s="128" t="n">
        <f aca="false">(BZ30+CA30)*0.475*44/12</f>
        <v>249.672821785385</v>
      </c>
      <c r="CC30" s="120" t="n">
        <f aca="false">CB30+(BT30+BU30)*44/12</f>
        <v>539.339488452052</v>
      </c>
      <c r="CD30" s="120" t="n">
        <f aca="true">AVERAGE(OFFSET($CC$3,0,0,'Données projet'!$E$12+1,1))-AVERAGE(OFFSET($H$3,0,0,'Données projet'!$E$12+1,1))</f>
        <v>240.228848647662</v>
      </c>
      <c r="CE30" s="120" t="n">
        <f aca="false">$CE$3</f>
        <v>343.237768841432</v>
      </c>
      <c r="CF30" s="121" t="n">
        <f aca="false">IF(ISNA(VLOOKUP(A30,'Données projet'!$A$113:$I$133,3,0)),0,VLOOKUP(A30,'Données projet'!$A$113:$I$133,3,0))</f>
        <v>0</v>
      </c>
      <c r="CG30" s="121" t="n">
        <f aca="false">IF(ISNA(VLOOKUP(A30,'Données projet'!$A$113:$I$133,4,0)),0,VLOOKUP(A30,'Données projet'!$A$113:$I$133,4,0))</f>
        <v>0</v>
      </c>
      <c r="CH30" s="122" t="n">
        <f aca="false">IF(ISNA(VLOOKUP(A30,'Données projet'!$A$113:$I$133,5,0)),0%,VLOOKUP(A30,'Données projet'!$A$113:$I$133,5,0)*VLOOKUP('Données projet'!$B$12,Paramètres!$A$1:$I$89,7,0))</f>
        <v>0</v>
      </c>
      <c r="CI30" s="122" t="n">
        <f aca="false">IF(ISNA(VLOOKUP(A30,'Données projet'!$A$113:$I$133,6,0)),0%,VLOOKUP(A30,'Données projet'!$A$113:$I$133,6,0)*VLOOKUP('Données projet'!$B$12,Paramètres!$A$1:$I$89,7,0))</f>
        <v>0</v>
      </c>
      <c r="CJ30" s="122" t="n">
        <f aca="false">IF(ISNA(VLOOKUP(A30,'Données projet'!$A$113:$I$133,7,0)),0%,VLOOKUP(A30,'Données projet'!$A$113:$I$133,7,0))</f>
        <v>0</v>
      </c>
      <c r="CK30" s="129" t="n">
        <f aca="false">EXP(-LN(2)/35)*CK29+(1-EXP(-LN(2)/35))/(LN(2)/35)*CG30*CH30*VLOOKUP('Données projet'!$B$12,Paramètres!$A$1:$I$89,3,0)*0.475*44/12</f>
        <v>0</v>
      </c>
      <c r="CL30" s="129" t="n">
        <f aca="false">EXP(-LN(2)/25)*CL29+(1-EXP(-LN(2)/25))/(LN(2)/25)*Calculateur!CG30*Calculateur!CI30*VLOOKUP('Données projet'!$B$12,Paramètres!$A$1:$I$89,3,0)*0.475*44/12</f>
        <v>8.77902603011931</v>
      </c>
      <c r="CM30" s="129" t="n">
        <f aca="false">EXP(-LN(2)/2)*CM29+(1-EXP(-LN(2)/2))/(LN(2)/2)*CG30*CJ30*VLOOKUP('Données projet'!$B$12,Paramètres!$A$1:$I$89,3,0)*0.475*44/12</f>
        <v>6.08336453398354</v>
      </c>
      <c r="CN30" s="130" t="n">
        <f aca="false">SUM(CK30:CM30)</f>
        <v>14.8623905641028</v>
      </c>
      <c r="CO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18" t="e">
        <f aca="false">VLOOKUP(A30,'Données projet'!$A$139:$I$159,2,0)</f>
        <v>#N/A</v>
      </c>
      <c r="CR30" s="118" t="e">
        <f aca="false">VLOOKUP(A30,'Données projet'!$A$139:$I$159,9,0)</f>
        <v>#N/A</v>
      </c>
      <c r="CS30" s="118" t="n">
        <f aca="false" t="array" ref="CS30:CS30">INDEX(CR:CR,MIN(IF(ISNUMBER(CR30:CR226),ROW(CR30:CR226),"")))</f>
        <v>16.6666666666667</v>
      </c>
      <c r="CT30" s="118" t="n">
        <f aca="false">IF('Données projet'!$A$140&gt;35,CT29+CS30-DB29,IF(A30&lt;'Données projet'!$A$140,$CQ$205^A30,IF(A30='Données projet'!$A$140,'Données projet'!$B$140,CT29+CS30-DB29)))</f>
        <v>205</v>
      </c>
      <c r="CU30" s="125" t="n">
        <f aca="false">CT30*VLOOKUP('Données projet'!$B$13,Paramètres!$A$1:$I$89,3,0)*VLOOKUP('Données projet'!$B$13,Paramètres!$A$1:$I$89,5,0)</f>
        <v>111.93</v>
      </c>
      <c r="CV30" s="117" t="n">
        <f aca="false">EXP(-1.0587+0.8836*LN(CU30)+0.284)</f>
        <v>29.7852462915638</v>
      </c>
      <c r="CW30" s="128" t="n">
        <f aca="false">(CU30+CV30)*0.475*44/12</f>
        <v>246.820720624474</v>
      </c>
      <c r="CX30" s="120" t="n">
        <f aca="false">CW30+(CO30+CP30)*44/12</f>
        <v>536.48738729114</v>
      </c>
      <c r="CY30" s="120" t="n">
        <f aca="true">AVERAGE(OFFSET($CX$3,0,0,'Données projet'!$E$13+1,1))-AVERAGE(OFFSET($H$3,0,0,'Données projet'!$E$13+1,1))</f>
        <v>207.023069645676</v>
      </c>
      <c r="CZ30" s="120" t="n">
        <f aca="false">$CZ$3</f>
        <v>342.068879333518</v>
      </c>
      <c r="DA30" s="121" t="n">
        <f aca="false">IF(ISNA(VLOOKUP(A30,'Données projet'!$A$139:$I$159,3,0)),0,VLOOKUP(A30,'Données projet'!$A$139:$I$159,3,0))</f>
        <v>0</v>
      </c>
      <c r="DB30" s="121" t="n">
        <f aca="false">IF(ISNA(VLOOKUP(A30,'Données projet'!$A$139:$I$159,4,0)),0,VLOOKUP(A30,'Données projet'!$A$139:$I$159,4,0))</f>
        <v>0</v>
      </c>
      <c r="DC30" s="122" t="n">
        <f aca="false">IF(ISNA(VLOOKUP(A30,'Données projet'!$A$139:$I$159,5,0)),0%,VLOOKUP(A30,'Données projet'!$A$139:$I$159,5,0)*VLOOKUP('Données projet'!$B$13,Paramètres!$A$1:$I$89,7,0))</f>
        <v>0</v>
      </c>
      <c r="DD30" s="122" t="n">
        <f aca="false">IF(ISNA(VLOOKUP(A30,'Données projet'!$A$139:$I$159,6,0)),0%,VLOOKUP(A30,'Données projet'!$A$139:$I$159,6,0)*VLOOKUP('Données projet'!$B$13,Paramètres!$A$1:$I$89,7,0))</f>
        <v>0</v>
      </c>
      <c r="DE30" s="122" t="n">
        <f aca="false">IF(ISNA(VLOOKUP(A30,'Données projet'!$A$139:$I$159,7,0)),0%,VLOOKUP(A30,'Données projet'!$A$139:$I$159,7,0))</f>
        <v>0</v>
      </c>
      <c r="DF30" s="129" t="n">
        <f aca="false">EXP(-LN(2)/35)*DF29+(1-EXP(-LN(2)/35))/(LN(2)/35)*DB30*DC30*VLOOKUP('Données projet'!$B$13,Paramètres!$A$1:$I$89,3,0)*0.475*44/12</f>
        <v>0</v>
      </c>
      <c r="DG30" s="129" t="n">
        <f aca="false">EXP(-LN(2)/25)*DG29+(1-EXP(-LN(2)/25))/(LN(2)/25)*Calculateur!DB30*Calculateur!DD30*VLOOKUP('Données projet'!$B$13,Paramètres!$A$1:$I$89,3,0)*0.475*44/12</f>
        <v>20.8443547932992</v>
      </c>
      <c r="DH30" s="129" t="n">
        <f aca="false">EXP(-LN(2)/2)*DH29+(1-EXP(-LN(2)/2))/(LN(2)/2)*DB30*DE30*VLOOKUP('Données projet'!$B$13,Paramètres!$A$1:$I$89,3,0)*0.475*44/12</f>
        <v>10.9670285095067</v>
      </c>
      <c r="DI30" s="130" t="n">
        <f aca="false">SUM(DF30:DH30)</f>
        <v>31.8113833028058</v>
      </c>
      <c r="DJ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18" t="e">
        <f aca="false">VLOOKUP(A30,'Données projet'!$A$165:$I$185,2,0)</f>
        <v>#N/A</v>
      </c>
      <c r="DM30" s="118" t="e">
        <f aca="false">VLOOKUP(A30,'Données projet'!$A$165:$I$185,9,0)</f>
        <v>#N/A</v>
      </c>
      <c r="DN30" s="118" t="n">
        <f aca="false" t="array" ref="DN30:DN30">INDEX(DM:DM,MIN(IF(ISNUMBER(DM30:DM226),ROW(DM30:DM226),"")))</f>
        <v>16</v>
      </c>
      <c r="DO30" s="118" t="n">
        <f aca="false">IF('Données projet'!$A$166&gt;35,DO29+DN30-DW29,IF(A30&lt;'Données projet'!$A$166,$DL$205^A30,IF(A30='Données projet'!$A$166,'Données projet'!$B$166,DO29+DN30-DW29)))</f>
        <v>174</v>
      </c>
      <c r="DP30" s="125" t="n">
        <f aca="false">DO30*VLOOKUP('Données projet'!$B$14,Paramètres!$A$1:$I$89,3,0)*VLOOKUP('Données projet'!$B$14,Paramètres!$A$1:$I$89,5,0)</f>
        <v>104.052</v>
      </c>
      <c r="DQ30" s="117" t="n">
        <f aca="false">EXP(-1.0587+0.8836*LN(DP30)+0.284)</f>
        <v>27.9250877715644</v>
      </c>
      <c r="DR30" s="128" t="n">
        <f aca="false">(DP30+DQ30)*0.475*44/12</f>
        <v>229.860094535475</v>
      </c>
      <c r="DS30" s="120" t="n">
        <f aca="false">DR30+(DJ30+DK30)*44/12</f>
        <v>519.526761202141</v>
      </c>
      <c r="DT30" s="120" t="n">
        <f aca="true">AVERAGE(OFFSET($DS$3,0,0,'Données projet'!$E$14+1,1))-AVERAGE(OFFSET($H$3,0,0,'Données projet'!$E$14+1,1))</f>
        <v>549.432320957297</v>
      </c>
      <c r="DU30" s="120" t="n">
        <f aca="false">$DU$3</f>
        <v>280.26155987301</v>
      </c>
      <c r="DV30" s="121" t="n">
        <f aca="false">IF(ISNA(VLOOKUP(A30,'Données projet'!$A$165:$I$185,3,0)),0,VLOOKUP(A30,'Données projet'!$A$165:$I$185,3,0))</f>
        <v>0</v>
      </c>
      <c r="DW30" s="121" t="n">
        <f aca="false">IF(ISNA(VLOOKUP(A30,'Données projet'!$A$165:$I$185,4,0)),0,VLOOKUP(A30,'Données projet'!$A$165:$I$185,4,0))</f>
        <v>0</v>
      </c>
      <c r="DX30" s="122" t="n">
        <f aca="false">IF(ISNA(VLOOKUP(A30,'Données projet'!$A$165:$I$185,5,0)),0%,VLOOKUP(A30,'Données projet'!$A$165:$I$185,5,0)*VLOOKUP('Données projet'!$B$14,Paramètres!$A$1:$I$89,7,0))</f>
        <v>0</v>
      </c>
      <c r="DY30" s="122" t="n">
        <f aca="false">IF(ISNA(VLOOKUP(A30,'Données projet'!$A$165:$I$185,6,0)),0%,VLOOKUP(A30,'Données projet'!$A$165:$I$185,6,0)*VLOOKUP('Données projet'!$B$14,Paramètres!$A$1:$I$89,7,0))</f>
        <v>0</v>
      </c>
      <c r="DZ30" s="122" t="n">
        <f aca="false">IF(ISNA(VLOOKUP(A30,'Données projet'!$A$165:$I$185,7,0)),0%,VLOOKUP(A30,'Données projet'!$A$165:$I$185,7,0))</f>
        <v>0</v>
      </c>
      <c r="EA30" s="129" t="n">
        <f aca="false">EXP(-LN(2)/35)*EA29+(1-EXP(-LN(2)/35))/(LN(2)/35)*DW30*DX30*VLOOKUP('Données projet'!$B$14,Paramètres!$A$1:$I$89,3,0)*0.475*44/12</f>
        <v>0</v>
      </c>
      <c r="EB30" s="129" t="n">
        <f aca="false">EXP(-LN(2)/25)*EB29+(1-EXP(-LN(2)/25))/(LN(2)/25)*Calculateur!DW30*Calculateur!DY30*VLOOKUP('Données projet'!$B$14,Paramètres!$A$1:$I$89,3,0)*0.475*44/12</f>
        <v>2.02860170458184</v>
      </c>
      <c r="EC30" s="129" t="n">
        <f aca="false">EXP(-LN(2)/2)*EC29+(1-EXP(-LN(2)/2))/(LN(2)/2)*DW30*DZ30*VLOOKUP('Données projet'!$B$14,Paramètres!$A$1:$I$89,3,0)*0.475*44/12</f>
        <v>7.25327858452143</v>
      </c>
      <c r="ED30" s="130" t="n">
        <f aca="false">SUM(EA30:EC30)</f>
        <v>9.28188028910327</v>
      </c>
      <c r="EE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18" t="e">
        <f aca="false">VLOOKUP(A30,'Données projet'!$A$191:$I$211,2,0)</f>
        <v>#N/A</v>
      </c>
      <c r="EH30" s="118" t="e">
        <f aca="false">VLOOKUP(A30,'Données projet'!$A$191:$I$211,9,0)</f>
        <v>#N/A</v>
      </c>
      <c r="EI30" s="118" t="n">
        <f aca="false" t="array" ref="EI30:EI30">INDEX(EH:EH,MIN(IF(ISNUMBER(EH30:EH226),ROW(EH30:EH226),"")))</f>
        <v>0</v>
      </c>
      <c r="EJ30" s="118" t="n">
        <f aca="false">IF('Données projet'!$A$192&gt;35,EJ29+EI30-ER29,IF(A30&lt;'Données projet'!$A$192,$EG$205^A30,IF(A30='Données projet'!$A$192,'Données projet'!$B$192,EJ29+EI30-ER29)))</f>
        <v>0</v>
      </c>
      <c r="EK30" s="125" t="e">
        <f aca="false">EJ30*VLOOKUP('Données projet'!$B$15,Paramètres!$A$1:$I$89,3,0)*VLOOKUP('Données projet'!$B$15,Paramètres!$A$1:$I$89,5,0)</f>
        <v>#N/A</v>
      </c>
      <c r="EL30" s="117" t="e">
        <f aca="false">EXP(-1.0587+0.8836*LN(EK30)+0.284)</f>
        <v>#N/A</v>
      </c>
      <c r="EM30" s="128" t="e">
        <f aca="false">(EK30+EL30)*0.475*44/12</f>
        <v>#N/A</v>
      </c>
      <c r="EN30" s="120" t="e">
        <f aca="false">EM30+(EE30+EF30)*44/12</f>
        <v>#N/A</v>
      </c>
      <c r="EO30" s="120" t="e">
        <f aca="true">AVERAGE(OFFSET($EN$3,0,0,'Données projet'!$E$15+1,1))-AVERAGE(OFFSET($H$3,0,0,'Données projet'!$E$15+1,1))</f>
        <v>#N/A</v>
      </c>
      <c r="EP30" s="120" t="e">
        <f aca="false">$EP$3</f>
        <v>#N/A</v>
      </c>
      <c r="EQ30" s="121" t="n">
        <f aca="false">IF(ISNA(VLOOKUP(A30,'Données projet'!$A$191:$I$211,3,0)),0,VLOOKUP(A30,'Données projet'!$A$191:$I$211,3,0))</f>
        <v>0</v>
      </c>
      <c r="ER30" s="121" t="n">
        <f aca="false">IF(ISNA(VLOOKUP(A30,'Données projet'!$A$191:$I$211,4,0)),0,VLOOKUP(A30,'Données projet'!$A$191:$I$211,4,0))</f>
        <v>0</v>
      </c>
      <c r="ES30" s="122" t="n">
        <f aca="false">IF(ISNA(VLOOKUP(A30,'Données projet'!$A$191:$I$211,5,0)),0%,VLOOKUP(A30,'Données projet'!$A$191:$I$211,5,0)*VLOOKUP('Données projet'!$B$15,Paramètres!$A$1:$I$89,7,0))</f>
        <v>0</v>
      </c>
      <c r="ET30" s="122" t="n">
        <f aca="false">IF(ISNA(VLOOKUP(A30,'Données projet'!$A$191:$I$211,6,0)),0%,VLOOKUP(A30,'Données projet'!$A$191:$I$211,6,0)*VLOOKUP('Données projet'!$B$15,Paramètres!$A$1:$I$89,7,0))</f>
        <v>0</v>
      </c>
      <c r="EU30" s="122" t="n">
        <f aca="false">IF(ISNA(VLOOKUP(A30,'Données projet'!$A$191:$I$211,7,0)),0%,VLOOKUP(A30,'Données projet'!$A$191:$I$211,7,0))</f>
        <v>0</v>
      </c>
      <c r="EV30" s="129" t="e">
        <f aca="false">EXP(-LN(2)/35)*EV29+(1-EXP(-LN(2)/35))/(LN(2)/35)*ER30*ES30*VLOOKUP('Données projet'!$B$15,Paramètres!$A$1:$I$89,3,0)*0.475*44/12</f>
        <v>#N/A</v>
      </c>
      <c r="EW30" s="129" t="e">
        <f aca="false">EXP(-LN(2)/25)*EW29+(1-EXP(-LN(2)/25))/(LN(2)/25)*Calculateur!ER30*Calculateur!ET30*VLOOKUP('Données projet'!$B$15,Paramètres!$A$1:$I$89,3,0)*0.475*44/12</f>
        <v>#N/A</v>
      </c>
      <c r="EX30" s="129" t="e">
        <f aca="false">EXP(-LN(2)/2)*EX29+(1-EXP(-LN(2)/2))/(LN(2)/2)*ER30*EU30*VLOOKUP('Données projet'!$B$15,Paramètres!$A$1:$I$89,3,0)*0.475*44/12</f>
        <v>#N/A</v>
      </c>
      <c r="EY30" s="130" t="e">
        <f aca="false">SUM(EV30:EX30)</f>
        <v>#N/A</v>
      </c>
      <c r="EZ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18" t="e">
        <f aca="false">VLOOKUP(A30,'Données projet'!$A$217:$I$237,2,0)</f>
        <v>#N/A</v>
      </c>
      <c r="FC30" s="118" t="e">
        <f aca="false">VLOOKUP(A30,'Données projet'!$A$217:$I$237,9,0)</f>
        <v>#N/A</v>
      </c>
      <c r="FD30" s="118" t="n">
        <f aca="false" t="array" ref="FD30:FD30">INDEX(FC:FC,MIN(IF(ISNUMBER(FC30:FC226),ROW(FC30:FC226),"")))</f>
        <v>0</v>
      </c>
      <c r="FE30" s="118" t="n">
        <f aca="false">IF('Données projet'!$A$218&gt;35,FE29+FD30-FM29,IF(A30&lt;'Données projet'!$A$218,$FB$205^A30,IF(A30='Données projet'!$A$218,'Données projet'!$B$218,FE29+FD30-FM29)))</f>
        <v>0</v>
      </c>
      <c r="FF30" s="125" t="e">
        <f aca="false">FE30*VLOOKUP('Données projet'!$B$16,Paramètres!$A$1:$I$89,3,0)*VLOOKUP('Données projet'!$B$16,Paramètres!$A$1:$I$89,5,0)</f>
        <v>#N/A</v>
      </c>
      <c r="FG30" s="117" t="e">
        <f aca="false">EXP(-1.0587+0.8836*LN(FF30)+0.284)</f>
        <v>#N/A</v>
      </c>
      <c r="FH30" s="128" t="e">
        <f aca="false">(FF30+FG30)*0.475*44/12</f>
        <v>#N/A</v>
      </c>
      <c r="FI30" s="120" t="e">
        <f aca="false">FH30+(EZ30+FA30)*44/12</f>
        <v>#N/A</v>
      </c>
      <c r="FJ30" s="120" t="e">
        <f aca="true">AVERAGE(OFFSET($FI$3,0,0,'Données projet'!$E$16+1,1))-AVERAGE(OFFSET($H$3,0,0,'Données projet'!$E$16+1,1))</f>
        <v>#N/A</v>
      </c>
      <c r="FK30" s="120" t="e">
        <f aca="false">$FK$3</f>
        <v>#N/A</v>
      </c>
      <c r="FL30" s="121" t="n">
        <f aca="false">IF(ISNA(VLOOKUP(A30,'Données projet'!$A$217:$I$237,3,0)),0,VLOOKUP(A30,'Données projet'!$A$217:$I$237,3,0))</f>
        <v>0</v>
      </c>
      <c r="FM30" s="121" t="n">
        <f aca="false">IF(ISNA(VLOOKUP(A30,'Données projet'!$A$217:$I$237,4,0)),0,VLOOKUP(A30,'Données projet'!$A$217:$I$237,4,0))</f>
        <v>0</v>
      </c>
      <c r="FN30" s="122" t="n">
        <f aca="false">IF(ISNA(VLOOKUP(A30,'Données projet'!$A$217:$I$237,5,0)),0%,VLOOKUP(A30,'Données projet'!$A$217:$I$237,5,0)*VLOOKUP('Données projet'!$B$16,Paramètres!$A$1:$I$89,7,0))</f>
        <v>0</v>
      </c>
      <c r="FO30" s="122" t="n">
        <f aca="false">IF(ISNA(VLOOKUP(A30,'Données projet'!$A$217:$I$237,6,0)),0%,VLOOKUP(A30,'Données projet'!$A$217:$I$237,6,0)*VLOOKUP('Données projet'!$B$16,Paramètres!$A$1:$I$89,7,0))</f>
        <v>0</v>
      </c>
      <c r="FP30" s="122" t="n">
        <f aca="false">IF(ISNA(VLOOKUP(A30,'Données projet'!$A$217:$I$237,7,0)),0%,VLOOKUP(A30,'Données projet'!$A$217:$I$237,7,0))</f>
        <v>0</v>
      </c>
      <c r="FQ30" s="129" t="e">
        <f aca="false">EXP(-LN(2)/35)*FQ29+(1-EXP(-LN(2)/35))/(LN(2)/35)*FM30*FN30*VLOOKUP('Données projet'!$B$16,Paramètres!$A$1:$I$89,3,0)*0.475*44/12</f>
        <v>#N/A</v>
      </c>
      <c r="FR30" s="129" t="e">
        <f aca="false">EXP(-LN(2)/25)*FR29+(1-EXP(-LN(2)/25))/(LN(2)/25)*Calculateur!FM30*Calculateur!FO30*VLOOKUP('Données projet'!$B$16,Paramètres!$A$1:$I$89,3,0)*0.475*44/12</f>
        <v>#N/A</v>
      </c>
      <c r="FS30" s="129" t="e">
        <f aca="false">EXP(-LN(2)/2)*FS29+(1-EXP(-LN(2)/2))/(LN(2)/2)*FM30*FP30*VLOOKUP('Données projet'!$B$16,Paramètres!$A$1:$I$89,3,0)*0.475*44/12</f>
        <v>#N/A</v>
      </c>
      <c r="FT30" s="130" t="e">
        <f aca="false">SUM(FQ30:FS30)</f>
        <v>#N/A</v>
      </c>
      <c r="FU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18" t="e">
        <f aca="false">VLOOKUP(A30,'Données projet'!$A$243:$I$263,2,0)</f>
        <v>#N/A</v>
      </c>
      <c r="FX30" s="118" t="e">
        <f aca="false">VLOOKUP(A30,'Données projet'!$A$243:$I$263,9,0)</f>
        <v>#N/A</v>
      </c>
      <c r="FY30" s="118" t="n">
        <f aca="false" t="array" ref="FY30:FY30">INDEX(FX:FX,MIN(IF(ISNUMBER(FX30:FX226),ROW(FX30:FX226),"")))</f>
        <v>0</v>
      </c>
      <c r="FZ30" s="118" t="n">
        <f aca="false">IF('Données projet'!$A$244&gt;35,FZ29+FY30-GH29,IF(A30&lt;'Données projet'!$A$244,$FW$205^A30,IF(A30='Données projet'!$A$244,'Données projet'!$B$244,FZ29+FY30-GH29)))</f>
        <v>0</v>
      </c>
      <c r="GA30" s="125" t="e">
        <f aca="false">FZ30*VLOOKUP('Données projet'!$B$17,Paramètres!$A$1:$I$89,3,0)*VLOOKUP('Données projet'!$B$17,Paramètres!$A$1:$I$89,5,0)</f>
        <v>#N/A</v>
      </c>
      <c r="GB30" s="117" t="e">
        <f aca="false">EXP(-1.0587+0.8836*LN(GA30)+0.284)</f>
        <v>#N/A</v>
      </c>
      <c r="GC30" s="128" t="e">
        <f aca="false">(GA30+GB30)*0.475*44/12</f>
        <v>#N/A</v>
      </c>
      <c r="GD30" s="120" t="e">
        <f aca="false">GC30+(FU30+FV30)*44/12</f>
        <v>#N/A</v>
      </c>
      <c r="GE30" s="120" t="e">
        <f aca="true">AVERAGE(OFFSET($GD$3,0,0,'Données projet'!$E$17+1,1))-AVERAGE(OFFSET($H$3,0,0,'Données projet'!$E$17+1,1))</f>
        <v>#N/A</v>
      </c>
      <c r="GF30" s="120" t="e">
        <f aca="false">$GF$3</f>
        <v>#N/A</v>
      </c>
      <c r="GG30" s="121" t="n">
        <f aca="false">IF(ISNA(VLOOKUP(A30,'Données projet'!$A$243:$I$263,3,0)),0,VLOOKUP(A30,'Données projet'!$A$243:$I$263,3,0))</f>
        <v>0</v>
      </c>
      <c r="GH30" s="121" t="n">
        <f aca="false">IF(ISNA(VLOOKUP(A30,'Données projet'!$A$243:$I$263,4,0)),0,VLOOKUP(A30,'Données projet'!$A$243:$I$263,4,0))</f>
        <v>0</v>
      </c>
      <c r="GI30" s="122" t="n">
        <f aca="false">IF(ISNA(VLOOKUP(A30,'Données projet'!$A$243:$I$263,5,0)),0%,VLOOKUP(A30,'Données projet'!$A$243:$I$263,5,0)*VLOOKUP('Données projet'!$B$17,Paramètres!$A$1:$I$89,7,0))</f>
        <v>0</v>
      </c>
      <c r="GJ30" s="122" t="n">
        <f aca="false">IF(ISNA(VLOOKUP(A30,'Données projet'!$A$243:$I$263,6,0)),0%,VLOOKUP(A30,'Données projet'!$A$243:$I$263,6,0)*VLOOKUP('Données projet'!$B$17,Paramètres!$A$1:$I$89,7,0))</f>
        <v>0</v>
      </c>
      <c r="GK30" s="122" t="n">
        <f aca="false">IF(ISNA(VLOOKUP(A30,'Données projet'!$A$243:$I$263,7,0)),0%,VLOOKUP(A30,'Données projet'!$A$243:$I$263,7,0))</f>
        <v>0</v>
      </c>
      <c r="GL30" s="129" t="e">
        <f aca="false">EXP(-LN(2)/35)*GL29+(1-EXP(-LN(2)/35))/(LN(2)/35)*GH30*GI30*VLOOKUP('Données projet'!$B$17,Paramètres!$A$1:$I$89,3,0)*0.475*44/12</f>
        <v>#N/A</v>
      </c>
      <c r="GM30" s="129" t="e">
        <f aca="false">EXP(-LN(2)/25)*GM29+(1-EXP(-LN(2)/25))/(LN(2)/25)*Calculateur!GH30*Calculateur!GJ30*VLOOKUP('Données projet'!$B$17,Paramètres!$A$1:$I$89,3,0)*0.475*44/12</f>
        <v>#N/A</v>
      </c>
      <c r="GN30" s="129" t="e">
        <f aca="false">EXP(-LN(2)/2)*GN29+(1-EXP(-LN(2)/2))/(LN(2)/2)*GH30*GK30*VLOOKUP('Données projet'!$B$17,Paramètres!$A$1:$I$89,3,0)*0.475*44/12</f>
        <v>#N/A</v>
      </c>
      <c r="GO30" s="129" t="e">
        <f aca="false">SUM(GL30:GN30)</f>
        <v>#N/A</v>
      </c>
      <c r="GP30" s="126" t="n">
        <f aca="false"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8" t="n">
        <f aca="false"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18" t="e">
        <f aca="false">VLOOKUP(A30,'Données projet'!$A$269:$I$289,2,0)</f>
        <v>#N/A</v>
      </c>
      <c r="GS30" s="118" t="e">
        <f aca="false">VLOOKUP(A30,'Données projet'!$A$269:$I$289,9,0)</f>
        <v>#N/A</v>
      </c>
      <c r="GT30" s="118" t="n">
        <f aca="false" t="array" ref="GT30:GT30">INDEX(GS:GS,MIN(IF(ISNUMBER(GS30:GS226),ROW(GS30:GS226),"")))</f>
        <v>0</v>
      </c>
      <c r="GU30" s="118" t="n">
        <f aca="false">IF('Données projet'!$A$270&gt;35,GU29+GT30-HC29,IF(A30&lt;'Données projet'!$A$270,$GR$205^A30,IF(A30='Données projet'!$A$270,'Données projet'!$B$270,GU29+GT30-HC29)))</f>
        <v>0</v>
      </c>
      <c r="GV30" s="125" t="e">
        <f aca="false">GU30*VLOOKUP('Données projet'!$B$18,Paramètres!$A$1:$I$89,3,0)*VLOOKUP('Données projet'!$B$18,Paramètres!$A$1:$I$89,5,0)</f>
        <v>#N/A</v>
      </c>
      <c r="GW30" s="117" t="e">
        <f aca="false">EXP(-1.0587+0.8836*LN(GV30)+0.284)</f>
        <v>#N/A</v>
      </c>
      <c r="GX30" s="128" t="e">
        <f aca="false">(GV30+GW30)*0.475*44/12</f>
        <v>#N/A</v>
      </c>
      <c r="GY30" s="120" t="e">
        <f aca="false">GX30+(GP30+GQ30)*44/12</f>
        <v>#N/A</v>
      </c>
      <c r="GZ30" s="120" t="e">
        <f aca="true">AVERAGE(OFFSET($GY$3,0,0,'Données projet'!$E$18+1,1))-AVERAGE(OFFSET($H$3,0,0,'Données projet'!$E$18+1,1))</f>
        <v>#N/A</v>
      </c>
      <c r="HA30" s="120" t="e">
        <f aca="false">$HA$3</f>
        <v>#N/A</v>
      </c>
      <c r="HB30" s="121" t="n">
        <f aca="false">IF(ISNA(VLOOKUP(A30,'Données projet'!$A$269:$I$289,3,0)),0,VLOOKUP(A30,'Données projet'!$A$269:$I$289,3,0))</f>
        <v>0</v>
      </c>
      <c r="HC30" s="121" t="n">
        <f aca="false">IF(ISNA(VLOOKUP(A30,'Données projet'!$A$269:$I$289,4,0)),0,VLOOKUP(A30,'Données projet'!$A$269:$I$289,4,0))</f>
        <v>0</v>
      </c>
      <c r="HD30" s="122" t="n">
        <f aca="false">IF(ISNA(VLOOKUP(A30,'Données projet'!$A$269:$I$289,5,0)),0%,VLOOKUP(A30,'Données projet'!$A$269:$I$289,5,0)*VLOOKUP('Données projet'!$B$18,Paramètres!$A$1:$I$89,7,0))</f>
        <v>0</v>
      </c>
      <c r="HE30" s="122" t="n">
        <f aca="false">IF(ISNA(VLOOKUP(A30,'Données projet'!$A$269:$I$289,6,0)),0%,VLOOKUP(A30,'Données projet'!$A$269:$I$289,6,0)*VLOOKUP('Données projet'!$B$18,Paramètres!$A$1:$I$89,7,0))</f>
        <v>0</v>
      </c>
      <c r="HF30" s="122" t="n">
        <f aca="false">IF(ISNA(VLOOKUP(A30,'Données projet'!$A$269:$I$289,7,0)),0%,VLOOKUP(A30,'Données projet'!$A$269:$I$289,7,0))</f>
        <v>0</v>
      </c>
      <c r="HG30" s="129" t="e">
        <f aca="false">EXP(-LN(2)/35)*HG29+(1-EXP(-LN(2)/35))/(LN(2)/35)*HC30*HD30*VLOOKUP('Données projet'!$B$18,Paramètres!$A$1:$I$89,3,0)*0.475*44/12</f>
        <v>#N/A</v>
      </c>
      <c r="HH30" s="129" t="e">
        <f aca="false">EXP(-LN(2)/25)*HH29+(1-EXP(-LN(2)/25))/(LN(2)/25)*Calculateur!HC30*Calculateur!HE30*VLOOKUP('Données projet'!$B$18,Paramètres!$A$1:$I$89,3,0)*0.475*44/12</f>
        <v>#N/A</v>
      </c>
      <c r="HI30" s="129" t="e">
        <f aca="false">EXP(-LN(2)/2)*HI29+(1-EXP(-LN(2)/2))/(LN(2)/2)*HC30*HF30*VLOOKUP('Données projet'!$B$18,Paramètres!$A$1:$I$89,3,0)*0.475*44/12</f>
        <v>#N/A</v>
      </c>
      <c r="HJ30" s="130" t="e">
        <f aca="false">SUM(HG30:HI30)</f>
        <v>#N/A</v>
      </c>
    </row>
    <row r="31" customFormat="false" ht="14.25" hidden="false" customHeight="false" outlineLevel="0" collapsed="false">
      <c r="A31" s="112" t="n">
        <f aca="false">A30+1</f>
        <v>28</v>
      </c>
      <c r="B31" s="113" t="n">
        <f aca="false">'Scénario référence'!$B$16*5+'Scénario référence'!$B$17*0+'Scénario référence'!$B$18*5</f>
        <v>0</v>
      </c>
      <c r="C31" s="127" t="n">
        <f aca="false"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4" t="n">
        <f aca="false">IFERROR(EXP(-1.0587+0.8836*LN(C31)+0.284),0)</f>
        <v>0</v>
      </c>
      <c r="E3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1" s="114" t="n">
        <f aca="false">IF(OR('Scénario référence'!$F$8&gt;0,'Scénario référence'!$F$9&gt;0),('Scénario référence'!$F$8+'Scénario référence'!$F$9)*10,0)</f>
        <v>0</v>
      </c>
      <c r="G31" s="114" t="n">
        <f aca="false"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15" t="n">
        <f aca="false">(B31+E31+F31)*44/12+(C31+D31)*0.475*44/12</f>
        <v>256.666666666667</v>
      </c>
      <c r="I31" s="11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7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K31" s="118" t="e">
        <f aca="false">VLOOKUP(A31,'Données projet'!$A$35:$I$55,2,0)</f>
        <v>#N/A</v>
      </c>
      <c r="L31" s="118" t="e">
        <f aca="false">VLOOKUP(A31,'Données projet'!$A$35:$I$55,9,0)</f>
        <v>#N/A</v>
      </c>
      <c r="M31" s="118" t="n">
        <f aca="false" t="array" ref="M31:M31">INDEX(L:L,MIN(IF(ISNUMBER(L31:L227),ROW(L31:L227),"")))</f>
        <v>9.2</v>
      </c>
      <c r="N31" s="117" t="n">
        <f aca="false">IF('Données projet'!$A$36&gt;35,N30+M31-V30,IF(A31&lt;'Données projet'!$A$36,$K$205^A31,IF(A31='Données projet'!$A$36,'Données projet'!$B$36,N30+M31-V30)))</f>
        <v>192.1</v>
      </c>
      <c r="O31" s="117" t="n">
        <f aca="false">N31*VLOOKUP('Données projet'!$B$9,Paramètres!$A$1:$I$89,3,0)*VLOOKUP('Données projet'!$B$9,Paramètres!$A$1:$I$89,5,0)</f>
        <v>89.9028</v>
      </c>
      <c r="P31" s="117" t="n">
        <f aca="false">EXP(-1.0587+0.8836*LN(O31)+0.284)</f>
        <v>24.5417812203987</v>
      </c>
      <c r="Q31" s="128" t="n">
        <f aca="false">(O31+P31)*0.475*44/12</f>
        <v>199.324312292194</v>
      </c>
      <c r="R31" s="120" t="n">
        <f aca="false">Q31+(I31+J31)*44/12</f>
        <v>490.213201181083</v>
      </c>
      <c r="S31" s="120" t="n">
        <f aca="true">AVERAGE(OFFSET($R$3,0,0,'Données projet'!$E$9+1,1))-AVERAGE(OFFSET($H$3,0,0,'Données projet'!$E$9+1,1))</f>
        <v>319.229030946746</v>
      </c>
      <c r="T31" s="120" t="n">
        <f aca="false">$T$3</f>
        <v>254.586909731428</v>
      </c>
      <c r="U31" s="121" t="n">
        <f aca="false">IF(ISNA(VLOOKUP(A31,'Données projet'!$A$35:$I$55,3,0)),0,VLOOKUP(A31,'Données projet'!$A$35:$I$55,3,0))</f>
        <v>0</v>
      </c>
      <c r="V31" s="121" t="n">
        <f aca="false">IF(ISNA(VLOOKUP(A31,'Données projet'!$A$35:$I$55,4,0)),0,VLOOKUP(A31,'Données projet'!$A$35:$I$55,4,0))</f>
        <v>0</v>
      </c>
      <c r="W31" s="122" t="n">
        <f aca="false">IF(ISNA(VLOOKUP(A31,'Données projet'!$A$35:$I$55,5,0)),0%,VLOOKUP(A31,'Données projet'!$A$35:$I$55,5,0)*VLOOKUP('Données projet'!$B$9,Paramètres!$A$1:$I$89,7,0))</f>
        <v>0</v>
      </c>
      <c r="X31" s="122" t="n">
        <f aca="false">IF(ISNA(VLOOKUP(A31,'Données projet'!$A$35:$I$55,6,0)),0%,VLOOKUP(A31,'Données projet'!$A$35:$I$55,6,0)*VLOOKUP('Données projet'!$B$9,Paramètres!$A$1:$I$89,7,0))</f>
        <v>0</v>
      </c>
      <c r="Y31" s="122" t="n">
        <f aca="false">IF(ISNA(VLOOKUP(A31,'Données projet'!$A$35:$I$55,7,0)),0%,VLOOKUP(A31,'Données projet'!$A$35:$I$55,7,0))</f>
        <v>0</v>
      </c>
      <c r="Z31" s="129" t="n">
        <f aca="false">EXP(-LN(2)/35)*Z30+(1-EXP(-LN(2)/35))/(LN(2)/35)*V31*W31*VLOOKUP('Données projet'!$B$9,Paramètres!$A$1:$I$89,3,0)*0.475*44/12</f>
        <v>2.30227466363992</v>
      </c>
      <c r="AA31" s="129" t="n">
        <f aca="false">EXP(-LN(2)/25)*AA30+(1-EXP(-LN(2)/25))/(LN(2)/25)*Calculateur!V31*Calculateur!X31*VLOOKUP('Données projet'!$B$9,Paramètres!$A$1:$I$89,3,0)*0.475*44/12</f>
        <v>2.15239033647831</v>
      </c>
      <c r="AB31" s="129" t="n">
        <f aca="false">EXP(-LN(2)/2)*AB30+(1-EXP(-LN(2)/2))/(LN(2)/2)*V31*Y31*VLOOKUP('Données projet'!$B$9,Paramètres!$A$1:$I$89,3,0)*0.475*44/12</f>
        <v>0.784891734452784</v>
      </c>
      <c r="AC31" s="130" t="n">
        <f aca="false">SUM(Z31:AB31)</f>
        <v>5.23955673457101</v>
      </c>
      <c r="AD31" s="117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7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AF31" s="118" t="e">
        <f aca="false">VLOOKUP(A31,'Données projet'!$A$61:$I$81,2,0)</f>
        <v>#N/A</v>
      </c>
      <c r="AG31" s="118" t="e">
        <f aca="false">VLOOKUP(A31,'Données projet'!$A$61:$I$81,9,0)</f>
        <v>#N/A</v>
      </c>
      <c r="AH31" s="118" t="n">
        <f aca="false" t="array" ref="AH31:AH31">INDEX(AG:AG,MIN(IF(ISNUMBER(AG31:AG227),ROW(AG31:AG227),"")))</f>
        <v>24.8</v>
      </c>
      <c r="AI31" s="117" t="n">
        <f aca="false">IF('Données projet'!$A$62&gt;35,AI30+AH31-AQ30,IF(A31&lt;'Données projet'!$A$62,$AF$205^A31,IF(A31='Données projet'!$A$62,'Données projet'!$B$62,AI30+AH31-AQ30)))</f>
        <v>278.4</v>
      </c>
      <c r="AJ31" s="117" t="n">
        <f aca="false">AI31*VLOOKUP('Données projet'!$B$10,Paramètres!$A$1:$I$89,3,0)*VLOOKUP('Données projet'!$B$10,Paramètres!$A$1:$I$89,5,0)</f>
        <v>155.6256</v>
      </c>
      <c r="AK31" s="117" t="n">
        <f aca="false">EXP(-1.0587+0.8836*LN(AJ31)+0.284)</f>
        <v>39.8542711096832</v>
      </c>
      <c r="AL31" s="128" t="n">
        <f aca="false">(AJ31+AK31)*0.475*44/12</f>
        <v>340.460775516032</v>
      </c>
      <c r="AM31" s="120" t="n">
        <f aca="false">AL31+(AD31+AE31)*44/12</f>
        <v>631.34966440492</v>
      </c>
      <c r="AN31" s="120" t="n">
        <f aca="true">AVERAGE(OFFSET($AM$3,0,0,'Données projet'!$E$10+1,1))-AVERAGE(OFFSET($H$3,0,0,'Données projet'!$E$10+1,1))</f>
        <v>365.705101827279</v>
      </c>
      <c r="AO31" s="120" t="n">
        <f aca="false">$AO$3</f>
        <v>436.238338449625</v>
      </c>
      <c r="AP31" s="121" t="n">
        <f aca="false">IF(ISNA(VLOOKUP(A31,'Données projet'!$A$61:$I$81,3,0)),0,VLOOKUP(A31,'Données projet'!$A$61:$I$81,3,0))</f>
        <v>0</v>
      </c>
      <c r="AQ31" s="121" t="n">
        <f aca="false">IF(ISNA(VLOOKUP(A31,'Données projet'!$A$61:$I$81,4,0)),0,VLOOKUP(A31,'Données projet'!$A$61:$I$81,4,0))</f>
        <v>0</v>
      </c>
      <c r="AR31" s="122" t="n">
        <f aca="false">IF(ISNA(VLOOKUP(A31,'Données projet'!$A$61:$I$81,5,0)),0%,VLOOKUP(A31,'Données projet'!$A$61:$I$81,5,0)*VLOOKUP('Données projet'!$B$10,Paramètres!$A$1:$I$89,7,0))</f>
        <v>0</v>
      </c>
      <c r="AS31" s="122" t="n">
        <f aca="false">IF(ISNA(VLOOKUP(A31,'Données projet'!$A$61:$I$81,6,0)),0%,VLOOKUP(A31,'Données projet'!$A$61:$I$81,6,0)*VLOOKUP('Données projet'!$B$10,Paramètres!$A$1:$I$89,7,0))</f>
        <v>0</v>
      </c>
      <c r="AT31" s="122" t="n">
        <f aca="false">IF(ISNA(VLOOKUP(A31,'Données projet'!$A$61:$I$81,7,0)),0%,VLOOKUP(A31,'Données projet'!$A$61:$I$81,7,0))</f>
        <v>0</v>
      </c>
      <c r="AU31" s="129" t="n">
        <f aca="false">EXP(-LN(2)/35)*AU30+(1-EXP(-LN(2)/35))/(LN(2)/35)*AQ31*AR31*VLOOKUP('Données projet'!$B$10,Paramètres!$A$1:$I$89,3,0)*0.475*44/12</f>
        <v>0</v>
      </c>
      <c r="AV31" s="129" t="n">
        <f aca="false">EXP(-LN(2)/25)*AV30+(1-EXP(-LN(2)/25))/(LN(2)/25)*Calculateur!AQ31*Calculateur!AS31*VLOOKUP('Données projet'!$B$10,Paramètres!$A$1:$I$89,3,0)*0.475*44/12</f>
        <v>3.14011231597498</v>
      </c>
      <c r="AW31" s="129" t="n">
        <f aca="false">EXP(-LN(2)/2)*AW30+(1-EXP(-LN(2)/2))/(LN(2)/2)*AQ31*AT31*VLOOKUP('Données projet'!$B$10,Paramètres!$A$1:$I$89,3,0)*0.475*44/12</f>
        <v>1.25311341882104</v>
      </c>
      <c r="AX31" s="129" t="n">
        <f aca="false">SUM(AU31:AW31)</f>
        <v>4.39322573479601</v>
      </c>
      <c r="AY31" s="124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BA31" s="118" t="e">
        <f aca="false">VLOOKUP(A31,'Données projet'!$A$87:$I$107,2,0)</f>
        <v>#N/A</v>
      </c>
      <c r="BB31" s="118" t="e">
        <f aca="false">VLOOKUP(A31,'Données projet'!$A$87:$I$107,9,0)</f>
        <v>#N/A</v>
      </c>
      <c r="BC31" s="118" t="n">
        <f aca="false" t="array" ref="BC31:BC31">INDEX(BB:BB,MIN(IF(ISNUMBER(BB31:BB227),ROW(BB31:BB227),"")))</f>
        <v>13</v>
      </c>
      <c r="BD31" s="118" t="n">
        <f aca="false">IF('Données projet'!$A$88&gt;35,BD30+BC31-BL30,IF(A31&lt;'Données projet'!$A$88,$BA$205^A31,IF(A31='Données projet'!$A$88,'Données projet'!$B$88,BD30+BC31-BL30)))</f>
        <v>158</v>
      </c>
      <c r="BE31" s="117" t="n">
        <f aca="false">BD31*VLOOKUP('Données projet'!$B$11,Paramètres!$A$1:$I$89,3,0)*VLOOKUP('Données projet'!$B$11,Paramètres!$A$1:$I$89,5,0)</f>
        <v>138.0288</v>
      </c>
      <c r="BF31" s="117" t="n">
        <f aca="false">EXP(-1.0587+0.8836*LN(BE31)+0.284)</f>
        <v>35.8450592568131</v>
      </c>
      <c r="BG31" s="128" t="n">
        <f aca="false">(BE31+BF31)*0.475*44/12</f>
        <v>302.830304872283</v>
      </c>
      <c r="BH31" s="120" t="n">
        <f aca="false">BG31+(AY31+AZ31)*44/12</f>
        <v>593.719193761172</v>
      </c>
      <c r="BI31" s="120" t="n">
        <f aca="true">AVERAGE(OFFSET($BH$3,0,0,'Données projet'!$E$11+1,1))-AVERAGE(OFFSET($H$3,0,0,'Données projet'!$E$11+1,1))</f>
        <v>321.235999689929</v>
      </c>
      <c r="BJ31" s="120" t="n">
        <f aca="false">$BJ$3</f>
        <v>388.051958478005</v>
      </c>
      <c r="BK31" s="121" t="n">
        <f aca="false">IF(ISNA(VLOOKUP(A31,'Données projet'!$A$87:$I$107,3,0)),0,VLOOKUP(A31,'Données projet'!$A$87:$I$107,3,0))</f>
        <v>0</v>
      </c>
      <c r="BL31" s="121" t="n">
        <f aca="false">IF(ISNA(VLOOKUP(A31,'Données projet'!$A$87:$I$107,4,0)),0,VLOOKUP(A31,'Données projet'!$A$87:$I$107,4,0))</f>
        <v>0</v>
      </c>
      <c r="BM31" s="122" t="n">
        <f aca="false">IF(ISNA(VLOOKUP(A31,'Données projet'!$A$87:$I$107,5,0)),0%,VLOOKUP(A31,'Données projet'!$A$87:$I$107,5,0)*VLOOKUP('Données projet'!$B$11,Paramètres!$A$1:$I$89,7,0))</f>
        <v>0</v>
      </c>
      <c r="BN31" s="122" t="n">
        <f aca="false">IF(ISNA(VLOOKUP(A31,'Données projet'!$A$87:$I$107,6,0)),0%,VLOOKUP(A31,'Données projet'!$A$87:$I$107,6,0)*VLOOKUP('Données projet'!$B$11,Paramètres!$A$1:$I$89,7,0))</f>
        <v>0</v>
      </c>
      <c r="BO31" s="122" t="n">
        <f aca="false">IF(ISNA(VLOOKUP(A31,'Données projet'!$A$87:$I$107,7,0)),0%,VLOOKUP(A31,'Données projet'!$A$87:$I$107,7,0))</f>
        <v>0</v>
      </c>
      <c r="BP31" s="129" t="n">
        <f aca="false">EXP(-LN(2)/35)*BP30+(1-EXP(-LN(2)/35))/(LN(2)/35)*BL31*BM31*VLOOKUP('Données projet'!$B$11,Paramètres!$A$1:$I$89,3,0)*0.475*44/12</f>
        <v>3.24579945656167</v>
      </c>
      <c r="BQ31" s="129" t="n">
        <f aca="false">EXP(-LN(2)/25)*BQ30+(1-EXP(-LN(2)/25))/(LN(2)/25)*Calculateur!BL31*Calculateur!BN31*VLOOKUP('Données projet'!$B$11,Paramètres!$A$1:$I$89,3,0)*0.475*44/12</f>
        <v>8.47953541005692</v>
      </c>
      <c r="BR31" s="129" t="n">
        <f aca="false">EXP(-LN(2)/2)*BR30+(1-EXP(-LN(2)/2))/(LN(2)/2)*BL31*BO31*VLOOKUP('Données projet'!$B$11,Paramètres!$A$1:$I$89,3,0)*0.475*44/12</f>
        <v>4.82847452371592</v>
      </c>
      <c r="BS31" s="130" t="n">
        <f aca="false">SUM(BP31:BR31)</f>
        <v>16.5538093903345</v>
      </c>
      <c r="BT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BV31" s="118" t="e">
        <f aca="false">VLOOKUP(A31,'Données projet'!$A$113:$I$133,2,0)</f>
        <v>#N/A</v>
      </c>
      <c r="BW31" s="118" t="e">
        <f aca="false">VLOOKUP(A31,'Données projet'!$A$113:$I$133,9,0)</f>
        <v>#N/A</v>
      </c>
      <c r="BX31" s="118" t="n">
        <f aca="false" t="array" ref="BX31:BX31">INDEX(BW:BW,MIN(IF(ISNUMBER(BW31:BW227),ROW(BW31:BW227),"")))</f>
        <v>14.1666666666667</v>
      </c>
      <c r="BY31" s="118" t="n">
        <f aca="false">IF('Données projet'!$A$114&gt;35,BY30+BX31-CG30,IF(A31&lt;'Données projet'!$A$114,$BV$205^A31,IF(A31='Données projet'!$A$114,'Données projet'!$B$114,BY30+BX31-CG30)))</f>
        <v>195.666666666667</v>
      </c>
      <c r="BZ31" s="117" t="n">
        <f aca="false">BY31*VLOOKUP('Données projet'!$B$12,Paramètres!$A$1:$I$89,3,0)*VLOOKUP('Données projet'!$B$12,Paramètres!$A$1:$I$89,5,0)</f>
        <v>122.096</v>
      </c>
      <c r="CA31" s="117" t="n">
        <f aca="false">EXP(-1.0587+0.8836*LN(BZ31)+0.284)</f>
        <v>32.163363121463</v>
      </c>
      <c r="CB31" s="128" t="n">
        <f aca="false">(BZ31+CA31)*0.475*44/12</f>
        <v>268.668390769881</v>
      </c>
      <c r="CC31" s="120" t="n">
        <f aca="false">CB31+(BT31+BU31)*44/12</f>
        <v>559.55727965877</v>
      </c>
      <c r="CD31" s="120" t="n">
        <f aca="true">AVERAGE(OFFSET($CC$3,0,0,'Données projet'!$E$12+1,1))-AVERAGE(OFFSET($H$3,0,0,'Données projet'!$E$12+1,1))</f>
        <v>240.228848647662</v>
      </c>
      <c r="CE31" s="120" t="n">
        <f aca="false">$CE$3</f>
        <v>343.237768841432</v>
      </c>
      <c r="CF31" s="121" t="n">
        <f aca="false">IF(ISNA(VLOOKUP(A31,'Données projet'!$A$113:$I$133,3,0)),0,VLOOKUP(A31,'Données projet'!$A$113:$I$133,3,0))</f>
        <v>0</v>
      </c>
      <c r="CG31" s="121" t="n">
        <f aca="false">IF(ISNA(VLOOKUP(A31,'Données projet'!$A$113:$I$133,4,0)),0,VLOOKUP(A31,'Données projet'!$A$113:$I$133,4,0))</f>
        <v>0</v>
      </c>
      <c r="CH31" s="122" t="n">
        <f aca="false">IF(ISNA(VLOOKUP(A31,'Données projet'!$A$113:$I$133,5,0)),0%,VLOOKUP(A31,'Données projet'!$A$113:$I$133,5,0)*VLOOKUP('Données projet'!$B$12,Paramètres!$A$1:$I$89,7,0))</f>
        <v>0</v>
      </c>
      <c r="CI31" s="122" t="n">
        <f aca="false">IF(ISNA(VLOOKUP(A31,'Données projet'!$A$113:$I$133,6,0)),0%,VLOOKUP(A31,'Données projet'!$A$113:$I$133,6,0)*VLOOKUP('Données projet'!$B$12,Paramètres!$A$1:$I$89,7,0))</f>
        <v>0</v>
      </c>
      <c r="CJ31" s="122" t="n">
        <f aca="false">IF(ISNA(VLOOKUP(A31,'Données projet'!$A$113:$I$133,7,0)),0%,VLOOKUP(A31,'Données projet'!$A$113:$I$133,7,0))</f>
        <v>0</v>
      </c>
      <c r="CK31" s="129" t="n">
        <f aca="false">EXP(-LN(2)/35)*CK30+(1-EXP(-LN(2)/35))/(LN(2)/35)*CG31*CH31*VLOOKUP('Données projet'!$B$12,Paramètres!$A$1:$I$89,3,0)*0.475*44/12</f>
        <v>0</v>
      </c>
      <c r="CL31" s="129" t="n">
        <f aca="false">EXP(-LN(2)/25)*CL30+(1-EXP(-LN(2)/25))/(LN(2)/25)*Calculateur!CG31*Calculateur!CI31*VLOOKUP('Données projet'!$B$12,Paramètres!$A$1:$I$89,3,0)*0.475*44/12</f>
        <v>8.53896310165678</v>
      </c>
      <c r="CM31" s="129" t="n">
        <f aca="false">EXP(-LN(2)/2)*CM30+(1-EXP(-LN(2)/2))/(LN(2)/2)*CG31*CJ31*VLOOKUP('Données projet'!$B$12,Paramètres!$A$1:$I$89,3,0)*0.475*44/12</f>
        <v>4.3015883144095</v>
      </c>
      <c r="CN31" s="130" t="n">
        <f aca="false">SUM(CK31:CM31)</f>
        <v>12.8405514160663</v>
      </c>
      <c r="CO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CQ31" s="118" t="e">
        <f aca="false">VLOOKUP(A31,'Données projet'!$A$139:$I$159,2,0)</f>
        <v>#N/A</v>
      </c>
      <c r="CR31" s="118" t="e">
        <f aca="false">VLOOKUP(A31,'Données projet'!$A$139:$I$159,9,0)</f>
        <v>#N/A</v>
      </c>
      <c r="CS31" s="118" t="n">
        <f aca="false" t="array" ref="CS31:CS31">INDEX(CR:CR,MIN(IF(ISNUMBER(CR31:CR227),ROW(CR31:CR227),"")))</f>
        <v>16.6666666666667</v>
      </c>
      <c r="CT31" s="118" t="n">
        <f aca="false">IF('Données projet'!$A$140&gt;35,CT30+CS31-DB30,IF(A31&lt;'Données projet'!$A$140,$CQ$205^A31,IF(A31='Données projet'!$A$140,'Données projet'!$B$140,CT30+CS31-DB30)))</f>
        <v>221.666666666667</v>
      </c>
      <c r="CU31" s="125" t="n">
        <f aca="false">CT31*VLOOKUP('Données projet'!$B$13,Paramètres!$A$1:$I$89,3,0)*VLOOKUP('Données projet'!$B$13,Paramètres!$A$1:$I$89,5,0)</f>
        <v>121.03</v>
      </c>
      <c r="CV31" s="117" t="n">
        <f aca="false">EXP(-1.0587+0.8836*LN(CU31)+0.284)</f>
        <v>31.9151102540026</v>
      </c>
      <c r="CW31" s="128" t="n">
        <f aca="false">(CU31+CV31)*0.475*44/12</f>
        <v>266.379400359054</v>
      </c>
      <c r="CX31" s="120" t="n">
        <f aca="false">CW31+(CO31+CP31)*44/12</f>
        <v>557.268289247943</v>
      </c>
      <c r="CY31" s="120" t="n">
        <f aca="true">AVERAGE(OFFSET($CX$3,0,0,'Données projet'!$E$13+1,1))-AVERAGE(OFFSET($H$3,0,0,'Données projet'!$E$13+1,1))</f>
        <v>207.023069645676</v>
      </c>
      <c r="CZ31" s="120" t="n">
        <f aca="false">$CZ$3</f>
        <v>342.068879333518</v>
      </c>
      <c r="DA31" s="121" t="n">
        <f aca="false">IF(ISNA(VLOOKUP(A31,'Données projet'!$A$139:$I$159,3,0)),0,VLOOKUP(A31,'Données projet'!$A$139:$I$159,3,0))</f>
        <v>0</v>
      </c>
      <c r="DB31" s="121" t="n">
        <f aca="false">IF(ISNA(VLOOKUP(A31,'Données projet'!$A$139:$I$159,4,0)),0,VLOOKUP(A31,'Données projet'!$A$139:$I$159,4,0))</f>
        <v>0</v>
      </c>
      <c r="DC31" s="122" t="n">
        <f aca="false">IF(ISNA(VLOOKUP(A31,'Données projet'!$A$139:$I$159,5,0)),0%,VLOOKUP(A31,'Données projet'!$A$139:$I$159,5,0)*VLOOKUP('Données projet'!$B$13,Paramètres!$A$1:$I$89,7,0))</f>
        <v>0</v>
      </c>
      <c r="DD31" s="122" t="n">
        <f aca="false">IF(ISNA(VLOOKUP(A31,'Données projet'!$A$139:$I$159,6,0)),0%,VLOOKUP(A31,'Données projet'!$A$139:$I$159,6,0)*VLOOKUP('Données projet'!$B$13,Paramètres!$A$1:$I$89,7,0))</f>
        <v>0</v>
      </c>
      <c r="DE31" s="122" t="n">
        <f aca="false">IF(ISNA(VLOOKUP(A31,'Données projet'!$A$139:$I$159,7,0)),0%,VLOOKUP(A31,'Données projet'!$A$139:$I$159,7,0))</f>
        <v>0</v>
      </c>
      <c r="DF31" s="129" t="n">
        <f aca="false">EXP(-LN(2)/35)*DF30+(1-EXP(-LN(2)/35))/(LN(2)/35)*DB31*DC31*VLOOKUP('Données projet'!$B$13,Paramètres!$A$1:$I$89,3,0)*0.475*44/12</f>
        <v>0</v>
      </c>
      <c r="DG31" s="129" t="n">
        <f aca="false">EXP(-LN(2)/25)*DG30+(1-EXP(-LN(2)/25))/(LN(2)/25)*Calculateur!DB31*Calculateur!DD31*VLOOKUP('Données projet'!$B$13,Paramètres!$A$1:$I$89,3,0)*0.475*44/12</f>
        <v>20.2743648153194</v>
      </c>
      <c r="DH31" s="129" t="n">
        <f aca="false">EXP(-LN(2)/2)*DH30+(1-EXP(-LN(2)/2))/(LN(2)/2)*DB31*DE31*VLOOKUP('Données projet'!$B$13,Paramètres!$A$1:$I$89,3,0)*0.475*44/12</f>
        <v>7.75486022853838</v>
      </c>
      <c r="DI31" s="130" t="n">
        <f aca="false">SUM(DF31:DH31)</f>
        <v>28.0292250438578</v>
      </c>
      <c r="DJ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DL31" s="118" t="n">
        <f aca="false">VLOOKUP(A31,'Données projet'!$A$165:$I$185,2,0)</f>
        <v>190</v>
      </c>
      <c r="DM31" s="118" t="n">
        <f aca="false">VLOOKUP(A31,'Données projet'!$A$165:$I$185,9,0)</f>
        <v>16</v>
      </c>
      <c r="DN31" s="118" t="n">
        <f aca="false" t="array" ref="DN31:DN31">INDEX(DM:DM,MIN(IF(ISNUMBER(DM31:DM227),ROW(DM31:DM227),"")))</f>
        <v>16</v>
      </c>
      <c r="DO31" s="118" t="n">
        <f aca="false">IF('Données projet'!$A$166&gt;35,DO30+DN31-DW30,IF(A31&lt;'Données projet'!$A$166,$DL$205^A31,IF(A31='Données projet'!$A$166,'Données projet'!$B$166,DO30+DN31-DW30)))</f>
        <v>190</v>
      </c>
      <c r="DP31" s="125" t="n">
        <f aca="false">DO31*VLOOKUP('Données projet'!$B$14,Paramètres!$A$1:$I$89,3,0)*VLOOKUP('Données projet'!$B$14,Paramètres!$A$1:$I$89,5,0)</f>
        <v>113.62</v>
      </c>
      <c r="DQ31" s="117" t="n">
        <f aca="false">EXP(-1.0587+0.8836*LN(DP31)+0.284)</f>
        <v>30.1822709041877</v>
      </c>
      <c r="DR31" s="128" t="n">
        <f aca="false">(DP31+DQ31)*0.475*44/12</f>
        <v>250.455621824794</v>
      </c>
      <c r="DS31" s="120" t="n">
        <f aca="false">DR31+(DJ31+DK31)*44/12</f>
        <v>541.344510713682</v>
      </c>
      <c r="DT31" s="120" t="n">
        <f aca="true">AVERAGE(OFFSET($DS$3,0,0,'Données projet'!$E$14+1,1))-AVERAGE(OFFSET($H$3,0,0,'Données projet'!$E$14+1,1))</f>
        <v>549.432320957297</v>
      </c>
      <c r="DU31" s="120" t="n">
        <f aca="false">$DU$3</f>
        <v>280.26155987301</v>
      </c>
      <c r="DV31" s="121" t="n">
        <f aca="false">IF(ISNA(VLOOKUP(A31,'Données projet'!$A$165:$I$185,3,0)),0,VLOOKUP(A31,'Données projet'!$A$165:$I$185,3,0))</f>
        <v>5</v>
      </c>
      <c r="DW31" s="121" t="n">
        <f aca="false">IF(ISNA(VLOOKUP(A31,'Données projet'!$A$165:$I$185,4,0)),0,VLOOKUP(A31,'Données projet'!$A$165:$I$185,4,0))</f>
        <v>35</v>
      </c>
      <c r="DX31" s="122" t="n">
        <f aca="false">IF(ISNA(VLOOKUP(A31,'Données projet'!$A$165:$I$185,5,0)),0%,VLOOKUP(A31,'Données projet'!$A$165:$I$185,5,0)*VLOOKUP('Données projet'!$B$14,Paramètres!$A$1:$I$89,7,0))</f>
        <v>0.09</v>
      </c>
      <c r="DY31" s="122" t="n">
        <f aca="false">IF(ISNA(VLOOKUP(A31,'Données projet'!$A$165:$I$185,6,0)),0%,VLOOKUP(A31,'Données projet'!$A$165:$I$185,6,0)*VLOOKUP('Données projet'!$B$14,Paramètres!$A$1:$I$89,7,0))</f>
        <v>0.225</v>
      </c>
      <c r="DZ31" s="122" t="n">
        <f aca="false">IF(ISNA(VLOOKUP(A31,'Données projet'!$A$165:$I$185,7,0)),0%,VLOOKUP(A31,'Données projet'!$A$165:$I$185,7,0))</f>
        <v>0.3</v>
      </c>
      <c r="EA31" s="129" t="n">
        <f aca="false">EXP(-LN(2)/35)*EA30+(1-EXP(-LN(2)/35))/(LN(2)/35)*DW31*DX31*VLOOKUP('Données projet'!$B$14,Paramètres!$A$1:$I$89,3,0)*0.475*44/12</f>
        <v>2.49884946471146</v>
      </c>
      <c r="EB31" s="129" t="n">
        <f aca="false">EXP(-LN(2)/25)*EB30+(1-EXP(-LN(2)/25))/(LN(2)/25)*Calculateur!DW31*Calculateur!DY31*VLOOKUP('Données projet'!$B$14,Paramètres!$A$1:$I$89,3,0)*0.475*44/12</f>
        <v>8.19565583987203</v>
      </c>
      <c r="EC31" s="129" t="n">
        <f aca="false">EXP(-LN(2)/2)*EC30+(1-EXP(-LN(2)/2))/(LN(2)/2)*DW31*DZ31*VLOOKUP('Données projet'!$B$14,Paramètres!$A$1:$I$89,3,0)*0.475*44/12</f>
        <v>12.2381290691189</v>
      </c>
      <c r="ED31" s="130" t="n">
        <f aca="false">SUM(EA31:EC31)</f>
        <v>22.9326343737024</v>
      </c>
      <c r="EE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EG31" s="118" t="e">
        <f aca="false">VLOOKUP(A31,'Données projet'!$A$191:$I$211,2,0)</f>
        <v>#N/A</v>
      </c>
      <c r="EH31" s="118" t="e">
        <f aca="false">VLOOKUP(A31,'Données projet'!$A$191:$I$211,9,0)</f>
        <v>#N/A</v>
      </c>
      <c r="EI31" s="118" t="n">
        <f aca="false" t="array" ref="EI31:EI31">INDEX(EH:EH,MIN(IF(ISNUMBER(EH31:EH227),ROW(EH31:EH227),"")))</f>
        <v>0</v>
      </c>
      <c r="EJ31" s="118" t="n">
        <f aca="false">IF('Données projet'!$A$192&gt;35,EJ30+EI31-ER30,IF(A31&lt;'Données projet'!$A$192,$EG$205^A31,IF(A31='Données projet'!$A$192,'Données projet'!$B$192,EJ30+EI31-ER30)))</f>
        <v>0</v>
      </c>
      <c r="EK31" s="125" t="e">
        <f aca="false">EJ31*VLOOKUP('Données projet'!$B$15,Paramètres!$A$1:$I$89,3,0)*VLOOKUP('Données projet'!$B$15,Paramètres!$A$1:$I$89,5,0)</f>
        <v>#N/A</v>
      </c>
      <c r="EL31" s="117" t="e">
        <f aca="false">EXP(-1.0587+0.8836*LN(EK31)+0.284)</f>
        <v>#N/A</v>
      </c>
      <c r="EM31" s="128" t="e">
        <f aca="false">(EK31+EL31)*0.475*44/12</f>
        <v>#N/A</v>
      </c>
      <c r="EN31" s="120" t="e">
        <f aca="false">EM31+(EE31+EF31)*44/12</f>
        <v>#N/A</v>
      </c>
      <c r="EO31" s="120" t="e">
        <f aca="true">AVERAGE(OFFSET($EN$3,0,0,'Données projet'!$E$15+1,1))-AVERAGE(OFFSET($H$3,0,0,'Données projet'!$E$15+1,1))</f>
        <v>#N/A</v>
      </c>
      <c r="EP31" s="120" t="e">
        <f aca="false">$EP$3</f>
        <v>#N/A</v>
      </c>
      <c r="EQ31" s="121" t="n">
        <f aca="false">IF(ISNA(VLOOKUP(A31,'Données projet'!$A$191:$I$211,3,0)),0,VLOOKUP(A31,'Données projet'!$A$191:$I$211,3,0))</f>
        <v>0</v>
      </c>
      <c r="ER31" s="121" t="n">
        <f aca="false">IF(ISNA(VLOOKUP(A31,'Données projet'!$A$191:$I$211,4,0)),0,VLOOKUP(A31,'Données projet'!$A$191:$I$211,4,0))</f>
        <v>0</v>
      </c>
      <c r="ES31" s="122" t="n">
        <f aca="false">IF(ISNA(VLOOKUP(A31,'Données projet'!$A$191:$I$211,5,0)),0%,VLOOKUP(A31,'Données projet'!$A$191:$I$211,5,0)*VLOOKUP('Données projet'!$B$15,Paramètres!$A$1:$I$89,7,0))</f>
        <v>0</v>
      </c>
      <c r="ET31" s="122" t="n">
        <f aca="false">IF(ISNA(VLOOKUP(A31,'Données projet'!$A$191:$I$211,6,0)),0%,VLOOKUP(A31,'Données projet'!$A$191:$I$211,6,0)*VLOOKUP('Données projet'!$B$15,Paramètres!$A$1:$I$89,7,0))</f>
        <v>0</v>
      </c>
      <c r="EU31" s="122" t="n">
        <f aca="false">IF(ISNA(VLOOKUP(A31,'Données projet'!$A$191:$I$211,7,0)),0%,VLOOKUP(A31,'Données projet'!$A$191:$I$211,7,0))</f>
        <v>0</v>
      </c>
      <c r="EV31" s="129" t="e">
        <f aca="false">EXP(-LN(2)/35)*EV30+(1-EXP(-LN(2)/35))/(LN(2)/35)*ER31*ES31*VLOOKUP('Données projet'!$B$15,Paramètres!$A$1:$I$89,3,0)*0.475*44/12</f>
        <v>#N/A</v>
      </c>
      <c r="EW31" s="129" t="e">
        <f aca="false">EXP(-LN(2)/25)*EW30+(1-EXP(-LN(2)/25))/(LN(2)/25)*Calculateur!ER31*Calculateur!ET31*VLOOKUP('Données projet'!$B$15,Paramètres!$A$1:$I$89,3,0)*0.475*44/12</f>
        <v>#N/A</v>
      </c>
      <c r="EX31" s="129" t="e">
        <f aca="false">EXP(-LN(2)/2)*EX30+(1-EXP(-LN(2)/2))/(LN(2)/2)*ER31*EU31*VLOOKUP('Données projet'!$B$15,Paramètres!$A$1:$I$89,3,0)*0.475*44/12</f>
        <v>#N/A</v>
      </c>
      <c r="EY31" s="130" t="e">
        <f aca="false">SUM(EV31:EX31)</f>
        <v>#N/A</v>
      </c>
      <c r="EZ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FB31" s="118" t="e">
        <f aca="false">VLOOKUP(A31,'Données projet'!$A$217:$I$237,2,0)</f>
        <v>#N/A</v>
      </c>
      <c r="FC31" s="118" t="e">
        <f aca="false">VLOOKUP(A31,'Données projet'!$A$217:$I$237,9,0)</f>
        <v>#N/A</v>
      </c>
      <c r="FD31" s="118" t="n">
        <f aca="false" t="array" ref="FD31:FD31">INDEX(FC:FC,MIN(IF(ISNUMBER(FC31:FC227),ROW(FC31:FC227),"")))</f>
        <v>0</v>
      </c>
      <c r="FE31" s="118" t="n">
        <f aca="false">IF('Données projet'!$A$218&gt;35,FE30+FD31-FM30,IF(A31&lt;'Données projet'!$A$218,$FB$205^A31,IF(A31='Données projet'!$A$218,'Données projet'!$B$218,FE30+FD31-FM30)))</f>
        <v>0</v>
      </c>
      <c r="FF31" s="125" t="e">
        <f aca="false">FE31*VLOOKUP('Données projet'!$B$16,Paramètres!$A$1:$I$89,3,0)*VLOOKUP('Données projet'!$B$16,Paramètres!$A$1:$I$89,5,0)</f>
        <v>#N/A</v>
      </c>
      <c r="FG31" s="117" t="e">
        <f aca="false">EXP(-1.0587+0.8836*LN(FF31)+0.284)</f>
        <v>#N/A</v>
      </c>
      <c r="FH31" s="128" t="e">
        <f aca="false">(FF31+FG31)*0.475*44/12</f>
        <v>#N/A</v>
      </c>
      <c r="FI31" s="120" t="e">
        <f aca="false">FH31+(EZ31+FA31)*44/12</f>
        <v>#N/A</v>
      </c>
      <c r="FJ31" s="120" t="e">
        <f aca="true">AVERAGE(OFFSET($FI$3,0,0,'Données projet'!$E$16+1,1))-AVERAGE(OFFSET($H$3,0,0,'Données projet'!$E$16+1,1))</f>
        <v>#N/A</v>
      </c>
      <c r="FK31" s="120" t="e">
        <f aca="false">$FK$3</f>
        <v>#N/A</v>
      </c>
      <c r="FL31" s="121" t="n">
        <f aca="false">IF(ISNA(VLOOKUP(A31,'Données projet'!$A$217:$I$237,3,0)),0,VLOOKUP(A31,'Données projet'!$A$217:$I$237,3,0))</f>
        <v>0</v>
      </c>
      <c r="FM31" s="121" t="n">
        <f aca="false">IF(ISNA(VLOOKUP(A31,'Données projet'!$A$217:$I$237,4,0)),0,VLOOKUP(A31,'Données projet'!$A$217:$I$237,4,0))</f>
        <v>0</v>
      </c>
      <c r="FN31" s="122" t="n">
        <f aca="false">IF(ISNA(VLOOKUP(A31,'Données projet'!$A$217:$I$237,5,0)),0%,VLOOKUP(A31,'Données projet'!$A$217:$I$237,5,0)*VLOOKUP('Données projet'!$B$16,Paramètres!$A$1:$I$89,7,0))</f>
        <v>0</v>
      </c>
      <c r="FO31" s="122" t="n">
        <f aca="false">IF(ISNA(VLOOKUP(A31,'Données projet'!$A$217:$I$237,6,0)),0%,VLOOKUP(A31,'Données projet'!$A$217:$I$237,6,0)*VLOOKUP('Données projet'!$B$16,Paramètres!$A$1:$I$89,7,0))</f>
        <v>0</v>
      </c>
      <c r="FP31" s="122" t="n">
        <f aca="false">IF(ISNA(VLOOKUP(A31,'Données projet'!$A$217:$I$237,7,0)),0%,VLOOKUP(A31,'Données projet'!$A$217:$I$237,7,0))</f>
        <v>0</v>
      </c>
      <c r="FQ31" s="129" t="e">
        <f aca="false">EXP(-LN(2)/35)*FQ30+(1-EXP(-LN(2)/35))/(LN(2)/35)*FM31*FN31*VLOOKUP('Données projet'!$B$16,Paramètres!$A$1:$I$89,3,0)*0.475*44/12</f>
        <v>#N/A</v>
      </c>
      <c r="FR31" s="129" t="e">
        <f aca="false">EXP(-LN(2)/25)*FR30+(1-EXP(-LN(2)/25))/(LN(2)/25)*Calculateur!FM31*Calculateur!FO31*VLOOKUP('Données projet'!$B$16,Paramètres!$A$1:$I$89,3,0)*0.475*44/12</f>
        <v>#N/A</v>
      </c>
      <c r="FS31" s="129" t="e">
        <f aca="false">EXP(-LN(2)/2)*FS30+(1-EXP(-LN(2)/2))/(LN(2)/2)*FM31*FP31*VLOOKUP('Données projet'!$B$16,Paramètres!$A$1:$I$89,3,0)*0.475*44/12</f>
        <v>#N/A</v>
      </c>
      <c r="FT31" s="130" t="e">
        <f aca="false">SUM(FQ31:FS31)</f>
        <v>#N/A</v>
      </c>
      <c r="FU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FW31" s="118" t="e">
        <f aca="false">VLOOKUP(A31,'Données projet'!$A$243:$I$263,2,0)</f>
        <v>#N/A</v>
      </c>
      <c r="FX31" s="118" t="e">
        <f aca="false">VLOOKUP(A31,'Données projet'!$A$243:$I$263,9,0)</f>
        <v>#N/A</v>
      </c>
      <c r="FY31" s="118" t="n">
        <f aca="false" t="array" ref="FY31:FY31">INDEX(FX:FX,MIN(IF(ISNUMBER(FX31:FX227),ROW(FX31:FX227),"")))</f>
        <v>0</v>
      </c>
      <c r="FZ31" s="118" t="n">
        <f aca="false">IF('Données projet'!$A$244&gt;35,FZ30+FY31-GH30,IF(A31&lt;'Données projet'!$A$244,$FW$205^A31,IF(A31='Données projet'!$A$244,'Données projet'!$B$244,FZ30+FY31-GH30)))</f>
        <v>0</v>
      </c>
      <c r="GA31" s="125" t="e">
        <f aca="false">FZ31*VLOOKUP('Données projet'!$B$17,Paramètres!$A$1:$I$89,3,0)*VLOOKUP('Données projet'!$B$17,Paramètres!$A$1:$I$89,5,0)</f>
        <v>#N/A</v>
      </c>
      <c r="GB31" s="117" t="e">
        <f aca="false">EXP(-1.0587+0.8836*LN(GA31)+0.284)</f>
        <v>#N/A</v>
      </c>
      <c r="GC31" s="128" t="e">
        <f aca="false">(GA31+GB31)*0.475*44/12</f>
        <v>#N/A</v>
      </c>
      <c r="GD31" s="120" t="e">
        <f aca="false">GC31+(FU31+FV31)*44/12</f>
        <v>#N/A</v>
      </c>
      <c r="GE31" s="120" t="e">
        <f aca="true">AVERAGE(OFFSET($GD$3,0,0,'Données projet'!$E$17+1,1))-AVERAGE(OFFSET($H$3,0,0,'Données projet'!$E$17+1,1))</f>
        <v>#N/A</v>
      </c>
      <c r="GF31" s="120" t="e">
        <f aca="false">$GF$3</f>
        <v>#N/A</v>
      </c>
      <c r="GG31" s="121" t="n">
        <f aca="false">IF(ISNA(VLOOKUP(A31,'Données projet'!$A$243:$I$263,3,0)),0,VLOOKUP(A31,'Données projet'!$A$243:$I$263,3,0))</f>
        <v>0</v>
      </c>
      <c r="GH31" s="121" t="n">
        <f aca="false">IF(ISNA(VLOOKUP(A31,'Données projet'!$A$243:$I$263,4,0)),0,VLOOKUP(A31,'Données projet'!$A$243:$I$263,4,0))</f>
        <v>0</v>
      </c>
      <c r="GI31" s="122" t="n">
        <f aca="false">IF(ISNA(VLOOKUP(A31,'Données projet'!$A$243:$I$263,5,0)),0%,VLOOKUP(A31,'Données projet'!$A$243:$I$263,5,0)*VLOOKUP('Données projet'!$B$17,Paramètres!$A$1:$I$89,7,0))</f>
        <v>0</v>
      </c>
      <c r="GJ31" s="122" t="n">
        <f aca="false">IF(ISNA(VLOOKUP(A31,'Données projet'!$A$243:$I$263,6,0)),0%,VLOOKUP(A31,'Données projet'!$A$243:$I$263,6,0)*VLOOKUP('Données projet'!$B$17,Paramètres!$A$1:$I$89,7,0))</f>
        <v>0</v>
      </c>
      <c r="GK31" s="122" t="n">
        <f aca="false">IF(ISNA(VLOOKUP(A31,'Données projet'!$A$243:$I$263,7,0)),0%,VLOOKUP(A31,'Données projet'!$A$243:$I$263,7,0))</f>
        <v>0</v>
      </c>
      <c r="GL31" s="129" t="e">
        <f aca="false">EXP(-LN(2)/35)*GL30+(1-EXP(-LN(2)/35))/(LN(2)/35)*GH31*GI31*VLOOKUP('Données projet'!$B$17,Paramètres!$A$1:$I$89,3,0)*0.475*44/12</f>
        <v>#N/A</v>
      </c>
      <c r="GM31" s="129" t="e">
        <f aca="false">EXP(-LN(2)/25)*GM30+(1-EXP(-LN(2)/25))/(LN(2)/25)*Calculateur!GH31*Calculateur!GJ31*VLOOKUP('Données projet'!$B$17,Paramètres!$A$1:$I$89,3,0)*0.475*44/12</f>
        <v>#N/A</v>
      </c>
      <c r="GN31" s="129" t="e">
        <f aca="false">EXP(-LN(2)/2)*GN30+(1-EXP(-LN(2)/2))/(LN(2)/2)*GH31*GK31*VLOOKUP('Données projet'!$B$17,Paramètres!$A$1:$I$89,3,0)*0.475*44/12</f>
        <v>#N/A</v>
      </c>
      <c r="GO31" s="129" t="e">
        <f aca="false">SUM(GL31:GN31)</f>
        <v>#N/A</v>
      </c>
      <c r="GP31" s="126" t="n">
        <f aca="false"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8" t="n">
        <f aca="false">IF(A31&gt;30,10,('Scénario référence'!$B$16+'Scénario référence'!$B$17+'Scénario référence'!$B$18+'Scénario référence'!$B$9+'Scénario référence'!$B$10)*A31*10/30+('Scénario référence'!$F$8+'Scénario référence'!$F$9)*10)</f>
        <v>9.33333333333333</v>
      </c>
      <c r="GR31" s="118" t="e">
        <f aca="false">VLOOKUP(A31,'Données projet'!$A$269:$I$289,2,0)</f>
        <v>#N/A</v>
      </c>
      <c r="GS31" s="118" t="e">
        <f aca="false">VLOOKUP(A31,'Données projet'!$A$269:$I$289,9,0)</f>
        <v>#N/A</v>
      </c>
      <c r="GT31" s="118" t="n">
        <f aca="false" t="array" ref="GT31:GT31">INDEX(GS:GS,MIN(IF(ISNUMBER(GS31:GS227),ROW(GS31:GS227),"")))</f>
        <v>0</v>
      </c>
      <c r="GU31" s="118" t="n">
        <f aca="false">IF('Données projet'!$A$270&gt;35,GU30+GT31-HC30,IF(A31&lt;'Données projet'!$A$270,$GR$205^A31,IF(A31='Données projet'!$A$270,'Données projet'!$B$270,GU30+GT31-HC30)))</f>
        <v>0</v>
      </c>
      <c r="GV31" s="125" t="e">
        <f aca="false">GU31*VLOOKUP('Données projet'!$B$18,Paramètres!$A$1:$I$89,3,0)*VLOOKUP('Données projet'!$B$18,Paramètres!$A$1:$I$89,5,0)</f>
        <v>#N/A</v>
      </c>
      <c r="GW31" s="117" t="e">
        <f aca="false">EXP(-1.0587+0.8836*LN(GV31)+0.284)</f>
        <v>#N/A</v>
      </c>
      <c r="GX31" s="128" t="e">
        <f aca="false">(GV31+GW31)*0.475*44/12</f>
        <v>#N/A</v>
      </c>
      <c r="GY31" s="120" t="e">
        <f aca="false">GX31+(GP31+GQ31)*44/12</f>
        <v>#N/A</v>
      </c>
      <c r="GZ31" s="120" t="e">
        <f aca="true">AVERAGE(OFFSET($GY$3,0,0,'Données projet'!$E$18+1,1))-AVERAGE(OFFSET($H$3,0,0,'Données projet'!$E$18+1,1))</f>
        <v>#N/A</v>
      </c>
      <c r="HA31" s="120" t="e">
        <f aca="false">$HA$3</f>
        <v>#N/A</v>
      </c>
      <c r="HB31" s="121" t="n">
        <f aca="false">IF(ISNA(VLOOKUP(A31,'Données projet'!$A$269:$I$289,3,0)),0,VLOOKUP(A31,'Données projet'!$A$269:$I$289,3,0))</f>
        <v>0</v>
      </c>
      <c r="HC31" s="121" t="n">
        <f aca="false">IF(ISNA(VLOOKUP(A31,'Données projet'!$A$269:$I$289,4,0)),0,VLOOKUP(A31,'Données projet'!$A$269:$I$289,4,0))</f>
        <v>0</v>
      </c>
      <c r="HD31" s="122" t="n">
        <f aca="false">IF(ISNA(VLOOKUP(A31,'Données projet'!$A$269:$I$289,5,0)),0%,VLOOKUP(A31,'Données projet'!$A$269:$I$289,5,0)*VLOOKUP('Données projet'!$B$18,Paramètres!$A$1:$I$89,7,0))</f>
        <v>0</v>
      </c>
      <c r="HE31" s="122" t="n">
        <f aca="false">IF(ISNA(VLOOKUP(A31,'Données projet'!$A$269:$I$289,6,0)),0%,VLOOKUP(A31,'Données projet'!$A$269:$I$289,6,0)*VLOOKUP('Données projet'!$B$18,Paramètres!$A$1:$I$89,7,0))</f>
        <v>0</v>
      </c>
      <c r="HF31" s="122" t="n">
        <f aca="false">IF(ISNA(VLOOKUP(A31,'Données projet'!$A$269:$I$289,7,0)),0%,VLOOKUP(A31,'Données projet'!$A$269:$I$289,7,0))</f>
        <v>0</v>
      </c>
      <c r="HG31" s="129" t="e">
        <f aca="false">EXP(-LN(2)/35)*HG30+(1-EXP(-LN(2)/35))/(LN(2)/35)*HC31*HD31*VLOOKUP('Données projet'!$B$18,Paramètres!$A$1:$I$89,3,0)*0.475*44/12</f>
        <v>#N/A</v>
      </c>
      <c r="HH31" s="129" t="e">
        <f aca="false">EXP(-LN(2)/25)*HH30+(1-EXP(-LN(2)/25))/(LN(2)/25)*Calculateur!HC31*Calculateur!HE31*VLOOKUP('Données projet'!$B$18,Paramètres!$A$1:$I$89,3,0)*0.475*44/12</f>
        <v>#N/A</v>
      </c>
      <c r="HI31" s="129" t="e">
        <f aca="false">EXP(-LN(2)/2)*HI30+(1-EXP(-LN(2)/2))/(LN(2)/2)*HC31*HF31*VLOOKUP('Données projet'!$B$18,Paramètres!$A$1:$I$89,3,0)*0.475*44/12</f>
        <v>#N/A</v>
      </c>
      <c r="HJ31" s="130" t="e">
        <f aca="false">SUM(HG31:HI31)</f>
        <v>#N/A</v>
      </c>
    </row>
    <row r="32" customFormat="false" ht="14.25" hidden="false" customHeight="false" outlineLevel="0" collapsed="false">
      <c r="A32" s="112" t="n">
        <f aca="false">A31+1</f>
        <v>29</v>
      </c>
      <c r="B32" s="113" t="n">
        <f aca="false">'Scénario référence'!$B$16*5+'Scénario référence'!$B$17*0+'Scénario référence'!$B$18*5</f>
        <v>0</v>
      </c>
      <c r="C32" s="127" t="n">
        <f aca="false"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4" t="n">
        <f aca="false">IFERROR(EXP(-1.0587+0.8836*LN(C32)+0.284),0)</f>
        <v>0</v>
      </c>
      <c r="E3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2" s="114" t="n">
        <f aca="false">IF(OR('Scénario référence'!$F$8&gt;0,'Scénario référence'!$F$9&gt;0),('Scénario référence'!$F$8+'Scénario référence'!$F$9)*10,0)</f>
        <v>0</v>
      </c>
      <c r="G32" s="114" t="n">
        <f aca="false"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15" t="n">
        <f aca="false">(B32+E32+F32)*44/12+(C32+D32)*0.475*44/12</f>
        <v>256.666666666667</v>
      </c>
      <c r="I32" s="11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7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K32" s="118" t="e">
        <f aca="false">VLOOKUP(A32,'Données projet'!$A$35:$I$55,2,0)</f>
        <v>#N/A</v>
      </c>
      <c r="L32" s="118" t="e">
        <f aca="false">VLOOKUP(A32,'Données projet'!$A$35:$I$55,9,0)</f>
        <v>#N/A</v>
      </c>
      <c r="M32" s="118" t="n">
        <f aca="false" t="array" ref="M32:M32">INDEX(L:L,MIN(IF(ISNUMBER(L32:L228),ROW(L32:L228),"")))</f>
        <v>9.2</v>
      </c>
      <c r="N32" s="117" t="n">
        <f aca="false">IF('Données projet'!$A$36&gt;35,N31+M32-V31,IF(A32&lt;'Données projet'!$A$36,$K$205^A32,IF(A32='Données projet'!$A$36,'Données projet'!$B$36,N31+M32-V31)))</f>
        <v>201.3</v>
      </c>
      <c r="O32" s="117" t="n">
        <f aca="false">N32*VLOOKUP('Données projet'!$B$9,Paramètres!$A$1:$I$89,3,0)*VLOOKUP('Données projet'!$B$9,Paramètres!$A$1:$I$89,5,0)</f>
        <v>94.2084</v>
      </c>
      <c r="P32" s="117" t="n">
        <f aca="false">EXP(-1.0587+0.8836*LN(O32)+0.284)</f>
        <v>25.5774744869434</v>
      </c>
      <c r="Q32" s="128" t="n">
        <f aca="false">(O32+P32)*0.475*44/12</f>
        <v>208.627064731426</v>
      </c>
      <c r="R32" s="120" t="n">
        <f aca="false">Q32+(I32+J32)*44/12</f>
        <v>500.738175842538</v>
      </c>
      <c r="S32" s="120" t="n">
        <f aca="true">AVERAGE(OFFSET($R$3,0,0,'Données projet'!$E$9+1,1))-AVERAGE(OFFSET($H$3,0,0,'Données projet'!$E$9+1,1))</f>
        <v>319.229030946746</v>
      </c>
      <c r="T32" s="120" t="n">
        <f aca="false">$T$3</f>
        <v>254.586909731428</v>
      </c>
      <c r="U32" s="121" t="n">
        <f aca="false">IF(ISNA(VLOOKUP(A32,'Données projet'!$A$35:$I$55,3,0)),0,VLOOKUP(A32,'Données projet'!$A$35:$I$55,3,0))</f>
        <v>0</v>
      </c>
      <c r="V32" s="121" t="n">
        <f aca="false">IF(ISNA(VLOOKUP(A32,'Données projet'!$A$35:$I$55,4,0)),0,VLOOKUP(A32,'Données projet'!$A$35:$I$55,4,0))</f>
        <v>0</v>
      </c>
      <c r="W32" s="122" t="n">
        <f aca="false">IF(ISNA(VLOOKUP(A32,'Données projet'!$A$35:$I$55,5,0)),0%,VLOOKUP(A32,'Données projet'!$A$35:$I$55,5,0)*VLOOKUP('Données projet'!$B$9,Paramètres!$A$1:$I$89,7,0))</f>
        <v>0</v>
      </c>
      <c r="X32" s="122" t="n">
        <f aca="false">IF(ISNA(VLOOKUP(A32,'Données projet'!$A$35:$I$55,6,0)),0%,VLOOKUP(A32,'Données projet'!$A$35:$I$55,6,0)*VLOOKUP('Données projet'!$B$9,Paramètres!$A$1:$I$89,7,0))</f>
        <v>0</v>
      </c>
      <c r="Y32" s="122" t="n">
        <f aca="false">IF(ISNA(VLOOKUP(A32,'Données projet'!$A$35:$I$55,7,0)),0%,VLOOKUP(A32,'Données projet'!$A$35:$I$55,7,0))</f>
        <v>0</v>
      </c>
      <c r="Z32" s="129" t="n">
        <f aca="false">EXP(-LN(2)/35)*Z31+(1-EXP(-LN(2)/35))/(LN(2)/35)*V32*W32*VLOOKUP('Données projet'!$B$9,Paramètres!$A$1:$I$89,3,0)*0.475*44/12</f>
        <v>2.25712846173482</v>
      </c>
      <c r="AA32" s="129" t="n">
        <f aca="false">EXP(-LN(2)/25)*AA31+(1-EXP(-LN(2)/25))/(LN(2)/25)*Calculateur!V32*Calculateur!X32*VLOOKUP('Données projet'!$B$9,Paramètres!$A$1:$I$89,3,0)*0.475*44/12</f>
        <v>2.09353310953802</v>
      </c>
      <c r="AB32" s="129" t="n">
        <f aca="false">EXP(-LN(2)/2)*AB31+(1-EXP(-LN(2)/2))/(LN(2)/2)*V32*Y32*VLOOKUP('Données projet'!$B$9,Paramètres!$A$1:$I$89,3,0)*0.475*44/12</f>
        <v>0.555002267928835</v>
      </c>
      <c r="AC32" s="130" t="n">
        <f aca="false">SUM(Z32:AB32)</f>
        <v>4.90566383920168</v>
      </c>
      <c r="AD32" s="117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7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AF32" s="118" t="e">
        <f aca="false">VLOOKUP(A32,'Données projet'!$A$61:$I$81,2,0)</f>
        <v>#N/A</v>
      </c>
      <c r="AG32" s="118" t="e">
        <f aca="false">VLOOKUP(A32,'Données projet'!$A$61:$I$81,9,0)</f>
        <v>#N/A</v>
      </c>
      <c r="AH32" s="118" t="n">
        <f aca="false" t="array" ref="AH32:AH32">INDEX(AG:AG,MIN(IF(ISNUMBER(AG32:AG228),ROW(AG32:AG228),"")))</f>
        <v>24.8</v>
      </c>
      <c r="AI32" s="117" t="n">
        <f aca="false">IF('Données projet'!$A$62&gt;35,AI31+AH32-AQ31,IF(A32&lt;'Données projet'!$A$62,$AF$205^A32,IF(A32='Données projet'!$A$62,'Données projet'!$B$62,AI31+AH32-AQ31)))</f>
        <v>303.2</v>
      </c>
      <c r="AJ32" s="117" t="n">
        <f aca="false">AI32*VLOOKUP('Données projet'!$B$10,Paramètres!$A$1:$I$89,3,0)*VLOOKUP('Données projet'!$B$10,Paramètres!$A$1:$I$89,5,0)</f>
        <v>169.4888</v>
      </c>
      <c r="AK32" s="117" t="n">
        <f aca="false">EXP(-1.0587+0.8836*LN(AJ32)+0.284)</f>
        <v>42.9755117309497</v>
      </c>
      <c r="AL32" s="128" t="n">
        <f aca="false">(AJ32+AK32)*0.475*44/12</f>
        <v>370.042009598071</v>
      </c>
      <c r="AM32" s="120" t="n">
        <f aca="false">AL32+(AD32+AE32)*44/12</f>
        <v>662.153120709182</v>
      </c>
      <c r="AN32" s="120" t="n">
        <f aca="true">AVERAGE(OFFSET($AM$3,0,0,'Données projet'!$E$10+1,1))-AVERAGE(OFFSET($H$3,0,0,'Données projet'!$E$10+1,1))</f>
        <v>365.705101827279</v>
      </c>
      <c r="AO32" s="120" t="n">
        <f aca="false">$AO$3</f>
        <v>436.238338449625</v>
      </c>
      <c r="AP32" s="121" t="n">
        <f aca="false">IF(ISNA(VLOOKUP(A32,'Données projet'!$A$61:$I$81,3,0)),0,VLOOKUP(A32,'Données projet'!$A$61:$I$81,3,0))</f>
        <v>0</v>
      </c>
      <c r="AQ32" s="121" t="n">
        <f aca="false">IF(ISNA(VLOOKUP(A32,'Données projet'!$A$61:$I$81,4,0)),0,VLOOKUP(A32,'Données projet'!$A$61:$I$81,4,0))</f>
        <v>0</v>
      </c>
      <c r="AR32" s="122" t="n">
        <f aca="false">IF(ISNA(VLOOKUP(A32,'Données projet'!$A$61:$I$81,5,0)),0%,VLOOKUP(A32,'Données projet'!$A$61:$I$81,5,0)*VLOOKUP('Données projet'!$B$10,Paramètres!$A$1:$I$89,7,0))</f>
        <v>0</v>
      </c>
      <c r="AS32" s="122" t="n">
        <f aca="false">IF(ISNA(VLOOKUP(A32,'Données projet'!$A$61:$I$81,6,0)),0%,VLOOKUP(A32,'Données projet'!$A$61:$I$81,6,0)*VLOOKUP('Données projet'!$B$10,Paramètres!$A$1:$I$89,7,0))</f>
        <v>0</v>
      </c>
      <c r="AT32" s="122" t="n">
        <f aca="false">IF(ISNA(VLOOKUP(A32,'Données projet'!$A$61:$I$81,7,0)),0%,VLOOKUP(A32,'Données projet'!$A$61:$I$81,7,0))</f>
        <v>0</v>
      </c>
      <c r="AU32" s="129" t="n">
        <f aca="false">EXP(-LN(2)/35)*AU31+(1-EXP(-LN(2)/35))/(LN(2)/35)*AQ32*AR32*VLOOKUP('Données projet'!$B$10,Paramètres!$A$1:$I$89,3,0)*0.475*44/12</f>
        <v>0</v>
      </c>
      <c r="AV32" s="129" t="n">
        <f aca="false">EXP(-LN(2)/25)*AV31+(1-EXP(-LN(2)/25))/(LN(2)/25)*Calculateur!AQ32*Calculateur!AS32*VLOOKUP('Données projet'!$B$10,Paramètres!$A$1:$I$89,3,0)*0.475*44/12</f>
        <v>3.05424577956331</v>
      </c>
      <c r="AW32" s="129" t="n">
        <f aca="false">EXP(-LN(2)/2)*AW31+(1-EXP(-LN(2)/2))/(LN(2)/2)*AQ32*AT32*VLOOKUP('Données projet'!$B$10,Paramètres!$A$1:$I$89,3,0)*0.475*44/12</f>
        <v>0.886084996044212</v>
      </c>
      <c r="AX32" s="129" t="n">
        <f aca="false">SUM(AU32:AW32)</f>
        <v>3.94033077560753</v>
      </c>
      <c r="AY32" s="124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BA32" s="118" t="e">
        <f aca="false">VLOOKUP(A32,'Données projet'!$A$87:$I$107,2,0)</f>
        <v>#N/A</v>
      </c>
      <c r="BB32" s="118" t="e">
        <f aca="false">VLOOKUP(A32,'Données projet'!$A$87:$I$107,9,0)</f>
        <v>#N/A</v>
      </c>
      <c r="BC32" s="118" t="n">
        <f aca="false" t="array" ref="BC32:BC32">INDEX(BB:BB,MIN(IF(ISNUMBER(BB32:BB228),ROW(BB32:BB228),"")))</f>
        <v>13</v>
      </c>
      <c r="BD32" s="118" t="n">
        <f aca="false">IF('Données projet'!$A$88&gt;35,BD31+BC32-BL31,IF(A32&lt;'Données projet'!$A$88,$BA$205^A32,IF(A32='Données projet'!$A$88,'Données projet'!$B$88,BD31+BC32-BL31)))</f>
        <v>171</v>
      </c>
      <c r="BE32" s="117" t="n">
        <f aca="false">BD32*VLOOKUP('Données projet'!$B$11,Paramètres!$A$1:$I$89,3,0)*VLOOKUP('Données projet'!$B$11,Paramètres!$A$1:$I$89,5,0)</f>
        <v>149.3856</v>
      </c>
      <c r="BF32" s="117" t="n">
        <f aca="false">EXP(-1.0587+0.8836*LN(BE32)+0.284)</f>
        <v>38.4389276805996</v>
      </c>
      <c r="BG32" s="128" t="n">
        <f aca="false">(BE32+BF32)*0.475*44/12</f>
        <v>327.127719043711</v>
      </c>
      <c r="BH32" s="120" t="n">
        <f aca="false">BG32+(AY32+AZ32)*44/12</f>
        <v>619.238830154822</v>
      </c>
      <c r="BI32" s="120" t="n">
        <f aca="true">AVERAGE(OFFSET($BH$3,0,0,'Données projet'!$E$11+1,1))-AVERAGE(OFFSET($H$3,0,0,'Données projet'!$E$11+1,1))</f>
        <v>321.235999689929</v>
      </c>
      <c r="BJ32" s="120" t="n">
        <f aca="false">$BJ$3</f>
        <v>388.051958478005</v>
      </c>
      <c r="BK32" s="121" t="n">
        <f aca="false">IF(ISNA(VLOOKUP(A32,'Données projet'!$A$87:$I$107,3,0)),0,VLOOKUP(A32,'Données projet'!$A$87:$I$107,3,0))</f>
        <v>0</v>
      </c>
      <c r="BL32" s="121" t="n">
        <f aca="false">IF(ISNA(VLOOKUP(A32,'Données projet'!$A$87:$I$107,4,0)),0,VLOOKUP(A32,'Données projet'!$A$87:$I$107,4,0))</f>
        <v>0</v>
      </c>
      <c r="BM32" s="122" t="n">
        <f aca="false">IF(ISNA(VLOOKUP(A32,'Données projet'!$A$87:$I$107,5,0)),0%,VLOOKUP(A32,'Données projet'!$A$87:$I$107,5,0)*VLOOKUP('Données projet'!$B$11,Paramètres!$A$1:$I$89,7,0))</f>
        <v>0</v>
      </c>
      <c r="BN32" s="122" t="n">
        <f aca="false">IF(ISNA(VLOOKUP(A32,'Données projet'!$A$87:$I$107,6,0)),0%,VLOOKUP(A32,'Données projet'!$A$87:$I$107,6,0)*VLOOKUP('Données projet'!$B$11,Paramètres!$A$1:$I$89,7,0))</f>
        <v>0</v>
      </c>
      <c r="BO32" s="122" t="n">
        <f aca="false">IF(ISNA(VLOOKUP(A32,'Données projet'!$A$87:$I$107,7,0)),0%,VLOOKUP(A32,'Données projet'!$A$87:$I$107,7,0))</f>
        <v>0</v>
      </c>
      <c r="BP32" s="129" t="n">
        <f aca="false">EXP(-LN(2)/35)*BP31+(1-EXP(-LN(2)/35))/(LN(2)/35)*BL32*BM32*VLOOKUP('Données projet'!$B$11,Paramètres!$A$1:$I$89,3,0)*0.475*44/12</f>
        <v>3.18215130896068</v>
      </c>
      <c r="BQ32" s="129" t="n">
        <f aca="false">EXP(-LN(2)/25)*BQ31+(1-EXP(-LN(2)/25))/(LN(2)/25)*Calculateur!BL32*Calculateur!BN32*VLOOKUP('Données projet'!$B$11,Paramètres!$A$1:$I$89,3,0)*0.475*44/12</f>
        <v>8.24766206834953</v>
      </c>
      <c r="BR32" s="129" t="n">
        <f aca="false">EXP(-LN(2)/2)*BR31+(1-EXP(-LN(2)/2))/(LN(2)/2)*BL32*BO32*VLOOKUP('Données projet'!$B$11,Paramètres!$A$1:$I$89,3,0)*0.475*44/12</f>
        <v>3.41424707850601</v>
      </c>
      <c r="BS32" s="130" t="n">
        <f aca="false">SUM(BP32:BR32)</f>
        <v>14.8440604558162</v>
      </c>
      <c r="BT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BV32" s="118" t="e">
        <f aca="false">VLOOKUP(A32,'Données projet'!$A$113:$I$133,2,0)</f>
        <v>#N/A</v>
      </c>
      <c r="BW32" s="118" t="e">
        <f aca="false">VLOOKUP(A32,'Données projet'!$A$113:$I$133,9,0)</f>
        <v>#N/A</v>
      </c>
      <c r="BX32" s="118" t="n">
        <f aca="false" t="array" ref="BX32:BX32">INDEX(BW:BW,MIN(IF(ISNUMBER(BW32:BW228),ROW(BW32:BW228),"")))</f>
        <v>14.1666666666667</v>
      </c>
      <c r="BY32" s="118" t="n">
        <f aca="false">IF('Données projet'!$A$114&gt;35,BY31+BX32-CG31,IF(A32&lt;'Données projet'!$A$114,$BV$205^A32,IF(A32='Données projet'!$A$114,'Données projet'!$B$114,BY31+BX32-CG31)))</f>
        <v>209.833333333333</v>
      </c>
      <c r="BZ32" s="117" t="n">
        <f aca="false">BY32*VLOOKUP('Données projet'!$B$12,Paramètres!$A$1:$I$89,3,0)*VLOOKUP('Données projet'!$B$12,Paramètres!$A$1:$I$89,5,0)</f>
        <v>130.936</v>
      </c>
      <c r="CA32" s="117" t="n">
        <f aca="false">EXP(-1.0587+0.8836*LN(BZ32)+0.284)</f>
        <v>34.2125510617663</v>
      </c>
      <c r="CB32" s="128" t="n">
        <f aca="false">(BZ32+CA32)*0.475*44/12</f>
        <v>287.633726432576</v>
      </c>
      <c r="CC32" s="120" t="n">
        <f aca="false">CB32+(BT32+BU32)*44/12</f>
        <v>579.744837543687</v>
      </c>
      <c r="CD32" s="120" t="n">
        <f aca="true">AVERAGE(OFFSET($CC$3,0,0,'Données projet'!$E$12+1,1))-AVERAGE(OFFSET($H$3,0,0,'Données projet'!$E$12+1,1))</f>
        <v>240.228848647662</v>
      </c>
      <c r="CE32" s="120" t="n">
        <f aca="false">$CE$3</f>
        <v>343.237768841432</v>
      </c>
      <c r="CF32" s="121" t="n">
        <f aca="false">IF(ISNA(VLOOKUP(A32,'Données projet'!$A$113:$I$133,3,0)),0,VLOOKUP(A32,'Données projet'!$A$113:$I$133,3,0))</f>
        <v>0</v>
      </c>
      <c r="CG32" s="121" t="n">
        <f aca="false">IF(ISNA(VLOOKUP(A32,'Données projet'!$A$113:$I$133,4,0)),0,VLOOKUP(A32,'Données projet'!$A$113:$I$133,4,0))</f>
        <v>0</v>
      </c>
      <c r="CH32" s="122" t="n">
        <f aca="false">IF(ISNA(VLOOKUP(A32,'Données projet'!$A$113:$I$133,5,0)),0%,VLOOKUP(A32,'Données projet'!$A$113:$I$133,5,0)*VLOOKUP('Données projet'!$B$12,Paramètres!$A$1:$I$89,7,0))</f>
        <v>0</v>
      </c>
      <c r="CI32" s="122" t="n">
        <f aca="false">IF(ISNA(VLOOKUP(A32,'Données projet'!$A$113:$I$133,6,0)),0%,VLOOKUP(A32,'Données projet'!$A$113:$I$133,6,0)*VLOOKUP('Données projet'!$B$12,Paramètres!$A$1:$I$89,7,0))</f>
        <v>0</v>
      </c>
      <c r="CJ32" s="122" t="n">
        <f aca="false">IF(ISNA(VLOOKUP(A32,'Données projet'!$A$113:$I$133,7,0)),0%,VLOOKUP(A32,'Données projet'!$A$113:$I$133,7,0))</f>
        <v>0</v>
      </c>
      <c r="CK32" s="129" t="n">
        <f aca="false">EXP(-LN(2)/35)*CK31+(1-EXP(-LN(2)/35))/(LN(2)/35)*CG32*CH32*VLOOKUP('Données projet'!$B$12,Paramètres!$A$1:$I$89,3,0)*0.475*44/12</f>
        <v>0</v>
      </c>
      <c r="CL32" s="129" t="n">
        <f aca="false">EXP(-LN(2)/25)*CL31+(1-EXP(-LN(2)/25))/(LN(2)/25)*Calculateur!CG32*Calculateur!CI32*VLOOKUP('Données projet'!$B$12,Paramètres!$A$1:$I$89,3,0)*0.475*44/12</f>
        <v>8.30546470659743</v>
      </c>
      <c r="CM32" s="129" t="n">
        <f aca="false">EXP(-LN(2)/2)*CM31+(1-EXP(-LN(2)/2))/(LN(2)/2)*CG32*CJ32*VLOOKUP('Données projet'!$B$12,Paramètres!$A$1:$I$89,3,0)*0.475*44/12</f>
        <v>3.04168226699177</v>
      </c>
      <c r="CN32" s="130" t="n">
        <f aca="false">SUM(CK32:CM32)</f>
        <v>11.3471469735892</v>
      </c>
      <c r="CO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CQ32" s="118" t="e">
        <f aca="false">VLOOKUP(A32,'Données projet'!$A$139:$I$159,2,0)</f>
        <v>#N/A</v>
      </c>
      <c r="CR32" s="118" t="e">
        <f aca="false">VLOOKUP(A32,'Données projet'!$A$139:$I$159,9,0)</f>
        <v>#N/A</v>
      </c>
      <c r="CS32" s="118" t="n">
        <f aca="false" t="array" ref="CS32:CS32">INDEX(CR:CR,MIN(IF(ISNUMBER(CR32:CR228),ROW(CR32:CR228),"")))</f>
        <v>16.6666666666667</v>
      </c>
      <c r="CT32" s="118" t="n">
        <f aca="false">IF('Données projet'!$A$140&gt;35,CT31+CS32-DB31,IF(A32&lt;'Données projet'!$A$140,$CQ$205^A32,IF(A32='Données projet'!$A$140,'Données projet'!$B$140,CT31+CS32-DB31)))</f>
        <v>238.333333333333</v>
      </c>
      <c r="CU32" s="125" t="n">
        <f aca="false">CT32*VLOOKUP('Données projet'!$B$13,Paramètres!$A$1:$I$89,3,0)*VLOOKUP('Données projet'!$B$13,Paramètres!$A$1:$I$89,5,0)</f>
        <v>130.13</v>
      </c>
      <c r="CV32" s="117" t="n">
        <f aca="false">EXP(-1.0587+0.8836*LN(CU32)+0.284)</f>
        <v>34.0263967678256</v>
      </c>
      <c r="CW32" s="128" t="n">
        <f aca="false">(CU32+CV32)*0.475*44/12</f>
        <v>285.90572437063</v>
      </c>
      <c r="CX32" s="120" t="n">
        <f aca="false">CW32+(CO32+CP32)*44/12</f>
        <v>578.016835481741</v>
      </c>
      <c r="CY32" s="120" t="n">
        <f aca="true">AVERAGE(OFFSET($CX$3,0,0,'Données projet'!$E$13+1,1))-AVERAGE(OFFSET($H$3,0,0,'Données projet'!$E$13+1,1))</f>
        <v>207.023069645676</v>
      </c>
      <c r="CZ32" s="120" t="n">
        <f aca="false">$CZ$3</f>
        <v>342.068879333518</v>
      </c>
      <c r="DA32" s="121" t="n">
        <f aca="false">IF(ISNA(VLOOKUP(A32,'Données projet'!$A$139:$I$159,3,0)),0,VLOOKUP(A32,'Données projet'!$A$139:$I$159,3,0))</f>
        <v>0</v>
      </c>
      <c r="DB32" s="121" t="n">
        <f aca="false">IF(ISNA(VLOOKUP(A32,'Données projet'!$A$139:$I$159,4,0)),0,VLOOKUP(A32,'Données projet'!$A$139:$I$159,4,0))</f>
        <v>0</v>
      </c>
      <c r="DC32" s="122" t="n">
        <f aca="false">IF(ISNA(VLOOKUP(A32,'Données projet'!$A$139:$I$159,5,0)),0%,VLOOKUP(A32,'Données projet'!$A$139:$I$159,5,0)*VLOOKUP('Données projet'!$B$13,Paramètres!$A$1:$I$89,7,0))</f>
        <v>0</v>
      </c>
      <c r="DD32" s="122" t="n">
        <f aca="false">IF(ISNA(VLOOKUP(A32,'Données projet'!$A$139:$I$159,6,0)),0%,VLOOKUP(A32,'Données projet'!$A$139:$I$159,6,0)*VLOOKUP('Données projet'!$B$13,Paramètres!$A$1:$I$89,7,0))</f>
        <v>0</v>
      </c>
      <c r="DE32" s="122" t="n">
        <f aca="false">IF(ISNA(VLOOKUP(A32,'Données projet'!$A$139:$I$159,7,0)),0%,VLOOKUP(A32,'Données projet'!$A$139:$I$159,7,0))</f>
        <v>0</v>
      </c>
      <c r="DF32" s="129" t="n">
        <f aca="false">EXP(-LN(2)/35)*DF31+(1-EXP(-LN(2)/35))/(LN(2)/35)*DB32*DC32*VLOOKUP('Données projet'!$B$13,Paramètres!$A$1:$I$89,3,0)*0.475*44/12</f>
        <v>0</v>
      </c>
      <c r="DG32" s="129" t="n">
        <f aca="false">EXP(-LN(2)/25)*DG31+(1-EXP(-LN(2)/25))/(LN(2)/25)*Calculateur!DB32*Calculateur!DD32*VLOOKUP('Données projet'!$B$13,Paramètres!$A$1:$I$89,3,0)*0.475*44/12</f>
        <v>19.719961243262</v>
      </c>
      <c r="DH32" s="129" t="n">
        <f aca="false">EXP(-LN(2)/2)*DH31+(1-EXP(-LN(2)/2))/(LN(2)/2)*DB32*DE32*VLOOKUP('Données projet'!$B$13,Paramètres!$A$1:$I$89,3,0)*0.475*44/12</f>
        <v>5.48351425475335</v>
      </c>
      <c r="DI32" s="130" t="n">
        <f aca="false">SUM(DF32:DH32)</f>
        <v>25.2034754980153</v>
      </c>
      <c r="DJ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DL32" s="118" t="e">
        <f aca="false">VLOOKUP(A32,'Données projet'!$A$165:$I$185,2,0)</f>
        <v>#N/A</v>
      </c>
      <c r="DM32" s="118" t="e">
        <f aca="false">VLOOKUP(A32,'Données projet'!$A$165:$I$185,9,0)</f>
        <v>#N/A</v>
      </c>
      <c r="DN32" s="118" t="n">
        <f aca="false" t="array" ref="DN32:DN32">INDEX(DM:DM,MIN(IF(ISNUMBER(DM32:DM228),ROW(DM32:DM228),"")))</f>
        <v>14.8333333333333</v>
      </c>
      <c r="DO32" s="118" t="n">
        <f aca="false">IF('Données projet'!$A$166&gt;35,DO31+DN32-DW31,IF(A32&lt;'Données projet'!$A$166,$DL$205^A32,IF(A32='Données projet'!$A$166,'Données projet'!$B$166,DO31+DN32-DW31)))</f>
        <v>169.833333333333</v>
      </c>
      <c r="DP32" s="125" t="n">
        <f aca="false">DO32*VLOOKUP('Données projet'!$B$14,Paramètres!$A$1:$I$89,3,0)*VLOOKUP('Données projet'!$B$14,Paramètres!$A$1:$I$89,5,0)</f>
        <v>101.560333333333</v>
      </c>
      <c r="DQ32" s="117" t="n">
        <f aca="false">EXP(-1.0587+0.8836*LN(DP32)+0.284)</f>
        <v>27.3333898213251</v>
      </c>
      <c r="DR32" s="128" t="n">
        <f aca="false">(DP32+DQ32)*0.475*44/12</f>
        <v>224.48990116103</v>
      </c>
      <c r="DS32" s="120" t="n">
        <f aca="false">DR32+(DJ32+DK32)*44/12</f>
        <v>516.601012272141</v>
      </c>
      <c r="DT32" s="120" t="n">
        <f aca="true">AVERAGE(OFFSET($DS$3,0,0,'Données projet'!$E$14+1,1))-AVERAGE(OFFSET($H$3,0,0,'Données projet'!$E$14+1,1))</f>
        <v>549.432320957297</v>
      </c>
      <c r="DU32" s="120" t="n">
        <f aca="false">$DU$3</f>
        <v>280.26155987301</v>
      </c>
      <c r="DV32" s="121" t="n">
        <f aca="false">IF(ISNA(VLOOKUP(A32,'Données projet'!$A$165:$I$185,3,0)),0,VLOOKUP(A32,'Données projet'!$A$165:$I$185,3,0))</f>
        <v>0</v>
      </c>
      <c r="DW32" s="121" t="n">
        <f aca="false">IF(ISNA(VLOOKUP(A32,'Données projet'!$A$165:$I$185,4,0)),0,VLOOKUP(A32,'Données projet'!$A$165:$I$185,4,0))</f>
        <v>0</v>
      </c>
      <c r="DX32" s="122" t="n">
        <f aca="false">IF(ISNA(VLOOKUP(A32,'Données projet'!$A$165:$I$185,5,0)),0%,VLOOKUP(A32,'Données projet'!$A$165:$I$185,5,0)*VLOOKUP('Données projet'!$B$14,Paramètres!$A$1:$I$89,7,0))</f>
        <v>0</v>
      </c>
      <c r="DY32" s="122" t="n">
        <f aca="false">IF(ISNA(VLOOKUP(A32,'Données projet'!$A$165:$I$185,6,0)),0%,VLOOKUP(A32,'Données projet'!$A$165:$I$185,6,0)*VLOOKUP('Données projet'!$B$14,Paramètres!$A$1:$I$89,7,0))</f>
        <v>0</v>
      </c>
      <c r="DZ32" s="122" t="n">
        <f aca="false">IF(ISNA(VLOOKUP(A32,'Données projet'!$A$165:$I$185,7,0)),0%,VLOOKUP(A32,'Données projet'!$A$165:$I$185,7,0))</f>
        <v>0</v>
      </c>
      <c r="EA32" s="129" t="n">
        <f aca="false">EXP(-LN(2)/35)*EA31+(1-EXP(-LN(2)/35))/(LN(2)/35)*DW32*DX32*VLOOKUP('Données projet'!$B$14,Paramètres!$A$1:$I$89,3,0)*0.475*44/12</f>
        <v>2.44984855085615</v>
      </c>
      <c r="EB32" s="129" t="n">
        <f aca="false">EXP(-LN(2)/25)*EB31+(1-EXP(-LN(2)/25))/(LN(2)/25)*Calculateur!DW32*Calculateur!DY32*VLOOKUP('Données projet'!$B$14,Paramètres!$A$1:$I$89,3,0)*0.475*44/12</f>
        <v>7.97154519993992</v>
      </c>
      <c r="EC32" s="129" t="n">
        <f aca="false">EXP(-LN(2)/2)*EC31+(1-EXP(-LN(2)/2))/(LN(2)/2)*DW32*DZ32*VLOOKUP('Données projet'!$B$14,Paramètres!$A$1:$I$89,3,0)*0.475*44/12</f>
        <v>8.65366405381022</v>
      </c>
      <c r="ED32" s="130" t="n">
        <f aca="false">SUM(EA32:EC32)</f>
        <v>19.0750578046063</v>
      </c>
      <c r="EE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EG32" s="118" t="e">
        <f aca="false">VLOOKUP(A32,'Données projet'!$A$191:$I$211,2,0)</f>
        <v>#N/A</v>
      </c>
      <c r="EH32" s="118" t="e">
        <f aca="false">VLOOKUP(A32,'Données projet'!$A$191:$I$211,9,0)</f>
        <v>#N/A</v>
      </c>
      <c r="EI32" s="118" t="n">
        <f aca="false" t="array" ref="EI32:EI32">INDEX(EH:EH,MIN(IF(ISNUMBER(EH32:EH228),ROW(EH32:EH228),"")))</f>
        <v>0</v>
      </c>
      <c r="EJ32" s="118" t="n">
        <f aca="false">IF('Données projet'!$A$192&gt;35,EJ31+EI32-ER31,IF(A32&lt;'Données projet'!$A$192,$EG$205^A32,IF(A32='Données projet'!$A$192,'Données projet'!$B$192,EJ31+EI32-ER31)))</f>
        <v>0</v>
      </c>
      <c r="EK32" s="125" t="e">
        <f aca="false">EJ32*VLOOKUP('Données projet'!$B$15,Paramètres!$A$1:$I$89,3,0)*VLOOKUP('Données projet'!$B$15,Paramètres!$A$1:$I$89,5,0)</f>
        <v>#N/A</v>
      </c>
      <c r="EL32" s="117" t="e">
        <f aca="false">EXP(-1.0587+0.8836*LN(EK32)+0.284)</f>
        <v>#N/A</v>
      </c>
      <c r="EM32" s="128" t="e">
        <f aca="false">(EK32+EL32)*0.475*44/12</f>
        <v>#N/A</v>
      </c>
      <c r="EN32" s="120" t="e">
        <f aca="false">EM32+(EE32+EF32)*44/12</f>
        <v>#N/A</v>
      </c>
      <c r="EO32" s="120" t="e">
        <f aca="true">AVERAGE(OFFSET($EN$3,0,0,'Données projet'!$E$15+1,1))-AVERAGE(OFFSET($H$3,0,0,'Données projet'!$E$15+1,1))</f>
        <v>#N/A</v>
      </c>
      <c r="EP32" s="120" t="e">
        <f aca="false">$EP$3</f>
        <v>#N/A</v>
      </c>
      <c r="EQ32" s="121" t="n">
        <f aca="false">IF(ISNA(VLOOKUP(A32,'Données projet'!$A$191:$I$211,3,0)),0,VLOOKUP(A32,'Données projet'!$A$191:$I$211,3,0))</f>
        <v>0</v>
      </c>
      <c r="ER32" s="121" t="n">
        <f aca="false">IF(ISNA(VLOOKUP(A32,'Données projet'!$A$191:$I$211,4,0)),0,VLOOKUP(A32,'Données projet'!$A$191:$I$211,4,0))</f>
        <v>0</v>
      </c>
      <c r="ES32" s="122" t="n">
        <f aca="false">IF(ISNA(VLOOKUP(A32,'Données projet'!$A$191:$I$211,5,0)),0%,VLOOKUP(A32,'Données projet'!$A$191:$I$211,5,0)*VLOOKUP('Données projet'!$B$15,Paramètres!$A$1:$I$89,7,0))</f>
        <v>0</v>
      </c>
      <c r="ET32" s="122" t="n">
        <f aca="false">IF(ISNA(VLOOKUP(A32,'Données projet'!$A$191:$I$211,6,0)),0%,VLOOKUP(A32,'Données projet'!$A$191:$I$211,6,0)*VLOOKUP('Données projet'!$B$15,Paramètres!$A$1:$I$89,7,0))</f>
        <v>0</v>
      </c>
      <c r="EU32" s="122" t="n">
        <f aca="false">IF(ISNA(VLOOKUP(A32,'Données projet'!$A$191:$I$211,7,0)),0%,VLOOKUP(A32,'Données projet'!$A$191:$I$211,7,0))</f>
        <v>0</v>
      </c>
      <c r="EV32" s="129" t="e">
        <f aca="false">EXP(-LN(2)/35)*EV31+(1-EXP(-LN(2)/35))/(LN(2)/35)*ER32*ES32*VLOOKUP('Données projet'!$B$15,Paramètres!$A$1:$I$89,3,0)*0.475*44/12</f>
        <v>#N/A</v>
      </c>
      <c r="EW32" s="129" t="e">
        <f aca="false">EXP(-LN(2)/25)*EW31+(1-EXP(-LN(2)/25))/(LN(2)/25)*Calculateur!ER32*Calculateur!ET32*VLOOKUP('Données projet'!$B$15,Paramètres!$A$1:$I$89,3,0)*0.475*44/12</f>
        <v>#N/A</v>
      </c>
      <c r="EX32" s="129" t="e">
        <f aca="false">EXP(-LN(2)/2)*EX31+(1-EXP(-LN(2)/2))/(LN(2)/2)*ER32*EU32*VLOOKUP('Données projet'!$B$15,Paramètres!$A$1:$I$89,3,0)*0.475*44/12</f>
        <v>#N/A</v>
      </c>
      <c r="EY32" s="130" t="e">
        <f aca="false">SUM(EV32:EX32)</f>
        <v>#N/A</v>
      </c>
      <c r="EZ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FB32" s="118" t="e">
        <f aca="false">VLOOKUP(A32,'Données projet'!$A$217:$I$237,2,0)</f>
        <v>#N/A</v>
      </c>
      <c r="FC32" s="118" t="e">
        <f aca="false">VLOOKUP(A32,'Données projet'!$A$217:$I$237,9,0)</f>
        <v>#N/A</v>
      </c>
      <c r="FD32" s="118" t="n">
        <f aca="false" t="array" ref="FD32:FD32">INDEX(FC:FC,MIN(IF(ISNUMBER(FC32:FC228),ROW(FC32:FC228),"")))</f>
        <v>0</v>
      </c>
      <c r="FE32" s="118" t="n">
        <f aca="false">IF('Données projet'!$A$218&gt;35,FE31+FD32-FM31,IF(A32&lt;'Données projet'!$A$218,$FB$205^A32,IF(A32='Données projet'!$A$218,'Données projet'!$B$218,FE31+FD32-FM31)))</f>
        <v>0</v>
      </c>
      <c r="FF32" s="125" t="e">
        <f aca="false">FE32*VLOOKUP('Données projet'!$B$16,Paramètres!$A$1:$I$89,3,0)*VLOOKUP('Données projet'!$B$16,Paramètres!$A$1:$I$89,5,0)</f>
        <v>#N/A</v>
      </c>
      <c r="FG32" s="117" t="e">
        <f aca="false">EXP(-1.0587+0.8836*LN(FF32)+0.284)</f>
        <v>#N/A</v>
      </c>
      <c r="FH32" s="128" t="e">
        <f aca="false">(FF32+FG32)*0.475*44/12</f>
        <v>#N/A</v>
      </c>
      <c r="FI32" s="120" t="e">
        <f aca="false">FH32+(EZ32+FA32)*44/12</f>
        <v>#N/A</v>
      </c>
      <c r="FJ32" s="120" t="e">
        <f aca="true">AVERAGE(OFFSET($FI$3,0,0,'Données projet'!$E$16+1,1))-AVERAGE(OFFSET($H$3,0,0,'Données projet'!$E$16+1,1))</f>
        <v>#N/A</v>
      </c>
      <c r="FK32" s="120" t="e">
        <f aca="false">$FK$3</f>
        <v>#N/A</v>
      </c>
      <c r="FL32" s="121" t="n">
        <f aca="false">IF(ISNA(VLOOKUP(A32,'Données projet'!$A$217:$I$237,3,0)),0,VLOOKUP(A32,'Données projet'!$A$217:$I$237,3,0))</f>
        <v>0</v>
      </c>
      <c r="FM32" s="121" t="n">
        <f aca="false">IF(ISNA(VLOOKUP(A32,'Données projet'!$A$217:$I$237,4,0)),0,VLOOKUP(A32,'Données projet'!$A$217:$I$237,4,0))</f>
        <v>0</v>
      </c>
      <c r="FN32" s="122" t="n">
        <f aca="false">IF(ISNA(VLOOKUP(A32,'Données projet'!$A$217:$I$237,5,0)),0%,VLOOKUP(A32,'Données projet'!$A$217:$I$237,5,0)*VLOOKUP('Données projet'!$B$16,Paramètres!$A$1:$I$89,7,0))</f>
        <v>0</v>
      </c>
      <c r="FO32" s="122" t="n">
        <f aca="false">IF(ISNA(VLOOKUP(A32,'Données projet'!$A$217:$I$237,6,0)),0%,VLOOKUP(A32,'Données projet'!$A$217:$I$237,6,0)*VLOOKUP('Données projet'!$B$16,Paramètres!$A$1:$I$89,7,0))</f>
        <v>0</v>
      </c>
      <c r="FP32" s="122" t="n">
        <f aca="false">IF(ISNA(VLOOKUP(A32,'Données projet'!$A$217:$I$237,7,0)),0%,VLOOKUP(A32,'Données projet'!$A$217:$I$237,7,0))</f>
        <v>0</v>
      </c>
      <c r="FQ32" s="129" t="e">
        <f aca="false">EXP(-LN(2)/35)*FQ31+(1-EXP(-LN(2)/35))/(LN(2)/35)*FM32*FN32*VLOOKUP('Données projet'!$B$16,Paramètres!$A$1:$I$89,3,0)*0.475*44/12</f>
        <v>#N/A</v>
      </c>
      <c r="FR32" s="129" t="e">
        <f aca="false">EXP(-LN(2)/25)*FR31+(1-EXP(-LN(2)/25))/(LN(2)/25)*Calculateur!FM32*Calculateur!FO32*VLOOKUP('Données projet'!$B$16,Paramètres!$A$1:$I$89,3,0)*0.475*44/12</f>
        <v>#N/A</v>
      </c>
      <c r="FS32" s="129" t="e">
        <f aca="false">EXP(-LN(2)/2)*FS31+(1-EXP(-LN(2)/2))/(LN(2)/2)*FM32*FP32*VLOOKUP('Données projet'!$B$16,Paramètres!$A$1:$I$89,3,0)*0.475*44/12</f>
        <v>#N/A</v>
      </c>
      <c r="FT32" s="130" t="e">
        <f aca="false">SUM(FQ32:FS32)</f>
        <v>#N/A</v>
      </c>
      <c r="FU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FW32" s="118" t="e">
        <f aca="false">VLOOKUP(A32,'Données projet'!$A$243:$I$263,2,0)</f>
        <v>#N/A</v>
      </c>
      <c r="FX32" s="118" t="e">
        <f aca="false">VLOOKUP(A32,'Données projet'!$A$243:$I$263,9,0)</f>
        <v>#N/A</v>
      </c>
      <c r="FY32" s="118" t="n">
        <f aca="false" t="array" ref="FY32:FY32">INDEX(FX:FX,MIN(IF(ISNUMBER(FX32:FX228),ROW(FX32:FX228),"")))</f>
        <v>0</v>
      </c>
      <c r="FZ32" s="118" t="n">
        <f aca="false">IF('Données projet'!$A$244&gt;35,FZ31+FY32-GH31,IF(A32&lt;'Données projet'!$A$244,$FW$205^A32,IF(A32='Données projet'!$A$244,'Données projet'!$B$244,FZ31+FY32-GH31)))</f>
        <v>0</v>
      </c>
      <c r="GA32" s="125" t="e">
        <f aca="false">FZ32*VLOOKUP('Données projet'!$B$17,Paramètres!$A$1:$I$89,3,0)*VLOOKUP('Données projet'!$B$17,Paramètres!$A$1:$I$89,5,0)</f>
        <v>#N/A</v>
      </c>
      <c r="GB32" s="117" t="e">
        <f aca="false">EXP(-1.0587+0.8836*LN(GA32)+0.284)</f>
        <v>#N/A</v>
      </c>
      <c r="GC32" s="128" t="e">
        <f aca="false">(GA32+GB32)*0.475*44/12</f>
        <v>#N/A</v>
      </c>
      <c r="GD32" s="120" t="e">
        <f aca="false">GC32+(FU32+FV32)*44/12</f>
        <v>#N/A</v>
      </c>
      <c r="GE32" s="120" t="e">
        <f aca="true">AVERAGE(OFFSET($GD$3,0,0,'Données projet'!$E$17+1,1))-AVERAGE(OFFSET($H$3,0,0,'Données projet'!$E$17+1,1))</f>
        <v>#N/A</v>
      </c>
      <c r="GF32" s="120" t="e">
        <f aca="false">$GF$3</f>
        <v>#N/A</v>
      </c>
      <c r="GG32" s="121" t="n">
        <f aca="false">IF(ISNA(VLOOKUP(A32,'Données projet'!$A$243:$I$263,3,0)),0,VLOOKUP(A32,'Données projet'!$A$243:$I$263,3,0))</f>
        <v>0</v>
      </c>
      <c r="GH32" s="121" t="n">
        <f aca="false">IF(ISNA(VLOOKUP(A32,'Données projet'!$A$243:$I$263,4,0)),0,VLOOKUP(A32,'Données projet'!$A$243:$I$263,4,0))</f>
        <v>0</v>
      </c>
      <c r="GI32" s="122" t="n">
        <f aca="false">IF(ISNA(VLOOKUP(A32,'Données projet'!$A$243:$I$263,5,0)),0%,VLOOKUP(A32,'Données projet'!$A$243:$I$263,5,0)*VLOOKUP('Données projet'!$B$17,Paramètres!$A$1:$I$89,7,0))</f>
        <v>0</v>
      </c>
      <c r="GJ32" s="122" t="n">
        <f aca="false">IF(ISNA(VLOOKUP(A32,'Données projet'!$A$243:$I$263,6,0)),0%,VLOOKUP(A32,'Données projet'!$A$243:$I$263,6,0)*VLOOKUP('Données projet'!$B$17,Paramètres!$A$1:$I$89,7,0))</f>
        <v>0</v>
      </c>
      <c r="GK32" s="122" t="n">
        <f aca="false">IF(ISNA(VLOOKUP(A32,'Données projet'!$A$243:$I$263,7,0)),0%,VLOOKUP(A32,'Données projet'!$A$243:$I$263,7,0))</f>
        <v>0</v>
      </c>
      <c r="GL32" s="129" t="e">
        <f aca="false">EXP(-LN(2)/35)*GL31+(1-EXP(-LN(2)/35))/(LN(2)/35)*GH32*GI32*VLOOKUP('Données projet'!$B$17,Paramètres!$A$1:$I$89,3,0)*0.475*44/12</f>
        <v>#N/A</v>
      </c>
      <c r="GM32" s="129" t="e">
        <f aca="false">EXP(-LN(2)/25)*GM31+(1-EXP(-LN(2)/25))/(LN(2)/25)*Calculateur!GH32*Calculateur!GJ32*VLOOKUP('Données projet'!$B$17,Paramètres!$A$1:$I$89,3,0)*0.475*44/12</f>
        <v>#N/A</v>
      </c>
      <c r="GN32" s="129" t="e">
        <f aca="false">EXP(-LN(2)/2)*GN31+(1-EXP(-LN(2)/2))/(LN(2)/2)*GH32*GK32*VLOOKUP('Données projet'!$B$17,Paramètres!$A$1:$I$89,3,0)*0.475*44/12</f>
        <v>#N/A</v>
      </c>
      <c r="GO32" s="129" t="e">
        <f aca="false">SUM(GL32:GN32)</f>
        <v>#N/A</v>
      </c>
      <c r="GP32" s="126" t="n">
        <f aca="false"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8" t="n">
        <f aca="false">IF(A32&gt;30,10,('Scénario référence'!$B$16+'Scénario référence'!$B$17+'Scénario référence'!$B$18+'Scénario référence'!$B$9+'Scénario référence'!$B$10)*A32*10/30+('Scénario référence'!$F$8+'Scénario référence'!$F$9)*10)</f>
        <v>9.66666666666667</v>
      </c>
      <c r="GR32" s="118" t="e">
        <f aca="false">VLOOKUP(A32,'Données projet'!$A$269:$I$289,2,0)</f>
        <v>#N/A</v>
      </c>
      <c r="GS32" s="118" t="e">
        <f aca="false">VLOOKUP(A32,'Données projet'!$A$269:$I$289,9,0)</f>
        <v>#N/A</v>
      </c>
      <c r="GT32" s="118" t="n">
        <f aca="false" t="array" ref="GT32:GT32">INDEX(GS:GS,MIN(IF(ISNUMBER(GS32:GS228),ROW(GS32:GS228),"")))</f>
        <v>0</v>
      </c>
      <c r="GU32" s="118" t="n">
        <f aca="false">IF('Données projet'!$A$270&gt;35,GU31+GT32-HC31,IF(A32&lt;'Données projet'!$A$270,$GR$205^A32,IF(A32='Données projet'!$A$270,'Données projet'!$B$270,GU31+GT32-HC31)))</f>
        <v>0</v>
      </c>
      <c r="GV32" s="125" t="e">
        <f aca="false">GU32*VLOOKUP('Données projet'!$B$18,Paramètres!$A$1:$I$89,3,0)*VLOOKUP('Données projet'!$B$18,Paramètres!$A$1:$I$89,5,0)</f>
        <v>#N/A</v>
      </c>
      <c r="GW32" s="117" t="e">
        <f aca="false">EXP(-1.0587+0.8836*LN(GV32)+0.284)</f>
        <v>#N/A</v>
      </c>
      <c r="GX32" s="128" t="e">
        <f aca="false">(GV32+GW32)*0.475*44/12</f>
        <v>#N/A</v>
      </c>
      <c r="GY32" s="120" t="e">
        <f aca="false">GX32+(GP32+GQ32)*44/12</f>
        <v>#N/A</v>
      </c>
      <c r="GZ32" s="120" t="e">
        <f aca="true">AVERAGE(OFFSET($GY$3,0,0,'Données projet'!$E$18+1,1))-AVERAGE(OFFSET($H$3,0,0,'Données projet'!$E$18+1,1))</f>
        <v>#N/A</v>
      </c>
      <c r="HA32" s="120" t="e">
        <f aca="false">$HA$3</f>
        <v>#N/A</v>
      </c>
      <c r="HB32" s="121" t="n">
        <f aca="false">IF(ISNA(VLOOKUP(A32,'Données projet'!$A$269:$I$289,3,0)),0,VLOOKUP(A32,'Données projet'!$A$269:$I$289,3,0))</f>
        <v>0</v>
      </c>
      <c r="HC32" s="121" t="n">
        <f aca="false">IF(ISNA(VLOOKUP(A32,'Données projet'!$A$269:$I$289,4,0)),0,VLOOKUP(A32,'Données projet'!$A$269:$I$289,4,0))</f>
        <v>0</v>
      </c>
      <c r="HD32" s="122" t="n">
        <f aca="false">IF(ISNA(VLOOKUP(A32,'Données projet'!$A$269:$I$289,5,0)),0%,VLOOKUP(A32,'Données projet'!$A$269:$I$289,5,0)*VLOOKUP('Données projet'!$B$18,Paramètres!$A$1:$I$89,7,0))</f>
        <v>0</v>
      </c>
      <c r="HE32" s="122" t="n">
        <f aca="false">IF(ISNA(VLOOKUP(A32,'Données projet'!$A$269:$I$289,6,0)),0%,VLOOKUP(A32,'Données projet'!$A$269:$I$289,6,0)*VLOOKUP('Données projet'!$B$18,Paramètres!$A$1:$I$89,7,0))</f>
        <v>0</v>
      </c>
      <c r="HF32" s="122" t="n">
        <f aca="false">IF(ISNA(VLOOKUP(A32,'Données projet'!$A$269:$I$289,7,0)),0%,VLOOKUP(A32,'Données projet'!$A$269:$I$289,7,0))</f>
        <v>0</v>
      </c>
      <c r="HG32" s="129" t="e">
        <f aca="false">EXP(-LN(2)/35)*HG31+(1-EXP(-LN(2)/35))/(LN(2)/35)*HC32*HD32*VLOOKUP('Données projet'!$B$18,Paramètres!$A$1:$I$89,3,0)*0.475*44/12</f>
        <v>#N/A</v>
      </c>
      <c r="HH32" s="129" t="e">
        <f aca="false">EXP(-LN(2)/25)*HH31+(1-EXP(-LN(2)/25))/(LN(2)/25)*Calculateur!HC32*Calculateur!HE32*VLOOKUP('Données projet'!$B$18,Paramètres!$A$1:$I$89,3,0)*0.475*44/12</f>
        <v>#N/A</v>
      </c>
      <c r="HI32" s="129" t="e">
        <f aca="false">EXP(-LN(2)/2)*HI31+(1-EXP(-LN(2)/2))/(LN(2)/2)*HC32*HF32*VLOOKUP('Données projet'!$B$18,Paramètres!$A$1:$I$89,3,0)*0.475*44/12</f>
        <v>#N/A</v>
      </c>
      <c r="HJ32" s="130" t="e">
        <f aca="false">SUM(HG32:HI32)</f>
        <v>#N/A</v>
      </c>
    </row>
    <row r="33" customFormat="false" ht="14.25" hidden="false" customHeight="false" outlineLevel="0" collapsed="false">
      <c r="A33" s="112" t="n">
        <f aca="false">A32+1</f>
        <v>30</v>
      </c>
      <c r="B33" s="113" t="n">
        <f aca="false">'Scénario référence'!$B$16*5+'Scénario référence'!$B$17*0+'Scénario référence'!$B$18*5</f>
        <v>0</v>
      </c>
      <c r="C33" s="127" t="n">
        <f aca="false"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4" t="n">
        <f aca="false">IFERROR(EXP(-1.0587+0.8836*LN(C33)+0.284),0)</f>
        <v>0</v>
      </c>
      <c r="E3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3" s="114" t="n">
        <f aca="false">IF(OR('Scénario référence'!$F$8&gt;0,'Scénario référence'!$F$9&gt;0),('Scénario référence'!$F$8+'Scénario référence'!$F$9)*10,0)</f>
        <v>0</v>
      </c>
      <c r="G33" s="114" t="n">
        <f aca="false"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15" t="n">
        <f aca="false">(B33+E33+F33)*44/12+(C33+D33)*0.475*44/12</f>
        <v>256.666666666667</v>
      </c>
      <c r="I33" s="11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7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8" t="n">
        <f aca="false">VLOOKUP(A33,'Données projet'!$A$35:$I$55,2,0)</f>
        <v>210.5</v>
      </c>
      <c r="L33" s="118" t="n">
        <f aca="false">VLOOKUP(A33,'Données projet'!$A$35:$I$55,9,0)</f>
        <v>9.2</v>
      </c>
      <c r="M33" s="118" t="n">
        <f aca="false" t="array" ref="M33:M33">INDEX(L:L,MIN(IF(ISNUMBER(L33:L229),ROW(L33:L229),"")))</f>
        <v>9.2</v>
      </c>
      <c r="N33" s="117" t="n">
        <f aca="false">IF('Données projet'!$A$36&gt;35,N32+M33-V32,IF(A33&lt;'Données projet'!$A$36,$K$205^A33,IF(A33='Données projet'!$A$36,'Données projet'!$B$36,N32+M33-V32)))</f>
        <v>210.5</v>
      </c>
      <c r="O33" s="117" t="n">
        <f aca="false">N33*VLOOKUP('Données projet'!$B$9,Paramètres!$A$1:$I$89,3,0)*VLOOKUP('Données projet'!$B$9,Paramètres!$A$1:$I$89,5,0)</f>
        <v>98.5139999999999</v>
      </c>
      <c r="P33" s="117" t="n">
        <f aca="false">EXP(-1.0587+0.8836*LN(O33)+0.284)</f>
        <v>26.6076706591935</v>
      </c>
      <c r="Q33" s="128" t="n">
        <f aca="false">(O33+P33)*0.475*44/12</f>
        <v>217.920243064762</v>
      </c>
      <c r="R33" s="120" t="n">
        <f aca="false">Q33+(I33+J33)*44/12</f>
        <v>511.253576398095</v>
      </c>
      <c r="S33" s="120" t="n">
        <f aca="true">AVERAGE(OFFSET($R$3,0,0,'Données projet'!$E$9+1,1))-AVERAGE(OFFSET($H$3,0,0,'Données projet'!$E$9+1,1))</f>
        <v>319.229030946746</v>
      </c>
      <c r="T33" s="120" t="n">
        <f aca="false">$T$3</f>
        <v>254.586909731428</v>
      </c>
      <c r="U33" s="121" t="n">
        <f aca="false">IF(ISNA(VLOOKUP(A33,'Données projet'!$A$35:$I$55,3,0)),0,VLOOKUP(A33,'Données projet'!$A$35:$I$55,3,0))</f>
        <v>2</v>
      </c>
      <c r="V33" s="121" t="n">
        <f aca="false">IF(ISNA(VLOOKUP(A33,'Données projet'!$A$35:$I$55,4,0)),0,VLOOKUP(A33,'Données projet'!$A$35:$I$55,4,0))</f>
        <v>67</v>
      </c>
      <c r="W33" s="122" t="n">
        <f aca="false">IF(ISNA(VLOOKUP(A33,'Données projet'!$A$35:$I$55,5,0)),0%,VLOOKUP(A33,'Données projet'!$A$35:$I$55,5,0)*VLOOKUP('Données projet'!$B$9,Paramètres!$A$1:$I$89,7,0))</f>
        <v>0.165</v>
      </c>
      <c r="X33" s="122" t="n">
        <f aca="false">IF(ISNA(VLOOKUP(A33,'Données projet'!$A$35:$I$55,6,0)),0%,VLOOKUP(A33,'Données projet'!$A$35:$I$55,6,0)*VLOOKUP('Données projet'!$B$9,Paramètres!$A$1:$I$89,7,0))</f>
        <v>0.22</v>
      </c>
      <c r="Y33" s="122" t="n">
        <f aca="false">IF(ISNA(VLOOKUP(A33,'Données projet'!$A$35:$I$55,7,0)),0%,VLOOKUP(A33,'Données projet'!$A$35:$I$55,7,0))</f>
        <v>0.3</v>
      </c>
      <c r="Z33" s="129" t="n">
        <f aca="false">EXP(-LN(2)/35)*Z32+(1-EXP(-LN(2)/35))/(LN(2)/35)*V33*W33*VLOOKUP('Données projet'!$B$9,Paramètres!$A$1:$I$89,3,0)*0.475*44/12</f>
        <v>9.07616713499839</v>
      </c>
      <c r="AA33" s="129" t="n">
        <f aca="false">EXP(-LN(2)/25)*AA32+(1-EXP(-LN(2)/25))/(LN(2)/25)*Calculateur!V33*Calculateur!X33*VLOOKUP('Données projet'!$B$9,Paramètres!$A$1:$I$89,3,0)*0.475*44/12</f>
        <v>11.1513202166899</v>
      </c>
      <c r="AB33" s="129" t="n">
        <f aca="false">EXP(-LN(2)/2)*AB32+(1-EXP(-LN(2)/2))/(LN(2)/2)*V33*Y33*VLOOKUP('Données projet'!$B$9,Paramètres!$A$1:$I$89,3,0)*0.475*44/12</f>
        <v>11.0431286435984</v>
      </c>
      <c r="AC33" s="130" t="n">
        <f aca="false">SUM(Z33:AB33)</f>
        <v>31.2706159952867</v>
      </c>
      <c r="AD33" s="117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7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8" t="n">
        <f aca="false">VLOOKUP(A33,'Données projet'!$A$61:$I$81,2,0)</f>
        <v>328</v>
      </c>
      <c r="AG33" s="118" t="n">
        <f aca="false">VLOOKUP(A33,'Données projet'!$A$61:$I$81,9,0)</f>
        <v>24.8</v>
      </c>
      <c r="AH33" s="118" t="n">
        <f aca="false" t="array" ref="AH33:AH33">INDEX(AG:AG,MIN(IF(ISNUMBER(AG33:AG229),ROW(AG33:AG229),"")))</f>
        <v>24.8</v>
      </c>
      <c r="AI33" s="117" t="n">
        <f aca="false">IF('Données projet'!$A$62&gt;35,AI32+AH33-AQ32,IF(A33&lt;'Données projet'!$A$62,$AF$205^A33,IF(A33='Données projet'!$A$62,'Données projet'!$B$62,AI32+AH33-AQ32)))</f>
        <v>328</v>
      </c>
      <c r="AJ33" s="117" t="n">
        <f aca="false">AI33*VLOOKUP('Données projet'!$B$10,Paramètres!$A$1:$I$89,3,0)*VLOOKUP('Données projet'!$B$10,Paramètres!$A$1:$I$89,5,0)</f>
        <v>183.352</v>
      </c>
      <c r="AK33" s="117" t="n">
        <f aca="false">EXP(-1.0587+0.8836*LN(AJ33)+0.284)</f>
        <v>46.0671416935648</v>
      </c>
      <c r="AL33" s="128" t="n">
        <f aca="false">(AJ33+AK33)*0.475*44/12</f>
        <v>399.571671782959</v>
      </c>
      <c r="AM33" s="120" t="n">
        <f aca="false">AL33+(AD33+AE33)*44/12</f>
        <v>692.905005116292</v>
      </c>
      <c r="AN33" s="120" t="n">
        <f aca="true">AVERAGE(OFFSET($AM$3,0,0,'Données projet'!$E$10+1,1))-AVERAGE(OFFSET($H$3,0,0,'Données projet'!$E$10+1,1))</f>
        <v>365.705101827279</v>
      </c>
      <c r="AO33" s="120" t="n">
        <f aca="false">$AO$3</f>
        <v>436.238338449625</v>
      </c>
      <c r="AP33" s="121" t="n">
        <f aca="false">IF(ISNA(VLOOKUP(A33,'Données projet'!$A$61:$I$81,3,0)),0,VLOOKUP(A33,'Données projet'!$A$61:$I$81,3,0))</f>
        <v>3</v>
      </c>
      <c r="AQ33" s="121" t="n">
        <f aca="false">IF(ISNA(VLOOKUP(A33,'Données projet'!$A$61:$I$81,4,0)),0,VLOOKUP(A33,'Données projet'!$A$61:$I$81,4,0))</f>
        <v>42</v>
      </c>
      <c r="AR33" s="122" t="n">
        <f aca="false">IF(ISNA(VLOOKUP(A33,'Données projet'!$A$61:$I$81,5,0)),0%,VLOOKUP(A33,'Données projet'!$A$61:$I$81,5,0)*VLOOKUP('Données projet'!$B$10,Paramètres!$A$1:$I$89,7,0))</f>
        <v>0.11</v>
      </c>
      <c r="AS33" s="122" t="n">
        <f aca="false">IF(ISNA(VLOOKUP(A33,'Données projet'!$A$61:$I$81,6,0)),0%,VLOOKUP(A33,'Données projet'!$A$61:$I$81,6,0)*VLOOKUP('Données projet'!$B$10,Paramètres!$A$1:$I$89,7,0))</f>
        <v>0.33</v>
      </c>
      <c r="AT33" s="122" t="n">
        <f aca="false">IF(ISNA(VLOOKUP(A33,'Données projet'!$A$61:$I$81,7,0)),0%,VLOOKUP(A33,'Données projet'!$A$61:$I$81,7,0))</f>
        <v>0.2</v>
      </c>
      <c r="AU33" s="129" t="n">
        <f aca="false">EXP(-LN(2)/35)*AU32+(1-EXP(-LN(2)/35))/(LN(2)/35)*AQ33*AR33*VLOOKUP('Données projet'!$B$10,Paramètres!$A$1:$I$89,3,0)*0.475*44/12</f>
        <v>3.42595883132905</v>
      </c>
      <c r="AV33" s="129" t="n">
        <f aca="false">EXP(-LN(2)/25)*AV32+(1-EXP(-LN(2)/25))/(LN(2)/25)*Calculateur!AQ33*Calculateur!AS33*VLOOKUP('Données projet'!$B$10,Paramètres!$A$1:$I$89,3,0)*0.475*44/12</f>
        <v>13.2081358461577</v>
      </c>
      <c r="AW33" s="129" t="n">
        <f aca="false">EXP(-LN(2)/2)*AW32+(1-EXP(-LN(2)/2))/(LN(2)/2)*AQ33*AT33*VLOOKUP('Données projet'!$B$10,Paramètres!$A$1:$I$89,3,0)*0.475*44/12</f>
        <v>5.94306668567579</v>
      </c>
      <c r="AX33" s="129" t="n">
        <f aca="false">SUM(AU33:AW33)</f>
        <v>22.5771613631625</v>
      </c>
      <c r="AY33" s="124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8" t="n">
        <f aca="false">VLOOKUP(A33,'Données projet'!$A$87:$I$107,2,0)</f>
        <v>184</v>
      </c>
      <c r="BB33" s="118" t="n">
        <f aca="false">VLOOKUP(A33,'Données projet'!$A$87:$I$107,9,0)</f>
        <v>13</v>
      </c>
      <c r="BC33" s="118" t="n">
        <f aca="false" t="array" ref="BC33:BC33">INDEX(BB:BB,MIN(IF(ISNUMBER(BB33:BB229),ROW(BB33:BB229),"")))</f>
        <v>13</v>
      </c>
      <c r="BD33" s="118" t="n">
        <f aca="false">IF('Données projet'!$A$88&gt;35,BD32+BC33-BL32,IF(A33&lt;'Données projet'!$A$88,$BA$205^A33,IF(A33='Données projet'!$A$88,'Données projet'!$B$88,BD32+BC33-BL32)))</f>
        <v>184</v>
      </c>
      <c r="BE33" s="117" t="n">
        <f aca="false">BD33*VLOOKUP('Données projet'!$B$11,Paramètres!$A$1:$I$89,3,0)*VLOOKUP('Données projet'!$B$11,Paramètres!$A$1:$I$89,5,0)</f>
        <v>160.7424</v>
      </c>
      <c r="BF33" s="117" t="n">
        <f aca="false">EXP(-1.0587+0.8836*LN(BE33)+0.284)</f>
        <v>41.0099206572278</v>
      </c>
      <c r="BG33" s="128" t="n">
        <f aca="false">(BE33+BF33)*0.475*44/12</f>
        <v>351.385291811338</v>
      </c>
      <c r="BH33" s="120" t="n">
        <f aca="false">BG33+(AY33+AZ33)*44/12</f>
        <v>644.718625144672</v>
      </c>
      <c r="BI33" s="120" t="n">
        <f aca="true">AVERAGE(OFFSET($BH$3,0,0,'Données projet'!$E$11+1,1))-AVERAGE(OFFSET($H$3,0,0,'Données projet'!$E$11+1,1))</f>
        <v>321.235999689929</v>
      </c>
      <c r="BJ33" s="120" t="n">
        <f aca="false">$BJ$3</f>
        <v>388.051958478005</v>
      </c>
      <c r="BK33" s="121" t="n">
        <f aca="false">IF(ISNA(VLOOKUP(A33,'Données projet'!$A$87:$I$107,3,0)),0,VLOOKUP(A33,'Données projet'!$A$87:$I$107,3,0))</f>
        <v>4</v>
      </c>
      <c r="BL33" s="121" t="n">
        <f aca="false">IF(ISNA(VLOOKUP(A33,'Données projet'!$A$87:$I$107,4,0)),0,VLOOKUP(A33,'Données projet'!$A$87:$I$107,4,0))</f>
        <v>44</v>
      </c>
      <c r="BM33" s="122" t="n">
        <f aca="false">IF(ISNA(VLOOKUP(A33,'Données projet'!$A$87:$I$107,5,0)),0%,VLOOKUP(A33,'Données projet'!$A$87:$I$107,5,0)*VLOOKUP('Données projet'!$B$11,Paramètres!$A$1:$I$89,7,0))</f>
        <v>0.129</v>
      </c>
      <c r="BN33" s="122" t="n">
        <f aca="false">IF(ISNA(VLOOKUP(A33,'Données projet'!$A$87:$I$107,6,0)),0%,VLOOKUP(A33,'Données projet'!$A$87:$I$107,6,0)*VLOOKUP('Données projet'!$B$11,Paramètres!$A$1:$I$89,7,0))</f>
        <v>0.129</v>
      </c>
      <c r="BO33" s="122" t="n">
        <f aca="false">IF(ISNA(VLOOKUP(A33,'Données projet'!$A$87:$I$107,7,0)),0%,VLOOKUP(A33,'Données projet'!$A$87:$I$107,7,0))</f>
        <v>0.1</v>
      </c>
      <c r="BP33" s="129" t="n">
        <f aca="false">EXP(-LN(2)/35)*BP32+(1-EXP(-LN(2)/35))/(LN(2)/35)*BL33*BM33*VLOOKUP('Données projet'!$B$11,Paramètres!$A$1:$I$89,3,0)*0.475*44/12</f>
        <v>8.60128539283909</v>
      </c>
      <c r="BQ33" s="129" t="n">
        <f aca="false">EXP(-LN(2)/25)*BQ32+(1-EXP(-LN(2)/25))/(LN(2)/25)*Calculateur!BL33*Calculateur!BN33*VLOOKUP('Données projet'!$B$11,Paramètres!$A$1:$I$89,3,0)*0.475*44/12</f>
        <v>13.4820805569927</v>
      </c>
      <c r="BR33" s="129" t="n">
        <f aca="false">EXP(-LN(2)/2)*BR32+(1-EXP(-LN(2)/2))/(LN(2)/2)*BL33*BO33*VLOOKUP('Données projet'!$B$11,Paramètres!$A$1:$I$89,3,0)*0.475*44/12</f>
        <v>6.04100375729473</v>
      </c>
      <c r="BS33" s="130" t="n">
        <f aca="false">SUM(BP33:BR33)</f>
        <v>28.1243697071266</v>
      </c>
      <c r="BT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8" t="n">
        <f aca="false">VLOOKUP(A33,'Données projet'!$A$113:$I$133,2,0)</f>
        <v>224</v>
      </c>
      <c r="BW33" s="118" t="n">
        <f aca="false">VLOOKUP(A33,'Données projet'!$A$113:$I$133,9,0)</f>
        <v>14.1666666666667</v>
      </c>
      <c r="BX33" s="118" t="n">
        <f aca="false" t="array" ref="BX33:BX33">INDEX(BW:BW,MIN(IF(ISNUMBER(BW33:BW229),ROW(BW33:BW229),"")))</f>
        <v>14.1666666666667</v>
      </c>
      <c r="BY33" s="118" t="n">
        <f aca="false">IF('Données projet'!$A$114&gt;35,BY32+BX33-CG32,IF(A33&lt;'Données projet'!$A$114,$BV$205^A33,IF(A33='Données projet'!$A$114,'Données projet'!$B$114,BY32+BX33-CG32)))</f>
        <v>224</v>
      </c>
      <c r="BZ33" s="117" t="n">
        <f aca="false">BY33*VLOOKUP('Données projet'!$B$12,Paramètres!$A$1:$I$89,3,0)*VLOOKUP('Données projet'!$B$12,Paramètres!$A$1:$I$89,5,0)</f>
        <v>139.776</v>
      </c>
      <c r="CA33" s="117" t="n">
        <f aca="false">EXP(-1.0587+0.8836*LN(BZ33)+0.284)</f>
        <v>36.2456854591953</v>
      </c>
      <c r="CB33" s="128" t="n">
        <f aca="false">(BZ33+CA33)*0.475*44/12</f>
        <v>306.571102174765</v>
      </c>
      <c r="CC33" s="120" t="n">
        <f aca="false">CB33+(BT33+BU33)*44/12</f>
        <v>599.904435508098</v>
      </c>
      <c r="CD33" s="120" t="n">
        <f aca="true">AVERAGE(OFFSET($CC$3,0,0,'Données projet'!$E$12+1,1))-AVERAGE(OFFSET($H$3,0,0,'Données projet'!$E$12+1,1))</f>
        <v>240.228848647662</v>
      </c>
      <c r="CE33" s="120" t="n">
        <f aca="false">$CE$3</f>
        <v>343.237768841432</v>
      </c>
      <c r="CF33" s="121" t="n">
        <f aca="false">IF(ISNA(VLOOKUP(A33,'Données projet'!$A$113:$I$133,3,0)),0,VLOOKUP(A33,'Données projet'!$A$113:$I$133,3,0))</f>
        <v>4</v>
      </c>
      <c r="CG33" s="121" t="n">
        <f aca="false">IF(ISNA(VLOOKUP(A33,'Données projet'!$A$113:$I$133,4,0)),0,VLOOKUP(A33,'Données projet'!$A$113:$I$133,4,0))</f>
        <v>53</v>
      </c>
      <c r="CH33" s="122" t="n">
        <f aca="false">IF(ISNA(VLOOKUP(A33,'Données projet'!$A$113:$I$133,5,0)),0%,VLOOKUP(A33,'Données projet'!$A$113:$I$133,5,0)*VLOOKUP('Données projet'!$B$12,Paramètres!$A$1:$I$89,7,0))</f>
        <v>0.12</v>
      </c>
      <c r="CI33" s="122" t="n">
        <f aca="false">IF(ISNA(VLOOKUP(A33,'Données projet'!$A$113:$I$133,6,0)),0%,VLOOKUP(A33,'Données projet'!$A$113:$I$133,6,0)*VLOOKUP('Données projet'!$B$12,Paramètres!$A$1:$I$89,7,0))</f>
        <v>0.36</v>
      </c>
      <c r="CJ33" s="122" t="n">
        <f aca="false">IF(ISNA(VLOOKUP(A33,'Données projet'!$A$113:$I$133,7,0)),0%,VLOOKUP(A33,'Données projet'!$A$113:$I$133,7,0))</f>
        <v>0.2</v>
      </c>
      <c r="CK33" s="129" t="n">
        <f aca="false">EXP(-LN(2)/35)*CK32+(1-EXP(-LN(2)/35))/(LN(2)/35)*CG33*CH33*VLOOKUP('Données projet'!$B$12,Paramètres!$A$1:$I$89,3,0)*0.475*44/12</f>
        <v>5.26465676043558</v>
      </c>
      <c r="CL33" s="129" t="n">
        <f aca="false">EXP(-LN(2)/25)*CL32+(1-EXP(-LN(2)/25))/(LN(2)/25)*Calculateur!CG33*Calculateur!CI33*VLOOKUP('Données projet'!$B$12,Paramètres!$A$1:$I$89,3,0)*0.475*44/12</f>
        <v>23.8101347397649</v>
      </c>
      <c r="CM33" s="129" t="n">
        <f aca="false">EXP(-LN(2)/2)*CM32+(1-EXP(-LN(2)/2))/(LN(2)/2)*CG33*CJ33*VLOOKUP('Données projet'!$B$12,Paramètres!$A$1:$I$89,3,0)*0.475*44/12</f>
        <v>9.63983146596381</v>
      </c>
      <c r="CN33" s="130" t="n">
        <f aca="false">SUM(CK33:CM33)</f>
        <v>38.7146229661642</v>
      </c>
      <c r="CO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8" t="n">
        <f aca="false">VLOOKUP(A33,'Données projet'!$A$139:$I$159,2,0)</f>
        <v>255</v>
      </c>
      <c r="CR33" s="118" t="n">
        <f aca="false">VLOOKUP(A33,'Données projet'!$A$139:$I$159,9,0)</f>
        <v>16.6666666666667</v>
      </c>
      <c r="CS33" s="118" t="n">
        <f aca="false" t="array" ref="CS33:CS33">INDEX(CR:CR,MIN(IF(ISNUMBER(CR33:CR229),ROW(CR33:CR229),"")))</f>
        <v>16.6666666666667</v>
      </c>
      <c r="CT33" s="118" t="n">
        <f aca="false">IF('Données projet'!$A$140&gt;35,CT32+CS33-DB32,IF(A33&lt;'Données projet'!$A$140,$CQ$205^A33,IF(A33='Données projet'!$A$140,'Données projet'!$B$140,CT32+CS33-DB32)))</f>
        <v>255</v>
      </c>
      <c r="CU33" s="125" t="n">
        <f aca="false">CT33*VLOOKUP('Données projet'!$B$13,Paramètres!$A$1:$I$89,3,0)*VLOOKUP('Données projet'!$B$13,Paramètres!$A$1:$I$89,5,0)</f>
        <v>139.23</v>
      </c>
      <c r="CV33" s="117" t="n">
        <f aca="false">EXP(-1.0587+0.8836*LN(CU33)+0.284)</f>
        <v>36.1205527273787</v>
      </c>
      <c r="CW33" s="128" t="n">
        <f aca="false">(CU33+CV33)*0.475*44/12</f>
        <v>305.402212666851</v>
      </c>
      <c r="CX33" s="120" t="n">
        <f aca="false">CW33+(CO33+CP33)*44/12</f>
        <v>598.735546000185</v>
      </c>
      <c r="CY33" s="120" t="n">
        <f aca="true">AVERAGE(OFFSET($CX$3,0,0,'Données projet'!$E$13+1,1))-AVERAGE(OFFSET($H$3,0,0,'Données projet'!$E$13+1,1))</f>
        <v>207.023069645676</v>
      </c>
      <c r="CZ33" s="120" t="n">
        <f aca="false">$CZ$3</f>
        <v>342.068879333518</v>
      </c>
      <c r="DA33" s="121" t="n">
        <f aca="false">IF(ISNA(VLOOKUP(A33,'Données projet'!$A$139:$I$159,3,0)),0,VLOOKUP(A33,'Données projet'!$A$139:$I$159,3,0))</f>
        <v>5</v>
      </c>
      <c r="DB33" s="121" t="n">
        <f aca="false">IF(ISNA(VLOOKUP(A33,'Données projet'!$A$139:$I$159,4,0)),0,VLOOKUP(A33,'Données projet'!$A$139:$I$159,4,0))</f>
        <v>76</v>
      </c>
      <c r="DC33" s="122" t="n">
        <f aca="false">IF(ISNA(VLOOKUP(A33,'Données projet'!$A$139:$I$159,5,0)),0%,VLOOKUP(A33,'Données projet'!$A$139:$I$159,5,0)*VLOOKUP('Données projet'!$B$13,Paramètres!$A$1:$I$89,7,0))</f>
        <v>0.12</v>
      </c>
      <c r="DD33" s="122" t="n">
        <f aca="false">IF(ISNA(VLOOKUP(A33,'Données projet'!$A$139:$I$159,6,0)),0%,VLOOKUP(A33,'Données projet'!$A$139:$I$159,6,0)*VLOOKUP('Données projet'!$B$13,Paramètres!$A$1:$I$89,7,0))</f>
        <v>0.36</v>
      </c>
      <c r="DE33" s="122" t="n">
        <f aca="false">IF(ISNA(VLOOKUP(A33,'Données projet'!$A$139:$I$159,7,0)),0%,VLOOKUP(A33,'Données projet'!$A$139:$I$159,7,0))</f>
        <v>0.2</v>
      </c>
      <c r="DF33" s="129" t="n">
        <f aca="false">EXP(-LN(2)/35)*DF32+(1-EXP(-LN(2)/35))/(LN(2)/35)*DB33*DC33*VLOOKUP('Données projet'!$B$13,Paramètres!$A$1:$I$89,3,0)*0.475*44/12</f>
        <v>6.6056542371503</v>
      </c>
      <c r="DG33" s="129" t="n">
        <f aca="false">EXP(-LN(2)/25)*DG32+(1-EXP(-LN(2)/25))/(LN(2)/25)*Calculateur!DB33*Calculateur!DD33*VLOOKUP('Données projet'!$B$13,Paramètres!$A$1:$I$89,3,0)*0.475*44/12</f>
        <v>38.9196536444384</v>
      </c>
      <c r="DH33" s="129" t="n">
        <f aca="false">EXP(-LN(2)/2)*DH32+(1-EXP(-LN(2)/2))/(LN(2)/2)*DB33*DE33*VLOOKUP('Données projet'!$B$13,Paramètres!$A$1:$I$89,3,0)*0.475*44/12</f>
        <v>13.2740523979008</v>
      </c>
      <c r="DI33" s="130" t="n">
        <f aca="false">SUM(DF33:DH33)</f>
        <v>58.7993602794896</v>
      </c>
      <c r="DJ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8" t="e">
        <f aca="false">VLOOKUP(A33,'Données projet'!$A$165:$I$185,2,0)</f>
        <v>#N/A</v>
      </c>
      <c r="DM33" s="118" t="e">
        <f aca="false">VLOOKUP(A33,'Données projet'!$A$165:$I$185,9,0)</f>
        <v>#N/A</v>
      </c>
      <c r="DN33" s="118" t="n">
        <f aca="false" t="array" ref="DN33:DN33">INDEX(DM:DM,MIN(IF(ISNUMBER(DM33:DM229),ROW(DM33:DM229),"")))</f>
        <v>14.8333333333333</v>
      </c>
      <c r="DO33" s="118" t="n">
        <f aca="false">IF('Données projet'!$A$166&gt;35,DO32+DN33-DW32,IF(A33&lt;'Données projet'!$A$166,$DL$205^A33,IF(A33='Données projet'!$A$166,'Données projet'!$B$166,DO32+DN33-DW32)))</f>
        <v>184.666666666667</v>
      </c>
      <c r="DP33" s="125" t="n">
        <f aca="false">DO33*VLOOKUP('Données projet'!$B$14,Paramètres!$A$1:$I$89,3,0)*VLOOKUP('Données projet'!$B$14,Paramètres!$A$1:$I$89,5,0)</f>
        <v>110.430666666667</v>
      </c>
      <c r="DQ33" s="117" t="n">
        <f aca="false">EXP(-1.0587+0.8836*LN(DP33)+0.284)</f>
        <v>29.4324299111381</v>
      </c>
      <c r="DR33" s="128" t="n">
        <f aca="false">(DP33+DQ33)*0.475*44/12</f>
        <v>243.594893206343</v>
      </c>
      <c r="DS33" s="120" t="n">
        <f aca="false">DR33+(DJ33+DK33)*44/12</f>
        <v>536.928226539677</v>
      </c>
      <c r="DT33" s="120" t="n">
        <f aca="true">AVERAGE(OFFSET($DS$3,0,0,'Données projet'!$E$14+1,1))-AVERAGE(OFFSET($H$3,0,0,'Données projet'!$E$14+1,1))</f>
        <v>549.432320957297</v>
      </c>
      <c r="DU33" s="120" t="n">
        <f aca="false">$DU$3</f>
        <v>280.26155987301</v>
      </c>
      <c r="DV33" s="121" t="n">
        <f aca="false">IF(ISNA(VLOOKUP(A33,'Données projet'!$A$165:$I$185,3,0)),0,VLOOKUP(A33,'Données projet'!$A$165:$I$185,3,0))</f>
        <v>0</v>
      </c>
      <c r="DW33" s="121" t="n">
        <f aca="false">IF(ISNA(VLOOKUP(A33,'Données projet'!$A$165:$I$185,4,0)),0,VLOOKUP(A33,'Données projet'!$A$165:$I$185,4,0))</f>
        <v>0</v>
      </c>
      <c r="DX33" s="122" t="n">
        <f aca="false">IF(ISNA(VLOOKUP(A33,'Données projet'!$A$165:$I$185,5,0)),0%,VLOOKUP(A33,'Données projet'!$A$165:$I$185,5,0)*VLOOKUP('Données projet'!$B$14,Paramètres!$A$1:$I$89,7,0))</f>
        <v>0</v>
      </c>
      <c r="DY33" s="122" t="n">
        <f aca="false">IF(ISNA(VLOOKUP(A33,'Données projet'!$A$165:$I$185,6,0)),0%,VLOOKUP(A33,'Données projet'!$A$165:$I$185,6,0)*VLOOKUP('Données projet'!$B$14,Paramètres!$A$1:$I$89,7,0))</f>
        <v>0</v>
      </c>
      <c r="DZ33" s="122" t="n">
        <f aca="false">IF(ISNA(VLOOKUP(A33,'Données projet'!$A$165:$I$185,7,0)),0%,VLOOKUP(A33,'Données projet'!$A$165:$I$185,7,0))</f>
        <v>0</v>
      </c>
      <c r="EA33" s="129" t="n">
        <f aca="false">EXP(-LN(2)/35)*EA32+(1-EXP(-LN(2)/35))/(LN(2)/35)*DW33*DX33*VLOOKUP('Données projet'!$B$14,Paramètres!$A$1:$I$89,3,0)*0.475*44/12</f>
        <v>2.40180851503393</v>
      </c>
      <c r="EB33" s="129" t="n">
        <f aca="false">EXP(-LN(2)/25)*EB32+(1-EXP(-LN(2)/25))/(LN(2)/25)*Calculateur!DW33*Calculateur!DY33*VLOOKUP('Données projet'!$B$14,Paramètres!$A$1:$I$89,3,0)*0.475*44/12</f>
        <v>7.75356287724222</v>
      </c>
      <c r="EC33" s="129" t="n">
        <f aca="false">EXP(-LN(2)/2)*EC32+(1-EXP(-LN(2)/2))/(LN(2)/2)*DW33*DZ33*VLOOKUP('Données projet'!$B$14,Paramètres!$A$1:$I$89,3,0)*0.475*44/12</f>
        <v>6.11906453455947</v>
      </c>
      <c r="ED33" s="130" t="n">
        <f aca="false">SUM(EA33:EC33)</f>
        <v>16.2744359268356</v>
      </c>
      <c r="EE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8" t="e">
        <f aca="false">VLOOKUP(A33,'Données projet'!$A$191:$I$211,2,0)</f>
        <v>#N/A</v>
      </c>
      <c r="EH33" s="118" t="e">
        <f aca="false">VLOOKUP(A33,'Données projet'!$A$191:$I$211,9,0)</f>
        <v>#N/A</v>
      </c>
      <c r="EI33" s="118" t="n">
        <f aca="false" t="array" ref="EI33:EI33">INDEX(EH:EH,MIN(IF(ISNUMBER(EH33:EH229),ROW(EH33:EH229),"")))</f>
        <v>0</v>
      </c>
      <c r="EJ33" s="118" t="n">
        <f aca="false">IF('Données projet'!$A$192&gt;35,EJ32+EI33-ER32,IF(A33&lt;'Données projet'!$A$192,$EG$205^A33,IF(A33='Données projet'!$A$192,'Données projet'!$B$192,EJ32+EI33-ER32)))</f>
        <v>0</v>
      </c>
      <c r="EK33" s="125" t="e">
        <f aca="false">EJ33*VLOOKUP('Données projet'!$B$15,Paramètres!$A$1:$I$89,3,0)*VLOOKUP('Données projet'!$B$15,Paramètres!$A$1:$I$89,5,0)</f>
        <v>#N/A</v>
      </c>
      <c r="EL33" s="117" t="e">
        <f aca="false">EXP(-1.0587+0.8836*LN(EK33)+0.284)</f>
        <v>#N/A</v>
      </c>
      <c r="EM33" s="128" t="e">
        <f aca="false">(EK33+EL33)*0.475*44/12</f>
        <v>#N/A</v>
      </c>
      <c r="EN33" s="120" t="e">
        <f aca="false">EM33+(EE33+EF33)*44/12</f>
        <v>#N/A</v>
      </c>
      <c r="EO33" s="120" t="e">
        <f aca="true">AVERAGE(OFFSET($EN$3,0,0,'Données projet'!$E$15+1,1))-AVERAGE(OFFSET($H$3,0,0,'Données projet'!$E$15+1,1))</f>
        <v>#N/A</v>
      </c>
      <c r="EP33" s="120" t="e">
        <f aca="false">$EP$3</f>
        <v>#N/A</v>
      </c>
      <c r="EQ33" s="121" t="n">
        <f aca="false">IF(ISNA(VLOOKUP(A33,'Données projet'!$A$191:$I$211,3,0)),0,VLOOKUP(A33,'Données projet'!$A$191:$I$211,3,0))</f>
        <v>0</v>
      </c>
      <c r="ER33" s="121" t="n">
        <f aca="false">IF(ISNA(VLOOKUP(A33,'Données projet'!$A$191:$I$211,4,0)),0,VLOOKUP(A33,'Données projet'!$A$191:$I$211,4,0))</f>
        <v>0</v>
      </c>
      <c r="ES33" s="122" t="n">
        <f aca="false">IF(ISNA(VLOOKUP(A33,'Données projet'!$A$191:$I$211,5,0)),0%,VLOOKUP(A33,'Données projet'!$A$191:$I$211,5,0)*VLOOKUP('Données projet'!$B$15,Paramètres!$A$1:$I$89,7,0))</f>
        <v>0</v>
      </c>
      <c r="ET33" s="122" t="n">
        <f aca="false">IF(ISNA(VLOOKUP(A33,'Données projet'!$A$191:$I$211,6,0)),0%,VLOOKUP(A33,'Données projet'!$A$191:$I$211,6,0)*VLOOKUP('Données projet'!$B$15,Paramètres!$A$1:$I$89,7,0))</f>
        <v>0</v>
      </c>
      <c r="EU33" s="122" t="n">
        <f aca="false">IF(ISNA(VLOOKUP(A33,'Données projet'!$A$191:$I$211,7,0)),0%,VLOOKUP(A33,'Données projet'!$A$191:$I$211,7,0))</f>
        <v>0</v>
      </c>
      <c r="EV33" s="129" t="e">
        <f aca="false">EXP(-LN(2)/35)*EV32+(1-EXP(-LN(2)/35))/(LN(2)/35)*ER33*ES33*VLOOKUP('Données projet'!$B$15,Paramètres!$A$1:$I$89,3,0)*0.475*44/12</f>
        <v>#N/A</v>
      </c>
      <c r="EW33" s="129" t="e">
        <f aca="false">EXP(-LN(2)/25)*EW32+(1-EXP(-LN(2)/25))/(LN(2)/25)*Calculateur!ER33*Calculateur!ET33*VLOOKUP('Données projet'!$B$15,Paramètres!$A$1:$I$89,3,0)*0.475*44/12</f>
        <v>#N/A</v>
      </c>
      <c r="EX33" s="129" t="e">
        <f aca="false">EXP(-LN(2)/2)*EX32+(1-EXP(-LN(2)/2))/(LN(2)/2)*ER33*EU33*VLOOKUP('Données projet'!$B$15,Paramètres!$A$1:$I$89,3,0)*0.475*44/12</f>
        <v>#N/A</v>
      </c>
      <c r="EY33" s="130" t="e">
        <f aca="false">SUM(EV33:EX33)</f>
        <v>#N/A</v>
      </c>
      <c r="EZ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8" t="e">
        <f aca="false">VLOOKUP(A33,'Données projet'!$A$217:$I$237,2,0)</f>
        <v>#N/A</v>
      </c>
      <c r="FC33" s="118" t="e">
        <f aca="false">VLOOKUP(A33,'Données projet'!$A$217:$I$237,9,0)</f>
        <v>#N/A</v>
      </c>
      <c r="FD33" s="118" t="n">
        <f aca="false" t="array" ref="FD33:FD33">INDEX(FC:FC,MIN(IF(ISNUMBER(FC33:FC229),ROW(FC33:FC229),"")))</f>
        <v>0</v>
      </c>
      <c r="FE33" s="118" t="n">
        <f aca="false">IF('Données projet'!$A$218&gt;35,FE32+FD33-FM32,IF(A33&lt;'Données projet'!$A$218,$FB$205^A33,IF(A33='Données projet'!$A$218,'Données projet'!$B$218,FE32+FD33-FM32)))</f>
        <v>0</v>
      </c>
      <c r="FF33" s="125" t="e">
        <f aca="false">FE33*VLOOKUP('Données projet'!$B$16,Paramètres!$A$1:$I$89,3,0)*VLOOKUP('Données projet'!$B$16,Paramètres!$A$1:$I$89,5,0)</f>
        <v>#N/A</v>
      </c>
      <c r="FG33" s="117" t="e">
        <f aca="false">EXP(-1.0587+0.8836*LN(FF33)+0.284)</f>
        <v>#N/A</v>
      </c>
      <c r="FH33" s="128" t="e">
        <f aca="false">(FF33+FG33)*0.475*44/12</f>
        <v>#N/A</v>
      </c>
      <c r="FI33" s="120" t="e">
        <f aca="false">FH33+(EZ33+FA33)*44/12</f>
        <v>#N/A</v>
      </c>
      <c r="FJ33" s="120" t="e">
        <f aca="true">AVERAGE(OFFSET($FI$3,0,0,'Données projet'!$E$16+1,1))-AVERAGE(OFFSET($H$3,0,0,'Données projet'!$E$16+1,1))</f>
        <v>#N/A</v>
      </c>
      <c r="FK33" s="120" t="e">
        <f aca="false">$FK$3</f>
        <v>#N/A</v>
      </c>
      <c r="FL33" s="121" t="n">
        <f aca="false">IF(ISNA(VLOOKUP(A33,'Données projet'!$A$217:$I$237,3,0)),0,VLOOKUP(A33,'Données projet'!$A$217:$I$237,3,0))</f>
        <v>0</v>
      </c>
      <c r="FM33" s="121" t="n">
        <f aca="false">IF(ISNA(VLOOKUP(A33,'Données projet'!$A$217:$I$237,4,0)),0,VLOOKUP(A33,'Données projet'!$A$217:$I$237,4,0))</f>
        <v>0</v>
      </c>
      <c r="FN33" s="122" t="n">
        <f aca="false">IF(ISNA(VLOOKUP(A33,'Données projet'!$A$217:$I$237,5,0)),0%,VLOOKUP(A33,'Données projet'!$A$217:$I$237,5,0)*VLOOKUP('Données projet'!$B$16,Paramètres!$A$1:$I$89,7,0))</f>
        <v>0</v>
      </c>
      <c r="FO33" s="122" t="n">
        <f aca="false">IF(ISNA(VLOOKUP(A33,'Données projet'!$A$217:$I$237,6,0)),0%,VLOOKUP(A33,'Données projet'!$A$217:$I$237,6,0)*VLOOKUP('Données projet'!$B$16,Paramètres!$A$1:$I$89,7,0))</f>
        <v>0</v>
      </c>
      <c r="FP33" s="122" t="n">
        <f aca="false">IF(ISNA(VLOOKUP(A33,'Données projet'!$A$217:$I$237,7,0)),0%,VLOOKUP(A33,'Données projet'!$A$217:$I$237,7,0))</f>
        <v>0</v>
      </c>
      <c r="FQ33" s="129" t="e">
        <f aca="false">EXP(-LN(2)/35)*FQ32+(1-EXP(-LN(2)/35))/(LN(2)/35)*FM33*FN33*VLOOKUP('Données projet'!$B$16,Paramètres!$A$1:$I$89,3,0)*0.475*44/12</f>
        <v>#N/A</v>
      </c>
      <c r="FR33" s="129" t="e">
        <f aca="false">EXP(-LN(2)/25)*FR32+(1-EXP(-LN(2)/25))/(LN(2)/25)*Calculateur!FM33*Calculateur!FO33*VLOOKUP('Données projet'!$B$16,Paramètres!$A$1:$I$89,3,0)*0.475*44/12</f>
        <v>#N/A</v>
      </c>
      <c r="FS33" s="129" t="e">
        <f aca="false">EXP(-LN(2)/2)*FS32+(1-EXP(-LN(2)/2))/(LN(2)/2)*FM33*FP33*VLOOKUP('Données projet'!$B$16,Paramètres!$A$1:$I$89,3,0)*0.475*44/12</f>
        <v>#N/A</v>
      </c>
      <c r="FT33" s="130" t="e">
        <f aca="false">SUM(FQ33:FS33)</f>
        <v>#N/A</v>
      </c>
      <c r="FU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8" t="e">
        <f aca="false">VLOOKUP(A33,'Données projet'!$A$243:$I$263,2,0)</f>
        <v>#N/A</v>
      </c>
      <c r="FX33" s="118" t="e">
        <f aca="false">VLOOKUP(A33,'Données projet'!$A$243:$I$263,9,0)</f>
        <v>#N/A</v>
      </c>
      <c r="FY33" s="118" t="n">
        <f aca="false" t="array" ref="FY33:FY33">INDEX(FX:FX,MIN(IF(ISNUMBER(FX33:FX229),ROW(FX33:FX229),"")))</f>
        <v>0</v>
      </c>
      <c r="FZ33" s="118" t="n">
        <f aca="false">IF('Données projet'!$A$244&gt;35,FZ32+FY33-GH32,IF(A33&lt;'Données projet'!$A$244,$FW$205^A33,IF(A33='Données projet'!$A$244,'Données projet'!$B$244,FZ32+FY33-GH32)))</f>
        <v>0</v>
      </c>
      <c r="GA33" s="125" t="e">
        <f aca="false">FZ33*VLOOKUP('Données projet'!$B$17,Paramètres!$A$1:$I$89,3,0)*VLOOKUP('Données projet'!$B$17,Paramètres!$A$1:$I$89,5,0)</f>
        <v>#N/A</v>
      </c>
      <c r="GB33" s="117" t="e">
        <f aca="false">EXP(-1.0587+0.8836*LN(GA33)+0.284)</f>
        <v>#N/A</v>
      </c>
      <c r="GC33" s="128" t="e">
        <f aca="false">(GA33+GB33)*0.475*44/12</f>
        <v>#N/A</v>
      </c>
      <c r="GD33" s="120" t="e">
        <f aca="false">GC33+(FU33+FV33)*44/12</f>
        <v>#N/A</v>
      </c>
      <c r="GE33" s="120" t="e">
        <f aca="true">AVERAGE(OFFSET($GD$3,0,0,'Données projet'!$E$17+1,1))-AVERAGE(OFFSET($H$3,0,0,'Données projet'!$E$17+1,1))</f>
        <v>#N/A</v>
      </c>
      <c r="GF33" s="120" t="e">
        <f aca="false">$GF$3</f>
        <v>#N/A</v>
      </c>
      <c r="GG33" s="121" t="n">
        <f aca="false">IF(ISNA(VLOOKUP(A33,'Données projet'!$A$243:$I$263,3,0)),0,VLOOKUP(A33,'Données projet'!$A$243:$I$263,3,0))</f>
        <v>0</v>
      </c>
      <c r="GH33" s="121" t="n">
        <f aca="false">IF(ISNA(VLOOKUP(A33,'Données projet'!$A$243:$I$263,4,0)),0,VLOOKUP(A33,'Données projet'!$A$243:$I$263,4,0))</f>
        <v>0</v>
      </c>
      <c r="GI33" s="122" t="n">
        <f aca="false">IF(ISNA(VLOOKUP(A33,'Données projet'!$A$243:$I$263,5,0)),0%,VLOOKUP(A33,'Données projet'!$A$243:$I$263,5,0)*VLOOKUP('Données projet'!$B$17,Paramètres!$A$1:$I$89,7,0))</f>
        <v>0</v>
      </c>
      <c r="GJ33" s="122" t="n">
        <f aca="false">IF(ISNA(VLOOKUP(A33,'Données projet'!$A$243:$I$263,6,0)),0%,VLOOKUP(A33,'Données projet'!$A$243:$I$263,6,0)*VLOOKUP('Données projet'!$B$17,Paramètres!$A$1:$I$89,7,0))</f>
        <v>0</v>
      </c>
      <c r="GK33" s="122" t="n">
        <f aca="false">IF(ISNA(VLOOKUP(A33,'Données projet'!$A$243:$I$263,7,0)),0%,VLOOKUP(A33,'Données projet'!$A$243:$I$263,7,0))</f>
        <v>0</v>
      </c>
      <c r="GL33" s="129" t="e">
        <f aca="false">EXP(-LN(2)/35)*GL32+(1-EXP(-LN(2)/35))/(LN(2)/35)*GH33*GI33*VLOOKUP('Données projet'!$B$17,Paramètres!$A$1:$I$89,3,0)*0.475*44/12</f>
        <v>#N/A</v>
      </c>
      <c r="GM33" s="129" t="e">
        <f aca="false">EXP(-LN(2)/25)*GM32+(1-EXP(-LN(2)/25))/(LN(2)/25)*Calculateur!GH33*Calculateur!GJ33*VLOOKUP('Données projet'!$B$17,Paramètres!$A$1:$I$89,3,0)*0.475*44/12</f>
        <v>#N/A</v>
      </c>
      <c r="GN33" s="129" t="e">
        <f aca="false">EXP(-LN(2)/2)*GN32+(1-EXP(-LN(2)/2))/(LN(2)/2)*GH33*GK33*VLOOKUP('Données projet'!$B$17,Paramètres!$A$1:$I$89,3,0)*0.475*44/12</f>
        <v>#N/A</v>
      </c>
      <c r="GO33" s="129" t="e">
        <f aca="false">SUM(GL33:GN33)</f>
        <v>#N/A</v>
      </c>
      <c r="GP33" s="126" t="n">
        <f aca="false"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8" t="n">
        <f aca="false"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8" t="e">
        <f aca="false">VLOOKUP(A33,'Données projet'!$A$269:$I$289,2,0)</f>
        <v>#N/A</v>
      </c>
      <c r="GS33" s="118" t="e">
        <f aca="false">VLOOKUP(A33,'Données projet'!$A$269:$I$289,9,0)</f>
        <v>#N/A</v>
      </c>
      <c r="GT33" s="118" t="n">
        <f aca="false" t="array" ref="GT33:GT33">INDEX(GS:GS,MIN(IF(ISNUMBER(GS33:GS229),ROW(GS33:GS229),"")))</f>
        <v>0</v>
      </c>
      <c r="GU33" s="118" t="n">
        <f aca="false">IF('Données projet'!$A$270&gt;35,GU32+GT33-HC32,IF(A33&lt;'Données projet'!$A$270,$GR$205^A33,IF(A33='Données projet'!$A$270,'Données projet'!$B$270,GU32+GT33-HC32)))</f>
        <v>0</v>
      </c>
      <c r="GV33" s="125" t="e">
        <f aca="false">GU33*VLOOKUP('Données projet'!$B$18,Paramètres!$A$1:$I$89,3,0)*VLOOKUP('Données projet'!$B$18,Paramètres!$A$1:$I$89,5,0)</f>
        <v>#N/A</v>
      </c>
      <c r="GW33" s="117" t="e">
        <f aca="false">EXP(-1.0587+0.8836*LN(GV33)+0.284)</f>
        <v>#N/A</v>
      </c>
      <c r="GX33" s="128" t="e">
        <f aca="false">(GV33+GW33)*0.475*44/12</f>
        <v>#N/A</v>
      </c>
      <c r="GY33" s="120" t="e">
        <f aca="false">GX33+(GP33+GQ33)*44/12</f>
        <v>#N/A</v>
      </c>
      <c r="GZ33" s="120" t="e">
        <f aca="true">AVERAGE(OFFSET($GY$3,0,0,'Données projet'!$E$18+1,1))-AVERAGE(OFFSET($H$3,0,0,'Données projet'!$E$18+1,1))</f>
        <v>#N/A</v>
      </c>
      <c r="HA33" s="120" t="e">
        <f aca="false">$HA$3</f>
        <v>#N/A</v>
      </c>
      <c r="HB33" s="121" t="n">
        <f aca="false">IF(ISNA(VLOOKUP(A33,'Données projet'!$A$269:$I$289,3,0)),0,VLOOKUP(A33,'Données projet'!$A$269:$I$289,3,0))</f>
        <v>0</v>
      </c>
      <c r="HC33" s="121" t="n">
        <f aca="false">IF(ISNA(VLOOKUP(A33,'Données projet'!$A$269:$I$289,4,0)),0,VLOOKUP(A33,'Données projet'!$A$269:$I$289,4,0))</f>
        <v>0</v>
      </c>
      <c r="HD33" s="122" t="n">
        <f aca="false">IF(ISNA(VLOOKUP(A33,'Données projet'!$A$269:$I$289,5,0)),0%,VLOOKUP(A33,'Données projet'!$A$269:$I$289,5,0)*VLOOKUP('Données projet'!$B$18,Paramètres!$A$1:$I$89,7,0))</f>
        <v>0</v>
      </c>
      <c r="HE33" s="122" t="n">
        <f aca="false">IF(ISNA(VLOOKUP(A33,'Données projet'!$A$269:$I$289,6,0)),0%,VLOOKUP(A33,'Données projet'!$A$269:$I$289,6,0)*VLOOKUP('Données projet'!$B$18,Paramètres!$A$1:$I$89,7,0))</f>
        <v>0</v>
      </c>
      <c r="HF33" s="122" t="n">
        <f aca="false">IF(ISNA(VLOOKUP(A33,'Données projet'!$A$269:$I$289,7,0)),0%,VLOOKUP(A33,'Données projet'!$A$269:$I$289,7,0))</f>
        <v>0</v>
      </c>
      <c r="HG33" s="129" t="e">
        <f aca="false">EXP(-LN(2)/35)*HG32+(1-EXP(-LN(2)/35))/(LN(2)/35)*HC33*HD33*VLOOKUP('Données projet'!$B$18,Paramètres!$A$1:$I$89,3,0)*0.475*44/12</f>
        <v>#N/A</v>
      </c>
      <c r="HH33" s="129" t="e">
        <f aca="false">EXP(-LN(2)/25)*HH32+(1-EXP(-LN(2)/25))/(LN(2)/25)*Calculateur!HC33*Calculateur!HE33*VLOOKUP('Données projet'!$B$18,Paramètres!$A$1:$I$89,3,0)*0.475*44/12</f>
        <v>#N/A</v>
      </c>
      <c r="HI33" s="129" t="e">
        <f aca="false">EXP(-LN(2)/2)*HI32+(1-EXP(-LN(2)/2))/(LN(2)/2)*HC33*HF33*VLOOKUP('Données projet'!$B$18,Paramètres!$A$1:$I$89,3,0)*0.475*44/12</f>
        <v>#N/A</v>
      </c>
      <c r="HJ33" s="130" t="e">
        <f aca="false">SUM(HG33:HI33)</f>
        <v>#N/A</v>
      </c>
    </row>
    <row r="34" customFormat="false" ht="14.25" hidden="false" customHeight="false" outlineLevel="0" collapsed="false">
      <c r="A34" s="112" t="n">
        <f aca="false">A33+1</f>
        <v>31</v>
      </c>
      <c r="B34" s="113" t="n">
        <f aca="false">'Scénario référence'!$B$16*5+'Scénario référence'!$B$17*0+'Scénario référence'!$B$18*5</f>
        <v>0</v>
      </c>
      <c r="C34" s="127" t="n">
        <f aca="false"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4" t="n">
        <f aca="false">IFERROR(EXP(-1.0587+0.8836*LN(C34)+0.284),0)</f>
        <v>0</v>
      </c>
      <c r="E3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4" s="114" t="n">
        <f aca="false">IF(OR('Scénario référence'!$F$8&gt;0,'Scénario référence'!$F$9&gt;0),('Scénario référence'!$F$8+'Scénario référence'!$F$9)*10,0)</f>
        <v>0</v>
      </c>
      <c r="G34" s="114" t="n">
        <f aca="false"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15" t="n">
        <f aca="false">(B34+E34+F34)*44/12+(C34+D34)*0.475*44/12</f>
        <v>256.666666666667</v>
      </c>
      <c r="I34" s="11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7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8" t="e">
        <f aca="false">VLOOKUP(A34,'Données projet'!$A$35:$I$55,2,0)</f>
        <v>#N/A</v>
      </c>
      <c r="L34" s="118" t="e">
        <f aca="false">VLOOKUP(A34,'Données projet'!$A$35:$I$55,9,0)</f>
        <v>#N/A</v>
      </c>
      <c r="M34" s="118" t="n">
        <f aca="false" t="array" ref="M34:M34">INDEX(L:L,MIN(IF(ISNUMBER(L34:L230),ROW(L34:L230),"")))</f>
        <v>10</v>
      </c>
      <c r="N34" s="117" t="n">
        <f aca="false">IF('Données projet'!$A$36&gt;35,N33+M34-V33,IF(A34&lt;'Données projet'!$A$36,$K$205^A34,IF(A34='Données projet'!$A$36,'Données projet'!$B$36,N33+M34-V33)))</f>
        <v>153.5</v>
      </c>
      <c r="O34" s="117" t="n">
        <f aca="false">N34*VLOOKUP('Données projet'!$B$9,Paramètres!$A$1:$I$89,3,0)*VLOOKUP('Données projet'!$B$9,Paramètres!$A$1:$I$89,5,0)</f>
        <v>71.838</v>
      </c>
      <c r="P34" s="117" t="n">
        <f aca="false">EXP(-1.0587+0.8836*LN(O34)+0.284)</f>
        <v>20.1292069567856</v>
      </c>
      <c r="Q34" s="128" t="n">
        <f aca="false">(O34+P34)*0.475*44/12</f>
        <v>160.176218783068</v>
      </c>
      <c r="R34" s="120" t="n">
        <f aca="false">Q34+(I34+J34)*44/12</f>
        <v>453.509552116402</v>
      </c>
      <c r="S34" s="120" t="n">
        <f aca="true">AVERAGE(OFFSET($R$3,0,0,'Données projet'!$E$9+1,1))-AVERAGE(OFFSET($H$3,0,0,'Données projet'!$E$9+1,1))</f>
        <v>319.229030946746</v>
      </c>
      <c r="T34" s="120" t="n">
        <f aca="false">$T$3</f>
        <v>254.586909731428</v>
      </c>
      <c r="U34" s="121" t="n">
        <f aca="false">IF(ISNA(VLOOKUP(A34,'Données projet'!$A$35:$I$55,3,0)),0,VLOOKUP(A34,'Données projet'!$A$35:$I$55,3,0))</f>
        <v>0</v>
      </c>
      <c r="V34" s="121" t="n">
        <f aca="false">IF(ISNA(VLOOKUP(A34,'Données projet'!$A$35:$I$55,4,0)),0,VLOOKUP(A34,'Données projet'!$A$35:$I$55,4,0))</f>
        <v>0</v>
      </c>
      <c r="W34" s="122" t="n">
        <f aca="false">IF(ISNA(VLOOKUP(A34,'Données projet'!$A$35:$I$55,5,0)),0%,VLOOKUP(A34,'Données projet'!$A$35:$I$55,5,0)*VLOOKUP('Données projet'!$B$9,Paramètres!$A$1:$I$89,7,0))</f>
        <v>0</v>
      </c>
      <c r="X34" s="122" t="n">
        <f aca="false">IF(ISNA(VLOOKUP(A34,'Données projet'!$A$35:$I$55,6,0)),0%,VLOOKUP(A34,'Données projet'!$A$35:$I$55,6,0)*VLOOKUP('Données projet'!$B$9,Paramètres!$A$1:$I$89,7,0))</f>
        <v>0</v>
      </c>
      <c r="Y34" s="122" t="n">
        <f aca="false">IF(ISNA(VLOOKUP(A34,'Données projet'!$A$35:$I$55,7,0)),0%,VLOOKUP(A34,'Données projet'!$A$35:$I$55,7,0))</f>
        <v>0</v>
      </c>
      <c r="Z34" s="129" t="n">
        <f aca="false">EXP(-LN(2)/35)*Z33+(1-EXP(-LN(2)/35))/(LN(2)/35)*V34*W34*VLOOKUP('Données projet'!$B$9,Paramètres!$A$1:$I$89,3,0)*0.475*44/12</f>
        <v>8.8981890333964</v>
      </c>
      <c r="AA34" s="129" t="n">
        <f aca="false">EXP(-LN(2)/25)*AA33+(1-EXP(-LN(2)/25))/(LN(2)/25)*Calculateur!V34*Calculateur!X34*VLOOKUP('Données projet'!$B$9,Paramètres!$A$1:$I$89,3,0)*0.475*44/12</f>
        <v>10.8463867789421</v>
      </c>
      <c r="AB34" s="129" t="n">
        <f aca="false">EXP(-LN(2)/2)*AB33+(1-EXP(-LN(2)/2))/(LN(2)/2)*V34*Y34*VLOOKUP('Données projet'!$B$9,Paramètres!$A$1:$I$89,3,0)*0.475*44/12</f>
        <v>7.80867114940379</v>
      </c>
      <c r="AC34" s="130" t="n">
        <f aca="false">SUM(Z34:AB34)</f>
        <v>27.5532469617423</v>
      </c>
      <c r="AD34" s="117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7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8" t="e">
        <f aca="false">VLOOKUP(A34,'Données projet'!$A$61:$I$81,2,0)</f>
        <v>#N/A</v>
      </c>
      <c r="AG34" s="118" t="e">
        <f aca="false">VLOOKUP(A34,'Données projet'!$A$61:$I$81,9,0)</f>
        <v>#N/A</v>
      </c>
      <c r="AH34" s="118" t="n">
        <f aca="false" t="array" ref="AH34:AH34">INDEX(AG:AG,MIN(IF(ISNUMBER(AG34:AG230),ROW(AG34:AG230),"")))</f>
        <v>24.8</v>
      </c>
      <c r="AI34" s="117" t="n">
        <f aca="false">IF('Données projet'!$A$62&gt;35,AI33+AH34-AQ33,IF(A34&lt;'Données projet'!$A$62,$AF$205^A34,IF(A34='Données projet'!$A$62,'Données projet'!$B$62,AI33+AH34-AQ33)))</f>
        <v>310.8</v>
      </c>
      <c r="AJ34" s="117" t="n">
        <f aca="false">AI34*VLOOKUP('Données projet'!$B$10,Paramètres!$A$1:$I$89,3,0)*VLOOKUP('Données projet'!$B$10,Paramètres!$A$1:$I$89,5,0)</f>
        <v>173.7372</v>
      </c>
      <c r="AK34" s="117" t="n">
        <f aca="false">EXP(-1.0587+0.8836*LN(AJ34)+0.284)</f>
        <v>43.9259698219487</v>
      </c>
      <c r="AL34" s="128" t="n">
        <f aca="false">(AJ34+AK34)*0.475*44/12</f>
        <v>379.096687439894</v>
      </c>
      <c r="AM34" s="120" t="n">
        <f aca="false">AL34+(AD34+AE34)*44/12</f>
        <v>672.430020773227</v>
      </c>
      <c r="AN34" s="120" t="n">
        <f aca="true">AVERAGE(OFFSET($AM$3,0,0,'Données projet'!$E$10+1,1))-AVERAGE(OFFSET($H$3,0,0,'Données projet'!$E$10+1,1))</f>
        <v>365.705101827279</v>
      </c>
      <c r="AO34" s="120" t="n">
        <f aca="false">$AO$3</f>
        <v>436.238338449625</v>
      </c>
      <c r="AP34" s="121" t="n">
        <f aca="false">IF(ISNA(VLOOKUP(A34,'Données projet'!$A$61:$I$81,3,0)),0,VLOOKUP(A34,'Données projet'!$A$61:$I$81,3,0))</f>
        <v>0</v>
      </c>
      <c r="AQ34" s="121" t="n">
        <f aca="false">IF(ISNA(VLOOKUP(A34,'Données projet'!$A$61:$I$81,4,0)),0,VLOOKUP(A34,'Données projet'!$A$61:$I$81,4,0))</f>
        <v>0</v>
      </c>
      <c r="AR34" s="122" t="n">
        <f aca="false">IF(ISNA(VLOOKUP(A34,'Données projet'!$A$61:$I$81,5,0)),0%,VLOOKUP(A34,'Données projet'!$A$61:$I$81,5,0)*VLOOKUP('Données projet'!$B$10,Paramètres!$A$1:$I$89,7,0))</f>
        <v>0</v>
      </c>
      <c r="AS34" s="122" t="n">
        <f aca="false">IF(ISNA(VLOOKUP(A34,'Données projet'!$A$61:$I$81,6,0)),0%,VLOOKUP(A34,'Données projet'!$A$61:$I$81,6,0)*VLOOKUP('Données projet'!$B$10,Paramètres!$A$1:$I$89,7,0))</f>
        <v>0</v>
      </c>
      <c r="AT34" s="122" t="n">
        <f aca="false">IF(ISNA(VLOOKUP(A34,'Données projet'!$A$61:$I$81,7,0)),0%,VLOOKUP(A34,'Données projet'!$A$61:$I$81,7,0))</f>
        <v>0</v>
      </c>
      <c r="AU34" s="129" t="n">
        <f aca="false">EXP(-LN(2)/35)*AU33+(1-EXP(-LN(2)/35))/(LN(2)/35)*AQ34*AR34*VLOOKUP('Données projet'!$B$10,Paramètres!$A$1:$I$89,3,0)*0.475*44/12</f>
        <v>3.35877786827524</v>
      </c>
      <c r="AV34" s="129" t="n">
        <f aca="false">EXP(-LN(2)/25)*AV33+(1-EXP(-LN(2)/25))/(LN(2)/25)*Calculateur!AQ34*Calculateur!AS34*VLOOKUP('Données projet'!$B$10,Paramètres!$A$1:$I$89,3,0)*0.475*44/12</f>
        <v>12.8469586768588</v>
      </c>
      <c r="AW34" s="129" t="n">
        <f aca="false">EXP(-LN(2)/2)*AW33+(1-EXP(-LN(2)/2))/(LN(2)/2)*AQ34*AT34*VLOOKUP('Données projet'!$B$10,Paramètres!$A$1:$I$89,3,0)*0.475*44/12</f>
        <v>4.20238275448521</v>
      </c>
      <c r="AX34" s="129" t="n">
        <f aca="false">SUM(AU34:AW34)</f>
        <v>20.4081192996193</v>
      </c>
      <c r="AY34" s="124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8" t="e">
        <f aca="false">VLOOKUP(A34,'Données projet'!$A$87:$I$107,2,0)</f>
        <v>#N/A</v>
      </c>
      <c r="BB34" s="118" t="e">
        <f aca="false">VLOOKUP(A34,'Données projet'!$A$87:$I$107,9,0)</f>
        <v>#N/A</v>
      </c>
      <c r="BC34" s="118" t="n">
        <f aca="false" t="array" ref="BC34:BC34">INDEX(BB:BB,MIN(IF(ISNUMBER(BB34:BB230),ROW(BB34:BB230),"")))</f>
        <v>12.2</v>
      </c>
      <c r="BD34" s="118" t="n">
        <f aca="false">IF('Données projet'!$A$88&gt;35,BD33+BC34-BL33,IF(A34&lt;'Données projet'!$A$88,$BA$205^A34,IF(A34='Données projet'!$A$88,'Données projet'!$B$88,BD33+BC34-BL33)))</f>
        <v>152.2</v>
      </c>
      <c r="BE34" s="117" t="n">
        <f aca="false">BD34*VLOOKUP('Données projet'!$B$11,Paramètres!$A$1:$I$89,3,0)*VLOOKUP('Données projet'!$B$11,Paramètres!$A$1:$I$89,5,0)</f>
        <v>132.96192</v>
      </c>
      <c r="BF34" s="117" t="n">
        <f aca="false">EXP(-1.0587+0.8836*LN(BE34)+0.284)</f>
        <v>34.6798721325991</v>
      </c>
      <c r="BG34" s="128" t="n">
        <f aca="false">(BE34+BF34)*0.475*44/12</f>
        <v>291.97612129761</v>
      </c>
      <c r="BH34" s="120" t="n">
        <f aca="false">BG34+(AY34+AZ34)*44/12</f>
        <v>585.309454630943</v>
      </c>
      <c r="BI34" s="120" t="n">
        <f aca="true">AVERAGE(OFFSET($BH$3,0,0,'Données projet'!$E$11+1,1))-AVERAGE(OFFSET($H$3,0,0,'Données projet'!$E$11+1,1))</f>
        <v>321.235999689929</v>
      </c>
      <c r="BJ34" s="120" t="n">
        <f aca="false">$BJ$3</f>
        <v>388.051958478005</v>
      </c>
      <c r="BK34" s="121" t="n">
        <f aca="false">IF(ISNA(VLOOKUP(A34,'Données projet'!$A$87:$I$107,3,0)),0,VLOOKUP(A34,'Données projet'!$A$87:$I$107,3,0))</f>
        <v>0</v>
      </c>
      <c r="BL34" s="121" t="n">
        <f aca="false">IF(ISNA(VLOOKUP(A34,'Données projet'!$A$87:$I$107,4,0)),0,VLOOKUP(A34,'Données projet'!$A$87:$I$107,4,0))</f>
        <v>0</v>
      </c>
      <c r="BM34" s="122" t="n">
        <f aca="false">IF(ISNA(VLOOKUP(A34,'Données projet'!$A$87:$I$107,5,0)),0%,VLOOKUP(A34,'Données projet'!$A$87:$I$107,5,0)*VLOOKUP('Données projet'!$B$11,Paramètres!$A$1:$I$89,7,0))</f>
        <v>0</v>
      </c>
      <c r="BN34" s="122" t="n">
        <f aca="false">IF(ISNA(VLOOKUP(A34,'Données projet'!$A$87:$I$107,6,0)),0%,VLOOKUP(A34,'Données projet'!$A$87:$I$107,6,0)*VLOOKUP('Données projet'!$B$11,Paramètres!$A$1:$I$89,7,0))</f>
        <v>0</v>
      </c>
      <c r="BO34" s="122" t="n">
        <f aca="false">IF(ISNA(VLOOKUP(A34,'Données projet'!$A$87:$I$107,7,0)),0%,VLOOKUP(A34,'Données projet'!$A$87:$I$107,7,0))</f>
        <v>0</v>
      </c>
      <c r="BP34" s="129" t="n">
        <f aca="false">EXP(-LN(2)/35)*BP33+(1-EXP(-LN(2)/35))/(LN(2)/35)*BL34*BM34*VLOOKUP('Données projet'!$B$11,Paramètres!$A$1:$I$89,3,0)*0.475*44/12</f>
        <v>8.43261943255158</v>
      </c>
      <c r="BQ34" s="129" t="n">
        <f aca="false">EXP(-LN(2)/25)*BQ33+(1-EXP(-LN(2)/25))/(LN(2)/25)*Calculateur!BL34*Calculateur!BN34*VLOOKUP('Données projet'!$B$11,Paramètres!$A$1:$I$89,3,0)*0.475*44/12</f>
        <v>13.11341235517</v>
      </c>
      <c r="BR34" s="129" t="n">
        <f aca="false">EXP(-LN(2)/2)*BR33+(1-EXP(-LN(2)/2))/(LN(2)/2)*BL34*BO34*VLOOKUP('Données projet'!$B$11,Paramètres!$A$1:$I$89,3,0)*0.475*44/12</f>
        <v>4.27163472195652</v>
      </c>
      <c r="BS34" s="130" t="n">
        <f aca="false">SUM(BP34:BR34)</f>
        <v>25.8176665096781</v>
      </c>
      <c r="BT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8" t="e">
        <f aca="false">VLOOKUP(A34,'Données projet'!$A$113:$I$133,2,0)</f>
        <v>#N/A</v>
      </c>
      <c r="BW34" s="118" t="e">
        <f aca="false">VLOOKUP(A34,'Données projet'!$A$113:$I$133,9,0)</f>
        <v>#N/A</v>
      </c>
      <c r="BX34" s="118" t="n">
        <f aca="false" t="array" ref="BX34:BX34">INDEX(BW:BW,MIN(IF(ISNUMBER(BW34:BW230),ROW(BW34:BW230),"")))</f>
        <v>12.8333333333333</v>
      </c>
      <c r="BY34" s="118" t="n">
        <f aca="false">IF('Données projet'!$A$114&gt;35,BY33+BX34-CG33,IF(A34&lt;'Données projet'!$A$114,$BV$205^A34,IF(A34='Données projet'!$A$114,'Données projet'!$B$114,BY33+BX34-CG33)))</f>
        <v>183.833333333333</v>
      </c>
      <c r="BZ34" s="117" t="n">
        <f aca="false">BY34*VLOOKUP('Données projet'!$B$12,Paramètres!$A$1:$I$89,3,0)*VLOOKUP('Données projet'!$B$12,Paramètres!$A$1:$I$89,5,0)</f>
        <v>114.712</v>
      </c>
      <c r="CA34" s="117" t="n">
        <f aca="false">EXP(-1.0587+0.8836*LN(BZ34)+0.284)</f>
        <v>30.4384438980162</v>
      </c>
      <c r="CB34" s="128" t="n">
        <f aca="false">(BZ34+CA34)*0.475*44/12</f>
        <v>252.803689789045</v>
      </c>
      <c r="CC34" s="120" t="n">
        <f aca="false">CB34+(BT34+BU34)*44/12</f>
        <v>546.137023122378</v>
      </c>
      <c r="CD34" s="120" t="n">
        <f aca="true">AVERAGE(OFFSET($CC$3,0,0,'Données projet'!$E$12+1,1))-AVERAGE(OFFSET($H$3,0,0,'Données projet'!$E$12+1,1))</f>
        <v>240.228848647662</v>
      </c>
      <c r="CE34" s="120" t="n">
        <f aca="false">$CE$3</f>
        <v>343.237768841432</v>
      </c>
      <c r="CF34" s="121" t="n">
        <f aca="false">IF(ISNA(VLOOKUP(A34,'Données projet'!$A$113:$I$133,3,0)),0,VLOOKUP(A34,'Données projet'!$A$113:$I$133,3,0))</f>
        <v>0</v>
      </c>
      <c r="CG34" s="121" t="n">
        <f aca="false">IF(ISNA(VLOOKUP(A34,'Données projet'!$A$113:$I$133,4,0)),0,VLOOKUP(A34,'Données projet'!$A$113:$I$133,4,0))</f>
        <v>0</v>
      </c>
      <c r="CH34" s="122" t="n">
        <f aca="false">IF(ISNA(VLOOKUP(A34,'Données projet'!$A$113:$I$133,5,0)),0%,VLOOKUP(A34,'Données projet'!$A$113:$I$133,5,0)*VLOOKUP('Données projet'!$B$12,Paramètres!$A$1:$I$89,7,0))</f>
        <v>0</v>
      </c>
      <c r="CI34" s="122" t="n">
        <f aca="false">IF(ISNA(VLOOKUP(A34,'Données projet'!$A$113:$I$133,6,0)),0%,VLOOKUP(A34,'Données projet'!$A$113:$I$133,6,0)*VLOOKUP('Données projet'!$B$12,Paramètres!$A$1:$I$89,7,0))</f>
        <v>0</v>
      </c>
      <c r="CJ34" s="122" t="n">
        <f aca="false">IF(ISNA(VLOOKUP(A34,'Données projet'!$A$113:$I$133,7,0)),0%,VLOOKUP(A34,'Données projet'!$A$113:$I$133,7,0))</f>
        <v>0</v>
      </c>
      <c r="CK34" s="129" t="n">
        <f aca="false">EXP(-LN(2)/35)*CK33+(1-EXP(-LN(2)/35))/(LN(2)/35)*CG34*CH34*VLOOKUP('Données projet'!$B$12,Paramètres!$A$1:$I$89,3,0)*0.475*44/12</f>
        <v>5.16142005248699</v>
      </c>
      <c r="CL34" s="129" t="n">
        <f aca="false">EXP(-LN(2)/25)*CL33+(1-EXP(-LN(2)/25))/(LN(2)/25)*Calculateur!CG34*Calculateur!CI34*VLOOKUP('Données projet'!$B$12,Paramètres!$A$1:$I$89,3,0)*0.475*44/12</f>
        <v>23.1590453531854</v>
      </c>
      <c r="CM34" s="129" t="n">
        <f aca="false">EXP(-LN(2)/2)*CM33+(1-EXP(-LN(2)/2))/(LN(2)/2)*CG34*CJ34*VLOOKUP('Données projet'!$B$12,Paramètres!$A$1:$I$89,3,0)*0.475*44/12</f>
        <v>6.81639019907847</v>
      </c>
      <c r="CN34" s="130" t="n">
        <f aca="false">SUM(CK34:CM34)</f>
        <v>35.1368556047509</v>
      </c>
      <c r="CO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8" t="e">
        <f aca="false">VLOOKUP(A34,'Données projet'!$A$139:$I$159,2,0)</f>
        <v>#N/A</v>
      </c>
      <c r="CR34" s="118" t="e">
        <f aca="false">VLOOKUP(A34,'Données projet'!$A$139:$I$159,9,0)</f>
        <v>#N/A</v>
      </c>
      <c r="CS34" s="118" t="n">
        <f aca="false" t="array" ref="CS34:CS34">INDEX(CR:CR,MIN(IF(ISNUMBER(CR34:CR230),ROW(CR34:CR230),"")))</f>
        <v>15</v>
      </c>
      <c r="CT34" s="118" t="n">
        <f aca="false">IF('Données projet'!$A$140&gt;35,CT33+CS34-DB33,IF(A34&lt;'Données projet'!$A$140,$CQ$205^A34,IF(A34='Données projet'!$A$140,'Données projet'!$B$140,CT33+CS34-DB33)))</f>
        <v>194</v>
      </c>
      <c r="CU34" s="125" t="n">
        <f aca="false">CT34*VLOOKUP('Données projet'!$B$13,Paramètres!$A$1:$I$89,3,0)*VLOOKUP('Données projet'!$B$13,Paramètres!$A$1:$I$89,5,0)</f>
        <v>105.924</v>
      </c>
      <c r="CV34" s="117" t="n">
        <f aca="false">EXP(-1.0587+0.8836*LN(CU34)+0.284)</f>
        <v>28.3685470105555</v>
      </c>
      <c r="CW34" s="128" t="n">
        <f aca="false">(CU34+CV34)*0.475*44/12</f>
        <v>233.892852710051</v>
      </c>
      <c r="CX34" s="120" t="n">
        <f aca="false">CW34+(CO34+CP34)*44/12</f>
        <v>527.226186043384</v>
      </c>
      <c r="CY34" s="120" t="n">
        <f aca="true">AVERAGE(OFFSET($CX$3,0,0,'Données projet'!$E$13+1,1))-AVERAGE(OFFSET($H$3,0,0,'Données projet'!$E$13+1,1))</f>
        <v>207.023069645676</v>
      </c>
      <c r="CZ34" s="120" t="n">
        <f aca="false">$CZ$3</f>
        <v>342.068879333518</v>
      </c>
      <c r="DA34" s="121" t="n">
        <f aca="false">IF(ISNA(VLOOKUP(A34,'Données projet'!$A$139:$I$159,3,0)),0,VLOOKUP(A34,'Données projet'!$A$139:$I$159,3,0))</f>
        <v>0</v>
      </c>
      <c r="DB34" s="121" t="n">
        <f aca="false">IF(ISNA(VLOOKUP(A34,'Données projet'!$A$139:$I$159,4,0)),0,VLOOKUP(A34,'Données projet'!$A$139:$I$159,4,0))</f>
        <v>0</v>
      </c>
      <c r="DC34" s="122" t="n">
        <f aca="false">IF(ISNA(VLOOKUP(A34,'Données projet'!$A$139:$I$159,5,0)),0%,VLOOKUP(A34,'Données projet'!$A$139:$I$159,5,0)*VLOOKUP('Données projet'!$B$13,Paramètres!$A$1:$I$89,7,0))</f>
        <v>0</v>
      </c>
      <c r="DD34" s="122" t="n">
        <f aca="false">IF(ISNA(VLOOKUP(A34,'Données projet'!$A$139:$I$159,6,0)),0%,VLOOKUP(A34,'Données projet'!$A$139:$I$159,6,0)*VLOOKUP('Données projet'!$B$13,Paramètres!$A$1:$I$89,7,0))</f>
        <v>0</v>
      </c>
      <c r="DE34" s="122" t="n">
        <f aca="false">IF(ISNA(VLOOKUP(A34,'Données projet'!$A$139:$I$159,7,0)),0%,VLOOKUP(A34,'Données projet'!$A$139:$I$159,7,0))</f>
        <v>0</v>
      </c>
      <c r="DF34" s="129" t="n">
        <f aca="false">EXP(-LN(2)/35)*DF33+(1-EXP(-LN(2)/35))/(LN(2)/35)*DB34*DC34*VLOOKUP('Données projet'!$B$13,Paramètres!$A$1:$I$89,3,0)*0.475*44/12</f>
        <v>6.47612138661103</v>
      </c>
      <c r="DG34" s="129" t="n">
        <f aca="false">EXP(-LN(2)/25)*DG33+(1-EXP(-LN(2)/25))/(LN(2)/25)*Calculateur!DB34*Calculateur!DD34*VLOOKUP('Données projet'!$B$13,Paramètres!$A$1:$I$89,3,0)*0.475*44/12</f>
        <v>37.8553936688356</v>
      </c>
      <c r="DH34" s="129" t="n">
        <f aca="false">EXP(-LN(2)/2)*DH33+(1-EXP(-LN(2)/2))/(LN(2)/2)*DB34*DE34*VLOOKUP('Données projet'!$B$13,Paramètres!$A$1:$I$89,3,0)*0.475*44/12</f>
        <v>9.38617246438123</v>
      </c>
      <c r="DI34" s="130" t="n">
        <f aca="false">SUM(DF34:DH34)</f>
        <v>53.7176875198279</v>
      </c>
      <c r="DJ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8" t="e">
        <f aca="false">VLOOKUP(A34,'Données projet'!$A$165:$I$185,2,0)</f>
        <v>#N/A</v>
      </c>
      <c r="DM34" s="118" t="e">
        <f aca="false">VLOOKUP(A34,'Données projet'!$A$165:$I$185,9,0)</f>
        <v>#N/A</v>
      </c>
      <c r="DN34" s="118" t="n">
        <f aca="false" t="array" ref="DN34:DN34">INDEX(DM:DM,MIN(IF(ISNUMBER(DM34:DM230),ROW(DM34:DM230),"")))</f>
        <v>14.8333333333333</v>
      </c>
      <c r="DO34" s="118" t="n">
        <f aca="false">IF('Données projet'!$A$166&gt;35,DO33+DN34-DW33,IF(A34&lt;'Données projet'!$A$166,$DL$205^A34,IF(A34='Données projet'!$A$166,'Données projet'!$B$166,DO33+DN34-DW33)))</f>
        <v>199.5</v>
      </c>
      <c r="DP34" s="125" t="n">
        <f aca="false">DO34*VLOOKUP('Données projet'!$B$14,Paramètres!$A$1:$I$89,3,0)*VLOOKUP('Données projet'!$B$14,Paramètres!$A$1:$I$89,5,0)</f>
        <v>119.301</v>
      </c>
      <c r="DQ34" s="117" t="n">
        <f aca="false">EXP(-1.0587+0.8836*LN(DP34)+0.284)</f>
        <v>31.5119136331214</v>
      </c>
      <c r="DR34" s="128" t="n">
        <f aca="false">(DP34+DQ34)*0.475*44/12</f>
        <v>262.665824577686</v>
      </c>
      <c r="DS34" s="120" t="n">
        <f aca="false">DR34+(DJ34+DK34)*44/12</f>
        <v>555.99915791102</v>
      </c>
      <c r="DT34" s="120" t="n">
        <f aca="true">AVERAGE(OFFSET($DS$3,0,0,'Données projet'!$E$14+1,1))-AVERAGE(OFFSET($H$3,0,0,'Données projet'!$E$14+1,1))</f>
        <v>549.432320957297</v>
      </c>
      <c r="DU34" s="120" t="n">
        <f aca="false">$DU$3</f>
        <v>280.26155987301</v>
      </c>
      <c r="DV34" s="121" t="n">
        <f aca="false">IF(ISNA(VLOOKUP(A34,'Données projet'!$A$165:$I$185,3,0)),0,VLOOKUP(A34,'Données projet'!$A$165:$I$185,3,0))</f>
        <v>0</v>
      </c>
      <c r="DW34" s="121" t="n">
        <f aca="false">IF(ISNA(VLOOKUP(A34,'Données projet'!$A$165:$I$185,4,0)),0,VLOOKUP(A34,'Données projet'!$A$165:$I$185,4,0))</f>
        <v>0</v>
      </c>
      <c r="DX34" s="122" t="n">
        <f aca="false">IF(ISNA(VLOOKUP(A34,'Données projet'!$A$165:$I$185,5,0)),0%,VLOOKUP(A34,'Données projet'!$A$165:$I$185,5,0)*VLOOKUP('Données projet'!$B$14,Paramètres!$A$1:$I$89,7,0))</f>
        <v>0</v>
      </c>
      <c r="DY34" s="122" t="n">
        <f aca="false">IF(ISNA(VLOOKUP(A34,'Données projet'!$A$165:$I$185,6,0)),0%,VLOOKUP(A34,'Données projet'!$A$165:$I$185,6,0)*VLOOKUP('Données projet'!$B$14,Paramètres!$A$1:$I$89,7,0))</f>
        <v>0</v>
      </c>
      <c r="DZ34" s="122" t="n">
        <f aca="false">IF(ISNA(VLOOKUP(A34,'Données projet'!$A$165:$I$185,7,0)),0%,VLOOKUP(A34,'Données projet'!$A$165:$I$185,7,0))</f>
        <v>0</v>
      </c>
      <c r="EA34" s="129" t="n">
        <f aca="false">EXP(-LN(2)/35)*EA33+(1-EXP(-LN(2)/35))/(LN(2)/35)*DW34*DX34*VLOOKUP('Données projet'!$B$14,Paramètres!$A$1:$I$89,3,0)*0.475*44/12</f>
        <v>2.35471051501265</v>
      </c>
      <c r="EB34" s="129" t="n">
        <f aca="false">EXP(-LN(2)/25)*EB33+(1-EXP(-LN(2)/25))/(LN(2)/25)*Calculateur!DW34*Calculateur!DY34*VLOOKUP('Données projet'!$B$14,Paramètres!$A$1:$I$89,3,0)*0.475*44/12</f>
        <v>7.54154129262188</v>
      </c>
      <c r="EC34" s="129" t="n">
        <f aca="false">EXP(-LN(2)/2)*EC33+(1-EXP(-LN(2)/2))/(LN(2)/2)*DW34*DZ34*VLOOKUP('Données projet'!$B$14,Paramètres!$A$1:$I$89,3,0)*0.475*44/12</f>
        <v>4.32683202690511</v>
      </c>
      <c r="ED34" s="130" t="n">
        <f aca="false">SUM(EA34:EC34)</f>
        <v>14.2230838345396</v>
      </c>
      <c r="EE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8" t="e">
        <f aca="false">VLOOKUP(A34,'Données projet'!$A$191:$I$211,2,0)</f>
        <v>#N/A</v>
      </c>
      <c r="EH34" s="118" t="e">
        <f aca="false">VLOOKUP(A34,'Données projet'!$A$191:$I$211,9,0)</f>
        <v>#N/A</v>
      </c>
      <c r="EI34" s="118" t="n">
        <f aca="false" t="array" ref="EI34:EI34">INDEX(EH:EH,MIN(IF(ISNUMBER(EH34:EH230),ROW(EH34:EH230),"")))</f>
        <v>0</v>
      </c>
      <c r="EJ34" s="118" t="n">
        <f aca="false">IF('Données projet'!$A$192&gt;35,EJ33+EI34-ER33,IF(A34&lt;'Données projet'!$A$192,$EG$205^A34,IF(A34='Données projet'!$A$192,'Données projet'!$B$192,EJ33+EI34-ER33)))</f>
        <v>0</v>
      </c>
      <c r="EK34" s="125" t="e">
        <f aca="false">EJ34*VLOOKUP('Données projet'!$B$15,Paramètres!$A$1:$I$89,3,0)*VLOOKUP('Données projet'!$B$15,Paramètres!$A$1:$I$89,5,0)</f>
        <v>#N/A</v>
      </c>
      <c r="EL34" s="117" t="e">
        <f aca="false">EXP(-1.0587+0.8836*LN(EK34)+0.284)</f>
        <v>#N/A</v>
      </c>
      <c r="EM34" s="128" t="e">
        <f aca="false">(EK34+EL34)*0.475*44/12</f>
        <v>#N/A</v>
      </c>
      <c r="EN34" s="120" t="e">
        <f aca="false">EM34+(EE34+EF34)*44/12</f>
        <v>#N/A</v>
      </c>
      <c r="EO34" s="120" t="e">
        <f aca="true">AVERAGE(OFFSET($EN$3,0,0,'Données projet'!$E$15+1,1))-AVERAGE(OFFSET($H$3,0,0,'Données projet'!$E$15+1,1))</f>
        <v>#N/A</v>
      </c>
      <c r="EP34" s="120" t="e">
        <f aca="false">$EP$3</f>
        <v>#N/A</v>
      </c>
      <c r="EQ34" s="121" t="n">
        <f aca="false">IF(ISNA(VLOOKUP(A34,'Données projet'!$A$191:$I$211,3,0)),0,VLOOKUP(A34,'Données projet'!$A$191:$I$211,3,0))</f>
        <v>0</v>
      </c>
      <c r="ER34" s="121" t="n">
        <f aca="false">IF(ISNA(VLOOKUP(A34,'Données projet'!$A$191:$I$211,4,0)),0,VLOOKUP(A34,'Données projet'!$A$191:$I$211,4,0))</f>
        <v>0</v>
      </c>
      <c r="ES34" s="122" t="n">
        <f aca="false">IF(ISNA(VLOOKUP(A34,'Données projet'!$A$191:$I$211,5,0)),0%,VLOOKUP(A34,'Données projet'!$A$191:$I$211,5,0)*VLOOKUP('Données projet'!$B$15,Paramètres!$A$1:$I$89,7,0))</f>
        <v>0</v>
      </c>
      <c r="ET34" s="122" t="n">
        <f aca="false">IF(ISNA(VLOOKUP(A34,'Données projet'!$A$191:$I$211,6,0)),0%,VLOOKUP(A34,'Données projet'!$A$191:$I$211,6,0)*VLOOKUP('Données projet'!$B$15,Paramètres!$A$1:$I$89,7,0))</f>
        <v>0</v>
      </c>
      <c r="EU34" s="122" t="n">
        <f aca="false">IF(ISNA(VLOOKUP(A34,'Données projet'!$A$191:$I$211,7,0)),0%,VLOOKUP(A34,'Données projet'!$A$191:$I$211,7,0))</f>
        <v>0</v>
      </c>
      <c r="EV34" s="129" t="e">
        <f aca="false">EXP(-LN(2)/35)*EV33+(1-EXP(-LN(2)/35))/(LN(2)/35)*ER34*ES34*VLOOKUP('Données projet'!$B$15,Paramètres!$A$1:$I$89,3,0)*0.475*44/12</f>
        <v>#N/A</v>
      </c>
      <c r="EW34" s="129" t="e">
        <f aca="false">EXP(-LN(2)/25)*EW33+(1-EXP(-LN(2)/25))/(LN(2)/25)*Calculateur!ER34*Calculateur!ET34*VLOOKUP('Données projet'!$B$15,Paramètres!$A$1:$I$89,3,0)*0.475*44/12</f>
        <v>#N/A</v>
      </c>
      <c r="EX34" s="129" t="e">
        <f aca="false">EXP(-LN(2)/2)*EX33+(1-EXP(-LN(2)/2))/(LN(2)/2)*ER34*EU34*VLOOKUP('Données projet'!$B$15,Paramètres!$A$1:$I$89,3,0)*0.475*44/12</f>
        <v>#N/A</v>
      </c>
      <c r="EY34" s="130" t="e">
        <f aca="false">SUM(EV34:EX34)</f>
        <v>#N/A</v>
      </c>
      <c r="EZ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8" t="e">
        <f aca="false">VLOOKUP(A34,'Données projet'!$A$217:$I$237,2,0)</f>
        <v>#N/A</v>
      </c>
      <c r="FC34" s="118" t="e">
        <f aca="false">VLOOKUP(A34,'Données projet'!$A$217:$I$237,9,0)</f>
        <v>#N/A</v>
      </c>
      <c r="FD34" s="118" t="n">
        <f aca="false" t="array" ref="FD34:FD34">INDEX(FC:FC,MIN(IF(ISNUMBER(FC34:FC230),ROW(FC34:FC230),"")))</f>
        <v>0</v>
      </c>
      <c r="FE34" s="118" t="n">
        <f aca="false">IF('Données projet'!$A$218&gt;35,FE33+FD34-FM33,IF(A34&lt;'Données projet'!$A$218,$FB$205^A34,IF(A34='Données projet'!$A$218,'Données projet'!$B$218,FE33+FD34-FM33)))</f>
        <v>0</v>
      </c>
      <c r="FF34" s="125" t="e">
        <f aca="false">FE34*VLOOKUP('Données projet'!$B$16,Paramètres!$A$1:$I$89,3,0)*VLOOKUP('Données projet'!$B$16,Paramètres!$A$1:$I$89,5,0)</f>
        <v>#N/A</v>
      </c>
      <c r="FG34" s="117" t="e">
        <f aca="false">EXP(-1.0587+0.8836*LN(FF34)+0.284)</f>
        <v>#N/A</v>
      </c>
      <c r="FH34" s="128" t="e">
        <f aca="false">(FF34+FG34)*0.475*44/12</f>
        <v>#N/A</v>
      </c>
      <c r="FI34" s="120" t="e">
        <f aca="false">FH34+(EZ34+FA34)*44/12</f>
        <v>#N/A</v>
      </c>
      <c r="FJ34" s="120" t="e">
        <f aca="true">AVERAGE(OFFSET($FI$3,0,0,'Données projet'!$E$16+1,1))-AVERAGE(OFFSET($H$3,0,0,'Données projet'!$E$16+1,1))</f>
        <v>#N/A</v>
      </c>
      <c r="FK34" s="120" t="e">
        <f aca="false">$FK$3</f>
        <v>#N/A</v>
      </c>
      <c r="FL34" s="121" t="n">
        <f aca="false">IF(ISNA(VLOOKUP(A34,'Données projet'!$A$217:$I$237,3,0)),0,VLOOKUP(A34,'Données projet'!$A$217:$I$237,3,0))</f>
        <v>0</v>
      </c>
      <c r="FM34" s="121" t="n">
        <f aca="false">IF(ISNA(VLOOKUP(A34,'Données projet'!$A$217:$I$237,4,0)),0,VLOOKUP(A34,'Données projet'!$A$217:$I$237,4,0))</f>
        <v>0</v>
      </c>
      <c r="FN34" s="122" t="n">
        <f aca="false">IF(ISNA(VLOOKUP(A34,'Données projet'!$A$217:$I$237,5,0)),0%,VLOOKUP(A34,'Données projet'!$A$217:$I$237,5,0)*VLOOKUP('Données projet'!$B$16,Paramètres!$A$1:$I$89,7,0))</f>
        <v>0</v>
      </c>
      <c r="FO34" s="122" t="n">
        <f aca="false">IF(ISNA(VLOOKUP(A34,'Données projet'!$A$217:$I$237,6,0)),0%,VLOOKUP(A34,'Données projet'!$A$217:$I$237,6,0)*VLOOKUP('Données projet'!$B$16,Paramètres!$A$1:$I$89,7,0))</f>
        <v>0</v>
      </c>
      <c r="FP34" s="122" t="n">
        <f aca="false">IF(ISNA(VLOOKUP(A34,'Données projet'!$A$217:$I$237,7,0)),0%,VLOOKUP(A34,'Données projet'!$A$217:$I$237,7,0))</f>
        <v>0</v>
      </c>
      <c r="FQ34" s="129" t="e">
        <f aca="false">EXP(-LN(2)/35)*FQ33+(1-EXP(-LN(2)/35))/(LN(2)/35)*FM34*FN34*VLOOKUP('Données projet'!$B$16,Paramètres!$A$1:$I$89,3,0)*0.475*44/12</f>
        <v>#N/A</v>
      </c>
      <c r="FR34" s="129" t="e">
        <f aca="false">EXP(-LN(2)/25)*FR33+(1-EXP(-LN(2)/25))/(LN(2)/25)*Calculateur!FM34*Calculateur!FO34*VLOOKUP('Données projet'!$B$16,Paramètres!$A$1:$I$89,3,0)*0.475*44/12</f>
        <v>#N/A</v>
      </c>
      <c r="FS34" s="129" t="e">
        <f aca="false">EXP(-LN(2)/2)*FS33+(1-EXP(-LN(2)/2))/(LN(2)/2)*FM34*FP34*VLOOKUP('Données projet'!$B$16,Paramètres!$A$1:$I$89,3,0)*0.475*44/12</f>
        <v>#N/A</v>
      </c>
      <c r="FT34" s="130" t="e">
        <f aca="false">SUM(FQ34:FS34)</f>
        <v>#N/A</v>
      </c>
      <c r="FU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8" t="e">
        <f aca="false">VLOOKUP(A34,'Données projet'!$A$243:$I$263,2,0)</f>
        <v>#N/A</v>
      </c>
      <c r="FX34" s="118" t="e">
        <f aca="false">VLOOKUP(A34,'Données projet'!$A$243:$I$263,9,0)</f>
        <v>#N/A</v>
      </c>
      <c r="FY34" s="118" t="n">
        <f aca="false" t="array" ref="FY34:FY34">INDEX(FX:FX,MIN(IF(ISNUMBER(FX34:FX230),ROW(FX34:FX230),"")))</f>
        <v>0</v>
      </c>
      <c r="FZ34" s="118" t="n">
        <f aca="false">IF('Données projet'!$A$244&gt;35,FZ33+FY34-GH33,IF(A34&lt;'Données projet'!$A$244,$FW$205^A34,IF(A34='Données projet'!$A$244,'Données projet'!$B$244,FZ33+FY34-GH33)))</f>
        <v>0</v>
      </c>
      <c r="GA34" s="125" t="e">
        <f aca="false">FZ34*VLOOKUP('Données projet'!$B$17,Paramètres!$A$1:$I$89,3,0)*VLOOKUP('Données projet'!$B$17,Paramètres!$A$1:$I$89,5,0)</f>
        <v>#N/A</v>
      </c>
      <c r="GB34" s="117" t="e">
        <f aca="false">EXP(-1.0587+0.8836*LN(GA34)+0.284)</f>
        <v>#N/A</v>
      </c>
      <c r="GC34" s="128" t="e">
        <f aca="false">(GA34+GB34)*0.475*44/12</f>
        <v>#N/A</v>
      </c>
      <c r="GD34" s="120" t="e">
        <f aca="false">GC34+(FU34+FV34)*44/12</f>
        <v>#N/A</v>
      </c>
      <c r="GE34" s="120" t="e">
        <f aca="true">AVERAGE(OFFSET($GD$3,0,0,'Données projet'!$E$17+1,1))-AVERAGE(OFFSET($H$3,0,0,'Données projet'!$E$17+1,1))</f>
        <v>#N/A</v>
      </c>
      <c r="GF34" s="120" t="e">
        <f aca="false">$GF$3</f>
        <v>#N/A</v>
      </c>
      <c r="GG34" s="121" t="n">
        <f aca="false">IF(ISNA(VLOOKUP(A34,'Données projet'!$A$243:$I$263,3,0)),0,VLOOKUP(A34,'Données projet'!$A$243:$I$263,3,0))</f>
        <v>0</v>
      </c>
      <c r="GH34" s="121" t="n">
        <f aca="false">IF(ISNA(VLOOKUP(A34,'Données projet'!$A$243:$I$263,4,0)),0,VLOOKUP(A34,'Données projet'!$A$243:$I$263,4,0))</f>
        <v>0</v>
      </c>
      <c r="GI34" s="122" t="n">
        <f aca="false">IF(ISNA(VLOOKUP(A34,'Données projet'!$A$243:$I$263,5,0)),0%,VLOOKUP(A34,'Données projet'!$A$243:$I$263,5,0)*VLOOKUP('Données projet'!$B$17,Paramètres!$A$1:$I$89,7,0))</f>
        <v>0</v>
      </c>
      <c r="GJ34" s="122" t="n">
        <f aca="false">IF(ISNA(VLOOKUP(A34,'Données projet'!$A$243:$I$263,6,0)),0%,VLOOKUP(A34,'Données projet'!$A$243:$I$263,6,0)*VLOOKUP('Données projet'!$B$17,Paramètres!$A$1:$I$89,7,0))</f>
        <v>0</v>
      </c>
      <c r="GK34" s="122" t="n">
        <f aca="false">IF(ISNA(VLOOKUP(A34,'Données projet'!$A$243:$I$263,7,0)),0%,VLOOKUP(A34,'Données projet'!$A$243:$I$263,7,0))</f>
        <v>0</v>
      </c>
      <c r="GL34" s="129" t="e">
        <f aca="false">EXP(-LN(2)/35)*GL33+(1-EXP(-LN(2)/35))/(LN(2)/35)*GH34*GI34*VLOOKUP('Données projet'!$B$17,Paramètres!$A$1:$I$89,3,0)*0.475*44/12</f>
        <v>#N/A</v>
      </c>
      <c r="GM34" s="129" t="e">
        <f aca="false">EXP(-LN(2)/25)*GM33+(1-EXP(-LN(2)/25))/(LN(2)/25)*Calculateur!GH34*Calculateur!GJ34*VLOOKUP('Données projet'!$B$17,Paramètres!$A$1:$I$89,3,0)*0.475*44/12</f>
        <v>#N/A</v>
      </c>
      <c r="GN34" s="129" t="e">
        <f aca="false">EXP(-LN(2)/2)*GN33+(1-EXP(-LN(2)/2))/(LN(2)/2)*GH34*GK34*VLOOKUP('Données projet'!$B$17,Paramètres!$A$1:$I$89,3,0)*0.475*44/12</f>
        <v>#N/A</v>
      </c>
      <c r="GO34" s="129" t="e">
        <f aca="false">SUM(GL34:GN34)</f>
        <v>#N/A</v>
      </c>
      <c r="GP34" s="126" t="n">
        <f aca="false"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8" t="n">
        <f aca="false"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8" t="e">
        <f aca="false">VLOOKUP(A34,'Données projet'!$A$269:$I$289,2,0)</f>
        <v>#N/A</v>
      </c>
      <c r="GS34" s="118" t="e">
        <f aca="false">VLOOKUP(A34,'Données projet'!$A$269:$I$289,9,0)</f>
        <v>#N/A</v>
      </c>
      <c r="GT34" s="118" t="n">
        <f aca="false" t="array" ref="GT34:GT34">INDEX(GS:GS,MIN(IF(ISNUMBER(GS34:GS230),ROW(GS34:GS230),"")))</f>
        <v>0</v>
      </c>
      <c r="GU34" s="118" t="n">
        <f aca="false">IF('Données projet'!$A$270&gt;35,GU33+GT34-HC33,IF(A34&lt;'Données projet'!$A$270,$GR$205^A34,IF(A34='Données projet'!$A$270,'Données projet'!$B$270,GU33+GT34-HC33)))</f>
        <v>0</v>
      </c>
      <c r="GV34" s="125" t="e">
        <f aca="false">GU34*VLOOKUP('Données projet'!$B$18,Paramètres!$A$1:$I$89,3,0)*VLOOKUP('Données projet'!$B$18,Paramètres!$A$1:$I$89,5,0)</f>
        <v>#N/A</v>
      </c>
      <c r="GW34" s="117" t="e">
        <f aca="false">EXP(-1.0587+0.8836*LN(GV34)+0.284)</f>
        <v>#N/A</v>
      </c>
      <c r="GX34" s="128" t="e">
        <f aca="false">(GV34+GW34)*0.475*44/12</f>
        <v>#N/A</v>
      </c>
      <c r="GY34" s="120" t="e">
        <f aca="false">GX34+(GP34+GQ34)*44/12</f>
        <v>#N/A</v>
      </c>
      <c r="GZ34" s="120" t="e">
        <f aca="true">AVERAGE(OFFSET($GY$3,0,0,'Données projet'!$E$18+1,1))-AVERAGE(OFFSET($H$3,0,0,'Données projet'!$E$18+1,1))</f>
        <v>#N/A</v>
      </c>
      <c r="HA34" s="120" t="e">
        <f aca="false">$HA$3</f>
        <v>#N/A</v>
      </c>
      <c r="HB34" s="121" t="n">
        <f aca="false">IF(ISNA(VLOOKUP(A34,'Données projet'!$A$269:$I$289,3,0)),0,VLOOKUP(A34,'Données projet'!$A$269:$I$289,3,0))</f>
        <v>0</v>
      </c>
      <c r="HC34" s="121" t="n">
        <f aca="false">IF(ISNA(VLOOKUP(A34,'Données projet'!$A$269:$I$289,4,0)),0,VLOOKUP(A34,'Données projet'!$A$269:$I$289,4,0))</f>
        <v>0</v>
      </c>
      <c r="HD34" s="122" t="n">
        <f aca="false">IF(ISNA(VLOOKUP(A34,'Données projet'!$A$269:$I$289,5,0)),0%,VLOOKUP(A34,'Données projet'!$A$269:$I$289,5,0)*VLOOKUP('Données projet'!$B$18,Paramètres!$A$1:$I$89,7,0))</f>
        <v>0</v>
      </c>
      <c r="HE34" s="122" t="n">
        <f aca="false">IF(ISNA(VLOOKUP(A34,'Données projet'!$A$269:$I$289,6,0)),0%,VLOOKUP(A34,'Données projet'!$A$269:$I$289,6,0)*VLOOKUP('Données projet'!$B$18,Paramètres!$A$1:$I$89,7,0))</f>
        <v>0</v>
      </c>
      <c r="HF34" s="122" t="n">
        <f aca="false">IF(ISNA(VLOOKUP(A34,'Données projet'!$A$269:$I$289,7,0)),0%,VLOOKUP(A34,'Données projet'!$A$269:$I$289,7,0))</f>
        <v>0</v>
      </c>
      <c r="HG34" s="129" t="e">
        <f aca="false">EXP(-LN(2)/35)*HG33+(1-EXP(-LN(2)/35))/(LN(2)/35)*HC34*HD34*VLOOKUP('Données projet'!$B$18,Paramètres!$A$1:$I$89,3,0)*0.475*44/12</f>
        <v>#N/A</v>
      </c>
      <c r="HH34" s="129" t="e">
        <f aca="false">EXP(-LN(2)/25)*HH33+(1-EXP(-LN(2)/25))/(LN(2)/25)*Calculateur!HC34*Calculateur!HE34*VLOOKUP('Données projet'!$B$18,Paramètres!$A$1:$I$89,3,0)*0.475*44/12</f>
        <v>#N/A</v>
      </c>
      <c r="HI34" s="129" t="e">
        <f aca="false">EXP(-LN(2)/2)*HI33+(1-EXP(-LN(2)/2))/(LN(2)/2)*HC34*HF34*VLOOKUP('Données projet'!$B$18,Paramètres!$A$1:$I$89,3,0)*0.475*44/12</f>
        <v>#N/A</v>
      </c>
      <c r="HJ34" s="130" t="e">
        <f aca="false">SUM(HG34:HI34)</f>
        <v>#N/A</v>
      </c>
    </row>
    <row r="35" customFormat="false" ht="14.25" hidden="false" customHeight="false" outlineLevel="0" collapsed="false">
      <c r="A35" s="112" t="n">
        <f aca="false">A34+1</f>
        <v>32</v>
      </c>
      <c r="B35" s="113" t="n">
        <f aca="false">'Scénario référence'!$B$16*5+'Scénario référence'!$B$17*0+'Scénario référence'!$B$18*5</f>
        <v>0</v>
      </c>
      <c r="C35" s="127" t="n">
        <f aca="false"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4" t="n">
        <f aca="false">IFERROR(EXP(-1.0587+0.8836*LN(C35)+0.284),0)</f>
        <v>0</v>
      </c>
      <c r="E3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5" s="114" t="n">
        <f aca="false">IF(OR('Scénario référence'!$F$8&gt;0,'Scénario référence'!$F$9&gt;0),('Scénario référence'!$F$8+'Scénario référence'!$F$9)*10,0)</f>
        <v>0</v>
      </c>
      <c r="G35" s="114" t="n">
        <f aca="false"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15" t="n">
        <f aca="false">(B35+E35+F35)*44/12+(C35+D35)*0.475*44/12</f>
        <v>256.666666666667</v>
      </c>
      <c r="I35" s="11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7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8" t="e">
        <f aca="false">VLOOKUP(A35,'Données projet'!$A$35:$I$55,2,0)</f>
        <v>#N/A</v>
      </c>
      <c r="L35" s="118" t="e">
        <f aca="false">VLOOKUP(A35,'Données projet'!$A$35:$I$55,9,0)</f>
        <v>#N/A</v>
      </c>
      <c r="M35" s="118" t="n">
        <f aca="false" t="array" ref="M35:M35">INDEX(L:L,MIN(IF(ISNUMBER(L35:L231),ROW(L35:L231),"")))</f>
        <v>10</v>
      </c>
      <c r="N35" s="117" t="n">
        <f aca="false">IF('Données projet'!$A$36&gt;35,N34+M35-V34,IF(A35&lt;'Données projet'!$A$36,$K$205^A35,IF(A35='Données projet'!$A$36,'Données projet'!$B$36,N34+M35-V34)))</f>
        <v>163.5</v>
      </c>
      <c r="O35" s="117" t="n">
        <f aca="false">N35*VLOOKUP('Données projet'!$B$9,Paramètres!$A$1:$I$89,3,0)*VLOOKUP('Données projet'!$B$9,Paramètres!$A$1:$I$89,5,0)</f>
        <v>76.5179999999999</v>
      </c>
      <c r="P35" s="117" t="n">
        <f aca="false">EXP(-1.0587+0.8836*LN(O35)+0.284)</f>
        <v>21.2836246236201</v>
      </c>
      <c r="Q35" s="128" t="n">
        <f aca="false">(O35+P35)*0.475*44/12</f>
        <v>170.337829552805</v>
      </c>
      <c r="R35" s="120" t="n">
        <f aca="false">Q35+(I35+J35)*44/12</f>
        <v>463.671162886138</v>
      </c>
      <c r="S35" s="120" t="n">
        <f aca="true">AVERAGE(OFFSET($R$3,0,0,'Données projet'!$E$9+1,1))-AVERAGE(OFFSET($H$3,0,0,'Données projet'!$E$9+1,1))</f>
        <v>319.229030946746</v>
      </c>
      <c r="T35" s="120" t="n">
        <f aca="false">$T$3</f>
        <v>254.586909731428</v>
      </c>
      <c r="U35" s="121" t="n">
        <f aca="false">IF(ISNA(VLOOKUP(A35,'Données projet'!$A$35:$I$55,3,0)),0,VLOOKUP(A35,'Données projet'!$A$35:$I$55,3,0))</f>
        <v>0</v>
      </c>
      <c r="V35" s="121" t="n">
        <f aca="false">IF(ISNA(VLOOKUP(A35,'Données projet'!$A$35:$I$55,4,0)),0,VLOOKUP(A35,'Données projet'!$A$35:$I$55,4,0))</f>
        <v>0</v>
      </c>
      <c r="W35" s="122" t="n">
        <f aca="false">IF(ISNA(VLOOKUP(A35,'Données projet'!$A$35:$I$55,5,0)),0%,VLOOKUP(A35,'Données projet'!$A$35:$I$55,5,0)*VLOOKUP('Données projet'!$B$9,Paramètres!$A$1:$I$89,7,0))</f>
        <v>0</v>
      </c>
      <c r="X35" s="122" t="n">
        <f aca="false">IF(ISNA(VLOOKUP(A35,'Données projet'!$A$35:$I$55,6,0)),0%,VLOOKUP(A35,'Données projet'!$A$35:$I$55,6,0)*VLOOKUP('Données projet'!$B$9,Paramètres!$A$1:$I$89,7,0))</f>
        <v>0</v>
      </c>
      <c r="Y35" s="122" t="n">
        <f aca="false">IF(ISNA(VLOOKUP(A35,'Données projet'!$A$35:$I$55,7,0)),0%,VLOOKUP(A35,'Données projet'!$A$35:$I$55,7,0))</f>
        <v>0</v>
      </c>
      <c r="Z35" s="129" t="n">
        <f aca="false">EXP(-LN(2)/35)*Z34+(1-EXP(-LN(2)/35))/(LN(2)/35)*V35*W35*VLOOKUP('Données projet'!$B$9,Paramètres!$A$1:$I$89,3,0)*0.475*44/12</f>
        <v>8.7237009738109</v>
      </c>
      <c r="AA35" s="129" t="n">
        <f aca="false">EXP(-LN(2)/25)*AA34+(1-EXP(-LN(2)/25))/(LN(2)/25)*Calculateur!V35*Calculateur!X35*VLOOKUP('Données projet'!$B$9,Paramètres!$A$1:$I$89,3,0)*0.475*44/12</f>
        <v>10.5497917620852</v>
      </c>
      <c r="AB35" s="129" t="n">
        <f aca="false">EXP(-LN(2)/2)*AB34+(1-EXP(-LN(2)/2))/(LN(2)/2)*V35*Y35*VLOOKUP('Données projet'!$B$9,Paramètres!$A$1:$I$89,3,0)*0.475*44/12</f>
        <v>5.52156432179918</v>
      </c>
      <c r="AC35" s="130" t="n">
        <f aca="false">SUM(Z35:AB35)</f>
        <v>24.7950570576953</v>
      </c>
      <c r="AD35" s="117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7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8" t="e">
        <f aca="false">VLOOKUP(A35,'Données projet'!$A$61:$I$81,2,0)</f>
        <v>#N/A</v>
      </c>
      <c r="AG35" s="118" t="e">
        <f aca="false">VLOOKUP(A35,'Données projet'!$A$61:$I$81,9,0)</f>
        <v>#N/A</v>
      </c>
      <c r="AH35" s="118" t="n">
        <f aca="false" t="array" ref="AH35:AH35">INDEX(AG:AG,MIN(IF(ISNUMBER(AG35:AG231),ROW(AG35:AG231),"")))</f>
        <v>24.8</v>
      </c>
      <c r="AI35" s="117" t="n">
        <f aca="false">IF('Données projet'!$A$62&gt;35,AI34+AH35-AQ34,IF(A35&lt;'Données projet'!$A$62,$AF$205^A35,IF(A35='Données projet'!$A$62,'Données projet'!$B$62,AI34+AH35-AQ34)))</f>
        <v>335.6</v>
      </c>
      <c r="AJ35" s="117" t="n">
        <f aca="false">AI35*VLOOKUP('Données projet'!$B$10,Paramètres!$A$1:$I$89,3,0)*VLOOKUP('Données projet'!$B$10,Paramètres!$A$1:$I$89,5,0)</f>
        <v>187.6004</v>
      </c>
      <c r="AK35" s="117" t="n">
        <f aca="false">EXP(-1.0587+0.8836*LN(AJ35)+0.284)</f>
        <v>47.0090435670981</v>
      </c>
      <c r="AL35" s="128" t="n">
        <f aca="false">(AJ35+AK35)*0.475*44/12</f>
        <v>408.611447546029</v>
      </c>
      <c r="AM35" s="120" t="n">
        <f aca="false">AL35+(AD35+AE35)*44/12</f>
        <v>701.944780879363</v>
      </c>
      <c r="AN35" s="120" t="n">
        <f aca="true">AVERAGE(OFFSET($AM$3,0,0,'Données projet'!$E$10+1,1))-AVERAGE(OFFSET($H$3,0,0,'Données projet'!$E$10+1,1))</f>
        <v>365.705101827279</v>
      </c>
      <c r="AO35" s="120" t="n">
        <f aca="false">$AO$3</f>
        <v>436.238338449625</v>
      </c>
      <c r="AP35" s="121" t="n">
        <f aca="false">IF(ISNA(VLOOKUP(A35,'Données projet'!$A$61:$I$81,3,0)),0,VLOOKUP(A35,'Données projet'!$A$61:$I$81,3,0))</f>
        <v>0</v>
      </c>
      <c r="AQ35" s="121" t="n">
        <f aca="false">IF(ISNA(VLOOKUP(A35,'Données projet'!$A$61:$I$81,4,0)),0,VLOOKUP(A35,'Données projet'!$A$61:$I$81,4,0))</f>
        <v>0</v>
      </c>
      <c r="AR35" s="122" t="n">
        <f aca="false">IF(ISNA(VLOOKUP(A35,'Données projet'!$A$61:$I$81,5,0)),0%,VLOOKUP(A35,'Données projet'!$A$61:$I$81,5,0)*VLOOKUP('Données projet'!$B$10,Paramètres!$A$1:$I$89,7,0))</f>
        <v>0</v>
      </c>
      <c r="AS35" s="122" t="n">
        <f aca="false">IF(ISNA(VLOOKUP(A35,'Données projet'!$A$61:$I$81,6,0)),0%,VLOOKUP(A35,'Données projet'!$A$61:$I$81,6,0)*VLOOKUP('Données projet'!$B$10,Paramètres!$A$1:$I$89,7,0))</f>
        <v>0</v>
      </c>
      <c r="AT35" s="122" t="n">
        <f aca="false">IF(ISNA(VLOOKUP(A35,'Données projet'!$A$61:$I$81,7,0)),0%,VLOOKUP(A35,'Données projet'!$A$61:$I$81,7,0))</f>
        <v>0</v>
      </c>
      <c r="AU35" s="129" t="n">
        <f aca="false">EXP(-LN(2)/35)*AU34+(1-EXP(-LN(2)/35))/(LN(2)/35)*AQ35*AR35*VLOOKUP('Données projet'!$B$10,Paramètres!$A$1:$I$89,3,0)*0.475*44/12</f>
        <v>3.29291428293057</v>
      </c>
      <c r="AV35" s="129" t="n">
        <f aca="false">EXP(-LN(2)/25)*AV34+(1-EXP(-LN(2)/25))/(LN(2)/25)*Calculateur!AQ35*Calculateur!AS35*VLOOKUP('Données projet'!$B$10,Paramètres!$A$1:$I$89,3,0)*0.475*44/12</f>
        <v>12.4956579162479</v>
      </c>
      <c r="AW35" s="129" t="n">
        <f aca="false">EXP(-LN(2)/2)*AW34+(1-EXP(-LN(2)/2))/(LN(2)/2)*AQ35*AT35*VLOOKUP('Données projet'!$B$10,Paramètres!$A$1:$I$89,3,0)*0.475*44/12</f>
        <v>2.9715333428379</v>
      </c>
      <c r="AX35" s="129" t="n">
        <f aca="false">SUM(AU35:AW35)</f>
        <v>18.7601055420164</v>
      </c>
      <c r="AY35" s="124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8" t="e">
        <f aca="false">VLOOKUP(A35,'Données projet'!$A$87:$I$107,2,0)</f>
        <v>#N/A</v>
      </c>
      <c r="BB35" s="118" t="e">
        <f aca="false">VLOOKUP(A35,'Données projet'!$A$87:$I$107,9,0)</f>
        <v>#N/A</v>
      </c>
      <c r="BC35" s="118" t="n">
        <f aca="false" t="array" ref="BC35:BC35">INDEX(BB:BB,MIN(IF(ISNUMBER(BB35:BB231),ROW(BB35:BB231),"")))</f>
        <v>12.2</v>
      </c>
      <c r="BD35" s="118" t="n">
        <f aca="false">IF('Données projet'!$A$88&gt;35,BD34+BC35-BL34,IF(A35&lt;'Données projet'!$A$88,$BA$205^A35,IF(A35='Données projet'!$A$88,'Données projet'!$B$88,BD34+BC35-BL34)))</f>
        <v>164.4</v>
      </c>
      <c r="BE35" s="117" t="n">
        <f aca="false">BD35*VLOOKUP('Données projet'!$B$11,Paramètres!$A$1:$I$89,3,0)*VLOOKUP('Données projet'!$B$11,Paramètres!$A$1:$I$89,5,0)</f>
        <v>143.61984</v>
      </c>
      <c r="BF35" s="117" t="n">
        <f aca="false">EXP(-1.0587+0.8836*LN(BE35)+0.284)</f>
        <v>37.125023974706</v>
      </c>
      <c r="BG35" s="128" t="n">
        <f aca="false">(BE35+BF35)*0.475*44/12</f>
        <v>314.797304755946</v>
      </c>
      <c r="BH35" s="120" t="n">
        <f aca="false">BG35+(AY35+AZ35)*44/12</f>
        <v>608.13063808928</v>
      </c>
      <c r="BI35" s="120" t="n">
        <f aca="true">AVERAGE(OFFSET($BH$3,0,0,'Données projet'!$E$11+1,1))-AVERAGE(OFFSET($H$3,0,0,'Données projet'!$E$11+1,1))</f>
        <v>321.235999689929</v>
      </c>
      <c r="BJ35" s="120" t="n">
        <f aca="false">$BJ$3</f>
        <v>388.051958478005</v>
      </c>
      <c r="BK35" s="121" t="n">
        <f aca="false">IF(ISNA(VLOOKUP(A35,'Données projet'!$A$87:$I$107,3,0)),0,VLOOKUP(A35,'Données projet'!$A$87:$I$107,3,0))</f>
        <v>0</v>
      </c>
      <c r="BL35" s="121" t="n">
        <f aca="false">IF(ISNA(VLOOKUP(A35,'Données projet'!$A$87:$I$107,4,0)),0,VLOOKUP(A35,'Données projet'!$A$87:$I$107,4,0))</f>
        <v>0</v>
      </c>
      <c r="BM35" s="122" t="n">
        <f aca="false">IF(ISNA(VLOOKUP(A35,'Données projet'!$A$87:$I$107,5,0)),0%,VLOOKUP(A35,'Données projet'!$A$87:$I$107,5,0)*VLOOKUP('Données projet'!$B$11,Paramètres!$A$1:$I$89,7,0))</f>
        <v>0</v>
      </c>
      <c r="BN35" s="122" t="n">
        <f aca="false">IF(ISNA(VLOOKUP(A35,'Données projet'!$A$87:$I$107,6,0)),0%,VLOOKUP(A35,'Données projet'!$A$87:$I$107,6,0)*VLOOKUP('Données projet'!$B$11,Paramètres!$A$1:$I$89,7,0))</f>
        <v>0</v>
      </c>
      <c r="BO35" s="122" t="n">
        <f aca="false">IF(ISNA(VLOOKUP(A35,'Données projet'!$A$87:$I$107,7,0)),0%,VLOOKUP(A35,'Données projet'!$A$87:$I$107,7,0))</f>
        <v>0</v>
      </c>
      <c r="BP35" s="129" t="n">
        <f aca="false">EXP(-LN(2)/35)*BP34+(1-EXP(-LN(2)/35))/(LN(2)/35)*BL35*BM35*VLOOKUP('Données projet'!$B$11,Paramètres!$A$1:$I$89,3,0)*0.475*44/12</f>
        <v>8.26726090886923</v>
      </c>
      <c r="BQ35" s="129" t="n">
        <f aca="false">EXP(-LN(2)/25)*BQ34+(1-EXP(-LN(2)/25))/(LN(2)/25)*Calculateur!BL35*Calculateur!BN35*VLOOKUP('Données projet'!$B$11,Paramètres!$A$1:$I$89,3,0)*0.475*44/12</f>
        <v>12.7548254047135</v>
      </c>
      <c r="BR35" s="129" t="n">
        <f aca="false">EXP(-LN(2)/2)*BR34+(1-EXP(-LN(2)/2))/(LN(2)/2)*BL35*BO35*VLOOKUP('Données projet'!$B$11,Paramètres!$A$1:$I$89,3,0)*0.475*44/12</f>
        <v>3.02050187864737</v>
      </c>
      <c r="BS35" s="130" t="n">
        <f aca="false">SUM(BP35:BR35)</f>
        <v>24.0425881922301</v>
      </c>
      <c r="BT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8" t="e">
        <f aca="false">VLOOKUP(A35,'Données projet'!$A$113:$I$133,2,0)</f>
        <v>#N/A</v>
      </c>
      <c r="BW35" s="118" t="e">
        <f aca="false">VLOOKUP(A35,'Données projet'!$A$113:$I$133,9,0)</f>
        <v>#N/A</v>
      </c>
      <c r="BX35" s="118" t="n">
        <f aca="false" t="array" ref="BX35:BX35">INDEX(BW:BW,MIN(IF(ISNUMBER(BW35:BW231),ROW(BW35:BW231),"")))</f>
        <v>12.8333333333333</v>
      </c>
      <c r="BY35" s="118" t="n">
        <f aca="false">IF('Données projet'!$A$114&gt;35,BY34+BX35-CG34,IF(A35&lt;'Données projet'!$A$114,$BV$205^A35,IF(A35='Données projet'!$A$114,'Données projet'!$B$114,BY34+BX35-CG34)))</f>
        <v>196.666666666667</v>
      </c>
      <c r="BZ35" s="117" t="n">
        <f aca="false">BY35*VLOOKUP('Données projet'!$B$12,Paramètres!$A$1:$I$89,3,0)*VLOOKUP('Données projet'!$B$12,Paramètres!$A$1:$I$89,5,0)</f>
        <v>122.72</v>
      </c>
      <c r="CA35" s="117" t="n">
        <f aca="false">EXP(-1.0587+0.8836*LN(BZ35)+0.284)</f>
        <v>32.3085647080687</v>
      </c>
      <c r="CB35" s="128" t="n">
        <f aca="false">(BZ35+CA35)*0.475*44/12</f>
        <v>270.00808353322</v>
      </c>
      <c r="CC35" s="120" t="n">
        <f aca="false">CB35+(BT35+BU35)*44/12</f>
        <v>563.341416866553</v>
      </c>
      <c r="CD35" s="120" t="n">
        <f aca="true">AVERAGE(OFFSET($CC$3,0,0,'Données projet'!$E$12+1,1))-AVERAGE(OFFSET($H$3,0,0,'Données projet'!$E$12+1,1))</f>
        <v>240.228848647662</v>
      </c>
      <c r="CE35" s="120" t="n">
        <f aca="false">$CE$3</f>
        <v>343.237768841432</v>
      </c>
      <c r="CF35" s="121" t="n">
        <f aca="false">IF(ISNA(VLOOKUP(A35,'Données projet'!$A$113:$I$133,3,0)),0,VLOOKUP(A35,'Données projet'!$A$113:$I$133,3,0))</f>
        <v>0</v>
      </c>
      <c r="CG35" s="121" t="n">
        <f aca="false">IF(ISNA(VLOOKUP(A35,'Données projet'!$A$113:$I$133,4,0)),0,VLOOKUP(A35,'Données projet'!$A$113:$I$133,4,0))</f>
        <v>0</v>
      </c>
      <c r="CH35" s="122" t="n">
        <f aca="false">IF(ISNA(VLOOKUP(A35,'Données projet'!$A$113:$I$133,5,0)),0%,VLOOKUP(A35,'Données projet'!$A$113:$I$133,5,0)*VLOOKUP('Données projet'!$B$12,Paramètres!$A$1:$I$89,7,0))</f>
        <v>0</v>
      </c>
      <c r="CI35" s="122" t="n">
        <f aca="false">IF(ISNA(VLOOKUP(A35,'Données projet'!$A$113:$I$133,6,0)),0%,VLOOKUP(A35,'Données projet'!$A$113:$I$133,6,0)*VLOOKUP('Données projet'!$B$12,Paramètres!$A$1:$I$89,7,0))</f>
        <v>0</v>
      </c>
      <c r="CJ35" s="122" t="n">
        <f aca="false">IF(ISNA(VLOOKUP(A35,'Données projet'!$A$113:$I$133,7,0)),0%,VLOOKUP(A35,'Données projet'!$A$113:$I$133,7,0))</f>
        <v>0</v>
      </c>
      <c r="CK35" s="129" t="n">
        <f aca="false">EXP(-LN(2)/35)*CK34+(1-EXP(-LN(2)/35))/(LN(2)/35)*CG35*CH35*VLOOKUP('Données projet'!$B$12,Paramètres!$A$1:$I$89,3,0)*0.475*44/12</f>
        <v>5.0602077534131</v>
      </c>
      <c r="CL35" s="129" t="n">
        <f aca="false">EXP(-LN(2)/25)*CL34+(1-EXP(-LN(2)/25))/(LN(2)/25)*Calculateur!CG35*Calculateur!CI35*VLOOKUP('Données projet'!$B$12,Paramètres!$A$1:$I$89,3,0)*0.475*44/12</f>
        <v>22.5257600401213</v>
      </c>
      <c r="CM35" s="129" t="n">
        <f aca="false">EXP(-LN(2)/2)*CM34+(1-EXP(-LN(2)/2))/(LN(2)/2)*CG35*CJ35*VLOOKUP('Données projet'!$B$12,Paramètres!$A$1:$I$89,3,0)*0.475*44/12</f>
        <v>4.8199157329819</v>
      </c>
      <c r="CN35" s="130" t="n">
        <f aca="false">SUM(CK35:CM35)</f>
        <v>32.4058835265163</v>
      </c>
      <c r="CO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8" t="e">
        <f aca="false">VLOOKUP(A35,'Données projet'!$A$139:$I$159,2,0)</f>
        <v>#N/A</v>
      </c>
      <c r="CR35" s="118" t="e">
        <f aca="false">VLOOKUP(A35,'Données projet'!$A$139:$I$159,9,0)</f>
        <v>#N/A</v>
      </c>
      <c r="CS35" s="118" t="n">
        <f aca="false" t="array" ref="CS35:CS35">INDEX(CR:CR,MIN(IF(ISNUMBER(CR35:CR231),ROW(CR35:CR231),"")))</f>
        <v>15</v>
      </c>
      <c r="CT35" s="118" t="n">
        <f aca="false">IF('Données projet'!$A$140&gt;35,CT34+CS35-DB34,IF(A35&lt;'Données projet'!$A$140,$CQ$205^A35,IF(A35='Données projet'!$A$140,'Données projet'!$B$140,CT34+CS35-DB34)))</f>
        <v>209</v>
      </c>
      <c r="CU35" s="125" t="n">
        <f aca="false">CT35*VLOOKUP('Données projet'!$B$13,Paramètres!$A$1:$I$89,3,0)*VLOOKUP('Données projet'!$B$13,Paramètres!$A$1:$I$89,5,0)</f>
        <v>114.114</v>
      </c>
      <c r="CV35" s="117" t="n">
        <f aca="false">EXP(-1.0587+0.8836*LN(CU35)+0.284)</f>
        <v>30.2981940217283</v>
      </c>
      <c r="CW35" s="128" t="n">
        <f aca="false">(CU35+CV35)*0.475*44/12</f>
        <v>251.517904587843</v>
      </c>
      <c r="CX35" s="120" t="n">
        <f aca="false">CW35+(CO35+CP35)*44/12</f>
        <v>544.851237921177</v>
      </c>
      <c r="CY35" s="120" t="n">
        <f aca="true">AVERAGE(OFFSET($CX$3,0,0,'Données projet'!$E$13+1,1))-AVERAGE(OFFSET($H$3,0,0,'Données projet'!$E$13+1,1))</f>
        <v>207.023069645676</v>
      </c>
      <c r="CZ35" s="120" t="n">
        <f aca="false">$CZ$3</f>
        <v>342.068879333518</v>
      </c>
      <c r="DA35" s="121" t="n">
        <f aca="false">IF(ISNA(VLOOKUP(A35,'Données projet'!$A$139:$I$159,3,0)),0,VLOOKUP(A35,'Données projet'!$A$139:$I$159,3,0))</f>
        <v>0</v>
      </c>
      <c r="DB35" s="121" t="n">
        <f aca="false">IF(ISNA(VLOOKUP(A35,'Données projet'!$A$139:$I$159,4,0)),0,VLOOKUP(A35,'Données projet'!$A$139:$I$159,4,0))</f>
        <v>0</v>
      </c>
      <c r="DC35" s="122" t="n">
        <f aca="false">IF(ISNA(VLOOKUP(A35,'Données projet'!$A$139:$I$159,5,0)),0%,VLOOKUP(A35,'Données projet'!$A$139:$I$159,5,0)*VLOOKUP('Données projet'!$B$13,Paramètres!$A$1:$I$89,7,0))</f>
        <v>0</v>
      </c>
      <c r="DD35" s="122" t="n">
        <f aca="false">IF(ISNA(VLOOKUP(A35,'Données projet'!$A$139:$I$159,6,0)),0%,VLOOKUP(A35,'Données projet'!$A$139:$I$159,6,0)*VLOOKUP('Données projet'!$B$13,Paramètres!$A$1:$I$89,7,0))</f>
        <v>0</v>
      </c>
      <c r="DE35" s="122" t="n">
        <f aca="false">IF(ISNA(VLOOKUP(A35,'Données projet'!$A$139:$I$159,7,0)),0%,VLOOKUP(A35,'Données projet'!$A$139:$I$159,7,0))</f>
        <v>0</v>
      </c>
      <c r="DF35" s="129" t="n">
        <f aca="false">EXP(-LN(2)/35)*DF34+(1-EXP(-LN(2)/35))/(LN(2)/35)*DB35*DC35*VLOOKUP('Données projet'!$B$13,Paramètres!$A$1:$I$89,3,0)*0.475*44/12</f>
        <v>6.3491285962636</v>
      </c>
      <c r="DG35" s="129" t="n">
        <f aca="false">EXP(-LN(2)/25)*DG34+(1-EXP(-LN(2)/25))/(LN(2)/25)*Calculateur!DB35*Calculateur!DD35*VLOOKUP('Données projet'!$B$13,Paramètres!$A$1:$I$89,3,0)*0.475*44/12</f>
        <v>36.8202359382327</v>
      </c>
      <c r="DH35" s="129" t="n">
        <f aca="false">EXP(-LN(2)/2)*DH34+(1-EXP(-LN(2)/2))/(LN(2)/2)*DB35*DE35*VLOOKUP('Données projet'!$B$13,Paramètres!$A$1:$I$89,3,0)*0.475*44/12</f>
        <v>6.63702619895042</v>
      </c>
      <c r="DI35" s="130" t="n">
        <f aca="false">SUM(DF35:DH35)</f>
        <v>49.8063907334467</v>
      </c>
      <c r="DJ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8" t="e">
        <f aca="false">VLOOKUP(A35,'Données projet'!$A$165:$I$185,2,0)</f>
        <v>#N/A</v>
      </c>
      <c r="DM35" s="118" t="e">
        <f aca="false">VLOOKUP(A35,'Données projet'!$A$165:$I$185,9,0)</f>
        <v>#N/A</v>
      </c>
      <c r="DN35" s="118" t="n">
        <f aca="false" t="array" ref="DN35:DN35">INDEX(DM:DM,MIN(IF(ISNUMBER(DM35:DM231),ROW(DM35:DM231),"")))</f>
        <v>14.8333333333333</v>
      </c>
      <c r="DO35" s="118" t="n">
        <f aca="false">IF('Données projet'!$A$166&gt;35,DO34+DN35-DW34,IF(A35&lt;'Données projet'!$A$166,$DL$205^A35,IF(A35='Données projet'!$A$166,'Données projet'!$B$166,DO34+DN35-DW34)))</f>
        <v>214.333333333333</v>
      </c>
      <c r="DP35" s="125" t="n">
        <f aca="false">DO35*VLOOKUP('Données projet'!$B$14,Paramètres!$A$1:$I$89,3,0)*VLOOKUP('Données projet'!$B$14,Paramètres!$A$1:$I$89,5,0)</f>
        <v>128.171333333333</v>
      </c>
      <c r="DQ35" s="117" t="n">
        <f aca="false">EXP(-1.0587+0.8836*LN(DP35)+0.284)</f>
        <v>33.5734603980111</v>
      </c>
      <c r="DR35" s="128" t="n">
        <f aca="false">(DP35+DQ35)*0.475*44/12</f>
        <v>281.705515748758</v>
      </c>
      <c r="DS35" s="120" t="n">
        <f aca="false">DR35+(DJ35+DK35)*44/12</f>
        <v>575.038849082091</v>
      </c>
      <c r="DT35" s="120" t="n">
        <f aca="true">AVERAGE(OFFSET($DS$3,0,0,'Données projet'!$E$14+1,1))-AVERAGE(OFFSET($H$3,0,0,'Données projet'!$E$14+1,1))</f>
        <v>549.432320957297</v>
      </c>
      <c r="DU35" s="120" t="n">
        <f aca="false">$DU$3</f>
        <v>280.26155987301</v>
      </c>
      <c r="DV35" s="121" t="n">
        <f aca="false">IF(ISNA(VLOOKUP(A35,'Données projet'!$A$165:$I$185,3,0)),0,VLOOKUP(A35,'Données projet'!$A$165:$I$185,3,0))</f>
        <v>0</v>
      </c>
      <c r="DW35" s="121" t="n">
        <f aca="false">IF(ISNA(VLOOKUP(A35,'Données projet'!$A$165:$I$185,4,0)),0,VLOOKUP(A35,'Données projet'!$A$165:$I$185,4,0))</f>
        <v>0</v>
      </c>
      <c r="DX35" s="122" t="n">
        <f aca="false">IF(ISNA(VLOOKUP(A35,'Données projet'!$A$165:$I$185,5,0)),0%,VLOOKUP(A35,'Données projet'!$A$165:$I$185,5,0)*VLOOKUP('Données projet'!$B$14,Paramètres!$A$1:$I$89,7,0))</f>
        <v>0</v>
      </c>
      <c r="DY35" s="122" t="n">
        <f aca="false">IF(ISNA(VLOOKUP(A35,'Données projet'!$A$165:$I$185,6,0)),0%,VLOOKUP(A35,'Données projet'!$A$165:$I$185,6,0)*VLOOKUP('Données projet'!$B$14,Paramètres!$A$1:$I$89,7,0))</f>
        <v>0</v>
      </c>
      <c r="DZ35" s="122" t="n">
        <f aca="false">IF(ISNA(VLOOKUP(A35,'Données projet'!$A$165:$I$185,7,0)),0%,VLOOKUP(A35,'Données projet'!$A$165:$I$185,7,0))</f>
        <v>0</v>
      </c>
      <c r="EA35" s="129" t="n">
        <f aca="false">EXP(-LN(2)/35)*EA34+(1-EXP(-LN(2)/35))/(LN(2)/35)*DW35*DX35*VLOOKUP('Données projet'!$B$14,Paramètres!$A$1:$I$89,3,0)*0.475*44/12</f>
        <v>2.30853607804485</v>
      </c>
      <c r="EB35" s="129" t="n">
        <f aca="false">EXP(-LN(2)/25)*EB34+(1-EXP(-LN(2)/25))/(LN(2)/25)*Calculateur!DW35*Calculateur!DY35*VLOOKUP('Données projet'!$B$14,Paramètres!$A$1:$I$89,3,0)*0.475*44/12</f>
        <v>7.33531744938271</v>
      </c>
      <c r="EC35" s="129" t="n">
        <f aca="false">EXP(-LN(2)/2)*EC34+(1-EXP(-LN(2)/2))/(LN(2)/2)*DW35*DZ35*VLOOKUP('Données projet'!$B$14,Paramètres!$A$1:$I$89,3,0)*0.475*44/12</f>
        <v>3.05953226727974</v>
      </c>
      <c r="ED35" s="130" t="n">
        <f aca="false">SUM(EA35:EC35)</f>
        <v>12.7033857947073</v>
      </c>
      <c r="EE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8" t="e">
        <f aca="false">VLOOKUP(A35,'Données projet'!$A$191:$I$211,2,0)</f>
        <v>#N/A</v>
      </c>
      <c r="EH35" s="118" t="e">
        <f aca="false">VLOOKUP(A35,'Données projet'!$A$191:$I$211,9,0)</f>
        <v>#N/A</v>
      </c>
      <c r="EI35" s="118" t="n">
        <f aca="false" t="array" ref="EI35:EI35">INDEX(EH:EH,MIN(IF(ISNUMBER(EH35:EH231),ROW(EH35:EH231),"")))</f>
        <v>0</v>
      </c>
      <c r="EJ35" s="118" t="n">
        <f aca="false">IF('Données projet'!$A$192&gt;35,EJ34+EI35-ER34,IF(A35&lt;'Données projet'!$A$192,$EG$205^A35,IF(A35='Données projet'!$A$192,'Données projet'!$B$192,EJ34+EI35-ER34)))</f>
        <v>0</v>
      </c>
      <c r="EK35" s="125" t="e">
        <f aca="false">EJ35*VLOOKUP('Données projet'!$B$15,Paramètres!$A$1:$I$89,3,0)*VLOOKUP('Données projet'!$B$15,Paramètres!$A$1:$I$89,5,0)</f>
        <v>#N/A</v>
      </c>
      <c r="EL35" s="117" t="e">
        <f aca="false">EXP(-1.0587+0.8836*LN(EK35)+0.284)</f>
        <v>#N/A</v>
      </c>
      <c r="EM35" s="128" t="e">
        <f aca="false">(EK35+EL35)*0.475*44/12</f>
        <v>#N/A</v>
      </c>
      <c r="EN35" s="120" t="e">
        <f aca="false">EM35+(EE35+EF35)*44/12</f>
        <v>#N/A</v>
      </c>
      <c r="EO35" s="120" t="e">
        <f aca="true">AVERAGE(OFFSET($EN$3,0,0,'Données projet'!$E$15+1,1))-AVERAGE(OFFSET($H$3,0,0,'Données projet'!$E$15+1,1))</f>
        <v>#N/A</v>
      </c>
      <c r="EP35" s="120" t="e">
        <f aca="false">$EP$3</f>
        <v>#N/A</v>
      </c>
      <c r="EQ35" s="121" t="n">
        <f aca="false">IF(ISNA(VLOOKUP(A35,'Données projet'!$A$191:$I$211,3,0)),0,VLOOKUP(A35,'Données projet'!$A$191:$I$211,3,0))</f>
        <v>0</v>
      </c>
      <c r="ER35" s="121" t="n">
        <f aca="false">IF(ISNA(VLOOKUP(A35,'Données projet'!$A$191:$I$211,4,0)),0,VLOOKUP(A35,'Données projet'!$A$191:$I$211,4,0))</f>
        <v>0</v>
      </c>
      <c r="ES35" s="122" t="n">
        <f aca="false">IF(ISNA(VLOOKUP(A35,'Données projet'!$A$191:$I$211,5,0)),0%,VLOOKUP(A35,'Données projet'!$A$191:$I$211,5,0)*VLOOKUP('Données projet'!$B$15,Paramètres!$A$1:$I$89,7,0))</f>
        <v>0</v>
      </c>
      <c r="ET35" s="122" t="n">
        <f aca="false">IF(ISNA(VLOOKUP(A35,'Données projet'!$A$191:$I$211,6,0)),0%,VLOOKUP(A35,'Données projet'!$A$191:$I$211,6,0)*VLOOKUP('Données projet'!$B$15,Paramètres!$A$1:$I$89,7,0))</f>
        <v>0</v>
      </c>
      <c r="EU35" s="122" t="n">
        <f aca="false">IF(ISNA(VLOOKUP(A35,'Données projet'!$A$191:$I$211,7,0)),0%,VLOOKUP(A35,'Données projet'!$A$191:$I$211,7,0))</f>
        <v>0</v>
      </c>
      <c r="EV35" s="129" t="e">
        <f aca="false">EXP(-LN(2)/35)*EV34+(1-EXP(-LN(2)/35))/(LN(2)/35)*ER35*ES35*VLOOKUP('Données projet'!$B$15,Paramètres!$A$1:$I$89,3,0)*0.475*44/12</f>
        <v>#N/A</v>
      </c>
      <c r="EW35" s="129" t="e">
        <f aca="false">EXP(-LN(2)/25)*EW34+(1-EXP(-LN(2)/25))/(LN(2)/25)*Calculateur!ER35*Calculateur!ET35*VLOOKUP('Données projet'!$B$15,Paramètres!$A$1:$I$89,3,0)*0.475*44/12</f>
        <v>#N/A</v>
      </c>
      <c r="EX35" s="129" t="e">
        <f aca="false">EXP(-LN(2)/2)*EX34+(1-EXP(-LN(2)/2))/(LN(2)/2)*ER35*EU35*VLOOKUP('Données projet'!$B$15,Paramètres!$A$1:$I$89,3,0)*0.475*44/12</f>
        <v>#N/A</v>
      </c>
      <c r="EY35" s="130" t="e">
        <f aca="false">SUM(EV35:EX35)</f>
        <v>#N/A</v>
      </c>
      <c r="EZ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8" t="e">
        <f aca="false">VLOOKUP(A35,'Données projet'!$A$217:$I$237,2,0)</f>
        <v>#N/A</v>
      </c>
      <c r="FC35" s="118" t="e">
        <f aca="false">VLOOKUP(A35,'Données projet'!$A$217:$I$237,9,0)</f>
        <v>#N/A</v>
      </c>
      <c r="FD35" s="118" t="n">
        <f aca="false" t="array" ref="FD35:FD35">INDEX(FC:FC,MIN(IF(ISNUMBER(FC35:FC231),ROW(FC35:FC231),"")))</f>
        <v>0</v>
      </c>
      <c r="FE35" s="118" t="n">
        <f aca="false">IF('Données projet'!$A$218&gt;35,FE34+FD35-FM34,IF(A35&lt;'Données projet'!$A$218,$FB$205^A35,IF(A35='Données projet'!$A$218,'Données projet'!$B$218,FE34+FD35-FM34)))</f>
        <v>0</v>
      </c>
      <c r="FF35" s="125" t="e">
        <f aca="false">FE35*VLOOKUP('Données projet'!$B$16,Paramètres!$A$1:$I$89,3,0)*VLOOKUP('Données projet'!$B$16,Paramètres!$A$1:$I$89,5,0)</f>
        <v>#N/A</v>
      </c>
      <c r="FG35" s="117" t="e">
        <f aca="false">EXP(-1.0587+0.8836*LN(FF35)+0.284)</f>
        <v>#N/A</v>
      </c>
      <c r="FH35" s="128" t="e">
        <f aca="false">(FF35+FG35)*0.475*44/12</f>
        <v>#N/A</v>
      </c>
      <c r="FI35" s="120" t="e">
        <f aca="false">FH35+(EZ35+FA35)*44/12</f>
        <v>#N/A</v>
      </c>
      <c r="FJ35" s="120" t="e">
        <f aca="true">AVERAGE(OFFSET($FI$3,0,0,'Données projet'!$E$16+1,1))-AVERAGE(OFFSET($H$3,0,0,'Données projet'!$E$16+1,1))</f>
        <v>#N/A</v>
      </c>
      <c r="FK35" s="120" t="e">
        <f aca="false">$FK$3</f>
        <v>#N/A</v>
      </c>
      <c r="FL35" s="121" t="n">
        <f aca="false">IF(ISNA(VLOOKUP(A35,'Données projet'!$A$217:$I$237,3,0)),0,VLOOKUP(A35,'Données projet'!$A$217:$I$237,3,0))</f>
        <v>0</v>
      </c>
      <c r="FM35" s="121" t="n">
        <f aca="false">IF(ISNA(VLOOKUP(A35,'Données projet'!$A$217:$I$237,4,0)),0,VLOOKUP(A35,'Données projet'!$A$217:$I$237,4,0))</f>
        <v>0</v>
      </c>
      <c r="FN35" s="122" t="n">
        <f aca="false">IF(ISNA(VLOOKUP(A35,'Données projet'!$A$217:$I$237,5,0)),0%,VLOOKUP(A35,'Données projet'!$A$217:$I$237,5,0)*VLOOKUP('Données projet'!$B$16,Paramètres!$A$1:$I$89,7,0))</f>
        <v>0</v>
      </c>
      <c r="FO35" s="122" t="n">
        <f aca="false">IF(ISNA(VLOOKUP(A35,'Données projet'!$A$217:$I$237,6,0)),0%,VLOOKUP(A35,'Données projet'!$A$217:$I$237,6,0)*VLOOKUP('Données projet'!$B$16,Paramètres!$A$1:$I$89,7,0))</f>
        <v>0</v>
      </c>
      <c r="FP35" s="122" t="n">
        <f aca="false">IF(ISNA(VLOOKUP(A35,'Données projet'!$A$217:$I$237,7,0)),0%,VLOOKUP(A35,'Données projet'!$A$217:$I$237,7,0))</f>
        <v>0</v>
      </c>
      <c r="FQ35" s="129" t="e">
        <f aca="false">EXP(-LN(2)/35)*FQ34+(1-EXP(-LN(2)/35))/(LN(2)/35)*FM35*FN35*VLOOKUP('Données projet'!$B$16,Paramètres!$A$1:$I$89,3,0)*0.475*44/12</f>
        <v>#N/A</v>
      </c>
      <c r="FR35" s="129" t="e">
        <f aca="false">EXP(-LN(2)/25)*FR34+(1-EXP(-LN(2)/25))/(LN(2)/25)*Calculateur!FM35*Calculateur!FO35*VLOOKUP('Données projet'!$B$16,Paramètres!$A$1:$I$89,3,0)*0.475*44/12</f>
        <v>#N/A</v>
      </c>
      <c r="FS35" s="129" t="e">
        <f aca="false">EXP(-LN(2)/2)*FS34+(1-EXP(-LN(2)/2))/(LN(2)/2)*FM35*FP35*VLOOKUP('Données projet'!$B$16,Paramètres!$A$1:$I$89,3,0)*0.475*44/12</f>
        <v>#N/A</v>
      </c>
      <c r="FT35" s="130" t="e">
        <f aca="false">SUM(FQ35:FS35)</f>
        <v>#N/A</v>
      </c>
      <c r="FU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8" t="e">
        <f aca="false">VLOOKUP(A35,'Données projet'!$A$243:$I$263,2,0)</f>
        <v>#N/A</v>
      </c>
      <c r="FX35" s="118" t="e">
        <f aca="false">VLOOKUP(A35,'Données projet'!$A$243:$I$263,9,0)</f>
        <v>#N/A</v>
      </c>
      <c r="FY35" s="118" t="n">
        <f aca="false" t="array" ref="FY35:FY35">INDEX(FX:FX,MIN(IF(ISNUMBER(FX35:FX231),ROW(FX35:FX231),"")))</f>
        <v>0</v>
      </c>
      <c r="FZ35" s="118" t="n">
        <f aca="false">IF('Données projet'!$A$244&gt;35,FZ34+FY35-GH34,IF(A35&lt;'Données projet'!$A$244,$FW$205^A35,IF(A35='Données projet'!$A$244,'Données projet'!$B$244,FZ34+FY35-GH34)))</f>
        <v>0</v>
      </c>
      <c r="GA35" s="125" t="e">
        <f aca="false">FZ35*VLOOKUP('Données projet'!$B$17,Paramètres!$A$1:$I$89,3,0)*VLOOKUP('Données projet'!$B$17,Paramètres!$A$1:$I$89,5,0)</f>
        <v>#N/A</v>
      </c>
      <c r="GB35" s="117" t="e">
        <f aca="false">EXP(-1.0587+0.8836*LN(GA35)+0.284)</f>
        <v>#N/A</v>
      </c>
      <c r="GC35" s="128" t="e">
        <f aca="false">(GA35+GB35)*0.475*44/12</f>
        <v>#N/A</v>
      </c>
      <c r="GD35" s="120" t="e">
        <f aca="false">GC35+(FU35+FV35)*44/12</f>
        <v>#N/A</v>
      </c>
      <c r="GE35" s="120" t="e">
        <f aca="true">AVERAGE(OFFSET($GD$3,0,0,'Données projet'!$E$17+1,1))-AVERAGE(OFFSET($H$3,0,0,'Données projet'!$E$17+1,1))</f>
        <v>#N/A</v>
      </c>
      <c r="GF35" s="120" t="e">
        <f aca="false">$GF$3</f>
        <v>#N/A</v>
      </c>
      <c r="GG35" s="121" t="n">
        <f aca="false">IF(ISNA(VLOOKUP(A35,'Données projet'!$A$243:$I$263,3,0)),0,VLOOKUP(A35,'Données projet'!$A$243:$I$263,3,0))</f>
        <v>0</v>
      </c>
      <c r="GH35" s="121" t="n">
        <f aca="false">IF(ISNA(VLOOKUP(A35,'Données projet'!$A$243:$I$263,4,0)),0,VLOOKUP(A35,'Données projet'!$A$243:$I$263,4,0))</f>
        <v>0</v>
      </c>
      <c r="GI35" s="122" t="n">
        <f aca="false">IF(ISNA(VLOOKUP(A35,'Données projet'!$A$243:$I$263,5,0)),0%,VLOOKUP(A35,'Données projet'!$A$243:$I$263,5,0)*VLOOKUP('Données projet'!$B$17,Paramètres!$A$1:$I$89,7,0))</f>
        <v>0</v>
      </c>
      <c r="GJ35" s="122" t="n">
        <f aca="false">IF(ISNA(VLOOKUP(A35,'Données projet'!$A$243:$I$263,6,0)),0%,VLOOKUP(A35,'Données projet'!$A$243:$I$263,6,0)*VLOOKUP('Données projet'!$B$17,Paramètres!$A$1:$I$89,7,0))</f>
        <v>0</v>
      </c>
      <c r="GK35" s="122" t="n">
        <f aca="false">IF(ISNA(VLOOKUP(A35,'Données projet'!$A$243:$I$263,7,0)),0%,VLOOKUP(A35,'Données projet'!$A$243:$I$263,7,0))</f>
        <v>0</v>
      </c>
      <c r="GL35" s="129" t="e">
        <f aca="false">EXP(-LN(2)/35)*GL34+(1-EXP(-LN(2)/35))/(LN(2)/35)*GH35*GI35*VLOOKUP('Données projet'!$B$17,Paramètres!$A$1:$I$89,3,0)*0.475*44/12</f>
        <v>#N/A</v>
      </c>
      <c r="GM35" s="129" t="e">
        <f aca="false">EXP(-LN(2)/25)*GM34+(1-EXP(-LN(2)/25))/(LN(2)/25)*Calculateur!GH35*Calculateur!GJ35*VLOOKUP('Données projet'!$B$17,Paramètres!$A$1:$I$89,3,0)*0.475*44/12</f>
        <v>#N/A</v>
      </c>
      <c r="GN35" s="129" t="e">
        <f aca="false">EXP(-LN(2)/2)*GN34+(1-EXP(-LN(2)/2))/(LN(2)/2)*GH35*GK35*VLOOKUP('Données projet'!$B$17,Paramètres!$A$1:$I$89,3,0)*0.475*44/12</f>
        <v>#N/A</v>
      </c>
      <c r="GO35" s="129" t="e">
        <f aca="false">SUM(GL35:GN35)</f>
        <v>#N/A</v>
      </c>
      <c r="GP35" s="126" t="n">
        <f aca="false"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8" t="n">
        <f aca="false"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8" t="e">
        <f aca="false">VLOOKUP(A35,'Données projet'!$A$269:$I$289,2,0)</f>
        <v>#N/A</v>
      </c>
      <c r="GS35" s="118" t="e">
        <f aca="false">VLOOKUP(A35,'Données projet'!$A$269:$I$289,9,0)</f>
        <v>#N/A</v>
      </c>
      <c r="GT35" s="118" t="n">
        <f aca="false" t="array" ref="GT35:GT35">INDEX(GS:GS,MIN(IF(ISNUMBER(GS35:GS231),ROW(GS35:GS231),"")))</f>
        <v>0</v>
      </c>
      <c r="GU35" s="118" t="n">
        <f aca="false">IF('Données projet'!$A$270&gt;35,GU34+GT35-HC34,IF(A35&lt;'Données projet'!$A$270,$GR$205^A35,IF(A35='Données projet'!$A$270,'Données projet'!$B$270,GU34+GT35-HC34)))</f>
        <v>0</v>
      </c>
      <c r="GV35" s="125" t="e">
        <f aca="false">GU35*VLOOKUP('Données projet'!$B$18,Paramètres!$A$1:$I$89,3,0)*VLOOKUP('Données projet'!$B$18,Paramètres!$A$1:$I$89,5,0)</f>
        <v>#N/A</v>
      </c>
      <c r="GW35" s="117" t="e">
        <f aca="false">EXP(-1.0587+0.8836*LN(GV35)+0.284)</f>
        <v>#N/A</v>
      </c>
      <c r="GX35" s="128" t="e">
        <f aca="false">(GV35+GW35)*0.475*44/12</f>
        <v>#N/A</v>
      </c>
      <c r="GY35" s="120" t="e">
        <f aca="false">GX35+(GP35+GQ35)*44/12</f>
        <v>#N/A</v>
      </c>
      <c r="GZ35" s="120" t="e">
        <f aca="true">AVERAGE(OFFSET($GY$3,0,0,'Données projet'!$E$18+1,1))-AVERAGE(OFFSET($H$3,0,0,'Données projet'!$E$18+1,1))</f>
        <v>#N/A</v>
      </c>
      <c r="HA35" s="120" t="e">
        <f aca="false">$HA$3</f>
        <v>#N/A</v>
      </c>
      <c r="HB35" s="121" t="n">
        <f aca="false">IF(ISNA(VLOOKUP(A35,'Données projet'!$A$269:$I$289,3,0)),0,VLOOKUP(A35,'Données projet'!$A$269:$I$289,3,0))</f>
        <v>0</v>
      </c>
      <c r="HC35" s="121" t="n">
        <f aca="false">IF(ISNA(VLOOKUP(A35,'Données projet'!$A$269:$I$289,4,0)),0,VLOOKUP(A35,'Données projet'!$A$269:$I$289,4,0))</f>
        <v>0</v>
      </c>
      <c r="HD35" s="122" t="n">
        <f aca="false">IF(ISNA(VLOOKUP(A35,'Données projet'!$A$269:$I$289,5,0)),0%,VLOOKUP(A35,'Données projet'!$A$269:$I$289,5,0)*VLOOKUP('Données projet'!$B$18,Paramètres!$A$1:$I$89,7,0))</f>
        <v>0</v>
      </c>
      <c r="HE35" s="122" t="n">
        <f aca="false">IF(ISNA(VLOOKUP(A35,'Données projet'!$A$269:$I$289,6,0)),0%,VLOOKUP(A35,'Données projet'!$A$269:$I$289,6,0)*VLOOKUP('Données projet'!$B$18,Paramètres!$A$1:$I$89,7,0))</f>
        <v>0</v>
      </c>
      <c r="HF35" s="122" t="n">
        <f aca="false">IF(ISNA(VLOOKUP(A35,'Données projet'!$A$269:$I$289,7,0)),0%,VLOOKUP(A35,'Données projet'!$A$269:$I$289,7,0))</f>
        <v>0</v>
      </c>
      <c r="HG35" s="129" t="e">
        <f aca="false">EXP(-LN(2)/35)*HG34+(1-EXP(-LN(2)/35))/(LN(2)/35)*HC35*HD35*VLOOKUP('Données projet'!$B$18,Paramètres!$A$1:$I$89,3,0)*0.475*44/12</f>
        <v>#N/A</v>
      </c>
      <c r="HH35" s="129" t="e">
        <f aca="false">EXP(-LN(2)/25)*HH34+(1-EXP(-LN(2)/25))/(LN(2)/25)*Calculateur!HC35*Calculateur!HE35*VLOOKUP('Données projet'!$B$18,Paramètres!$A$1:$I$89,3,0)*0.475*44/12</f>
        <v>#N/A</v>
      </c>
      <c r="HI35" s="129" t="e">
        <f aca="false">EXP(-LN(2)/2)*HI34+(1-EXP(-LN(2)/2))/(LN(2)/2)*HC35*HF35*VLOOKUP('Données projet'!$B$18,Paramètres!$A$1:$I$89,3,0)*0.475*44/12</f>
        <v>#N/A</v>
      </c>
      <c r="HJ35" s="130" t="e">
        <f aca="false">SUM(HG35:HI35)</f>
        <v>#N/A</v>
      </c>
    </row>
    <row r="36" customFormat="false" ht="14.25" hidden="false" customHeight="false" outlineLevel="0" collapsed="false">
      <c r="A36" s="112" t="n">
        <f aca="false">A35+1</f>
        <v>33</v>
      </c>
      <c r="B36" s="113" t="n">
        <f aca="false">'Scénario référence'!$B$16*5+'Scénario référence'!$B$17*0+'Scénario référence'!$B$18*5</f>
        <v>0</v>
      </c>
      <c r="C36" s="127" t="n">
        <f aca="false"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4" t="n">
        <f aca="false">IFERROR(EXP(-1.0587+0.8836*LN(C36)+0.284),0)</f>
        <v>0</v>
      </c>
      <c r="E3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6" s="114" t="n">
        <f aca="false">IF(OR('Scénario référence'!$F$8&gt;0,'Scénario référence'!$F$9&gt;0),('Scénario référence'!$F$8+'Scénario référence'!$F$9)*10,0)</f>
        <v>0</v>
      </c>
      <c r="G36" s="114" t="n">
        <f aca="false"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15" t="n">
        <f aca="false">(B36+E36+F36)*44/12+(C36+D36)*0.475*44/12</f>
        <v>256.666666666667</v>
      </c>
      <c r="I36" s="11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7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8" t="e">
        <f aca="false">VLOOKUP(A36,'Données projet'!$A$35:$I$55,2,0)</f>
        <v>#N/A</v>
      </c>
      <c r="L36" s="118" t="e">
        <f aca="false">VLOOKUP(A36,'Données projet'!$A$35:$I$55,9,0)</f>
        <v>#N/A</v>
      </c>
      <c r="M36" s="118" t="n">
        <f aca="false" t="array" ref="M36:M36">INDEX(L:L,MIN(IF(ISNUMBER(L36:L232),ROW(L36:L232),"")))</f>
        <v>10</v>
      </c>
      <c r="N36" s="117" t="n">
        <f aca="false">IF('Données projet'!$A$36&gt;35,N35+M36-V35,IF(A36&lt;'Données projet'!$A$36,$K$205^A36,IF(A36='Données projet'!$A$36,'Données projet'!$B$36,N35+M36-V35)))</f>
        <v>173.5</v>
      </c>
      <c r="O36" s="117" t="n">
        <f aca="false">N36*VLOOKUP('Données projet'!$B$9,Paramètres!$A$1:$I$89,3,0)*VLOOKUP('Données projet'!$B$9,Paramètres!$A$1:$I$89,5,0)</f>
        <v>81.1979999999999</v>
      </c>
      <c r="P36" s="117" t="n">
        <f aca="false">EXP(-1.0587+0.8836*LN(O36)+0.284)</f>
        <v>22.4298474776485</v>
      </c>
      <c r="Q36" s="128" t="n">
        <f aca="false">(O36+P36)*0.475*44/12</f>
        <v>180.485167690238</v>
      </c>
      <c r="R36" s="120" t="n">
        <f aca="false">Q36+(I36+J36)*44/12</f>
        <v>473.818501023571</v>
      </c>
      <c r="S36" s="120" t="n">
        <f aca="true">AVERAGE(OFFSET($R$3,0,0,'Données projet'!$E$9+1,1))-AVERAGE(OFFSET($H$3,0,0,'Données projet'!$E$9+1,1))</f>
        <v>319.229030946746</v>
      </c>
      <c r="T36" s="120" t="n">
        <f aca="false">$T$3</f>
        <v>254.586909731428</v>
      </c>
      <c r="U36" s="121" t="n">
        <f aca="false">IF(ISNA(VLOOKUP(A36,'Données projet'!$A$35:$I$55,3,0)),0,VLOOKUP(A36,'Données projet'!$A$35:$I$55,3,0))</f>
        <v>0</v>
      </c>
      <c r="V36" s="121" t="n">
        <f aca="false">IF(ISNA(VLOOKUP(A36,'Données projet'!$A$35:$I$55,4,0)),0,VLOOKUP(A36,'Données projet'!$A$35:$I$55,4,0))</f>
        <v>0</v>
      </c>
      <c r="W36" s="122" t="n">
        <f aca="false">IF(ISNA(VLOOKUP(A36,'Données projet'!$A$35:$I$55,5,0)),0%,VLOOKUP(A36,'Données projet'!$A$35:$I$55,5,0)*VLOOKUP('Données projet'!$B$9,Paramètres!$A$1:$I$89,7,0))</f>
        <v>0</v>
      </c>
      <c r="X36" s="122" t="n">
        <f aca="false">IF(ISNA(VLOOKUP(A36,'Données projet'!$A$35:$I$55,6,0)),0%,VLOOKUP(A36,'Données projet'!$A$35:$I$55,6,0)*VLOOKUP('Données projet'!$B$9,Paramètres!$A$1:$I$89,7,0))</f>
        <v>0</v>
      </c>
      <c r="Y36" s="122" t="n">
        <f aca="false">IF(ISNA(VLOOKUP(A36,'Données projet'!$A$35:$I$55,7,0)),0%,VLOOKUP(A36,'Données projet'!$A$35:$I$55,7,0))</f>
        <v>0</v>
      </c>
      <c r="Z36" s="129" t="n">
        <f aca="false">EXP(-LN(2)/35)*Z35+(1-EXP(-LN(2)/35))/(LN(2)/35)*V36*W36*VLOOKUP('Données projet'!$B$9,Paramètres!$A$1:$I$89,3,0)*0.475*44/12</f>
        <v>8.55263451864666</v>
      </c>
      <c r="AA36" s="129" t="n">
        <f aca="false">EXP(-LN(2)/25)*AA35+(1-EXP(-LN(2)/25))/(LN(2)/25)*Calculateur!V36*Calculateur!X36*VLOOKUP('Données projet'!$B$9,Paramètres!$A$1:$I$89,3,0)*0.475*44/12</f>
        <v>10.2613071515616</v>
      </c>
      <c r="AB36" s="129" t="n">
        <f aca="false">EXP(-LN(2)/2)*AB35+(1-EXP(-LN(2)/2))/(LN(2)/2)*V36*Y36*VLOOKUP('Données projet'!$B$9,Paramètres!$A$1:$I$89,3,0)*0.475*44/12</f>
        <v>3.9043355747019</v>
      </c>
      <c r="AC36" s="130" t="n">
        <f aca="false">SUM(Z36:AB36)</f>
        <v>22.7182772449101</v>
      </c>
      <c r="AD36" s="117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7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8" t="e">
        <f aca="false">VLOOKUP(A36,'Données projet'!$A$61:$I$81,2,0)</f>
        <v>#N/A</v>
      </c>
      <c r="AG36" s="118" t="e">
        <f aca="false">VLOOKUP(A36,'Données projet'!$A$61:$I$81,9,0)</f>
        <v>#N/A</v>
      </c>
      <c r="AH36" s="118" t="n">
        <f aca="false" t="array" ref="AH36:AH36">INDEX(AG:AG,MIN(IF(ISNUMBER(AG36:AG232),ROW(AG36:AG232),"")))</f>
        <v>24.8</v>
      </c>
      <c r="AI36" s="117" t="n">
        <f aca="false">IF('Données projet'!$A$62&gt;35,AI35+AH36-AQ35,IF(A36&lt;'Données projet'!$A$62,$AF$205^A36,IF(A36='Données projet'!$A$62,'Données projet'!$B$62,AI35+AH36-AQ35)))</f>
        <v>360.4</v>
      </c>
      <c r="AJ36" s="117" t="n">
        <f aca="false">AI36*VLOOKUP('Données projet'!$B$10,Paramètres!$A$1:$I$89,3,0)*VLOOKUP('Données projet'!$B$10,Paramètres!$A$1:$I$89,5,0)</f>
        <v>201.4636</v>
      </c>
      <c r="AK36" s="117" t="n">
        <f aca="false">EXP(-1.0587+0.8836*LN(AJ36)+0.284)</f>
        <v>50.0656860829541</v>
      </c>
      <c r="AL36" s="128" t="n">
        <f aca="false">(AJ36+AK36)*0.475*44/12</f>
        <v>438.080173261145</v>
      </c>
      <c r="AM36" s="120" t="n">
        <f aca="false">AL36+(AD36+AE36)*44/12</f>
        <v>731.413506594478</v>
      </c>
      <c r="AN36" s="120" t="n">
        <f aca="true">AVERAGE(OFFSET($AM$3,0,0,'Données projet'!$E$10+1,1))-AVERAGE(OFFSET($H$3,0,0,'Données projet'!$E$10+1,1))</f>
        <v>365.705101827279</v>
      </c>
      <c r="AO36" s="120" t="n">
        <f aca="false">$AO$3</f>
        <v>436.238338449625</v>
      </c>
      <c r="AP36" s="121" t="n">
        <f aca="false">IF(ISNA(VLOOKUP(A36,'Données projet'!$A$61:$I$81,3,0)),0,VLOOKUP(A36,'Données projet'!$A$61:$I$81,3,0))</f>
        <v>0</v>
      </c>
      <c r="AQ36" s="121" t="n">
        <f aca="false">IF(ISNA(VLOOKUP(A36,'Données projet'!$A$61:$I$81,4,0)),0,VLOOKUP(A36,'Données projet'!$A$61:$I$81,4,0))</f>
        <v>0</v>
      </c>
      <c r="AR36" s="122" t="n">
        <f aca="false">IF(ISNA(VLOOKUP(A36,'Données projet'!$A$61:$I$81,5,0)),0%,VLOOKUP(A36,'Données projet'!$A$61:$I$81,5,0)*VLOOKUP('Données projet'!$B$10,Paramètres!$A$1:$I$89,7,0))</f>
        <v>0</v>
      </c>
      <c r="AS36" s="122" t="n">
        <f aca="false">IF(ISNA(VLOOKUP(A36,'Données projet'!$A$61:$I$81,6,0)),0%,VLOOKUP(A36,'Données projet'!$A$61:$I$81,6,0)*VLOOKUP('Données projet'!$B$10,Paramètres!$A$1:$I$89,7,0))</f>
        <v>0</v>
      </c>
      <c r="AT36" s="122" t="n">
        <f aca="false">IF(ISNA(VLOOKUP(A36,'Données projet'!$A$61:$I$81,7,0)),0%,VLOOKUP(A36,'Données projet'!$A$61:$I$81,7,0))</f>
        <v>0</v>
      </c>
      <c r="AU36" s="129" t="n">
        <f aca="false">EXP(-LN(2)/35)*AU35+(1-EXP(-LN(2)/35))/(LN(2)/35)*AQ36*AR36*VLOOKUP('Données projet'!$B$10,Paramètres!$A$1:$I$89,3,0)*0.475*44/12</f>
        <v>3.2283422423217</v>
      </c>
      <c r="AV36" s="129" t="n">
        <f aca="false">EXP(-LN(2)/25)*AV35+(1-EXP(-LN(2)/25))/(LN(2)/25)*Calculateur!AQ36*Calculateur!AS36*VLOOKUP('Données projet'!$B$10,Paramètres!$A$1:$I$89,3,0)*0.475*44/12</f>
        <v>12.15396349341</v>
      </c>
      <c r="AW36" s="129" t="n">
        <f aca="false">EXP(-LN(2)/2)*AW35+(1-EXP(-LN(2)/2))/(LN(2)/2)*AQ36*AT36*VLOOKUP('Données projet'!$B$10,Paramètres!$A$1:$I$89,3,0)*0.475*44/12</f>
        <v>2.10119137724261</v>
      </c>
      <c r="AX36" s="129" t="n">
        <f aca="false">SUM(AU36:AW36)</f>
        <v>17.4834971129744</v>
      </c>
      <c r="AY36" s="124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8" t="e">
        <f aca="false">VLOOKUP(A36,'Données projet'!$A$87:$I$107,2,0)</f>
        <v>#N/A</v>
      </c>
      <c r="BB36" s="118" t="e">
        <f aca="false">VLOOKUP(A36,'Données projet'!$A$87:$I$107,9,0)</f>
        <v>#N/A</v>
      </c>
      <c r="BC36" s="118" t="n">
        <f aca="false" t="array" ref="BC36:BC36">INDEX(BB:BB,MIN(IF(ISNUMBER(BB36:BB232),ROW(BB36:BB232),"")))</f>
        <v>12.2</v>
      </c>
      <c r="BD36" s="118" t="n">
        <f aca="false">IF('Données projet'!$A$88&gt;35,BD35+BC36-BL35,IF(A36&lt;'Données projet'!$A$88,$BA$205^A36,IF(A36='Données projet'!$A$88,'Données projet'!$B$88,BD35+BC36-BL35)))</f>
        <v>176.6</v>
      </c>
      <c r="BE36" s="117" t="n">
        <f aca="false">BD36*VLOOKUP('Données projet'!$B$11,Paramètres!$A$1:$I$89,3,0)*VLOOKUP('Données projet'!$B$11,Paramètres!$A$1:$I$89,5,0)</f>
        <v>154.27776</v>
      </c>
      <c r="BF36" s="117" t="n">
        <f aca="false">EXP(-1.0587+0.8836*LN(BE36)+0.284)</f>
        <v>39.5491252773533</v>
      </c>
      <c r="BG36" s="128" t="n">
        <f aca="false">(BE36+BF36)*0.475*44/12</f>
        <v>337.58182519139</v>
      </c>
      <c r="BH36" s="120" t="n">
        <f aca="false">BG36+(AY36+AZ36)*44/12</f>
        <v>630.915158524724</v>
      </c>
      <c r="BI36" s="120" t="n">
        <f aca="true">AVERAGE(OFFSET($BH$3,0,0,'Données projet'!$E$11+1,1))-AVERAGE(OFFSET($H$3,0,0,'Données projet'!$E$11+1,1))</f>
        <v>321.235999689929</v>
      </c>
      <c r="BJ36" s="120" t="n">
        <f aca="false">$BJ$3</f>
        <v>388.051958478005</v>
      </c>
      <c r="BK36" s="121" t="n">
        <f aca="false">IF(ISNA(VLOOKUP(A36,'Données projet'!$A$87:$I$107,3,0)),0,VLOOKUP(A36,'Données projet'!$A$87:$I$107,3,0))</f>
        <v>0</v>
      </c>
      <c r="BL36" s="121" t="n">
        <f aca="false">IF(ISNA(VLOOKUP(A36,'Données projet'!$A$87:$I$107,4,0)),0,VLOOKUP(A36,'Données projet'!$A$87:$I$107,4,0))</f>
        <v>0</v>
      </c>
      <c r="BM36" s="122" t="n">
        <f aca="false">IF(ISNA(VLOOKUP(A36,'Données projet'!$A$87:$I$107,5,0)),0%,VLOOKUP(A36,'Données projet'!$A$87:$I$107,5,0)*VLOOKUP('Données projet'!$B$11,Paramètres!$A$1:$I$89,7,0))</f>
        <v>0</v>
      </c>
      <c r="BN36" s="122" t="n">
        <f aca="false">IF(ISNA(VLOOKUP(A36,'Données projet'!$A$87:$I$107,6,0)),0%,VLOOKUP(A36,'Données projet'!$A$87:$I$107,6,0)*VLOOKUP('Données projet'!$B$11,Paramètres!$A$1:$I$89,7,0))</f>
        <v>0</v>
      </c>
      <c r="BO36" s="122" t="n">
        <f aca="false">IF(ISNA(VLOOKUP(A36,'Données projet'!$A$87:$I$107,7,0)),0%,VLOOKUP(A36,'Données projet'!$A$87:$I$107,7,0))</f>
        <v>0</v>
      </c>
      <c r="BP36" s="129" t="n">
        <f aca="false">EXP(-LN(2)/35)*BP35+(1-EXP(-LN(2)/35))/(LN(2)/35)*BL36*BM36*VLOOKUP('Données projet'!$B$11,Paramètres!$A$1:$I$89,3,0)*0.475*44/12</f>
        <v>8.10514496497755</v>
      </c>
      <c r="BQ36" s="129" t="n">
        <f aca="false">EXP(-LN(2)/25)*BQ35+(1-EXP(-LN(2)/25))/(LN(2)/25)*Calculateur!BL36*Calculateur!BN36*VLOOKUP('Données projet'!$B$11,Paramètres!$A$1:$I$89,3,0)*0.475*44/12</f>
        <v>12.4060440332745</v>
      </c>
      <c r="BR36" s="129" t="n">
        <f aca="false">EXP(-LN(2)/2)*BR35+(1-EXP(-LN(2)/2))/(LN(2)/2)*BL36*BO36*VLOOKUP('Données projet'!$B$11,Paramètres!$A$1:$I$89,3,0)*0.475*44/12</f>
        <v>2.13581736097826</v>
      </c>
      <c r="BS36" s="130" t="n">
        <f aca="false">SUM(BP36:BR36)</f>
        <v>22.6470063592303</v>
      </c>
      <c r="BT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8" t="e">
        <f aca="false">VLOOKUP(A36,'Données projet'!$A$113:$I$133,2,0)</f>
        <v>#N/A</v>
      </c>
      <c r="BW36" s="118" t="e">
        <f aca="false">VLOOKUP(A36,'Données projet'!$A$113:$I$133,9,0)</f>
        <v>#N/A</v>
      </c>
      <c r="BX36" s="118" t="n">
        <f aca="false" t="array" ref="BX36:BX36">INDEX(BW:BW,MIN(IF(ISNUMBER(BW36:BW232),ROW(BW36:BW232),"")))</f>
        <v>12.8333333333333</v>
      </c>
      <c r="BY36" s="118" t="n">
        <f aca="false">IF('Données projet'!$A$114&gt;35,BY35+BX36-CG35,IF(A36&lt;'Données projet'!$A$114,$BV$205^A36,IF(A36='Données projet'!$A$114,'Données projet'!$B$114,BY35+BX36-CG35)))</f>
        <v>209.5</v>
      </c>
      <c r="BZ36" s="117" t="n">
        <f aca="false">BY36*VLOOKUP('Données projet'!$B$12,Paramètres!$A$1:$I$89,3,0)*VLOOKUP('Données projet'!$B$12,Paramètres!$A$1:$I$89,5,0)</f>
        <v>130.728</v>
      </c>
      <c r="CA36" s="117" t="n">
        <f aca="false">EXP(-1.0587+0.8836*LN(BZ36)+0.284)</f>
        <v>34.1645240455859</v>
      </c>
      <c r="CB36" s="128" t="n">
        <f aca="false">(BZ36+CA36)*0.475*44/12</f>
        <v>287.187812712729</v>
      </c>
      <c r="CC36" s="120" t="n">
        <f aca="false">CB36+(BT36+BU36)*44/12</f>
        <v>580.521146046062</v>
      </c>
      <c r="CD36" s="120" t="n">
        <f aca="true">AVERAGE(OFFSET($CC$3,0,0,'Données projet'!$E$12+1,1))-AVERAGE(OFFSET($H$3,0,0,'Données projet'!$E$12+1,1))</f>
        <v>240.228848647662</v>
      </c>
      <c r="CE36" s="120" t="n">
        <f aca="false">$CE$3</f>
        <v>343.237768841432</v>
      </c>
      <c r="CF36" s="121" t="n">
        <f aca="false">IF(ISNA(VLOOKUP(A36,'Données projet'!$A$113:$I$133,3,0)),0,VLOOKUP(A36,'Données projet'!$A$113:$I$133,3,0))</f>
        <v>0</v>
      </c>
      <c r="CG36" s="121" t="n">
        <f aca="false">IF(ISNA(VLOOKUP(A36,'Données projet'!$A$113:$I$133,4,0)),0,VLOOKUP(A36,'Données projet'!$A$113:$I$133,4,0))</f>
        <v>0</v>
      </c>
      <c r="CH36" s="122" t="n">
        <f aca="false">IF(ISNA(VLOOKUP(A36,'Données projet'!$A$113:$I$133,5,0)),0%,VLOOKUP(A36,'Données projet'!$A$113:$I$133,5,0)*VLOOKUP('Données projet'!$B$12,Paramètres!$A$1:$I$89,7,0))</f>
        <v>0</v>
      </c>
      <c r="CI36" s="122" t="n">
        <f aca="false">IF(ISNA(VLOOKUP(A36,'Données projet'!$A$113:$I$133,6,0)),0%,VLOOKUP(A36,'Données projet'!$A$113:$I$133,6,0)*VLOOKUP('Données projet'!$B$12,Paramètres!$A$1:$I$89,7,0))</f>
        <v>0</v>
      </c>
      <c r="CJ36" s="122" t="n">
        <f aca="false">IF(ISNA(VLOOKUP(A36,'Données projet'!$A$113:$I$133,7,0)),0%,VLOOKUP(A36,'Données projet'!$A$113:$I$133,7,0))</f>
        <v>0</v>
      </c>
      <c r="CK36" s="129" t="n">
        <f aca="false">EXP(-LN(2)/35)*CK35+(1-EXP(-LN(2)/35))/(LN(2)/35)*CG36*CH36*VLOOKUP('Données projet'!$B$12,Paramètres!$A$1:$I$89,3,0)*0.475*44/12</f>
        <v>4.96098016579064</v>
      </c>
      <c r="CL36" s="129" t="n">
        <f aca="false">EXP(-LN(2)/25)*CL35+(1-EXP(-LN(2)/25))/(LN(2)/25)*Calculateur!CG36*Calculateur!CI36*VLOOKUP('Données projet'!$B$12,Paramètres!$A$1:$I$89,3,0)*0.475*44/12</f>
        <v>21.909791947246</v>
      </c>
      <c r="CM36" s="129" t="n">
        <f aca="false">EXP(-LN(2)/2)*CM35+(1-EXP(-LN(2)/2))/(LN(2)/2)*CG36*CJ36*VLOOKUP('Données projet'!$B$12,Paramètres!$A$1:$I$89,3,0)*0.475*44/12</f>
        <v>3.40819509953923</v>
      </c>
      <c r="CN36" s="130" t="n">
        <f aca="false">SUM(CK36:CM36)</f>
        <v>30.2789672125758</v>
      </c>
      <c r="CO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8" t="e">
        <f aca="false">VLOOKUP(A36,'Données projet'!$A$139:$I$159,2,0)</f>
        <v>#N/A</v>
      </c>
      <c r="CR36" s="118" t="e">
        <f aca="false">VLOOKUP(A36,'Données projet'!$A$139:$I$159,9,0)</f>
        <v>#N/A</v>
      </c>
      <c r="CS36" s="118" t="n">
        <f aca="false" t="array" ref="CS36:CS36">INDEX(CR:CR,MIN(IF(ISNUMBER(CR36:CR232),ROW(CR36:CR232),"")))</f>
        <v>15</v>
      </c>
      <c r="CT36" s="118" t="n">
        <f aca="false">IF('Données projet'!$A$140&gt;35,CT35+CS36-DB35,IF(A36&lt;'Données projet'!$A$140,$CQ$205^A36,IF(A36='Données projet'!$A$140,'Données projet'!$B$140,CT35+CS36-DB35)))</f>
        <v>224</v>
      </c>
      <c r="CU36" s="125" t="n">
        <f aca="false">CT36*VLOOKUP('Données projet'!$B$13,Paramètres!$A$1:$I$89,3,0)*VLOOKUP('Données projet'!$B$13,Paramètres!$A$1:$I$89,5,0)</f>
        <v>122.304</v>
      </c>
      <c r="CV36" s="117" t="n">
        <f aca="false">EXP(-1.0587+0.8836*LN(CU36)+0.284)</f>
        <v>32.2117732265594</v>
      </c>
      <c r="CW36" s="128" t="n">
        <f aca="false">(CU36+CV36)*0.475*44/12</f>
        <v>269.114971702924</v>
      </c>
      <c r="CX36" s="120" t="n">
        <f aca="false">CW36+(CO36+CP36)*44/12</f>
        <v>562.448305036257</v>
      </c>
      <c r="CY36" s="120" t="n">
        <f aca="true">AVERAGE(OFFSET($CX$3,0,0,'Données projet'!$E$13+1,1))-AVERAGE(OFFSET($H$3,0,0,'Données projet'!$E$13+1,1))</f>
        <v>207.023069645676</v>
      </c>
      <c r="CZ36" s="120" t="n">
        <f aca="false">$CZ$3</f>
        <v>342.068879333518</v>
      </c>
      <c r="DA36" s="121" t="n">
        <f aca="false">IF(ISNA(VLOOKUP(A36,'Données projet'!$A$139:$I$159,3,0)),0,VLOOKUP(A36,'Données projet'!$A$139:$I$159,3,0))</f>
        <v>0</v>
      </c>
      <c r="DB36" s="121" t="n">
        <f aca="false">IF(ISNA(VLOOKUP(A36,'Données projet'!$A$139:$I$159,4,0)),0,VLOOKUP(A36,'Données projet'!$A$139:$I$159,4,0))</f>
        <v>0</v>
      </c>
      <c r="DC36" s="122" t="n">
        <f aca="false">IF(ISNA(VLOOKUP(A36,'Données projet'!$A$139:$I$159,5,0)),0%,VLOOKUP(A36,'Données projet'!$A$139:$I$159,5,0)*VLOOKUP('Données projet'!$B$13,Paramètres!$A$1:$I$89,7,0))</f>
        <v>0</v>
      </c>
      <c r="DD36" s="122" t="n">
        <f aca="false">IF(ISNA(VLOOKUP(A36,'Données projet'!$A$139:$I$159,6,0)),0%,VLOOKUP(A36,'Données projet'!$A$139:$I$159,6,0)*VLOOKUP('Données projet'!$B$13,Paramètres!$A$1:$I$89,7,0))</f>
        <v>0</v>
      </c>
      <c r="DE36" s="122" t="n">
        <f aca="false">IF(ISNA(VLOOKUP(A36,'Données projet'!$A$139:$I$159,7,0)),0%,VLOOKUP(A36,'Données projet'!$A$139:$I$159,7,0))</f>
        <v>0</v>
      </c>
      <c r="DF36" s="129" t="n">
        <f aca="false">EXP(-LN(2)/35)*DF35+(1-EXP(-LN(2)/35))/(LN(2)/35)*DB36*DC36*VLOOKUP('Données projet'!$B$13,Paramètres!$A$1:$I$89,3,0)*0.475*44/12</f>
        <v>6.22462605707693</v>
      </c>
      <c r="DG36" s="129" t="n">
        <f aca="false">EXP(-LN(2)/25)*DG35+(1-EXP(-LN(2)/25))/(LN(2)/25)*Calculateur!DB36*Calculateur!DD36*VLOOKUP('Données projet'!$B$13,Paramètres!$A$1:$I$89,3,0)*0.475*44/12</f>
        <v>35.8133846502097</v>
      </c>
      <c r="DH36" s="129" t="n">
        <f aca="false">EXP(-LN(2)/2)*DH35+(1-EXP(-LN(2)/2))/(LN(2)/2)*DB36*DE36*VLOOKUP('Données projet'!$B$13,Paramètres!$A$1:$I$89,3,0)*0.475*44/12</f>
        <v>4.69308623219062</v>
      </c>
      <c r="DI36" s="130" t="n">
        <f aca="false">SUM(DF36:DH36)</f>
        <v>46.7310969394772</v>
      </c>
      <c r="DJ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8" t="e">
        <f aca="false">VLOOKUP(A36,'Données projet'!$A$165:$I$185,2,0)</f>
        <v>#N/A</v>
      </c>
      <c r="DM36" s="118" t="e">
        <f aca="false">VLOOKUP(A36,'Données projet'!$A$165:$I$185,9,0)</f>
        <v>#N/A</v>
      </c>
      <c r="DN36" s="118" t="n">
        <f aca="false" t="array" ref="DN36:DN36">INDEX(DM:DM,MIN(IF(ISNUMBER(DM36:DM232),ROW(DM36:DM232),"")))</f>
        <v>14.8333333333333</v>
      </c>
      <c r="DO36" s="118" t="n">
        <f aca="false">IF('Données projet'!$A$166&gt;35,DO35+DN36-DW35,IF(A36&lt;'Données projet'!$A$166,$DL$205^A36,IF(A36='Données projet'!$A$166,'Données projet'!$B$166,DO35+DN36-DW35)))</f>
        <v>229.166666666667</v>
      </c>
      <c r="DP36" s="125" t="n">
        <f aca="false">DO36*VLOOKUP('Données projet'!$B$14,Paramètres!$A$1:$I$89,3,0)*VLOOKUP('Données projet'!$B$14,Paramètres!$A$1:$I$89,5,0)</f>
        <v>137.041666666667</v>
      </c>
      <c r="DQ36" s="117" t="n">
        <f aca="false">EXP(-1.0587+0.8836*LN(DP36)+0.284)</f>
        <v>35.6184527768776</v>
      </c>
      <c r="DR36" s="128" t="n">
        <f aca="false">(DP36+DQ36)*0.475*44/12</f>
        <v>300.716374697506</v>
      </c>
      <c r="DS36" s="120" t="n">
        <f aca="false">DR36+(DJ36+DK36)*44/12</f>
        <v>594.04970803084</v>
      </c>
      <c r="DT36" s="120" t="n">
        <f aca="true">AVERAGE(OFFSET($DS$3,0,0,'Données projet'!$E$14+1,1))-AVERAGE(OFFSET($H$3,0,0,'Données projet'!$E$14+1,1))</f>
        <v>549.432320957297</v>
      </c>
      <c r="DU36" s="120" t="n">
        <f aca="false">$DU$3</f>
        <v>280.26155987301</v>
      </c>
      <c r="DV36" s="121" t="n">
        <f aca="false">IF(ISNA(VLOOKUP(A36,'Données projet'!$A$165:$I$185,3,0)),0,VLOOKUP(A36,'Données projet'!$A$165:$I$185,3,0))</f>
        <v>0</v>
      </c>
      <c r="DW36" s="121" t="n">
        <f aca="false">IF(ISNA(VLOOKUP(A36,'Données projet'!$A$165:$I$185,4,0)),0,VLOOKUP(A36,'Données projet'!$A$165:$I$185,4,0))</f>
        <v>0</v>
      </c>
      <c r="DX36" s="122" t="n">
        <f aca="false">IF(ISNA(VLOOKUP(A36,'Données projet'!$A$165:$I$185,5,0)),0%,VLOOKUP(A36,'Données projet'!$A$165:$I$185,5,0)*VLOOKUP('Données projet'!$B$14,Paramètres!$A$1:$I$89,7,0))</f>
        <v>0</v>
      </c>
      <c r="DY36" s="122" t="n">
        <f aca="false">IF(ISNA(VLOOKUP(A36,'Données projet'!$A$165:$I$185,6,0)),0%,VLOOKUP(A36,'Données projet'!$A$165:$I$185,6,0)*VLOOKUP('Données projet'!$B$14,Paramètres!$A$1:$I$89,7,0))</f>
        <v>0</v>
      </c>
      <c r="DZ36" s="122" t="n">
        <f aca="false">IF(ISNA(VLOOKUP(A36,'Données projet'!$A$165:$I$185,7,0)),0%,VLOOKUP(A36,'Données projet'!$A$165:$I$185,7,0))</f>
        <v>0</v>
      </c>
      <c r="EA36" s="129" t="n">
        <f aca="false">EXP(-LN(2)/35)*EA35+(1-EXP(-LN(2)/35))/(LN(2)/35)*DW36*DX36*VLOOKUP('Données projet'!$B$14,Paramètres!$A$1:$I$89,3,0)*0.475*44/12</f>
        <v>2.26326709362237</v>
      </c>
      <c r="EB36" s="129" t="n">
        <f aca="false">EXP(-LN(2)/25)*EB35+(1-EXP(-LN(2)/25))/(LN(2)/25)*Calculateur!DW36*Calculateur!DY36*VLOOKUP('Données projet'!$B$14,Paramètres!$A$1:$I$89,3,0)*0.475*44/12</f>
        <v>7.13473280798176</v>
      </c>
      <c r="EC36" s="129" t="n">
        <f aca="false">EXP(-LN(2)/2)*EC35+(1-EXP(-LN(2)/2))/(LN(2)/2)*DW36*DZ36*VLOOKUP('Données projet'!$B$14,Paramètres!$A$1:$I$89,3,0)*0.475*44/12</f>
        <v>2.16341601345255</v>
      </c>
      <c r="ED36" s="130" t="n">
        <f aca="false">SUM(EA36:EC36)</f>
        <v>11.5614159150567</v>
      </c>
      <c r="EE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8" t="e">
        <f aca="false">VLOOKUP(A36,'Données projet'!$A$191:$I$211,2,0)</f>
        <v>#N/A</v>
      </c>
      <c r="EH36" s="118" t="e">
        <f aca="false">VLOOKUP(A36,'Données projet'!$A$191:$I$211,9,0)</f>
        <v>#N/A</v>
      </c>
      <c r="EI36" s="118" t="n">
        <f aca="false" t="array" ref="EI36:EI36">INDEX(EH:EH,MIN(IF(ISNUMBER(EH36:EH232),ROW(EH36:EH232),"")))</f>
        <v>0</v>
      </c>
      <c r="EJ36" s="118" t="n">
        <f aca="false">IF('Données projet'!$A$192&gt;35,EJ35+EI36-ER35,IF(A36&lt;'Données projet'!$A$192,$EG$205^A36,IF(A36='Données projet'!$A$192,'Données projet'!$B$192,EJ35+EI36-ER35)))</f>
        <v>0</v>
      </c>
      <c r="EK36" s="125" t="e">
        <f aca="false">EJ36*VLOOKUP('Données projet'!$B$15,Paramètres!$A$1:$I$89,3,0)*VLOOKUP('Données projet'!$B$15,Paramètres!$A$1:$I$89,5,0)</f>
        <v>#N/A</v>
      </c>
      <c r="EL36" s="117" t="e">
        <f aca="false">EXP(-1.0587+0.8836*LN(EK36)+0.284)</f>
        <v>#N/A</v>
      </c>
      <c r="EM36" s="128" t="e">
        <f aca="false">(EK36+EL36)*0.475*44/12</f>
        <v>#N/A</v>
      </c>
      <c r="EN36" s="120" t="e">
        <f aca="false">EM36+(EE36+EF36)*44/12</f>
        <v>#N/A</v>
      </c>
      <c r="EO36" s="120" t="e">
        <f aca="true">AVERAGE(OFFSET($EN$3,0,0,'Données projet'!$E$15+1,1))-AVERAGE(OFFSET($H$3,0,0,'Données projet'!$E$15+1,1))</f>
        <v>#N/A</v>
      </c>
      <c r="EP36" s="120" t="e">
        <f aca="false">$EP$3</f>
        <v>#N/A</v>
      </c>
      <c r="EQ36" s="121" t="n">
        <f aca="false">IF(ISNA(VLOOKUP(A36,'Données projet'!$A$191:$I$211,3,0)),0,VLOOKUP(A36,'Données projet'!$A$191:$I$211,3,0))</f>
        <v>0</v>
      </c>
      <c r="ER36" s="121" t="n">
        <f aca="false">IF(ISNA(VLOOKUP(A36,'Données projet'!$A$191:$I$211,4,0)),0,VLOOKUP(A36,'Données projet'!$A$191:$I$211,4,0))</f>
        <v>0</v>
      </c>
      <c r="ES36" s="122" t="n">
        <f aca="false">IF(ISNA(VLOOKUP(A36,'Données projet'!$A$191:$I$211,5,0)),0%,VLOOKUP(A36,'Données projet'!$A$191:$I$211,5,0)*VLOOKUP('Données projet'!$B$15,Paramètres!$A$1:$I$89,7,0))</f>
        <v>0</v>
      </c>
      <c r="ET36" s="122" t="n">
        <f aca="false">IF(ISNA(VLOOKUP(A36,'Données projet'!$A$191:$I$211,6,0)),0%,VLOOKUP(A36,'Données projet'!$A$191:$I$211,6,0)*VLOOKUP('Données projet'!$B$15,Paramètres!$A$1:$I$89,7,0))</f>
        <v>0</v>
      </c>
      <c r="EU36" s="122" t="n">
        <f aca="false">IF(ISNA(VLOOKUP(A36,'Données projet'!$A$191:$I$211,7,0)),0%,VLOOKUP(A36,'Données projet'!$A$191:$I$211,7,0))</f>
        <v>0</v>
      </c>
      <c r="EV36" s="129" t="e">
        <f aca="false">EXP(-LN(2)/35)*EV35+(1-EXP(-LN(2)/35))/(LN(2)/35)*ER36*ES36*VLOOKUP('Données projet'!$B$15,Paramètres!$A$1:$I$89,3,0)*0.475*44/12</f>
        <v>#N/A</v>
      </c>
      <c r="EW36" s="129" t="e">
        <f aca="false">EXP(-LN(2)/25)*EW35+(1-EXP(-LN(2)/25))/(LN(2)/25)*Calculateur!ER36*Calculateur!ET36*VLOOKUP('Données projet'!$B$15,Paramètres!$A$1:$I$89,3,0)*0.475*44/12</f>
        <v>#N/A</v>
      </c>
      <c r="EX36" s="129" t="e">
        <f aca="false">EXP(-LN(2)/2)*EX35+(1-EXP(-LN(2)/2))/(LN(2)/2)*ER36*EU36*VLOOKUP('Données projet'!$B$15,Paramètres!$A$1:$I$89,3,0)*0.475*44/12</f>
        <v>#N/A</v>
      </c>
      <c r="EY36" s="130" t="e">
        <f aca="false">SUM(EV36:EX36)</f>
        <v>#N/A</v>
      </c>
      <c r="EZ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8" t="e">
        <f aca="false">VLOOKUP(A36,'Données projet'!$A$217:$I$237,2,0)</f>
        <v>#N/A</v>
      </c>
      <c r="FC36" s="118" t="e">
        <f aca="false">VLOOKUP(A36,'Données projet'!$A$217:$I$237,9,0)</f>
        <v>#N/A</v>
      </c>
      <c r="FD36" s="118" t="n">
        <f aca="false" t="array" ref="FD36:FD36">INDEX(FC:FC,MIN(IF(ISNUMBER(FC36:FC232),ROW(FC36:FC232),"")))</f>
        <v>0</v>
      </c>
      <c r="FE36" s="118" t="n">
        <f aca="false">IF('Données projet'!$A$218&gt;35,FE35+FD36-FM35,IF(A36&lt;'Données projet'!$A$218,$FB$205^A36,IF(A36='Données projet'!$A$218,'Données projet'!$B$218,FE35+FD36-FM35)))</f>
        <v>0</v>
      </c>
      <c r="FF36" s="125" t="e">
        <f aca="false">FE36*VLOOKUP('Données projet'!$B$16,Paramètres!$A$1:$I$89,3,0)*VLOOKUP('Données projet'!$B$16,Paramètres!$A$1:$I$89,5,0)</f>
        <v>#N/A</v>
      </c>
      <c r="FG36" s="117" t="e">
        <f aca="false">EXP(-1.0587+0.8836*LN(FF36)+0.284)</f>
        <v>#N/A</v>
      </c>
      <c r="FH36" s="128" t="e">
        <f aca="false">(FF36+FG36)*0.475*44/12</f>
        <v>#N/A</v>
      </c>
      <c r="FI36" s="120" t="e">
        <f aca="false">FH36+(EZ36+FA36)*44/12</f>
        <v>#N/A</v>
      </c>
      <c r="FJ36" s="120" t="e">
        <f aca="true">AVERAGE(OFFSET($FI$3,0,0,'Données projet'!$E$16+1,1))-AVERAGE(OFFSET($H$3,0,0,'Données projet'!$E$16+1,1))</f>
        <v>#N/A</v>
      </c>
      <c r="FK36" s="120" t="e">
        <f aca="false">$FK$3</f>
        <v>#N/A</v>
      </c>
      <c r="FL36" s="121" t="n">
        <f aca="false">IF(ISNA(VLOOKUP(A36,'Données projet'!$A$217:$I$237,3,0)),0,VLOOKUP(A36,'Données projet'!$A$217:$I$237,3,0))</f>
        <v>0</v>
      </c>
      <c r="FM36" s="121" t="n">
        <f aca="false">IF(ISNA(VLOOKUP(A36,'Données projet'!$A$217:$I$237,4,0)),0,VLOOKUP(A36,'Données projet'!$A$217:$I$237,4,0))</f>
        <v>0</v>
      </c>
      <c r="FN36" s="122" t="n">
        <f aca="false">IF(ISNA(VLOOKUP(A36,'Données projet'!$A$217:$I$237,5,0)),0%,VLOOKUP(A36,'Données projet'!$A$217:$I$237,5,0)*VLOOKUP('Données projet'!$B$16,Paramètres!$A$1:$I$89,7,0))</f>
        <v>0</v>
      </c>
      <c r="FO36" s="122" t="n">
        <f aca="false">IF(ISNA(VLOOKUP(A36,'Données projet'!$A$217:$I$237,6,0)),0%,VLOOKUP(A36,'Données projet'!$A$217:$I$237,6,0)*VLOOKUP('Données projet'!$B$16,Paramètres!$A$1:$I$89,7,0))</f>
        <v>0</v>
      </c>
      <c r="FP36" s="122" t="n">
        <f aca="false">IF(ISNA(VLOOKUP(A36,'Données projet'!$A$217:$I$237,7,0)),0%,VLOOKUP(A36,'Données projet'!$A$217:$I$237,7,0))</f>
        <v>0</v>
      </c>
      <c r="FQ36" s="129" t="e">
        <f aca="false">EXP(-LN(2)/35)*FQ35+(1-EXP(-LN(2)/35))/(LN(2)/35)*FM36*FN36*VLOOKUP('Données projet'!$B$16,Paramètres!$A$1:$I$89,3,0)*0.475*44/12</f>
        <v>#N/A</v>
      </c>
      <c r="FR36" s="129" t="e">
        <f aca="false">EXP(-LN(2)/25)*FR35+(1-EXP(-LN(2)/25))/(LN(2)/25)*Calculateur!FM36*Calculateur!FO36*VLOOKUP('Données projet'!$B$16,Paramètres!$A$1:$I$89,3,0)*0.475*44/12</f>
        <v>#N/A</v>
      </c>
      <c r="FS36" s="129" t="e">
        <f aca="false">EXP(-LN(2)/2)*FS35+(1-EXP(-LN(2)/2))/(LN(2)/2)*FM36*FP36*VLOOKUP('Données projet'!$B$16,Paramètres!$A$1:$I$89,3,0)*0.475*44/12</f>
        <v>#N/A</v>
      </c>
      <c r="FT36" s="130" t="e">
        <f aca="false">SUM(FQ36:FS36)</f>
        <v>#N/A</v>
      </c>
      <c r="FU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8" t="e">
        <f aca="false">VLOOKUP(A36,'Données projet'!$A$243:$I$263,2,0)</f>
        <v>#N/A</v>
      </c>
      <c r="FX36" s="118" t="e">
        <f aca="false">VLOOKUP(A36,'Données projet'!$A$243:$I$263,9,0)</f>
        <v>#N/A</v>
      </c>
      <c r="FY36" s="118" t="n">
        <f aca="false" t="array" ref="FY36:FY36">INDEX(FX:FX,MIN(IF(ISNUMBER(FX36:FX232),ROW(FX36:FX232),"")))</f>
        <v>0</v>
      </c>
      <c r="FZ36" s="118" t="n">
        <f aca="false">IF('Données projet'!$A$244&gt;35,FZ35+FY36-GH35,IF(A36&lt;'Données projet'!$A$244,$FW$205^A36,IF(A36='Données projet'!$A$244,'Données projet'!$B$244,FZ35+FY36-GH35)))</f>
        <v>0</v>
      </c>
      <c r="GA36" s="125" t="e">
        <f aca="false">FZ36*VLOOKUP('Données projet'!$B$17,Paramètres!$A$1:$I$89,3,0)*VLOOKUP('Données projet'!$B$17,Paramètres!$A$1:$I$89,5,0)</f>
        <v>#N/A</v>
      </c>
      <c r="GB36" s="117" t="e">
        <f aca="false">EXP(-1.0587+0.8836*LN(GA36)+0.284)</f>
        <v>#N/A</v>
      </c>
      <c r="GC36" s="128" t="e">
        <f aca="false">(GA36+GB36)*0.475*44/12</f>
        <v>#N/A</v>
      </c>
      <c r="GD36" s="120" t="e">
        <f aca="false">GC36+(FU36+FV36)*44/12</f>
        <v>#N/A</v>
      </c>
      <c r="GE36" s="120" t="e">
        <f aca="true">AVERAGE(OFFSET($GD$3,0,0,'Données projet'!$E$17+1,1))-AVERAGE(OFFSET($H$3,0,0,'Données projet'!$E$17+1,1))</f>
        <v>#N/A</v>
      </c>
      <c r="GF36" s="120" t="e">
        <f aca="false">$GF$3</f>
        <v>#N/A</v>
      </c>
      <c r="GG36" s="121" t="n">
        <f aca="false">IF(ISNA(VLOOKUP(A36,'Données projet'!$A$243:$I$263,3,0)),0,VLOOKUP(A36,'Données projet'!$A$243:$I$263,3,0))</f>
        <v>0</v>
      </c>
      <c r="GH36" s="121" t="n">
        <f aca="false">IF(ISNA(VLOOKUP(A36,'Données projet'!$A$243:$I$263,4,0)),0,VLOOKUP(A36,'Données projet'!$A$243:$I$263,4,0))</f>
        <v>0</v>
      </c>
      <c r="GI36" s="122" t="n">
        <f aca="false">IF(ISNA(VLOOKUP(A36,'Données projet'!$A$243:$I$263,5,0)),0%,VLOOKUP(A36,'Données projet'!$A$243:$I$263,5,0)*VLOOKUP('Données projet'!$B$17,Paramètres!$A$1:$I$89,7,0))</f>
        <v>0</v>
      </c>
      <c r="GJ36" s="122" t="n">
        <f aca="false">IF(ISNA(VLOOKUP(A36,'Données projet'!$A$243:$I$263,6,0)),0%,VLOOKUP(A36,'Données projet'!$A$243:$I$263,6,0)*VLOOKUP('Données projet'!$B$17,Paramètres!$A$1:$I$89,7,0))</f>
        <v>0</v>
      </c>
      <c r="GK36" s="122" t="n">
        <f aca="false">IF(ISNA(VLOOKUP(A36,'Données projet'!$A$243:$I$263,7,0)),0%,VLOOKUP(A36,'Données projet'!$A$243:$I$263,7,0))</f>
        <v>0</v>
      </c>
      <c r="GL36" s="129" t="e">
        <f aca="false">EXP(-LN(2)/35)*GL35+(1-EXP(-LN(2)/35))/(LN(2)/35)*GH36*GI36*VLOOKUP('Données projet'!$B$17,Paramètres!$A$1:$I$89,3,0)*0.475*44/12</f>
        <v>#N/A</v>
      </c>
      <c r="GM36" s="129" t="e">
        <f aca="false">EXP(-LN(2)/25)*GM35+(1-EXP(-LN(2)/25))/(LN(2)/25)*Calculateur!GH36*Calculateur!GJ36*VLOOKUP('Données projet'!$B$17,Paramètres!$A$1:$I$89,3,0)*0.475*44/12</f>
        <v>#N/A</v>
      </c>
      <c r="GN36" s="129" t="e">
        <f aca="false">EXP(-LN(2)/2)*GN35+(1-EXP(-LN(2)/2))/(LN(2)/2)*GH36*GK36*VLOOKUP('Données projet'!$B$17,Paramètres!$A$1:$I$89,3,0)*0.475*44/12</f>
        <v>#N/A</v>
      </c>
      <c r="GO36" s="129" t="e">
        <f aca="false">SUM(GL36:GN36)</f>
        <v>#N/A</v>
      </c>
      <c r="GP36" s="126" t="n">
        <f aca="false"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8" t="n">
        <f aca="false"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8" t="e">
        <f aca="false">VLOOKUP(A36,'Données projet'!$A$269:$I$289,2,0)</f>
        <v>#N/A</v>
      </c>
      <c r="GS36" s="118" t="e">
        <f aca="false">VLOOKUP(A36,'Données projet'!$A$269:$I$289,9,0)</f>
        <v>#N/A</v>
      </c>
      <c r="GT36" s="118" t="n">
        <f aca="false" t="array" ref="GT36:GT36">INDEX(GS:GS,MIN(IF(ISNUMBER(GS36:GS232),ROW(GS36:GS232),"")))</f>
        <v>0</v>
      </c>
      <c r="GU36" s="118" t="n">
        <f aca="false">IF('Données projet'!$A$270&gt;35,GU35+GT36-HC35,IF(A36&lt;'Données projet'!$A$270,$GR$205^A36,IF(A36='Données projet'!$A$270,'Données projet'!$B$270,GU35+GT36-HC35)))</f>
        <v>0</v>
      </c>
      <c r="GV36" s="125" t="e">
        <f aca="false">GU36*VLOOKUP('Données projet'!$B$18,Paramètres!$A$1:$I$89,3,0)*VLOOKUP('Données projet'!$B$18,Paramètres!$A$1:$I$89,5,0)</f>
        <v>#N/A</v>
      </c>
      <c r="GW36" s="117" t="e">
        <f aca="false">EXP(-1.0587+0.8836*LN(GV36)+0.284)</f>
        <v>#N/A</v>
      </c>
      <c r="GX36" s="128" t="e">
        <f aca="false">(GV36+GW36)*0.475*44/12</f>
        <v>#N/A</v>
      </c>
      <c r="GY36" s="120" t="e">
        <f aca="false">GX36+(GP36+GQ36)*44/12</f>
        <v>#N/A</v>
      </c>
      <c r="GZ36" s="120" t="e">
        <f aca="true">AVERAGE(OFFSET($GY$3,0,0,'Données projet'!$E$18+1,1))-AVERAGE(OFFSET($H$3,0,0,'Données projet'!$E$18+1,1))</f>
        <v>#N/A</v>
      </c>
      <c r="HA36" s="120" t="e">
        <f aca="false">$HA$3</f>
        <v>#N/A</v>
      </c>
      <c r="HB36" s="121" t="n">
        <f aca="false">IF(ISNA(VLOOKUP(A36,'Données projet'!$A$269:$I$289,3,0)),0,VLOOKUP(A36,'Données projet'!$A$269:$I$289,3,0))</f>
        <v>0</v>
      </c>
      <c r="HC36" s="121" t="n">
        <f aca="false">IF(ISNA(VLOOKUP(A36,'Données projet'!$A$269:$I$289,4,0)),0,VLOOKUP(A36,'Données projet'!$A$269:$I$289,4,0))</f>
        <v>0</v>
      </c>
      <c r="HD36" s="122" t="n">
        <f aca="false">IF(ISNA(VLOOKUP(A36,'Données projet'!$A$269:$I$289,5,0)),0%,VLOOKUP(A36,'Données projet'!$A$269:$I$289,5,0)*VLOOKUP('Données projet'!$B$18,Paramètres!$A$1:$I$89,7,0))</f>
        <v>0</v>
      </c>
      <c r="HE36" s="122" t="n">
        <f aca="false">IF(ISNA(VLOOKUP(A36,'Données projet'!$A$269:$I$289,6,0)),0%,VLOOKUP(A36,'Données projet'!$A$269:$I$289,6,0)*VLOOKUP('Données projet'!$B$18,Paramètres!$A$1:$I$89,7,0))</f>
        <v>0</v>
      </c>
      <c r="HF36" s="122" t="n">
        <f aca="false">IF(ISNA(VLOOKUP(A36,'Données projet'!$A$269:$I$289,7,0)),0%,VLOOKUP(A36,'Données projet'!$A$269:$I$289,7,0))</f>
        <v>0</v>
      </c>
      <c r="HG36" s="129" t="e">
        <f aca="false">EXP(-LN(2)/35)*HG35+(1-EXP(-LN(2)/35))/(LN(2)/35)*HC36*HD36*VLOOKUP('Données projet'!$B$18,Paramètres!$A$1:$I$89,3,0)*0.475*44/12</f>
        <v>#N/A</v>
      </c>
      <c r="HH36" s="129" t="e">
        <f aca="false">EXP(-LN(2)/25)*HH35+(1-EXP(-LN(2)/25))/(LN(2)/25)*Calculateur!HC36*Calculateur!HE36*VLOOKUP('Données projet'!$B$18,Paramètres!$A$1:$I$89,3,0)*0.475*44/12</f>
        <v>#N/A</v>
      </c>
      <c r="HI36" s="129" t="e">
        <f aca="false">EXP(-LN(2)/2)*HI35+(1-EXP(-LN(2)/2))/(LN(2)/2)*HC36*HF36*VLOOKUP('Données projet'!$B$18,Paramètres!$A$1:$I$89,3,0)*0.475*44/12</f>
        <v>#N/A</v>
      </c>
      <c r="HJ36" s="130" t="e">
        <f aca="false">SUM(HG36:HI36)</f>
        <v>#N/A</v>
      </c>
    </row>
    <row r="37" customFormat="false" ht="14.25" hidden="false" customHeight="false" outlineLevel="0" collapsed="false">
      <c r="A37" s="112" t="n">
        <f aca="false">A36+1</f>
        <v>34</v>
      </c>
      <c r="B37" s="113" t="n">
        <f aca="false">'Scénario référence'!$B$16*5+'Scénario référence'!$B$17*0+'Scénario référence'!$B$18*5</f>
        <v>0</v>
      </c>
      <c r="C37" s="127" t="n">
        <f aca="false"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4" t="n">
        <f aca="false">IFERROR(EXP(-1.0587+0.8836*LN(C37)+0.284),0)</f>
        <v>0</v>
      </c>
      <c r="E3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7" s="114" t="n">
        <f aca="false">IF(OR('Scénario référence'!$F$8&gt;0,'Scénario référence'!$F$9&gt;0),('Scénario référence'!$F$8+'Scénario référence'!$F$9)*10,0)</f>
        <v>0</v>
      </c>
      <c r="G37" s="114" t="n">
        <f aca="false"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15" t="n">
        <f aca="false">(B37+E37+F37)*44/12+(C37+D37)*0.475*44/12</f>
        <v>256.666666666667</v>
      </c>
      <c r="I37" s="11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7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8" t="e">
        <f aca="false">VLOOKUP(A37,'Données projet'!$A$35:$I$55,2,0)</f>
        <v>#N/A</v>
      </c>
      <c r="L37" s="118" t="e">
        <f aca="false">VLOOKUP(A37,'Données projet'!$A$35:$I$55,9,0)</f>
        <v>#N/A</v>
      </c>
      <c r="M37" s="118" t="n">
        <f aca="false" t="array" ref="M37:M37">INDEX(L:L,MIN(IF(ISNUMBER(L37:L233),ROW(L37:L233),"")))</f>
        <v>10</v>
      </c>
      <c r="N37" s="117" t="n">
        <f aca="false">IF('Données projet'!$A$36&gt;35,N36+M37-V36,IF(A37&lt;'Données projet'!$A$36,$K$205^A37,IF(A37='Données projet'!$A$36,'Données projet'!$B$36,N36+M37-V36)))</f>
        <v>183.5</v>
      </c>
      <c r="O37" s="117" t="n">
        <f aca="false">N37*VLOOKUP('Données projet'!$B$9,Paramètres!$A$1:$I$89,3,0)*VLOOKUP('Données projet'!$B$9,Paramètres!$A$1:$I$89,5,0)</f>
        <v>85.878</v>
      </c>
      <c r="P37" s="117" t="n">
        <f aca="false">EXP(-1.0587+0.8836*LN(O37)+0.284)</f>
        <v>23.5684016549865</v>
      </c>
      <c r="Q37" s="128" t="n">
        <f aca="false">(O37+P37)*0.475*44/12</f>
        <v>190.619149549101</v>
      </c>
      <c r="R37" s="120" t="n">
        <f aca="false">Q37+(I37+J37)*44/12</f>
        <v>483.952482882435</v>
      </c>
      <c r="S37" s="120" t="n">
        <f aca="true">AVERAGE(OFFSET($R$3,0,0,'Données projet'!$E$9+1,1))-AVERAGE(OFFSET($H$3,0,0,'Données projet'!$E$9+1,1))</f>
        <v>319.229030946746</v>
      </c>
      <c r="T37" s="120" t="n">
        <f aca="false">$T$3</f>
        <v>254.586909731428</v>
      </c>
      <c r="U37" s="121" t="n">
        <f aca="false">IF(ISNA(VLOOKUP(A37,'Données projet'!$A$35:$I$55,3,0)),0,VLOOKUP(A37,'Données projet'!$A$35:$I$55,3,0))</f>
        <v>0</v>
      </c>
      <c r="V37" s="121" t="n">
        <f aca="false">IF(ISNA(VLOOKUP(A37,'Données projet'!$A$35:$I$55,4,0)),0,VLOOKUP(A37,'Données projet'!$A$35:$I$55,4,0))</f>
        <v>0</v>
      </c>
      <c r="W37" s="122" t="n">
        <f aca="false">IF(ISNA(VLOOKUP(A37,'Données projet'!$A$35:$I$55,5,0)),0%,VLOOKUP(A37,'Données projet'!$A$35:$I$55,5,0)*VLOOKUP('Données projet'!$B$9,Paramètres!$A$1:$I$89,7,0))</f>
        <v>0</v>
      </c>
      <c r="X37" s="122" t="n">
        <f aca="false">IF(ISNA(VLOOKUP(A37,'Données projet'!$A$35:$I$55,6,0)),0%,VLOOKUP(A37,'Données projet'!$A$35:$I$55,6,0)*VLOOKUP('Données projet'!$B$9,Paramètres!$A$1:$I$89,7,0))</f>
        <v>0</v>
      </c>
      <c r="Y37" s="122" t="n">
        <f aca="false">IF(ISNA(VLOOKUP(A37,'Données projet'!$A$35:$I$55,7,0)),0%,VLOOKUP(A37,'Données projet'!$A$35:$I$55,7,0))</f>
        <v>0</v>
      </c>
      <c r="Z37" s="129" t="n">
        <f aca="false">EXP(-LN(2)/35)*Z36+(1-EXP(-LN(2)/35))/(LN(2)/35)*V37*W37*VLOOKUP('Données projet'!$B$9,Paramètres!$A$1:$I$89,3,0)*0.475*44/12</f>
        <v>8.38492257232796</v>
      </c>
      <c r="AA37" s="129" t="n">
        <f aca="false">EXP(-LN(2)/25)*AA36+(1-EXP(-LN(2)/25))/(LN(2)/25)*Calculateur!V37*Calculateur!X37*VLOOKUP('Données projet'!$B$9,Paramètres!$A$1:$I$89,3,0)*0.475*44/12</f>
        <v>9.98071116788344</v>
      </c>
      <c r="AB37" s="129" t="n">
        <f aca="false">EXP(-LN(2)/2)*AB36+(1-EXP(-LN(2)/2))/(LN(2)/2)*V37*Y37*VLOOKUP('Données projet'!$B$9,Paramètres!$A$1:$I$89,3,0)*0.475*44/12</f>
        <v>2.76078216089959</v>
      </c>
      <c r="AC37" s="130" t="n">
        <f aca="false">SUM(Z37:AB37)</f>
        <v>21.126415901111</v>
      </c>
      <c r="AD37" s="117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7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8" t="e">
        <f aca="false">VLOOKUP(A37,'Données projet'!$A$61:$I$81,2,0)</f>
        <v>#N/A</v>
      </c>
      <c r="AG37" s="118" t="e">
        <f aca="false">VLOOKUP(A37,'Données projet'!$A$61:$I$81,9,0)</f>
        <v>#N/A</v>
      </c>
      <c r="AH37" s="118" t="n">
        <f aca="false" t="array" ref="AH37:AH37">INDEX(AG:AG,MIN(IF(ISNUMBER(AG37:AG233),ROW(AG37:AG233),"")))</f>
        <v>24.8</v>
      </c>
      <c r="AI37" s="117" t="n">
        <f aca="false">IF('Données projet'!$A$62&gt;35,AI36+AH37-AQ36,IF(A37&lt;'Données projet'!$A$62,$AF$205^A37,IF(A37='Données projet'!$A$62,'Données projet'!$B$62,AI36+AH37-AQ36)))</f>
        <v>385.2</v>
      </c>
      <c r="AJ37" s="117" t="n">
        <f aca="false">AI37*VLOOKUP('Données projet'!$B$10,Paramètres!$A$1:$I$89,3,0)*VLOOKUP('Données projet'!$B$10,Paramètres!$A$1:$I$89,5,0)</f>
        <v>215.3268</v>
      </c>
      <c r="AK37" s="117" t="n">
        <f aca="false">EXP(-1.0587+0.8836*LN(AJ37)+0.284)</f>
        <v>53.0979230715098</v>
      </c>
      <c r="AL37" s="128" t="n">
        <f aca="false">(AJ37+AK37)*0.475*44/12</f>
        <v>467.50639268288</v>
      </c>
      <c r="AM37" s="120" t="n">
        <f aca="false">AL37+(AD37+AE37)*44/12</f>
        <v>760.839726016213</v>
      </c>
      <c r="AN37" s="120" t="n">
        <f aca="true">AVERAGE(OFFSET($AM$3,0,0,'Données projet'!$E$10+1,1))-AVERAGE(OFFSET($H$3,0,0,'Données projet'!$E$10+1,1))</f>
        <v>365.705101827279</v>
      </c>
      <c r="AO37" s="120" t="n">
        <f aca="false">$AO$3</f>
        <v>436.238338449625</v>
      </c>
      <c r="AP37" s="121" t="n">
        <f aca="false">IF(ISNA(VLOOKUP(A37,'Données projet'!$A$61:$I$81,3,0)),0,VLOOKUP(A37,'Données projet'!$A$61:$I$81,3,0))</f>
        <v>0</v>
      </c>
      <c r="AQ37" s="121" t="n">
        <f aca="false">IF(ISNA(VLOOKUP(A37,'Données projet'!$A$61:$I$81,4,0)),0,VLOOKUP(A37,'Données projet'!$A$61:$I$81,4,0))</f>
        <v>0</v>
      </c>
      <c r="AR37" s="122" t="n">
        <f aca="false">IF(ISNA(VLOOKUP(A37,'Données projet'!$A$61:$I$81,5,0)),0%,VLOOKUP(A37,'Données projet'!$A$61:$I$81,5,0)*VLOOKUP('Données projet'!$B$10,Paramètres!$A$1:$I$89,7,0))</f>
        <v>0</v>
      </c>
      <c r="AS37" s="122" t="n">
        <f aca="false">IF(ISNA(VLOOKUP(A37,'Données projet'!$A$61:$I$81,6,0)),0%,VLOOKUP(A37,'Données projet'!$A$61:$I$81,6,0)*VLOOKUP('Données projet'!$B$10,Paramètres!$A$1:$I$89,7,0))</f>
        <v>0</v>
      </c>
      <c r="AT37" s="122" t="n">
        <f aca="false">IF(ISNA(VLOOKUP(A37,'Données projet'!$A$61:$I$81,7,0)),0%,VLOOKUP(A37,'Données projet'!$A$61:$I$81,7,0))</f>
        <v>0</v>
      </c>
      <c r="AU37" s="129" t="n">
        <f aca="false">EXP(-LN(2)/35)*AU36+(1-EXP(-LN(2)/35))/(LN(2)/35)*AQ37*AR37*VLOOKUP('Données projet'!$B$10,Paramètres!$A$1:$I$89,3,0)*0.475*44/12</f>
        <v>3.1650364200441</v>
      </c>
      <c r="AV37" s="129" t="n">
        <f aca="false">EXP(-LN(2)/25)*AV36+(1-EXP(-LN(2)/25))/(LN(2)/25)*Calculateur!AQ37*Calculateur!AS37*VLOOKUP('Données projet'!$B$10,Paramètres!$A$1:$I$89,3,0)*0.475*44/12</f>
        <v>11.8216127225336</v>
      </c>
      <c r="AW37" s="129" t="n">
        <f aca="false">EXP(-LN(2)/2)*AW36+(1-EXP(-LN(2)/2))/(LN(2)/2)*AQ37*AT37*VLOOKUP('Données projet'!$B$10,Paramètres!$A$1:$I$89,3,0)*0.475*44/12</f>
        <v>1.48576667141895</v>
      </c>
      <c r="AX37" s="129" t="n">
        <f aca="false">SUM(AU37:AW37)</f>
        <v>16.4724158139966</v>
      </c>
      <c r="AY37" s="124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8" t="e">
        <f aca="false">VLOOKUP(A37,'Données projet'!$A$87:$I$107,2,0)</f>
        <v>#N/A</v>
      </c>
      <c r="BB37" s="118" t="e">
        <f aca="false">VLOOKUP(A37,'Données projet'!$A$87:$I$107,9,0)</f>
        <v>#N/A</v>
      </c>
      <c r="BC37" s="118" t="n">
        <f aca="false" t="array" ref="BC37:BC37">INDEX(BB:BB,MIN(IF(ISNUMBER(BB37:BB233),ROW(BB37:BB233),"")))</f>
        <v>12.2</v>
      </c>
      <c r="BD37" s="118" t="n">
        <f aca="false">IF('Données projet'!$A$88&gt;35,BD36+BC37-BL36,IF(A37&lt;'Données projet'!$A$88,$BA$205^A37,IF(A37='Données projet'!$A$88,'Données projet'!$B$88,BD36+BC37-BL36)))</f>
        <v>188.8</v>
      </c>
      <c r="BE37" s="117" t="n">
        <f aca="false">BD37*VLOOKUP('Données projet'!$B$11,Paramètres!$A$1:$I$89,3,0)*VLOOKUP('Données projet'!$B$11,Paramètres!$A$1:$I$89,5,0)</f>
        <v>164.93568</v>
      </c>
      <c r="BF37" s="117" t="n">
        <f aca="false">EXP(-1.0587+0.8836*LN(BE37)+0.284)</f>
        <v>41.9537956955895</v>
      </c>
      <c r="BG37" s="128" t="n">
        <f aca="false">(BE37+BF37)*0.475*44/12</f>
        <v>360.332503503152</v>
      </c>
      <c r="BH37" s="120" t="n">
        <f aca="false">BG37+(AY37+AZ37)*44/12</f>
        <v>653.665836836485</v>
      </c>
      <c r="BI37" s="120" t="n">
        <f aca="true">AVERAGE(OFFSET($BH$3,0,0,'Données projet'!$E$11+1,1))-AVERAGE(OFFSET($H$3,0,0,'Données projet'!$E$11+1,1))</f>
        <v>321.235999689929</v>
      </c>
      <c r="BJ37" s="120" t="n">
        <f aca="false">$BJ$3</f>
        <v>388.051958478005</v>
      </c>
      <c r="BK37" s="121" t="n">
        <f aca="false">IF(ISNA(VLOOKUP(A37,'Données projet'!$A$87:$I$107,3,0)),0,VLOOKUP(A37,'Données projet'!$A$87:$I$107,3,0))</f>
        <v>0</v>
      </c>
      <c r="BL37" s="121" t="n">
        <f aca="false">IF(ISNA(VLOOKUP(A37,'Données projet'!$A$87:$I$107,4,0)),0,VLOOKUP(A37,'Données projet'!$A$87:$I$107,4,0))</f>
        <v>0</v>
      </c>
      <c r="BM37" s="122" t="n">
        <f aca="false">IF(ISNA(VLOOKUP(A37,'Données projet'!$A$87:$I$107,5,0)),0%,VLOOKUP(A37,'Données projet'!$A$87:$I$107,5,0)*VLOOKUP('Données projet'!$B$11,Paramètres!$A$1:$I$89,7,0))</f>
        <v>0</v>
      </c>
      <c r="BN37" s="122" t="n">
        <f aca="false">IF(ISNA(VLOOKUP(A37,'Données projet'!$A$87:$I$107,6,0)),0%,VLOOKUP(A37,'Données projet'!$A$87:$I$107,6,0)*VLOOKUP('Données projet'!$B$11,Paramètres!$A$1:$I$89,7,0))</f>
        <v>0</v>
      </c>
      <c r="BO37" s="122" t="n">
        <f aca="false">IF(ISNA(VLOOKUP(A37,'Données projet'!$A$87:$I$107,7,0)),0%,VLOOKUP(A37,'Données projet'!$A$87:$I$107,7,0))</f>
        <v>0</v>
      </c>
      <c r="BP37" s="129" t="n">
        <f aca="false">EXP(-LN(2)/35)*BP36+(1-EXP(-LN(2)/35))/(LN(2)/35)*BL37*BM37*VLOOKUP('Données projet'!$B$11,Paramètres!$A$1:$I$89,3,0)*0.475*44/12</f>
        <v>7.94620801586462</v>
      </c>
      <c r="BQ37" s="129" t="n">
        <f aca="false">EXP(-LN(2)/25)*BQ36+(1-EXP(-LN(2)/25))/(LN(2)/25)*Calculateur!BL37*Calculateur!BN37*VLOOKUP('Données projet'!$B$11,Paramètres!$A$1:$I$89,3,0)*0.475*44/12</f>
        <v>12.0668001067791</v>
      </c>
      <c r="BR37" s="129" t="n">
        <f aca="false">EXP(-LN(2)/2)*BR36+(1-EXP(-LN(2)/2))/(LN(2)/2)*BL37*BO37*VLOOKUP('Données projet'!$B$11,Paramètres!$A$1:$I$89,3,0)*0.475*44/12</f>
        <v>1.51025093932368</v>
      </c>
      <c r="BS37" s="130" t="n">
        <f aca="false">SUM(BP37:BR37)</f>
        <v>21.5232590619674</v>
      </c>
      <c r="BT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8" t="e">
        <f aca="false">VLOOKUP(A37,'Données projet'!$A$113:$I$133,2,0)</f>
        <v>#N/A</v>
      </c>
      <c r="BW37" s="118" t="e">
        <f aca="false">VLOOKUP(A37,'Données projet'!$A$113:$I$133,9,0)</f>
        <v>#N/A</v>
      </c>
      <c r="BX37" s="118" t="n">
        <f aca="false" t="array" ref="BX37:BX37">INDEX(BW:BW,MIN(IF(ISNUMBER(BW37:BW233),ROW(BW37:BW233),"")))</f>
        <v>12.8333333333333</v>
      </c>
      <c r="BY37" s="118" t="n">
        <f aca="false">IF('Données projet'!$A$114&gt;35,BY36+BX37-CG36,IF(A37&lt;'Données projet'!$A$114,$BV$205^A37,IF(A37='Données projet'!$A$114,'Données projet'!$B$114,BY36+BX37-CG36)))</f>
        <v>222.333333333333</v>
      </c>
      <c r="BZ37" s="117" t="n">
        <f aca="false">BY37*VLOOKUP('Données projet'!$B$12,Paramètres!$A$1:$I$89,3,0)*VLOOKUP('Données projet'!$B$12,Paramètres!$A$1:$I$89,5,0)</f>
        <v>138.736</v>
      </c>
      <c r="CA37" s="117" t="n">
        <f aca="false">EXP(-1.0587+0.8836*LN(BZ37)+0.284)</f>
        <v>36.007288175538</v>
      </c>
      <c r="CB37" s="128" t="n">
        <f aca="false">(BZ37+CA37)*0.475*44/12</f>
        <v>304.344560239062</v>
      </c>
      <c r="CC37" s="120" t="n">
        <f aca="false">CB37+(BT37+BU37)*44/12</f>
        <v>597.677893572395</v>
      </c>
      <c r="CD37" s="120" t="n">
        <f aca="true">AVERAGE(OFFSET($CC$3,0,0,'Données projet'!$E$12+1,1))-AVERAGE(OFFSET($H$3,0,0,'Données projet'!$E$12+1,1))</f>
        <v>240.228848647662</v>
      </c>
      <c r="CE37" s="120" t="n">
        <f aca="false">$CE$3</f>
        <v>343.237768841432</v>
      </c>
      <c r="CF37" s="121" t="n">
        <f aca="false">IF(ISNA(VLOOKUP(A37,'Données projet'!$A$113:$I$133,3,0)),0,VLOOKUP(A37,'Données projet'!$A$113:$I$133,3,0))</f>
        <v>0</v>
      </c>
      <c r="CG37" s="121" t="n">
        <f aca="false">IF(ISNA(VLOOKUP(A37,'Données projet'!$A$113:$I$133,4,0)),0,VLOOKUP(A37,'Données projet'!$A$113:$I$133,4,0))</f>
        <v>0</v>
      </c>
      <c r="CH37" s="122" t="n">
        <f aca="false">IF(ISNA(VLOOKUP(A37,'Données projet'!$A$113:$I$133,5,0)),0%,VLOOKUP(A37,'Données projet'!$A$113:$I$133,5,0)*VLOOKUP('Données projet'!$B$12,Paramètres!$A$1:$I$89,7,0))</f>
        <v>0</v>
      </c>
      <c r="CI37" s="122" t="n">
        <f aca="false">IF(ISNA(VLOOKUP(A37,'Données projet'!$A$113:$I$133,6,0)),0%,VLOOKUP(A37,'Données projet'!$A$113:$I$133,6,0)*VLOOKUP('Données projet'!$B$12,Paramètres!$A$1:$I$89,7,0))</f>
        <v>0</v>
      </c>
      <c r="CJ37" s="122" t="n">
        <f aca="false">IF(ISNA(VLOOKUP(A37,'Données projet'!$A$113:$I$133,7,0)),0%,VLOOKUP(A37,'Données projet'!$A$113:$I$133,7,0))</f>
        <v>0</v>
      </c>
      <c r="CK37" s="129" t="n">
        <f aca="false">EXP(-LN(2)/35)*CK36+(1-EXP(-LN(2)/35))/(LN(2)/35)*CG37*CH37*VLOOKUP('Données projet'!$B$12,Paramètres!$A$1:$I$89,3,0)*0.475*44/12</f>
        <v>4.8636983706386</v>
      </c>
      <c r="CL37" s="129" t="n">
        <f aca="false">EXP(-LN(2)/25)*CL36+(1-EXP(-LN(2)/25))/(LN(2)/25)*Calculateur!CG37*Calculateur!CI37*VLOOKUP('Données projet'!$B$12,Paramètres!$A$1:$I$89,3,0)*0.475*44/12</f>
        <v>21.3106675342626</v>
      </c>
      <c r="CM37" s="129" t="n">
        <f aca="false">EXP(-LN(2)/2)*CM36+(1-EXP(-LN(2)/2))/(LN(2)/2)*CG37*CJ37*VLOOKUP('Données projet'!$B$12,Paramètres!$A$1:$I$89,3,0)*0.475*44/12</f>
        <v>2.40995786649095</v>
      </c>
      <c r="CN37" s="130" t="n">
        <f aca="false">SUM(CK37:CM37)</f>
        <v>28.5843237713922</v>
      </c>
      <c r="CO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8" t="e">
        <f aca="false">VLOOKUP(A37,'Données projet'!$A$139:$I$159,2,0)</f>
        <v>#N/A</v>
      </c>
      <c r="CR37" s="118" t="e">
        <f aca="false">VLOOKUP(A37,'Données projet'!$A$139:$I$159,9,0)</f>
        <v>#N/A</v>
      </c>
      <c r="CS37" s="118" t="n">
        <f aca="false" t="array" ref="CS37:CS37">INDEX(CR:CR,MIN(IF(ISNUMBER(CR37:CR233),ROW(CR37:CR233),"")))</f>
        <v>15</v>
      </c>
      <c r="CT37" s="118" t="n">
        <f aca="false">IF('Données projet'!$A$140&gt;35,CT36+CS37-DB36,IF(A37&lt;'Données projet'!$A$140,$CQ$205^A37,IF(A37='Données projet'!$A$140,'Données projet'!$B$140,CT36+CS37-DB36)))</f>
        <v>239</v>
      </c>
      <c r="CU37" s="125" t="n">
        <f aca="false">CT37*VLOOKUP('Données projet'!$B$13,Paramètres!$A$1:$I$89,3,0)*VLOOKUP('Données projet'!$B$13,Paramètres!$A$1:$I$89,5,0)</f>
        <v>130.494</v>
      </c>
      <c r="CV37" s="117" t="n">
        <f aca="false">EXP(-1.0587+0.8836*LN(CU37)+0.284)</f>
        <v>34.1104830186108</v>
      </c>
      <c r="CW37" s="128" t="n">
        <f aca="false">(CU37+CV37)*0.475*44/12</f>
        <v>286.686141257414</v>
      </c>
      <c r="CX37" s="120" t="n">
        <f aca="false">CW37+(CO37+CP37)*44/12</f>
        <v>580.019474590747</v>
      </c>
      <c r="CY37" s="120" t="n">
        <f aca="true">AVERAGE(OFFSET($CX$3,0,0,'Données projet'!$E$13+1,1))-AVERAGE(OFFSET($H$3,0,0,'Données projet'!$E$13+1,1))</f>
        <v>207.023069645676</v>
      </c>
      <c r="CZ37" s="120" t="n">
        <f aca="false">$CZ$3</f>
        <v>342.068879333518</v>
      </c>
      <c r="DA37" s="121" t="n">
        <f aca="false">IF(ISNA(VLOOKUP(A37,'Données projet'!$A$139:$I$159,3,0)),0,VLOOKUP(A37,'Données projet'!$A$139:$I$159,3,0))</f>
        <v>0</v>
      </c>
      <c r="DB37" s="121" t="n">
        <f aca="false">IF(ISNA(VLOOKUP(A37,'Données projet'!$A$139:$I$159,4,0)),0,VLOOKUP(A37,'Données projet'!$A$139:$I$159,4,0))</f>
        <v>0</v>
      </c>
      <c r="DC37" s="122" t="n">
        <f aca="false">IF(ISNA(VLOOKUP(A37,'Données projet'!$A$139:$I$159,5,0)),0%,VLOOKUP(A37,'Données projet'!$A$139:$I$159,5,0)*VLOOKUP('Données projet'!$B$13,Paramètres!$A$1:$I$89,7,0))</f>
        <v>0</v>
      </c>
      <c r="DD37" s="122" t="n">
        <f aca="false">IF(ISNA(VLOOKUP(A37,'Données projet'!$A$139:$I$159,6,0)),0%,VLOOKUP(A37,'Données projet'!$A$139:$I$159,6,0)*VLOOKUP('Données projet'!$B$13,Paramètres!$A$1:$I$89,7,0))</f>
        <v>0</v>
      </c>
      <c r="DE37" s="122" t="n">
        <f aca="false">IF(ISNA(VLOOKUP(A37,'Données projet'!$A$139:$I$159,7,0)),0%,VLOOKUP(A37,'Données projet'!$A$139:$I$159,7,0))</f>
        <v>0</v>
      </c>
      <c r="DF37" s="129" t="n">
        <f aca="false">EXP(-LN(2)/35)*DF36+(1-EXP(-LN(2)/35))/(LN(2)/35)*DB37*DC37*VLOOKUP('Données projet'!$B$13,Paramètres!$A$1:$I$89,3,0)*0.475*44/12</f>
        <v>6.10256493674466</v>
      </c>
      <c r="DG37" s="129" t="n">
        <f aca="false">EXP(-LN(2)/25)*DG36+(1-EXP(-LN(2)/25))/(LN(2)/25)*Calculateur!DB37*Calculateur!DD37*VLOOKUP('Données projet'!$B$13,Paramètres!$A$1:$I$89,3,0)*0.475*44/12</f>
        <v>34.8340657636056</v>
      </c>
      <c r="DH37" s="129" t="n">
        <f aca="false">EXP(-LN(2)/2)*DH36+(1-EXP(-LN(2)/2))/(LN(2)/2)*DB37*DE37*VLOOKUP('Données projet'!$B$13,Paramètres!$A$1:$I$89,3,0)*0.475*44/12</f>
        <v>3.31851309947521</v>
      </c>
      <c r="DI37" s="130" t="n">
        <f aca="false">SUM(DF37:DH37)</f>
        <v>44.2551437998255</v>
      </c>
      <c r="DJ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8" t="n">
        <f aca="false">VLOOKUP(A37,'Données projet'!$A$165:$I$185,2,0)</f>
        <v>244</v>
      </c>
      <c r="DM37" s="118" t="n">
        <f aca="false">VLOOKUP(A37,'Données projet'!$A$165:$I$185,9,0)</f>
        <v>14.8333333333333</v>
      </c>
      <c r="DN37" s="118" t="n">
        <f aca="false" t="array" ref="DN37:DN37">INDEX(DM:DM,MIN(IF(ISNUMBER(DM37:DM233),ROW(DM37:DM233),"")))</f>
        <v>14.8333333333333</v>
      </c>
      <c r="DO37" s="118" t="n">
        <f aca="false">IF('Données projet'!$A$166&gt;35,DO36+DN37-DW36,IF(A37&lt;'Données projet'!$A$166,$DL$205^A37,IF(A37='Données projet'!$A$166,'Données projet'!$B$166,DO36+DN37-DW36)))</f>
        <v>244</v>
      </c>
      <c r="DP37" s="125" t="n">
        <f aca="false">DO37*VLOOKUP('Données projet'!$B$14,Paramètres!$A$1:$I$89,3,0)*VLOOKUP('Données projet'!$B$14,Paramètres!$A$1:$I$89,5,0)</f>
        <v>145.912</v>
      </c>
      <c r="DQ37" s="117" t="n">
        <f aca="false">EXP(-1.0587+0.8836*LN(DP37)+0.284)</f>
        <v>37.6480842399876</v>
      </c>
      <c r="DR37" s="128" t="n">
        <f aca="false">(DP37+DQ37)*0.475*44/12</f>
        <v>319.700480051312</v>
      </c>
      <c r="DS37" s="120" t="n">
        <f aca="false">DR37+(DJ37+DK37)*44/12</f>
        <v>613.033813384645</v>
      </c>
      <c r="DT37" s="120" t="n">
        <f aca="true">AVERAGE(OFFSET($DS$3,0,0,'Données projet'!$E$14+1,1))-AVERAGE(OFFSET($H$3,0,0,'Données projet'!$E$14+1,1))</f>
        <v>549.432320957297</v>
      </c>
      <c r="DU37" s="120" t="n">
        <f aca="false">$DU$3</f>
        <v>280.26155987301</v>
      </c>
      <c r="DV37" s="121" t="n">
        <f aca="false">IF(ISNA(VLOOKUP(A37,'Données projet'!$A$165:$I$185,3,0)),0,VLOOKUP(A37,'Données projet'!$A$165:$I$185,3,0))</f>
        <v>6</v>
      </c>
      <c r="DW37" s="121" t="n">
        <f aca="false">IF(ISNA(VLOOKUP(A37,'Données projet'!$A$165:$I$185,4,0)),0,VLOOKUP(A37,'Données projet'!$A$165:$I$185,4,0))</f>
        <v>46</v>
      </c>
      <c r="DX37" s="122" t="n">
        <f aca="false">IF(ISNA(VLOOKUP(A37,'Données projet'!$A$165:$I$185,5,0)),0%,VLOOKUP(A37,'Données projet'!$A$165:$I$185,5,0)*VLOOKUP('Données projet'!$B$14,Paramètres!$A$1:$I$89,7,0))</f>
        <v>0</v>
      </c>
      <c r="DY37" s="122" t="n">
        <f aca="false">IF(ISNA(VLOOKUP(A37,'Données projet'!$A$165:$I$185,6,0)),0%,VLOOKUP(A37,'Données projet'!$A$165:$I$185,6,0)*VLOOKUP('Données projet'!$B$14,Paramètres!$A$1:$I$89,7,0))</f>
        <v>0</v>
      </c>
      <c r="DZ37" s="122" t="n">
        <f aca="false">IF(ISNA(VLOOKUP(A37,'Données projet'!$A$165:$I$185,7,0)),0%,VLOOKUP(A37,'Données projet'!$A$165:$I$185,7,0))</f>
        <v>0</v>
      </c>
      <c r="EA37" s="129" t="n">
        <f aca="false">EXP(-LN(2)/35)*EA36+(1-EXP(-LN(2)/35))/(LN(2)/35)*DW37*DX37*VLOOKUP('Données projet'!$B$14,Paramètres!$A$1:$I$89,3,0)*0.475*44/12</f>
        <v>2.21888580637305</v>
      </c>
      <c r="EB37" s="129" t="n">
        <f aca="false">EXP(-LN(2)/25)*EB36+(1-EXP(-LN(2)/25))/(LN(2)/25)*Calculateur!DW37*Calculateur!DY37*VLOOKUP('Données projet'!$B$14,Paramètres!$A$1:$I$89,3,0)*0.475*44/12</f>
        <v>6.93963316414821</v>
      </c>
      <c r="EC37" s="129" t="n">
        <f aca="false">EXP(-LN(2)/2)*EC36+(1-EXP(-LN(2)/2))/(LN(2)/2)*DW37*DZ37*VLOOKUP('Données projet'!$B$14,Paramètres!$A$1:$I$89,3,0)*0.475*44/12</f>
        <v>1.52976613363987</v>
      </c>
      <c r="ED37" s="130" t="n">
        <f aca="false">SUM(EA37:EC37)</f>
        <v>10.6882851041611</v>
      </c>
      <c r="EE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8" t="e">
        <f aca="false">VLOOKUP(A37,'Données projet'!$A$191:$I$211,2,0)</f>
        <v>#N/A</v>
      </c>
      <c r="EH37" s="118" t="e">
        <f aca="false">VLOOKUP(A37,'Données projet'!$A$191:$I$211,9,0)</f>
        <v>#N/A</v>
      </c>
      <c r="EI37" s="118" t="n">
        <f aca="false" t="array" ref="EI37:EI37">INDEX(EH:EH,MIN(IF(ISNUMBER(EH37:EH233),ROW(EH37:EH233),"")))</f>
        <v>0</v>
      </c>
      <c r="EJ37" s="118" t="n">
        <f aca="false">IF('Données projet'!$A$192&gt;35,EJ36+EI37-ER36,IF(A37&lt;'Données projet'!$A$192,$EG$205^A37,IF(A37='Données projet'!$A$192,'Données projet'!$B$192,EJ36+EI37-ER36)))</f>
        <v>0</v>
      </c>
      <c r="EK37" s="125" t="e">
        <f aca="false">EJ37*VLOOKUP('Données projet'!$B$15,Paramètres!$A$1:$I$89,3,0)*VLOOKUP('Données projet'!$B$15,Paramètres!$A$1:$I$89,5,0)</f>
        <v>#N/A</v>
      </c>
      <c r="EL37" s="117" t="e">
        <f aca="false">EXP(-1.0587+0.8836*LN(EK37)+0.284)</f>
        <v>#N/A</v>
      </c>
      <c r="EM37" s="128" t="e">
        <f aca="false">(EK37+EL37)*0.475*44/12</f>
        <v>#N/A</v>
      </c>
      <c r="EN37" s="120" t="e">
        <f aca="false">EM37+(EE37+EF37)*44/12</f>
        <v>#N/A</v>
      </c>
      <c r="EO37" s="120" t="e">
        <f aca="true">AVERAGE(OFFSET($EN$3,0,0,'Données projet'!$E$15+1,1))-AVERAGE(OFFSET($H$3,0,0,'Données projet'!$E$15+1,1))</f>
        <v>#N/A</v>
      </c>
      <c r="EP37" s="120" t="e">
        <f aca="false">$EP$3</f>
        <v>#N/A</v>
      </c>
      <c r="EQ37" s="121" t="n">
        <f aca="false">IF(ISNA(VLOOKUP(A37,'Données projet'!$A$191:$I$211,3,0)),0,VLOOKUP(A37,'Données projet'!$A$191:$I$211,3,0))</f>
        <v>0</v>
      </c>
      <c r="ER37" s="121" t="n">
        <f aca="false">IF(ISNA(VLOOKUP(A37,'Données projet'!$A$191:$I$211,4,0)),0,VLOOKUP(A37,'Données projet'!$A$191:$I$211,4,0))</f>
        <v>0</v>
      </c>
      <c r="ES37" s="122" t="n">
        <f aca="false">IF(ISNA(VLOOKUP(A37,'Données projet'!$A$191:$I$211,5,0)),0%,VLOOKUP(A37,'Données projet'!$A$191:$I$211,5,0)*VLOOKUP('Données projet'!$B$15,Paramètres!$A$1:$I$89,7,0))</f>
        <v>0</v>
      </c>
      <c r="ET37" s="122" t="n">
        <f aca="false">IF(ISNA(VLOOKUP(A37,'Données projet'!$A$191:$I$211,6,0)),0%,VLOOKUP(A37,'Données projet'!$A$191:$I$211,6,0)*VLOOKUP('Données projet'!$B$15,Paramètres!$A$1:$I$89,7,0))</f>
        <v>0</v>
      </c>
      <c r="EU37" s="122" t="n">
        <f aca="false">IF(ISNA(VLOOKUP(A37,'Données projet'!$A$191:$I$211,7,0)),0%,VLOOKUP(A37,'Données projet'!$A$191:$I$211,7,0))</f>
        <v>0</v>
      </c>
      <c r="EV37" s="129" t="e">
        <f aca="false">EXP(-LN(2)/35)*EV36+(1-EXP(-LN(2)/35))/(LN(2)/35)*ER37*ES37*VLOOKUP('Données projet'!$B$15,Paramètres!$A$1:$I$89,3,0)*0.475*44/12</f>
        <v>#N/A</v>
      </c>
      <c r="EW37" s="129" t="e">
        <f aca="false">EXP(-LN(2)/25)*EW36+(1-EXP(-LN(2)/25))/(LN(2)/25)*Calculateur!ER37*Calculateur!ET37*VLOOKUP('Données projet'!$B$15,Paramètres!$A$1:$I$89,3,0)*0.475*44/12</f>
        <v>#N/A</v>
      </c>
      <c r="EX37" s="129" t="e">
        <f aca="false">EXP(-LN(2)/2)*EX36+(1-EXP(-LN(2)/2))/(LN(2)/2)*ER37*EU37*VLOOKUP('Données projet'!$B$15,Paramètres!$A$1:$I$89,3,0)*0.475*44/12</f>
        <v>#N/A</v>
      </c>
      <c r="EY37" s="130" t="e">
        <f aca="false">SUM(EV37:EX37)</f>
        <v>#N/A</v>
      </c>
      <c r="EZ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8" t="e">
        <f aca="false">VLOOKUP(A37,'Données projet'!$A$217:$I$237,2,0)</f>
        <v>#N/A</v>
      </c>
      <c r="FC37" s="118" t="e">
        <f aca="false">VLOOKUP(A37,'Données projet'!$A$217:$I$237,9,0)</f>
        <v>#N/A</v>
      </c>
      <c r="FD37" s="118" t="n">
        <f aca="false" t="array" ref="FD37:FD37">INDEX(FC:FC,MIN(IF(ISNUMBER(FC37:FC233),ROW(FC37:FC233),"")))</f>
        <v>0</v>
      </c>
      <c r="FE37" s="118" t="n">
        <f aca="false">IF('Données projet'!$A$218&gt;35,FE36+FD37-FM36,IF(A37&lt;'Données projet'!$A$218,$FB$205^A37,IF(A37='Données projet'!$A$218,'Données projet'!$B$218,FE36+FD37-FM36)))</f>
        <v>0</v>
      </c>
      <c r="FF37" s="125" t="e">
        <f aca="false">FE37*VLOOKUP('Données projet'!$B$16,Paramètres!$A$1:$I$89,3,0)*VLOOKUP('Données projet'!$B$16,Paramètres!$A$1:$I$89,5,0)</f>
        <v>#N/A</v>
      </c>
      <c r="FG37" s="117" t="e">
        <f aca="false">EXP(-1.0587+0.8836*LN(FF37)+0.284)</f>
        <v>#N/A</v>
      </c>
      <c r="FH37" s="128" t="e">
        <f aca="false">(FF37+FG37)*0.475*44/12</f>
        <v>#N/A</v>
      </c>
      <c r="FI37" s="120" t="e">
        <f aca="false">FH37+(EZ37+FA37)*44/12</f>
        <v>#N/A</v>
      </c>
      <c r="FJ37" s="120" t="e">
        <f aca="true">AVERAGE(OFFSET($FI$3,0,0,'Données projet'!$E$16+1,1))-AVERAGE(OFFSET($H$3,0,0,'Données projet'!$E$16+1,1))</f>
        <v>#N/A</v>
      </c>
      <c r="FK37" s="120" t="e">
        <f aca="false">$FK$3</f>
        <v>#N/A</v>
      </c>
      <c r="FL37" s="121" t="n">
        <f aca="false">IF(ISNA(VLOOKUP(A37,'Données projet'!$A$217:$I$237,3,0)),0,VLOOKUP(A37,'Données projet'!$A$217:$I$237,3,0))</f>
        <v>0</v>
      </c>
      <c r="FM37" s="121" t="n">
        <f aca="false">IF(ISNA(VLOOKUP(A37,'Données projet'!$A$217:$I$237,4,0)),0,VLOOKUP(A37,'Données projet'!$A$217:$I$237,4,0))</f>
        <v>0</v>
      </c>
      <c r="FN37" s="122" t="n">
        <f aca="false">IF(ISNA(VLOOKUP(A37,'Données projet'!$A$217:$I$237,5,0)),0%,VLOOKUP(A37,'Données projet'!$A$217:$I$237,5,0)*VLOOKUP('Données projet'!$B$16,Paramètres!$A$1:$I$89,7,0))</f>
        <v>0</v>
      </c>
      <c r="FO37" s="122" t="n">
        <f aca="false">IF(ISNA(VLOOKUP(A37,'Données projet'!$A$217:$I$237,6,0)),0%,VLOOKUP(A37,'Données projet'!$A$217:$I$237,6,0)*VLOOKUP('Données projet'!$B$16,Paramètres!$A$1:$I$89,7,0))</f>
        <v>0</v>
      </c>
      <c r="FP37" s="122" t="n">
        <f aca="false">IF(ISNA(VLOOKUP(A37,'Données projet'!$A$217:$I$237,7,0)),0%,VLOOKUP(A37,'Données projet'!$A$217:$I$237,7,0))</f>
        <v>0</v>
      </c>
      <c r="FQ37" s="129" t="e">
        <f aca="false">EXP(-LN(2)/35)*FQ36+(1-EXP(-LN(2)/35))/(LN(2)/35)*FM37*FN37*VLOOKUP('Données projet'!$B$16,Paramètres!$A$1:$I$89,3,0)*0.475*44/12</f>
        <v>#N/A</v>
      </c>
      <c r="FR37" s="129" t="e">
        <f aca="false">EXP(-LN(2)/25)*FR36+(1-EXP(-LN(2)/25))/(LN(2)/25)*Calculateur!FM37*Calculateur!FO37*VLOOKUP('Données projet'!$B$16,Paramètres!$A$1:$I$89,3,0)*0.475*44/12</f>
        <v>#N/A</v>
      </c>
      <c r="FS37" s="129" t="e">
        <f aca="false">EXP(-LN(2)/2)*FS36+(1-EXP(-LN(2)/2))/(LN(2)/2)*FM37*FP37*VLOOKUP('Données projet'!$B$16,Paramètres!$A$1:$I$89,3,0)*0.475*44/12</f>
        <v>#N/A</v>
      </c>
      <c r="FT37" s="130" t="e">
        <f aca="false">SUM(FQ37:FS37)</f>
        <v>#N/A</v>
      </c>
      <c r="FU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8" t="e">
        <f aca="false">VLOOKUP(A37,'Données projet'!$A$243:$I$263,2,0)</f>
        <v>#N/A</v>
      </c>
      <c r="FX37" s="118" t="e">
        <f aca="false">VLOOKUP(A37,'Données projet'!$A$243:$I$263,9,0)</f>
        <v>#N/A</v>
      </c>
      <c r="FY37" s="118" t="n">
        <f aca="false" t="array" ref="FY37:FY37">INDEX(FX:FX,MIN(IF(ISNUMBER(FX37:FX233),ROW(FX37:FX233),"")))</f>
        <v>0</v>
      </c>
      <c r="FZ37" s="118" t="n">
        <f aca="false">IF('Données projet'!$A$244&gt;35,FZ36+FY37-GH36,IF(A37&lt;'Données projet'!$A$244,$FW$205^A37,IF(A37='Données projet'!$A$244,'Données projet'!$B$244,FZ36+FY37-GH36)))</f>
        <v>0</v>
      </c>
      <c r="GA37" s="125" t="e">
        <f aca="false">FZ37*VLOOKUP('Données projet'!$B$17,Paramètres!$A$1:$I$89,3,0)*VLOOKUP('Données projet'!$B$17,Paramètres!$A$1:$I$89,5,0)</f>
        <v>#N/A</v>
      </c>
      <c r="GB37" s="117" t="e">
        <f aca="false">EXP(-1.0587+0.8836*LN(GA37)+0.284)</f>
        <v>#N/A</v>
      </c>
      <c r="GC37" s="128" t="e">
        <f aca="false">(GA37+GB37)*0.475*44/12</f>
        <v>#N/A</v>
      </c>
      <c r="GD37" s="120" t="e">
        <f aca="false">GC37+(FU37+FV37)*44/12</f>
        <v>#N/A</v>
      </c>
      <c r="GE37" s="120" t="e">
        <f aca="true">AVERAGE(OFFSET($GD$3,0,0,'Données projet'!$E$17+1,1))-AVERAGE(OFFSET($H$3,0,0,'Données projet'!$E$17+1,1))</f>
        <v>#N/A</v>
      </c>
      <c r="GF37" s="120" t="e">
        <f aca="false">$GF$3</f>
        <v>#N/A</v>
      </c>
      <c r="GG37" s="121" t="n">
        <f aca="false">IF(ISNA(VLOOKUP(A37,'Données projet'!$A$243:$I$263,3,0)),0,VLOOKUP(A37,'Données projet'!$A$243:$I$263,3,0))</f>
        <v>0</v>
      </c>
      <c r="GH37" s="121" t="n">
        <f aca="false">IF(ISNA(VLOOKUP(A37,'Données projet'!$A$243:$I$263,4,0)),0,VLOOKUP(A37,'Données projet'!$A$243:$I$263,4,0))</f>
        <v>0</v>
      </c>
      <c r="GI37" s="122" t="n">
        <f aca="false">IF(ISNA(VLOOKUP(A37,'Données projet'!$A$243:$I$263,5,0)),0%,VLOOKUP(A37,'Données projet'!$A$243:$I$263,5,0)*VLOOKUP('Données projet'!$B$17,Paramètres!$A$1:$I$89,7,0))</f>
        <v>0</v>
      </c>
      <c r="GJ37" s="122" t="n">
        <f aca="false">IF(ISNA(VLOOKUP(A37,'Données projet'!$A$243:$I$263,6,0)),0%,VLOOKUP(A37,'Données projet'!$A$243:$I$263,6,0)*VLOOKUP('Données projet'!$B$17,Paramètres!$A$1:$I$89,7,0))</f>
        <v>0</v>
      </c>
      <c r="GK37" s="122" t="n">
        <f aca="false">IF(ISNA(VLOOKUP(A37,'Données projet'!$A$243:$I$263,7,0)),0%,VLOOKUP(A37,'Données projet'!$A$243:$I$263,7,0))</f>
        <v>0</v>
      </c>
      <c r="GL37" s="129" t="e">
        <f aca="false">EXP(-LN(2)/35)*GL36+(1-EXP(-LN(2)/35))/(LN(2)/35)*GH37*GI37*VLOOKUP('Données projet'!$B$17,Paramètres!$A$1:$I$89,3,0)*0.475*44/12</f>
        <v>#N/A</v>
      </c>
      <c r="GM37" s="129" t="e">
        <f aca="false">EXP(-LN(2)/25)*GM36+(1-EXP(-LN(2)/25))/(LN(2)/25)*Calculateur!GH37*Calculateur!GJ37*VLOOKUP('Données projet'!$B$17,Paramètres!$A$1:$I$89,3,0)*0.475*44/12</f>
        <v>#N/A</v>
      </c>
      <c r="GN37" s="129" t="e">
        <f aca="false">EXP(-LN(2)/2)*GN36+(1-EXP(-LN(2)/2))/(LN(2)/2)*GH37*GK37*VLOOKUP('Données projet'!$B$17,Paramètres!$A$1:$I$89,3,0)*0.475*44/12</f>
        <v>#N/A</v>
      </c>
      <c r="GO37" s="129" t="e">
        <f aca="false">SUM(GL37:GN37)</f>
        <v>#N/A</v>
      </c>
      <c r="GP37" s="126" t="n">
        <f aca="false"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8" t="n">
        <f aca="false"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8" t="e">
        <f aca="false">VLOOKUP(A37,'Données projet'!$A$269:$I$289,2,0)</f>
        <v>#N/A</v>
      </c>
      <c r="GS37" s="118" t="e">
        <f aca="false">VLOOKUP(A37,'Données projet'!$A$269:$I$289,9,0)</f>
        <v>#N/A</v>
      </c>
      <c r="GT37" s="118" t="n">
        <f aca="false" t="array" ref="GT37:GT37">INDEX(GS:GS,MIN(IF(ISNUMBER(GS37:GS233),ROW(GS37:GS233),"")))</f>
        <v>0</v>
      </c>
      <c r="GU37" s="118" t="n">
        <f aca="false">IF('Données projet'!$A$270&gt;35,GU36+GT37-HC36,IF(A37&lt;'Données projet'!$A$270,$GR$205^A37,IF(A37='Données projet'!$A$270,'Données projet'!$B$270,GU36+GT37-HC36)))</f>
        <v>0</v>
      </c>
      <c r="GV37" s="125" t="e">
        <f aca="false">GU37*VLOOKUP('Données projet'!$B$18,Paramètres!$A$1:$I$89,3,0)*VLOOKUP('Données projet'!$B$18,Paramètres!$A$1:$I$89,5,0)</f>
        <v>#N/A</v>
      </c>
      <c r="GW37" s="117" t="e">
        <f aca="false">EXP(-1.0587+0.8836*LN(GV37)+0.284)</f>
        <v>#N/A</v>
      </c>
      <c r="GX37" s="128" t="e">
        <f aca="false">(GV37+GW37)*0.475*44/12</f>
        <v>#N/A</v>
      </c>
      <c r="GY37" s="120" t="e">
        <f aca="false">GX37+(GP37+GQ37)*44/12</f>
        <v>#N/A</v>
      </c>
      <c r="GZ37" s="120" t="e">
        <f aca="true">AVERAGE(OFFSET($GY$3,0,0,'Données projet'!$E$18+1,1))-AVERAGE(OFFSET($H$3,0,0,'Données projet'!$E$18+1,1))</f>
        <v>#N/A</v>
      </c>
      <c r="HA37" s="120" t="e">
        <f aca="false">$HA$3</f>
        <v>#N/A</v>
      </c>
      <c r="HB37" s="121" t="n">
        <f aca="false">IF(ISNA(VLOOKUP(A37,'Données projet'!$A$269:$I$289,3,0)),0,VLOOKUP(A37,'Données projet'!$A$269:$I$289,3,0))</f>
        <v>0</v>
      </c>
      <c r="HC37" s="121" t="n">
        <f aca="false">IF(ISNA(VLOOKUP(A37,'Données projet'!$A$269:$I$289,4,0)),0,VLOOKUP(A37,'Données projet'!$A$269:$I$289,4,0))</f>
        <v>0</v>
      </c>
      <c r="HD37" s="122" t="n">
        <f aca="false">IF(ISNA(VLOOKUP(A37,'Données projet'!$A$269:$I$289,5,0)),0%,VLOOKUP(A37,'Données projet'!$A$269:$I$289,5,0)*VLOOKUP('Données projet'!$B$18,Paramètres!$A$1:$I$89,7,0))</f>
        <v>0</v>
      </c>
      <c r="HE37" s="122" t="n">
        <f aca="false">IF(ISNA(VLOOKUP(A37,'Données projet'!$A$269:$I$289,6,0)),0%,VLOOKUP(A37,'Données projet'!$A$269:$I$289,6,0)*VLOOKUP('Données projet'!$B$18,Paramètres!$A$1:$I$89,7,0))</f>
        <v>0</v>
      </c>
      <c r="HF37" s="122" t="n">
        <f aca="false">IF(ISNA(VLOOKUP(A37,'Données projet'!$A$269:$I$289,7,0)),0%,VLOOKUP(A37,'Données projet'!$A$269:$I$289,7,0))</f>
        <v>0</v>
      </c>
      <c r="HG37" s="129" t="e">
        <f aca="false">EXP(-LN(2)/35)*HG36+(1-EXP(-LN(2)/35))/(LN(2)/35)*HC37*HD37*VLOOKUP('Données projet'!$B$18,Paramètres!$A$1:$I$89,3,0)*0.475*44/12</f>
        <v>#N/A</v>
      </c>
      <c r="HH37" s="129" t="e">
        <f aca="false">EXP(-LN(2)/25)*HH36+(1-EXP(-LN(2)/25))/(LN(2)/25)*Calculateur!HC37*Calculateur!HE37*VLOOKUP('Données projet'!$B$18,Paramètres!$A$1:$I$89,3,0)*0.475*44/12</f>
        <v>#N/A</v>
      </c>
      <c r="HI37" s="129" t="e">
        <f aca="false">EXP(-LN(2)/2)*HI36+(1-EXP(-LN(2)/2))/(LN(2)/2)*HC37*HF37*VLOOKUP('Données projet'!$B$18,Paramètres!$A$1:$I$89,3,0)*0.475*44/12</f>
        <v>#N/A</v>
      </c>
      <c r="HJ37" s="130" t="e">
        <f aca="false">SUM(HG37:HI37)</f>
        <v>#N/A</v>
      </c>
    </row>
    <row r="38" customFormat="false" ht="14.25" hidden="false" customHeight="false" outlineLevel="0" collapsed="false">
      <c r="A38" s="112" t="n">
        <f aca="false">A37+1</f>
        <v>35</v>
      </c>
      <c r="B38" s="113" t="n">
        <f aca="false">'Scénario référence'!$B$16*5+'Scénario référence'!$B$17*0+'Scénario référence'!$B$18*5</f>
        <v>0</v>
      </c>
      <c r="C38" s="127" t="n">
        <f aca="false"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4" t="n">
        <f aca="false">IFERROR(EXP(-1.0587+0.8836*LN(C38)+0.284),0)</f>
        <v>0</v>
      </c>
      <c r="E3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8" s="114" t="n">
        <f aca="false">IF(OR('Scénario référence'!$F$8&gt;0,'Scénario référence'!$F$9&gt;0),('Scénario référence'!$F$8+'Scénario référence'!$F$9)*10,0)</f>
        <v>0</v>
      </c>
      <c r="G38" s="114" t="n">
        <f aca="false"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15" t="n">
        <f aca="false">(B38+E38+F38)*44/12+(C38+D38)*0.475*44/12</f>
        <v>256.666666666667</v>
      </c>
      <c r="I38" s="11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7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8" t="e">
        <f aca="false">VLOOKUP(A38,'Données projet'!$A$35:$I$55,2,0)</f>
        <v>#N/A</v>
      </c>
      <c r="L38" s="118" t="e">
        <f aca="false">VLOOKUP(A38,'Données projet'!$A$35:$I$55,9,0)</f>
        <v>#N/A</v>
      </c>
      <c r="M38" s="118" t="n">
        <f aca="false" t="array" ref="M38:M38">INDEX(L:L,MIN(IF(ISNUMBER(L38:L234),ROW(L38:L234),"")))</f>
        <v>10</v>
      </c>
      <c r="N38" s="117" t="n">
        <f aca="false">IF('Données projet'!$A$36&gt;35,N37+M38-V37,IF(A38&lt;'Données projet'!$A$36,$K$205^A38,IF(A38='Données projet'!$A$36,'Données projet'!$B$36,N37+M38-V37)))</f>
        <v>193.5</v>
      </c>
      <c r="O38" s="117" t="n">
        <f aca="false">N38*VLOOKUP('Données projet'!$B$9,Paramètres!$A$1:$I$89,3,0)*VLOOKUP('Données projet'!$B$9,Paramètres!$A$1:$I$89,5,0)</f>
        <v>90.5579999999999</v>
      </c>
      <c r="P38" s="117" t="n">
        <f aca="false">EXP(-1.0587+0.8836*LN(O38)+0.284)</f>
        <v>24.6997527085091</v>
      </c>
      <c r="Q38" s="128" t="n">
        <f aca="false">(O38+P38)*0.475*44/12</f>
        <v>200.74058596732</v>
      </c>
      <c r="R38" s="120" t="n">
        <f aca="false">Q38+(I38+J38)*44/12</f>
        <v>494.073919300653</v>
      </c>
      <c r="S38" s="120" t="n">
        <f aca="true">AVERAGE(OFFSET($R$3,0,0,'Données projet'!$E$9+1,1))-AVERAGE(OFFSET($H$3,0,0,'Données projet'!$E$9+1,1))</f>
        <v>319.229030946746</v>
      </c>
      <c r="T38" s="120" t="n">
        <f aca="false">$T$3</f>
        <v>254.586909731428</v>
      </c>
      <c r="U38" s="121" t="n">
        <f aca="false">IF(ISNA(VLOOKUP(A38,'Données projet'!$A$35:$I$55,3,0)),0,VLOOKUP(A38,'Données projet'!$A$35:$I$55,3,0))</f>
        <v>0</v>
      </c>
      <c r="V38" s="121" t="n">
        <f aca="false">IF(ISNA(VLOOKUP(A38,'Données projet'!$A$35:$I$55,4,0)),0,VLOOKUP(A38,'Données projet'!$A$35:$I$55,4,0))</f>
        <v>0</v>
      </c>
      <c r="W38" s="122" t="n">
        <f aca="false">IF(ISNA(VLOOKUP(A38,'Données projet'!$A$35:$I$55,5,0)),0%,VLOOKUP(A38,'Données projet'!$A$35:$I$55,5,0)*VLOOKUP('Données projet'!$B$9,Paramètres!$A$1:$I$89,7,0))</f>
        <v>0</v>
      </c>
      <c r="X38" s="122" t="n">
        <f aca="false">IF(ISNA(VLOOKUP(A38,'Données projet'!$A$35:$I$55,6,0)),0%,VLOOKUP(A38,'Données projet'!$A$35:$I$55,6,0)*VLOOKUP('Données projet'!$B$9,Paramètres!$A$1:$I$89,7,0))</f>
        <v>0</v>
      </c>
      <c r="Y38" s="122" t="n">
        <f aca="false">IF(ISNA(VLOOKUP(A38,'Données projet'!$A$35:$I$55,7,0)),0%,VLOOKUP(A38,'Données projet'!$A$35:$I$55,7,0))</f>
        <v>0</v>
      </c>
      <c r="Z38" s="129" t="n">
        <f aca="false">EXP(-LN(2)/35)*Z37+(1-EXP(-LN(2)/35))/(LN(2)/35)*V38*W38*VLOOKUP('Données projet'!$B$9,Paramètres!$A$1:$I$89,3,0)*0.475*44/12</f>
        <v>8.22049935498239</v>
      </c>
      <c r="AA38" s="129" t="n">
        <f aca="false">EXP(-LN(2)/25)*AA37+(1-EXP(-LN(2)/25))/(LN(2)/25)*Calculateur!V38*Calculateur!X38*VLOOKUP('Données projet'!$B$9,Paramètres!$A$1:$I$89,3,0)*0.475*44/12</f>
        <v>9.70778809613488</v>
      </c>
      <c r="AB38" s="129" t="n">
        <f aca="false">EXP(-LN(2)/2)*AB37+(1-EXP(-LN(2)/2))/(LN(2)/2)*V38*Y38*VLOOKUP('Données projet'!$B$9,Paramètres!$A$1:$I$89,3,0)*0.475*44/12</f>
        <v>1.95216778735095</v>
      </c>
      <c r="AC38" s="130" t="n">
        <f aca="false">SUM(Z38:AB38)</f>
        <v>19.8804552384682</v>
      </c>
      <c r="AD38" s="117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7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8" t="n">
        <f aca="false">VLOOKUP(A38,'Données projet'!$A$61:$I$81,2,0)</f>
        <v>410</v>
      </c>
      <c r="AG38" s="118" t="n">
        <f aca="false">VLOOKUP(A38,'Données projet'!$A$61:$I$81,9,0)</f>
        <v>24.8</v>
      </c>
      <c r="AH38" s="118" t="n">
        <f aca="false" t="array" ref="AH38:AH38">INDEX(AG:AG,MIN(IF(ISNUMBER(AG38:AG234),ROW(AG38:AG234),"")))</f>
        <v>24.8</v>
      </c>
      <c r="AI38" s="117" t="n">
        <f aca="false">IF('Données projet'!$A$62&gt;35,AI37+AH38-AQ37,IF(A38&lt;'Données projet'!$A$62,$AF$205^A38,IF(A38='Données projet'!$A$62,'Données projet'!$B$62,AI37+AH38-AQ37)))</f>
        <v>410</v>
      </c>
      <c r="AJ38" s="117" t="n">
        <f aca="false">AI38*VLOOKUP('Données projet'!$B$10,Paramètres!$A$1:$I$89,3,0)*VLOOKUP('Données projet'!$B$10,Paramètres!$A$1:$I$89,5,0)</f>
        <v>229.19</v>
      </c>
      <c r="AK38" s="117" t="n">
        <f aca="false">EXP(-1.0587+0.8836*LN(AJ38)+0.284)</f>
        <v>56.1075046484035</v>
      </c>
      <c r="AL38" s="128" t="n">
        <f aca="false">(AJ38+AK38)*0.475*44/12</f>
        <v>496.893153929303</v>
      </c>
      <c r="AM38" s="120" t="n">
        <f aca="false">AL38+(AD38+AE38)*44/12</f>
        <v>790.226487262636</v>
      </c>
      <c r="AN38" s="120" t="n">
        <f aca="true">AVERAGE(OFFSET($AM$3,0,0,'Données projet'!$E$10+1,1))-AVERAGE(OFFSET($H$3,0,0,'Données projet'!$E$10+1,1))</f>
        <v>365.705101827279</v>
      </c>
      <c r="AO38" s="120" t="n">
        <f aca="false">$AO$3</f>
        <v>436.238338449625</v>
      </c>
      <c r="AP38" s="121" t="n">
        <f aca="false">IF(ISNA(VLOOKUP(A38,'Données projet'!$A$61:$I$81,3,0)),0,VLOOKUP(A38,'Données projet'!$A$61:$I$81,3,0))</f>
        <v>4</v>
      </c>
      <c r="AQ38" s="121" t="n">
        <f aca="false">IF(ISNA(VLOOKUP(A38,'Données projet'!$A$61:$I$81,4,0)),0,VLOOKUP(A38,'Données projet'!$A$61:$I$81,4,0))</f>
        <v>49</v>
      </c>
      <c r="AR38" s="122" t="n">
        <f aca="false">IF(ISNA(VLOOKUP(A38,'Données projet'!$A$61:$I$81,5,0)),0%,VLOOKUP(A38,'Données projet'!$A$61:$I$81,5,0)*VLOOKUP('Données projet'!$B$10,Paramètres!$A$1:$I$89,7,0))</f>
        <v>0</v>
      </c>
      <c r="AS38" s="122" t="n">
        <f aca="false">IF(ISNA(VLOOKUP(A38,'Données projet'!$A$61:$I$81,6,0)),0%,VLOOKUP(A38,'Données projet'!$A$61:$I$81,6,0)*VLOOKUP('Données projet'!$B$10,Paramètres!$A$1:$I$89,7,0))</f>
        <v>0</v>
      </c>
      <c r="AT38" s="122" t="n">
        <f aca="false">IF(ISNA(VLOOKUP(A38,'Données projet'!$A$61:$I$81,7,0)),0%,VLOOKUP(A38,'Données projet'!$A$61:$I$81,7,0))</f>
        <v>0</v>
      </c>
      <c r="AU38" s="129" t="n">
        <f aca="false">EXP(-LN(2)/35)*AU37+(1-EXP(-LN(2)/35))/(LN(2)/35)*AQ38*AR38*VLOOKUP('Données projet'!$B$10,Paramètres!$A$1:$I$89,3,0)*0.475*44/12</f>
        <v>3.10297198632864</v>
      </c>
      <c r="AV38" s="129" t="n">
        <f aca="false">EXP(-LN(2)/25)*AV37+(1-EXP(-LN(2)/25))/(LN(2)/25)*Calculateur!AQ38*Calculateur!AS38*VLOOKUP('Données projet'!$B$10,Paramètres!$A$1:$I$89,3,0)*0.475*44/12</f>
        <v>11.4983501009643</v>
      </c>
      <c r="AW38" s="129" t="n">
        <f aca="false">EXP(-LN(2)/2)*AW37+(1-EXP(-LN(2)/2))/(LN(2)/2)*AQ38*AT38*VLOOKUP('Données projet'!$B$10,Paramètres!$A$1:$I$89,3,0)*0.475*44/12</f>
        <v>1.0505956886213</v>
      </c>
      <c r="AX38" s="129" t="n">
        <f aca="false">SUM(AU38:AW38)</f>
        <v>15.6519177759143</v>
      </c>
      <c r="AY38" s="124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8" t="n">
        <f aca="false">VLOOKUP(A38,'Données projet'!$A$87:$I$107,2,0)</f>
        <v>201</v>
      </c>
      <c r="BB38" s="118" t="n">
        <f aca="false">VLOOKUP(A38,'Données projet'!$A$87:$I$107,9,0)</f>
        <v>12.2</v>
      </c>
      <c r="BC38" s="118" t="n">
        <f aca="false" t="array" ref="BC38:BC38">INDEX(BB:BB,MIN(IF(ISNUMBER(BB38:BB234),ROW(BB38:BB234),"")))</f>
        <v>12.2</v>
      </c>
      <c r="BD38" s="118" t="n">
        <f aca="false">IF('Données projet'!$A$88&gt;35,BD37+BC38-BL37,IF(A38&lt;'Données projet'!$A$88,$BA$205^A38,IF(A38='Données projet'!$A$88,'Données projet'!$B$88,BD37+BC38-BL37)))</f>
        <v>201</v>
      </c>
      <c r="BE38" s="117" t="n">
        <f aca="false">BD38*VLOOKUP('Données projet'!$B$11,Paramètres!$A$1:$I$89,3,0)*VLOOKUP('Données projet'!$B$11,Paramètres!$A$1:$I$89,5,0)</f>
        <v>175.5936</v>
      </c>
      <c r="BF38" s="117" t="n">
        <f aca="false">EXP(-1.0587+0.8836*LN(BE38)+0.284)</f>
        <v>44.3404337286386</v>
      </c>
      <c r="BG38" s="128" t="n">
        <f aca="false">(BE38+BF38)*0.475*44/12</f>
        <v>383.051775410712</v>
      </c>
      <c r="BH38" s="120" t="n">
        <f aca="false">BG38+(AY38+AZ38)*44/12</f>
        <v>676.385108744045</v>
      </c>
      <c r="BI38" s="120" t="n">
        <f aca="true">AVERAGE(OFFSET($BH$3,0,0,'Données projet'!$E$11+1,1))-AVERAGE(OFFSET($H$3,0,0,'Données projet'!$E$11+1,1))</f>
        <v>321.235999689929</v>
      </c>
      <c r="BJ38" s="120" t="n">
        <f aca="false">$BJ$3</f>
        <v>388.051958478005</v>
      </c>
      <c r="BK38" s="121" t="n">
        <f aca="false">IF(ISNA(VLOOKUP(A38,'Données projet'!$A$87:$I$107,3,0)),0,VLOOKUP(A38,'Données projet'!$A$87:$I$107,3,0))</f>
        <v>5</v>
      </c>
      <c r="BL38" s="121" t="n">
        <f aca="false">IF(ISNA(VLOOKUP(A38,'Données projet'!$A$87:$I$107,4,0)),0,VLOOKUP(A38,'Données projet'!$A$87:$I$107,4,0))</f>
        <v>42</v>
      </c>
      <c r="BM38" s="122" t="n">
        <f aca="false">IF(ISNA(VLOOKUP(A38,'Données projet'!$A$87:$I$107,5,0)),0%,VLOOKUP(A38,'Données projet'!$A$87:$I$107,5,0)*VLOOKUP('Données projet'!$B$11,Paramètres!$A$1:$I$89,7,0))</f>
        <v>0</v>
      </c>
      <c r="BN38" s="122" t="n">
        <f aca="false">IF(ISNA(VLOOKUP(A38,'Données projet'!$A$87:$I$107,6,0)),0%,VLOOKUP(A38,'Données projet'!$A$87:$I$107,6,0)*VLOOKUP('Données projet'!$B$11,Paramètres!$A$1:$I$89,7,0))</f>
        <v>0</v>
      </c>
      <c r="BO38" s="122" t="n">
        <f aca="false">IF(ISNA(VLOOKUP(A38,'Données projet'!$A$87:$I$107,7,0)),0%,VLOOKUP(A38,'Données projet'!$A$87:$I$107,7,0))</f>
        <v>0</v>
      </c>
      <c r="BP38" s="129" t="n">
        <f aca="false">EXP(-LN(2)/35)*BP37+(1-EXP(-LN(2)/35))/(LN(2)/35)*BL38*BM38*VLOOKUP('Données projet'!$B$11,Paramètres!$A$1:$I$89,3,0)*0.475*44/12</f>
        <v>7.79038772338183</v>
      </c>
      <c r="BQ38" s="129" t="n">
        <f aca="false">EXP(-LN(2)/25)*BQ37+(1-EXP(-LN(2)/25))/(LN(2)/25)*Calculateur!BL38*Calculateur!BN38*VLOOKUP('Données projet'!$B$11,Paramètres!$A$1:$I$89,3,0)*0.475*44/12</f>
        <v>11.7368328232938</v>
      </c>
      <c r="BR38" s="129" t="n">
        <f aca="false">EXP(-LN(2)/2)*BR37+(1-EXP(-LN(2)/2))/(LN(2)/2)*BL38*BO38*VLOOKUP('Données projet'!$B$11,Paramètres!$A$1:$I$89,3,0)*0.475*44/12</f>
        <v>1.06790868048913</v>
      </c>
      <c r="BS38" s="130" t="n">
        <f aca="false">SUM(BP38:BR38)</f>
        <v>20.5951292271647</v>
      </c>
      <c r="BT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8" t="e">
        <f aca="false">VLOOKUP(A38,'Données projet'!$A$113:$I$133,2,0)</f>
        <v>#N/A</v>
      </c>
      <c r="BW38" s="118" t="e">
        <f aca="false">VLOOKUP(A38,'Données projet'!$A$113:$I$133,9,0)</f>
        <v>#N/A</v>
      </c>
      <c r="BX38" s="118" t="n">
        <f aca="false" t="array" ref="BX38:BX38">INDEX(BW:BW,MIN(IF(ISNUMBER(BW38:BW234),ROW(BW38:BW234),"")))</f>
        <v>12.8333333333333</v>
      </c>
      <c r="BY38" s="118" t="n">
        <f aca="false">IF('Données projet'!$A$114&gt;35,BY37+BX38-CG37,IF(A38&lt;'Données projet'!$A$114,$BV$205^A38,IF(A38='Données projet'!$A$114,'Données projet'!$B$114,BY37+BX38-CG37)))</f>
        <v>235.166666666667</v>
      </c>
      <c r="BZ38" s="117" t="n">
        <f aca="false">BY38*VLOOKUP('Données projet'!$B$12,Paramètres!$A$1:$I$89,3,0)*VLOOKUP('Données projet'!$B$12,Paramètres!$A$1:$I$89,5,0)</f>
        <v>146.744</v>
      </c>
      <c r="CA38" s="117" t="n">
        <f aca="false">EXP(-1.0587+0.8836*LN(BZ38)+0.284)</f>
        <v>37.8377055142586</v>
      </c>
      <c r="CB38" s="128" t="n">
        <f aca="false">(BZ38+CA38)*0.475*44/12</f>
        <v>321.479803770667</v>
      </c>
      <c r="CC38" s="120" t="n">
        <f aca="false">CB38+(BT38+BU38)*44/12</f>
        <v>614.813137104001</v>
      </c>
      <c r="CD38" s="120" t="n">
        <f aca="true">AVERAGE(OFFSET($CC$3,0,0,'Données projet'!$E$12+1,1))-AVERAGE(OFFSET($H$3,0,0,'Données projet'!$E$12+1,1))</f>
        <v>240.228848647662</v>
      </c>
      <c r="CE38" s="120" t="n">
        <f aca="false">$CE$3</f>
        <v>343.237768841432</v>
      </c>
      <c r="CF38" s="121" t="n">
        <f aca="false">IF(ISNA(VLOOKUP(A38,'Données projet'!$A$113:$I$133,3,0)),0,VLOOKUP(A38,'Données projet'!$A$113:$I$133,3,0))</f>
        <v>0</v>
      </c>
      <c r="CG38" s="121" t="n">
        <f aca="false">IF(ISNA(VLOOKUP(A38,'Données projet'!$A$113:$I$133,4,0)),0,VLOOKUP(A38,'Données projet'!$A$113:$I$133,4,0))</f>
        <v>0</v>
      </c>
      <c r="CH38" s="122" t="n">
        <f aca="false">IF(ISNA(VLOOKUP(A38,'Données projet'!$A$113:$I$133,5,0)),0%,VLOOKUP(A38,'Données projet'!$A$113:$I$133,5,0)*VLOOKUP('Données projet'!$B$12,Paramètres!$A$1:$I$89,7,0))</f>
        <v>0</v>
      </c>
      <c r="CI38" s="122" t="n">
        <f aca="false">IF(ISNA(VLOOKUP(A38,'Données projet'!$A$113:$I$133,6,0)),0%,VLOOKUP(A38,'Données projet'!$A$113:$I$133,6,0)*VLOOKUP('Données projet'!$B$12,Paramètres!$A$1:$I$89,7,0))</f>
        <v>0</v>
      </c>
      <c r="CJ38" s="122" t="n">
        <f aca="false">IF(ISNA(VLOOKUP(A38,'Données projet'!$A$113:$I$133,7,0)),0%,VLOOKUP(A38,'Données projet'!$A$113:$I$133,7,0))</f>
        <v>0</v>
      </c>
      <c r="CK38" s="129" t="n">
        <f aca="false">EXP(-LN(2)/35)*CK37+(1-EXP(-LN(2)/35))/(LN(2)/35)*CG38*CH38*VLOOKUP('Données projet'!$B$12,Paramètres!$A$1:$I$89,3,0)*0.475*44/12</f>
        <v>4.76832421215346</v>
      </c>
      <c r="CL38" s="129" t="n">
        <f aca="false">EXP(-LN(2)/25)*CL37+(1-EXP(-LN(2)/25))/(LN(2)/25)*Calculateur!CG38*Calculateur!CI38*VLOOKUP('Données projet'!$B$12,Paramètres!$A$1:$I$89,3,0)*0.475*44/12</f>
        <v>20.7279262098589</v>
      </c>
      <c r="CM38" s="129" t="n">
        <f aca="false">EXP(-LN(2)/2)*CM37+(1-EXP(-LN(2)/2))/(LN(2)/2)*CG38*CJ38*VLOOKUP('Données projet'!$B$12,Paramètres!$A$1:$I$89,3,0)*0.475*44/12</f>
        <v>1.70409754976962</v>
      </c>
      <c r="CN38" s="130" t="n">
        <f aca="false">SUM(CK38:CM38)</f>
        <v>27.200347971782</v>
      </c>
      <c r="CO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8" t="e">
        <f aca="false">VLOOKUP(A38,'Données projet'!$A$139:$I$159,2,0)</f>
        <v>#N/A</v>
      </c>
      <c r="CR38" s="118" t="e">
        <f aca="false">VLOOKUP(A38,'Données projet'!$A$139:$I$159,9,0)</f>
        <v>#N/A</v>
      </c>
      <c r="CS38" s="118" t="n">
        <f aca="false" t="array" ref="CS38:CS38">INDEX(CR:CR,MIN(IF(ISNUMBER(CR38:CR234),ROW(CR38:CR234),"")))</f>
        <v>15</v>
      </c>
      <c r="CT38" s="118" t="n">
        <f aca="false">IF('Données projet'!$A$140&gt;35,CT37+CS38-DB37,IF(A38&lt;'Données projet'!$A$140,$CQ$205^A38,IF(A38='Données projet'!$A$140,'Données projet'!$B$140,CT37+CS38-DB37)))</f>
        <v>254</v>
      </c>
      <c r="CU38" s="125" t="n">
        <f aca="false">CT38*VLOOKUP('Données projet'!$B$13,Paramètres!$A$1:$I$89,3,0)*VLOOKUP('Données projet'!$B$13,Paramètres!$A$1:$I$89,5,0)</f>
        <v>138.684</v>
      </c>
      <c r="CV38" s="117" t="n">
        <f aca="false">EXP(-1.0587+0.8836*LN(CU38)+0.284)</f>
        <v>35.9953628629568</v>
      </c>
      <c r="CW38" s="128" t="n">
        <f aca="false">(CU38+CV38)*0.475*44/12</f>
        <v>304.233223652983</v>
      </c>
      <c r="CX38" s="120" t="n">
        <f aca="false">CW38+(CO38+CP38)*44/12</f>
        <v>597.566556986316</v>
      </c>
      <c r="CY38" s="120" t="n">
        <f aca="true">AVERAGE(OFFSET($CX$3,0,0,'Données projet'!$E$13+1,1))-AVERAGE(OFFSET($H$3,0,0,'Données projet'!$E$13+1,1))</f>
        <v>207.023069645676</v>
      </c>
      <c r="CZ38" s="120" t="n">
        <f aca="false">$CZ$3</f>
        <v>342.068879333518</v>
      </c>
      <c r="DA38" s="121" t="n">
        <f aca="false">IF(ISNA(VLOOKUP(A38,'Données projet'!$A$139:$I$159,3,0)),0,VLOOKUP(A38,'Données projet'!$A$139:$I$159,3,0))</f>
        <v>0</v>
      </c>
      <c r="DB38" s="121" t="n">
        <f aca="false">IF(ISNA(VLOOKUP(A38,'Données projet'!$A$139:$I$159,4,0)),0,VLOOKUP(A38,'Données projet'!$A$139:$I$159,4,0))</f>
        <v>0</v>
      </c>
      <c r="DC38" s="122" t="n">
        <f aca="false">IF(ISNA(VLOOKUP(A38,'Données projet'!$A$139:$I$159,5,0)),0%,VLOOKUP(A38,'Données projet'!$A$139:$I$159,5,0)*VLOOKUP('Données projet'!$B$13,Paramètres!$A$1:$I$89,7,0))</f>
        <v>0</v>
      </c>
      <c r="DD38" s="122" t="n">
        <f aca="false">IF(ISNA(VLOOKUP(A38,'Données projet'!$A$139:$I$159,6,0)),0%,VLOOKUP(A38,'Données projet'!$A$139:$I$159,6,0)*VLOOKUP('Données projet'!$B$13,Paramètres!$A$1:$I$89,7,0))</f>
        <v>0</v>
      </c>
      <c r="DE38" s="122" t="n">
        <f aca="false">IF(ISNA(VLOOKUP(A38,'Données projet'!$A$139:$I$159,7,0)),0%,VLOOKUP(A38,'Données projet'!$A$139:$I$159,7,0))</f>
        <v>0</v>
      </c>
      <c r="DF38" s="129" t="n">
        <f aca="false">EXP(-LN(2)/35)*DF37+(1-EXP(-LN(2)/35))/(LN(2)/35)*DB38*DC38*VLOOKUP('Données projet'!$B$13,Paramètres!$A$1:$I$89,3,0)*0.475*44/12</f>
        <v>5.98289736053217</v>
      </c>
      <c r="DG38" s="129" t="n">
        <f aca="false">EXP(-LN(2)/25)*DG37+(1-EXP(-LN(2)/25))/(LN(2)/25)*Calculateur!DB38*Calculateur!DD38*VLOOKUP('Données projet'!$B$13,Paramètres!$A$1:$I$89,3,0)*0.475*44/12</f>
        <v>33.8815264034559</v>
      </c>
      <c r="DH38" s="129" t="n">
        <f aca="false">EXP(-LN(2)/2)*DH37+(1-EXP(-LN(2)/2))/(LN(2)/2)*DB38*DE38*VLOOKUP('Données projet'!$B$13,Paramètres!$A$1:$I$89,3,0)*0.475*44/12</f>
        <v>2.34654311609531</v>
      </c>
      <c r="DI38" s="130" t="n">
        <f aca="false">SUM(DF38:DH38)</f>
        <v>42.2109668800834</v>
      </c>
      <c r="DJ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8" t="e">
        <f aca="false">VLOOKUP(A38,'Données projet'!$A$165:$I$185,2,0)</f>
        <v>#N/A</v>
      </c>
      <c r="DM38" s="118" t="e">
        <f aca="false">VLOOKUP(A38,'Données projet'!$A$165:$I$185,9,0)</f>
        <v>#N/A</v>
      </c>
      <c r="DN38" s="118" t="n">
        <f aca="false" t="array" ref="DN38:DN38">INDEX(DM:DM,MIN(IF(ISNUMBER(DM38:DM234),ROW(DM38:DM234),"")))</f>
        <v>12.8333333333333</v>
      </c>
      <c r="DO38" s="118" t="n">
        <f aca="false">IF('Données projet'!$A$166&gt;35,DO37+DN38-DW37,IF(A38&lt;'Données projet'!$A$166,$DL$205^A38,IF(A38='Données projet'!$A$166,'Données projet'!$B$166,DO37+DN38-DW37)))</f>
        <v>210.833333333333</v>
      </c>
      <c r="DP38" s="125" t="n">
        <f aca="false">DO38*VLOOKUP('Données projet'!$B$14,Paramètres!$A$1:$I$89,3,0)*VLOOKUP('Données projet'!$B$14,Paramètres!$A$1:$I$89,5,0)</f>
        <v>126.078333333333</v>
      </c>
      <c r="DQ38" s="117" t="n">
        <f aca="false">EXP(-1.0587+0.8836*LN(DP38)+0.284)</f>
        <v>33.088568173905</v>
      </c>
      <c r="DR38" s="128" t="n">
        <f aca="false">(DP38+DQ38)*0.475*44/12</f>
        <v>277.215686791774</v>
      </c>
      <c r="DS38" s="120" t="n">
        <f aca="false">DR38+(DJ38+DK38)*44/12</f>
        <v>570.549020125107</v>
      </c>
      <c r="DT38" s="120" t="n">
        <f aca="true">AVERAGE(OFFSET($DS$3,0,0,'Données projet'!$E$14+1,1))-AVERAGE(OFFSET($H$3,0,0,'Données projet'!$E$14+1,1))</f>
        <v>549.432320957297</v>
      </c>
      <c r="DU38" s="120" t="n">
        <f aca="false">$DU$3</f>
        <v>280.26155987301</v>
      </c>
      <c r="DV38" s="121" t="n">
        <f aca="false">IF(ISNA(VLOOKUP(A38,'Données projet'!$A$165:$I$185,3,0)),0,VLOOKUP(A38,'Données projet'!$A$165:$I$185,3,0))</f>
        <v>0</v>
      </c>
      <c r="DW38" s="121" t="n">
        <f aca="false">IF(ISNA(VLOOKUP(A38,'Données projet'!$A$165:$I$185,4,0)),0,VLOOKUP(A38,'Données projet'!$A$165:$I$185,4,0))</f>
        <v>0</v>
      </c>
      <c r="DX38" s="122" t="n">
        <f aca="false">IF(ISNA(VLOOKUP(A38,'Données projet'!$A$165:$I$185,5,0)),0%,VLOOKUP(A38,'Données projet'!$A$165:$I$185,5,0)*VLOOKUP('Données projet'!$B$14,Paramètres!$A$1:$I$89,7,0))</f>
        <v>0</v>
      </c>
      <c r="DY38" s="122" t="n">
        <f aca="false">IF(ISNA(VLOOKUP(A38,'Données projet'!$A$165:$I$185,6,0)),0%,VLOOKUP(A38,'Données projet'!$A$165:$I$185,6,0)*VLOOKUP('Données projet'!$B$14,Paramètres!$A$1:$I$89,7,0))</f>
        <v>0</v>
      </c>
      <c r="DZ38" s="122" t="n">
        <f aca="false">IF(ISNA(VLOOKUP(A38,'Données projet'!$A$165:$I$185,7,0)),0%,VLOOKUP(A38,'Données projet'!$A$165:$I$185,7,0))</f>
        <v>0</v>
      </c>
      <c r="EA38" s="129" t="n">
        <f aca="false">EXP(-LN(2)/35)*EA37+(1-EXP(-LN(2)/35))/(LN(2)/35)*DW38*DX38*VLOOKUP('Données projet'!$B$14,Paramètres!$A$1:$I$89,3,0)*0.475*44/12</f>
        <v>2.17537480909678</v>
      </c>
      <c r="EB38" s="129" t="n">
        <f aca="false">EXP(-LN(2)/25)*EB37+(1-EXP(-LN(2)/25))/(LN(2)/25)*Calculateur!DW38*Calculateur!DY38*VLOOKUP('Données projet'!$B$14,Paramètres!$A$1:$I$89,3,0)*0.475*44/12</f>
        <v>6.74986853033513</v>
      </c>
      <c r="EC38" s="129" t="n">
        <f aca="false">EXP(-LN(2)/2)*EC37+(1-EXP(-LN(2)/2))/(LN(2)/2)*DW38*DZ38*VLOOKUP('Données projet'!$B$14,Paramètres!$A$1:$I$89,3,0)*0.475*44/12</f>
        <v>1.08170800672628</v>
      </c>
      <c r="ED38" s="130" t="n">
        <f aca="false">SUM(EA38:EC38)</f>
        <v>10.0069513461582</v>
      </c>
      <c r="EE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8" t="e">
        <f aca="false">VLOOKUP(A38,'Données projet'!$A$191:$I$211,2,0)</f>
        <v>#N/A</v>
      </c>
      <c r="EH38" s="118" t="e">
        <f aca="false">VLOOKUP(A38,'Données projet'!$A$191:$I$211,9,0)</f>
        <v>#N/A</v>
      </c>
      <c r="EI38" s="118" t="n">
        <f aca="false" t="array" ref="EI38:EI38">INDEX(EH:EH,MIN(IF(ISNUMBER(EH38:EH234),ROW(EH38:EH234),"")))</f>
        <v>0</v>
      </c>
      <c r="EJ38" s="118" t="n">
        <f aca="false">IF('Données projet'!$A$192&gt;35,EJ37+EI38-ER37,IF(A38&lt;'Données projet'!$A$192,$EG$205^A38,IF(A38='Données projet'!$A$192,'Données projet'!$B$192,EJ37+EI38-ER37)))</f>
        <v>0</v>
      </c>
      <c r="EK38" s="125" t="e">
        <f aca="false">EJ38*VLOOKUP('Données projet'!$B$15,Paramètres!$A$1:$I$89,3,0)*VLOOKUP('Données projet'!$B$15,Paramètres!$A$1:$I$89,5,0)</f>
        <v>#N/A</v>
      </c>
      <c r="EL38" s="117" t="e">
        <f aca="false">EXP(-1.0587+0.8836*LN(EK38)+0.284)</f>
        <v>#N/A</v>
      </c>
      <c r="EM38" s="128" t="e">
        <f aca="false">(EK38+EL38)*0.475*44/12</f>
        <v>#N/A</v>
      </c>
      <c r="EN38" s="120" t="e">
        <f aca="false">EM38+(EE38+EF38)*44/12</f>
        <v>#N/A</v>
      </c>
      <c r="EO38" s="120" t="e">
        <f aca="true">AVERAGE(OFFSET($EN$3,0,0,'Données projet'!$E$15+1,1))-AVERAGE(OFFSET($H$3,0,0,'Données projet'!$E$15+1,1))</f>
        <v>#N/A</v>
      </c>
      <c r="EP38" s="120" t="e">
        <f aca="false">$EP$3</f>
        <v>#N/A</v>
      </c>
      <c r="EQ38" s="121" t="n">
        <f aca="false">IF(ISNA(VLOOKUP(A38,'Données projet'!$A$191:$I$211,3,0)),0,VLOOKUP(A38,'Données projet'!$A$191:$I$211,3,0))</f>
        <v>0</v>
      </c>
      <c r="ER38" s="121" t="n">
        <f aca="false">IF(ISNA(VLOOKUP(A38,'Données projet'!$A$191:$I$211,4,0)),0,VLOOKUP(A38,'Données projet'!$A$191:$I$211,4,0))</f>
        <v>0</v>
      </c>
      <c r="ES38" s="122" t="n">
        <f aca="false">IF(ISNA(VLOOKUP(A38,'Données projet'!$A$191:$I$211,5,0)),0%,VLOOKUP(A38,'Données projet'!$A$191:$I$211,5,0)*VLOOKUP('Données projet'!$B$15,Paramètres!$A$1:$I$89,7,0))</f>
        <v>0</v>
      </c>
      <c r="ET38" s="122" t="n">
        <f aca="false">IF(ISNA(VLOOKUP(A38,'Données projet'!$A$191:$I$211,6,0)),0%,VLOOKUP(A38,'Données projet'!$A$191:$I$211,6,0)*VLOOKUP('Données projet'!$B$15,Paramètres!$A$1:$I$89,7,0))</f>
        <v>0</v>
      </c>
      <c r="EU38" s="122" t="n">
        <f aca="false">IF(ISNA(VLOOKUP(A38,'Données projet'!$A$191:$I$211,7,0)),0%,VLOOKUP(A38,'Données projet'!$A$191:$I$211,7,0))</f>
        <v>0</v>
      </c>
      <c r="EV38" s="129" t="e">
        <f aca="false">EXP(-LN(2)/35)*EV37+(1-EXP(-LN(2)/35))/(LN(2)/35)*ER38*ES38*VLOOKUP('Données projet'!$B$15,Paramètres!$A$1:$I$89,3,0)*0.475*44/12</f>
        <v>#N/A</v>
      </c>
      <c r="EW38" s="129" t="e">
        <f aca="false">EXP(-LN(2)/25)*EW37+(1-EXP(-LN(2)/25))/(LN(2)/25)*Calculateur!ER38*Calculateur!ET38*VLOOKUP('Données projet'!$B$15,Paramètres!$A$1:$I$89,3,0)*0.475*44/12</f>
        <v>#N/A</v>
      </c>
      <c r="EX38" s="129" t="e">
        <f aca="false">EXP(-LN(2)/2)*EX37+(1-EXP(-LN(2)/2))/(LN(2)/2)*ER38*EU38*VLOOKUP('Données projet'!$B$15,Paramètres!$A$1:$I$89,3,0)*0.475*44/12</f>
        <v>#N/A</v>
      </c>
      <c r="EY38" s="130" t="e">
        <f aca="false">SUM(EV38:EX38)</f>
        <v>#N/A</v>
      </c>
      <c r="EZ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8" t="e">
        <f aca="false">VLOOKUP(A38,'Données projet'!$A$217:$I$237,2,0)</f>
        <v>#N/A</v>
      </c>
      <c r="FC38" s="118" t="e">
        <f aca="false">VLOOKUP(A38,'Données projet'!$A$217:$I$237,9,0)</f>
        <v>#N/A</v>
      </c>
      <c r="FD38" s="118" t="n">
        <f aca="false" t="array" ref="FD38:FD38">INDEX(FC:FC,MIN(IF(ISNUMBER(FC38:FC234),ROW(FC38:FC234),"")))</f>
        <v>0</v>
      </c>
      <c r="FE38" s="118" t="n">
        <f aca="false">IF('Données projet'!$A$218&gt;35,FE37+FD38-FM37,IF(A38&lt;'Données projet'!$A$218,$FB$205^A38,IF(A38='Données projet'!$A$218,'Données projet'!$B$218,FE37+FD38-FM37)))</f>
        <v>0</v>
      </c>
      <c r="FF38" s="125" t="e">
        <f aca="false">FE38*VLOOKUP('Données projet'!$B$16,Paramètres!$A$1:$I$89,3,0)*VLOOKUP('Données projet'!$B$16,Paramètres!$A$1:$I$89,5,0)</f>
        <v>#N/A</v>
      </c>
      <c r="FG38" s="117" t="e">
        <f aca="false">EXP(-1.0587+0.8836*LN(FF38)+0.284)</f>
        <v>#N/A</v>
      </c>
      <c r="FH38" s="128" t="e">
        <f aca="false">(FF38+FG38)*0.475*44/12</f>
        <v>#N/A</v>
      </c>
      <c r="FI38" s="120" t="e">
        <f aca="false">FH38+(EZ38+FA38)*44/12</f>
        <v>#N/A</v>
      </c>
      <c r="FJ38" s="120" t="e">
        <f aca="true">AVERAGE(OFFSET($FI$3,0,0,'Données projet'!$E$16+1,1))-AVERAGE(OFFSET($H$3,0,0,'Données projet'!$E$16+1,1))</f>
        <v>#N/A</v>
      </c>
      <c r="FK38" s="120" t="e">
        <f aca="false">$FK$3</f>
        <v>#N/A</v>
      </c>
      <c r="FL38" s="121" t="n">
        <f aca="false">IF(ISNA(VLOOKUP(A38,'Données projet'!$A$217:$I$237,3,0)),0,VLOOKUP(A38,'Données projet'!$A$217:$I$237,3,0))</f>
        <v>0</v>
      </c>
      <c r="FM38" s="121" t="n">
        <f aca="false">IF(ISNA(VLOOKUP(A38,'Données projet'!$A$217:$I$237,4,0)),0,VLOOKUP(A38,'Données projet'!$A$217:$I$237,4,0))</f>
        <v>0</v>
      </c>
      <c r="FN38" s="122" t="n">
        <f aca="false">IF(ISNA(VLOOKUP(A38,'Données projet'!$A$217:$I$237,5,0)),0%,VLOOKUP(A38,'Données projet'!$A$217:$I$237,5,0)*VLOOKUP('Données projet'!$B$16,Paramètres!$A$1:$I$89,7,0))</f>
        <v>0</v>
      </c>
      <c r="FO38" s="122" t="n">
        <f aca="false">IF(ISNA(VLOOKUP(A38,'Données projet'!$A$217:$I$237,6,0)),0%,VLOOKUP(A38,'Données projet'!$A$217:$I$237,6,0)*VLOOKUP('Données projet'!$B$16,Paramètres!$A$1:$I$89,7,0))</f>
        <v>0</v>
      </c>
      <c r="FP38" s="122" t="n">
        <f aca="false">IF(ISNA(VLOOKUP(A38,'Données projet'!$A$217:$I$237,7,0)),0%,VLOOKUP(A38,'Données projet'!$A$217:$I$237,7,0))</f>
        <v>0</v>
      </c>
      <c r="FQ38" s="129" t="e">
        <f aca="false">EXP(-LN(2)/35)*FQ37+(1-EXP(-LN(2)/35))/(LN(2)/35)*FM38*FN38*VLOOKUP('Données projet'!$B$16,Paramètres!$A$1:$I$89,3,0)*0.475*44/12</f>
        <v>#N/A</v>
      </c>
      <c r="FR38" s="129" t="e">
        <f aca="false">EXP(-LN(2)/25)*FR37+(1-EXP(-LN(2)/25))/(LN(2)/25)*Calculateur!FM38*Calculateur!FO38*VLOOKUP('Données projet'!$B$16,Paramètres!$A$1:$I$89,3,0)*0.475*44/12</f>
        <v>#N/A</v>
      </c>
      <c r="FS38" s="129" t="e">
        <f aca="false">EXP(-LN(2)/2)*FS37+(1-EXP(-LN(2)/2))/(LN(2)/2)*FM38*FP38*VLOOKUP('Données projet'!$B$16,Paramètres!$A$1:$I$89,3,0)*0.475*44/12</f>
        <v>#N/A</v>
      </c>
      <c r="FT38" s="130" t="e">
        <f aca="false">SUM(FQ38:FS38)</f>
        <v>#N/A</v>
      </c>
      <c r="FU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8" t="e">
        <f aca="false">VLOOKUP(A38,'Données projet'!$A$243:$I$263,2,0)</f>
        <v>#N/A</v>
      </c>
      <c r="FX38" s="118" t="e">
        <f aca="false">VLOOKUP(A38,'Données projet'!$A$243:$I$263,9,0)</f>
        <v>#N/A</v>
      </c>
      <c r="FY38" s="118" t="n">
        <f aca="false" t="array" ref="FY38:FY38">INDEX(FX:FX,MIN(IF(ISNUMBER(FX38:FX234),ROW(FX38:FX234),"")))</f>
        <v>0</v>
      </c>
      <c r="FZ38" s="118" t="n">
        <f aca="false">IF('Données projet'!$A$244&gt;35,FZ37+FY38-GH37,IF(A38&lt;'Données projet'!$A$244,$FW$205^A38,IF(A38='Données projet'!$A$244,'Données projet'!$B$244,FZ37+FY38-GH37)))</f>
        <v>0</v>
      </c>
      <c r="GA38" s="125" t="e">
        <f aca="false">FZ38*VLOOKUP('Données projet'!$B$17,Paramètres!$A$1:$I$89,3,0)*VLOOKUP('Données projet'!$B$17,Paramètres!$A$1:$I$89,5,0)</f>
        <v>#N/A</v>
      </c>
      <c r="GB38" s="117" t="e">
        <f aca="false">EXP(-1.0587+0.8836*LN(GA38)+0.284)</f>
        <v>#N/A</v>
      </c>
      <c r="GC38" s="128" t="e">
        <f aca="false">(GA38+GB38)*0.475*44/12</f>
        <v>#N/A</v>
      </c>
      <c r="GD38" s="120" t="e">
        <f aca="false">GC38+(FU38+FV38)*44/12</f>
        <v>#N/A</v>
      </c>
      <c r="GE38" s="120" t="e">
        <f aca="true">AVERAGE(OFFSET($GD$3,0,0,'Données projet'!$E$17+1,1))-AVERAGE(OFFSET($H$3,0,0,'Données projet'!$E$17+1,1))</f>
        <v>#N/A</v>
      </c>
      <c r="GF38" s="120" t="e">
        <f aca="false">$GF$3</f>
        <v>#N/A</v>
      </c>
      <c r="GG38" s="121" t="n">
        <f aca="false">IF(ISNA(VLOOKUP(A38,'Données projet'!$A$243:$I$263,3,0)),0,VLOOKUP(A38,'Données projet'!$A$243:$I$263,3,0))</f>
        <v>0</v>
      </c>
      <c r="GH38" s="121" t="n">
        <f aca="false">IF(ISNA(VLOOKUP(A38,'Données projet'!$A$243:$I$263,4,0)),0,VLOOKUP(A38,'Données projet'!$A$243:$I$263,4,0))</f>
        <v>0</v>
      </c>
      <c r="GI38" s="122" t="n">
        <f aca="false">IF(ISNA(VLOOKUP(A38,'Données projet'!$A$243:$I$263,5,0)),0%,VLOOKUP(A38,'Données projet'!$A$243:$I$263,5,0)*VLOOKUP('Données projet'!$B$17,Paramètres!$A$1:$I$89,7,0))</f>
        <v>0</v>
      </c>
      <c r="GJ38" s="122" t="n">
        <f aca="false">IF(ISNA(VLOOKUP(A38,'Données projet'!$A$243:$I$263,6,0)),0%,VLOOKUP(A38,'Données projet'!$A$243:$I$263,6,0)*VLOOKUP('Données projet'!$B$17,Paramètres!$A$1:$I$89,7,0))</f>
        <v>0</v>
      </c>
      <c r="GK38" s="122" t="n">
        <f aca="false">IF(ISNA(VLOOKUP(A38,'Données projet'!$A$243:$I$263,7,0)),0%,VLOOKUP(A38,'Données projet'!$A$243:$I$263,7,0))</f>
        <v>0</v>
      </c>
      <c r="GL38" s="129" t="e">
        <f aca="false">EXP(-LN(2)/35)*GL37+(1-EXP(-LN(2)/35))/(LN(2)/35)*GH38*GI38*VLOOKUP('Données projet'!$B$17,Paramètres!$A$1:$I$89,3,0)*0.475*44/12</f>
        <v>#N/A</v>
      </c>
      <c r="GM38" s="129" t="e">
        <f aca="false">EXP(-LN(2)/25)*GM37+(1-EXP(-LN(2)/25))/(LN(2)/25)*Calculateur!GH38*Calculateur!GJ38*VLOOKUP('Données projet'!$B$17,Paramètres!$A$1:$I$89,3,0)*0.475*44/12</f>
        <v>#N/A</v>
      </c>
      <c r="GN38" s="129" t="e">
        <f aca="false">EXP(-LN(2)/2)*GN37+(1-EXP(-LN(2)/2))/(LN(2)/2)*GH38*GK38*VLOOKUP('Données projet'!$B$17,Paramètres!$A$1:$I$89,3,0)*0.475*44/12</f>
        <v>#N/A</v>
      </c>
      <c r="GO38" s="129" t="e">
        <f aca="false">SUM(GL38:GN38)</f>
        <v>#N/A</v>
      </c>
      <c r="GP38" s="126" t="n">
        <f aca="false"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8" t="n">
        <f aca="false"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8" t="e">
        <f aca="false">VLOOKUP(A38,'Données projet'!$A$269:$I$289,2,0)</f>
        <v>#N/A</v>
      </c>
      <c r="GS38" s="118" t="e">
        <f aca="false">VLOOKUP(A38,'Données projet'!$A$269:$I$289,9,0)</f>
        <v>#N/A</v>
      </c>
      <c r="GT38" s="118" t="n">
        <f aca="false" t="array" ref="GT38:GT38">INDEX(GS:GS,MIN(IF(ISNUMBER(GS38:GS234),ROW(GS38:GS234),"")))</f>
        <v>0</v>
      </c>
      <c r="GU38" s="118" t="n">
        <f aca="false">IF('Données projet'!$A$270&gt;35,GU37+GT38-HC37,IF(A38&lt;'Données projet'!$A$270,$GR$205^A38,IF(A38='Données projet'!$A$270,'Données projet'!$B$270,GU37+GT38-HC37)))</f>
        <v>0</v>
      </c>
      <c r="GV38" s="125" t="e">
        <f aca="false">GU38*VLOOKUP('Données projet'!$B$18,Paramètres!$A$1:$I$89,3,0)*VLOOKUP('Données projet'!$B$18,Paramètres!$A$1:$I$89,5,0)</f>
        <v>#N/A</v>
      </c>
      <c r="GW38" s="117" t="e">
        <f aca="false">EXP(-1.0587+0.8836*LN(GV38)+0.284)</f>
        <v>#N/A</v>
      </c>
      <c r="GX38" s="128" t="e">
        <f aca="false">(GV38+GW38)*0.475*44/12</f>
        <v>#N/A</v>
      </c>
      <c r="GY38" s="120" t="e">
        <f aca="false">GX38+(GP38+GQ38)*44/12</f>
        <v>#N/A</v>
      </c>
      <c r="GZ38" s="120" t="e">
        <f aca="true">AVERAGE(OFFSET($GY$3,0,0,'Données projet'!$E$18+1,1))-AVERAGE(OFFSET($H$3,0,0,'Données projet'!$E$18+1,1))</f>
        <v>#N/A</v>
      </c>
      <c r="HA38" s="120" t="e">
        <f aca="false">$HA$3</f>
        <v>#N/A</v>
      </c>
      <c r="HB38" s="121" t="n">
        <f aca="false">IF(ISNA(VLOOKUP(A38,'Données projet'!$A$269:$I$289,3,0)),0,VLOOKUP(A38,'Données projet'!$A$269:$I$289,3,0))</f>
        <v>0</v>
      </c>
      <c r="HC38" s="121" t="n">
        <f aca="false">IF(ISNA(VLOOKUP(A38,'Données projet'!$A$269:$I$289,4,0)),0,VLOOKUP(A38,'Données projet'!$A$269:$I$289,4,0))</f>
        <v>0</v>
      </c>
      <c r="HD38" s="122" t="n">
        <f aca="false">IF(ISNA(VLOOKUP(A38,'Données projet'!$A$269:$I$289,5,0)),0%,VLOOKUP(A38,'Données projet'!$A$269:$I$289,5,0)*VLOOKUP('Données projet'!$B$18,Paramètres!$A$1:$I$89,7,0))</f>
        <v>0</v>
      </c>
      <c r="HE38" s="122" t="n">
        <f aca="false">IF(ISNA(VLOOKUP(A38,'Données projet'!$A$269:$I$289,6,0)),0%,VLOOKUP(A38,'Données projet'!$A$269:$I$289,6,0)*VLOOKUP('Données projet'!$B$18,Paramètres!$A$1:$I$89,7,0))</f>
        <v>0</v>
      </c>
      <c r="HF38" s="122" t="n">
        <f aca="false">IF(ISNA(VLOOKUP(A38,'Données projet'!$A$269:$I$289,7,0)),0%,VLOOKUP(A38,'Données projet'!$A$269:$I$289,7,0))</f>
        <v>0</v>
      </c>
      <c r="HG38" s="129" t="e">
        <f aca="false">EXP(-LN(2)/35)*HG37+(1-EXP(-LN(2)/35))/(LN(2)/35)*HC38*HD38*VLOOKUP('Données projet'!$B$18,Paramètres!$A$1:$I$89,3,0)*0.475*44/12</f>
        <v>#N/A</v>
      </c>
      <c r="HH38" s="129" t="e">
        <f aca="false">EXP(-LN(2)/25)*HH37+(1-EXP(-LN(2)/25))/(LN(2)/25)*Calculateur!HC38*Calculateur!HE38*VLOOKUP('Données projet'!$B$18,Paramètres!$A$1:$I$89,3,0)*0.475*44/12</f>
        <v>#N/A</v>
      </c>
      <c r="HI38" s="129" t="e">
        <f aca="false">EXP(-LN(2)/2)*HI37+(1-EXP(-LN(2)/2))/(LN(2)/2)*HC38*HF38*VLOOKUP('Données projet'!$B$18,Paramètres!$A$1:$I$89,3,0)*0.475*44/12</f>
        <v>#N/A</v>
      </c>
      <c r="HJ38" s="130" t="e">
        <f aca="false">SUM(HG38:HI38)</f>
        <v>#N/A</v>
      </c>
    </row>
    <row r="39" customFormat="false" ht="14.25" hidden="false" customHeight="false" outlineLevel="0" collapsed="false">
      <c r="A39" s="112" t="n">
        <f aca="false">A38+1</f>
        <v>36</v>
      </c>
      <c r="B39" s="113" t="n">
        <f aca="false">'Scénario référence'!$B$16*5+'Scénario référence'!$B$17*0+'Scénario référence'!$B$18*5</f>
        <v>0</v>
      </c>
      <c r="C39" s="127" t="n">
        <f aca="false"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4" t="n">
        <f aca="false">IFERROR(EXP(-1.0587+0.8836*LN(C39)+0.284),0)</f>
        <v>0</v>
      </c>
      <c r="E3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39" s="114" t="n">
        <f aca="false">IF(OR('Scénario référence'!$F$8&gt;0,'Scénario référence'!$F$9&gt;0),('Scénario référence'!$F$8+'Scénario référence'!$F$9)*10,0)</f>
        <v>0</v>
      </c>
      <c r="G39" s="114" t="n">
        <f aca="false"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15" t="n">
        <f aca="false">(B39+E39+F39)*44/12+(C39+D39)*0.475*44/12</f>
        <v>256.666666666667</v>
      </c>
      <c r="I39" s="11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7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8" t="e">
        <f aca="false">VLOOKUP(A39,'Données projet'!$A$35:$I$55,2,0)</f>
        <v>#N/A</v>
      </c>
      <c r="L39" s="118" t="e">
        <f aca="false">VLOOKUP(A39,'Données projet'!$A$35:$I$55,9,0)</f>
        <v>#N/A</v>
      </c>
      <c r="M39" s="118" t="n">
        <f aca="false" t="array" ref="M39:M39">INDEX(L:L,MIN(IF(ISNUMBER(L39:L235),ROW(L39:L235),"")))</f>
        <v>10</v>
      </c>
      <c r="N39" s="117" t="n">
        <f aca="false">IF('Données projet'!$A$36&gt;35,N38+M39-V38,IF(A39&lt;'Données projet'!$A$36,$K$205^A39,IF(A39='Données projet'!$A$36,'Données projet'!$B$36,N38+M39-V38)))</f>
        <v>203.5</v>
      </c>
      <c r="O39" s="117" t="n">
        <f aca="false">N39*VLOOKUP('Données projet'!$B$9,Paramètres!$A$1:$I$89,3,0)*VLOOKUP('Données projet'!$B$9,Paramètres!$A$1:$I$89,5,0)</f>
        <v>95.238</v>
      </c>
      <c r="P39" s="117" t="n">
        <f aca="false">EXP(-1.0587+0.8836*LN(O39)+0.284)</f>
        <v>25.8243153540511</v>
      </c>
      <c r="Q39" s="128" t="n">
        <f aca="false">(O39+P39)*0.475*44/12</f>
        <v>210.850199241639</v>
      </c>
      <c r="R39" s="120" t="n">
        <f aca="false">Q39+(I39+J39)*44/12</f>
        <v>504.183532574972</v>
      </c>
      <c r="S39" s="120" t="n">
        <f aca="true">AVERAGE(OFFSET($R$3,0,0,'Données projet'!$E$9+1,1))-AVERAGE(OFFSET($H$3,0,0,'Données projet'!$E$9+1,1))</f>
        <v>319.229030946746</v>
      </c>
      <c r="T39" s="120" t="n">
        <f aca="false">$T$3</f>
        <v>254.586909731428</v>
      </c>
      <c r="U39" s="121" t="n">
        <f aca="false">IF(ISNA(VLOOKUP(A39,'Données projet'!$A$35:$I$55,3,0)),0,VLOOKUP(A39,'Données projet'!$A$35:$I$55,3,0))</f>
        <v>0</v>
      </c>
      <c r="V39" s="121" t="n">
        <f aca="false">IF(ISNA(VLOOKUP(A39,'Données projet'!$A$35:$I$55,4,0)),0,VLOOKUP(A39,'Données projet'!$A$35:$I$55,4,0))</f>
        <v>0</v>
      </c>
      <c r="W39" s="122" t="n">
        <f aca="false">IF(ISNA(VLOOKUP(A39,'Données projet'!$A$35:$I$55,5,0)),0%,VLOOKUP(A39,'Données projet'!$A$35:$I$55,5,0)*VLOOKUP('Données projet'!$B$9,Paramètres!$A$1:$I$89,7,0))</f>
        <v>0</v>
      </c>
      <c r="X39" s="122" t="n">
        <f aca="false">IF(ISNA(VLOOKUP(A39,'Données projet'!$A$35:$I$55,6,0)),0%,VLOOKUP(A39,'Données projet'!$A$35:$I$55,6,0)*VLOOKUP('Données projet'!$B$9,Paramètres!$A$1:$I$89,7,0))</f>
        <v>0</v>
      </c>
      <c r="Y39" s="122" t="n">
        <f aca="false">IF(ISNA(VLOOKUP(A39,'Données projet'!$A$35:$I$55,7,0)),0%,VLOOKUP(A39,'Données projet'!$A$35:$I$55,7,0))</f>
        <v>0</v>
      </c>
      <c r="Z39" s="129" t="n">
        <f aca="false">EXP(-LN(2)/35)*Z38+(1-EXP(-LN(2)/35))/(LN(2)/35)*V39*W39*VLOOKUP('Données projet'!$B$9,Paramètres!$A$1:$I$89,3,0)*0.475*44/12</f>
        <v>8.0593003766407</v>
      </c>
      <c r="AA39" s="129" t="n">
        <f aca="false">EXP(-LN(2)/25)*AA38+(1-EXP(-LN(2)/25))/(LN(2)/25)*Calculateur!V39*Calculateur!X39*VLOOKUP('Données projet'!$B$9,Paramètres!$A$1:$I$89,3,0)*0.475*44/12</f>
        <v>9.44232812013568</v>
      </c>
      <c r="AB39" s="129" t="n">
        <f aca="false">EXP(-LN(2)/2)*AB38+(1-EXP(-LN(2)/2))/(LN(2)/2)*V39*Y39*VLOOKUP('Données projet'!$B$9,Paramètres!$A$1:$I$89,3,0)*0.475*44/12</f>
        <v>1.38039108044979</v>
      </c>
      <c r="AC39" s="130" t="n">
        <f aca="false">SUM(Z39:AB39)</f>
        <v>18.8820195772262</v>
      </c>
      <c r="AD39" s="117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7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8" t="e">
        <f aca="false">VLOOKUP(A39,'Données projet'!$A$61:$I$81,2,0)</f>
        <v>#N/A</v>
      </c>
      <c r="AG39" s="118" t="e">
        <f aca="false">VLOOKUP(A39,'Données projet'!$A$61:$I$81,9,0)</f>
        <v>#N/A</v>
      </c>
      <c r="AH39" s="118" t="n">
        <f aca="false" t="array" ref="AH39:AH39">INDEX(AG:AG,MIN(IF(ISNUMBER(AG39:AG235),ROW(AG39:AG235),"")))</f>
        <v>24</v>
      </c>
      <c r="AI39" s="117" t="n">
        <f aca="false">IF('Données projet'!$A$62&gt;35,AI38+AH39-AQ38,IF(A39&lt;'Données projet'!$A$62,$AF$205^A39,IF(A39='Données projet'!$A$62,'Données projet'!$B$62,AI38+AH39-AQ38)))</f>
        <v>385</v>
      </c>
      <c r="AJ39" s="117" t="n">
        <f aca="false">AI39*VLOOKUP('Données projet'!$B$10,Paramètres!$A$1:$I$89,3,0)*VLOOKUP('Données projet'!$B$10,Paramètres!$A$1:$I$89,5,0)</f>
        <v>215.215</v>
      </c>
      <c r="AK39" s="117" t="n">
        <f aca="false">EXP(-1.0587+0.8836*LN(AJ39)+0.284)</f>
        <v>53.0735623535187</v>
      </c>
      <c r="AL39" s="128" t="n">
        <f aca="false">(AJ39+AK39)*0.475*44/12</f>
        <v>467.269246099045</v>
      </c>
      <c r="AM39" s="120" t="n">
        <f aca="false">AL39+(AD39+AE39)*44/12</f>
        <v>760.602579432378</v>
      </c>
      <c r="AN39" s="120" t="n">
        <f aca="true">AVERAGE(OFFSET($AM$3,0,0,'Données projet'!$E$10+1,1))-AVERAGE(OFFSET($H$3,0,0,'Données projet'!$E$10+1,1))</f>
        <v>365.705101827279</v>
      </c>
      <c r="AO39" s="120" t="n">
        <f aca="false">$AO$3</f>
        <v>436.238338449625</v>
      </c>
      <c r="AP39" s="121" t="n">
        <f aca="false">IF(ISNA(VLOOKUP(A39,'Données projet'!$A$61:$I$81,3,0)),0,VLOOKUP(A39,'Données projet'!$A$61:$I$81,3,0))</f>
        <v>0</v>
      </c>
      <c r="AQ39" s="121" t="n">
        <f aca="false">IF(ISNA(VLOOKUP(A39,'Données projet'!$A$61:$I$81,4,0)),0,VLOOKUP(A39,'Données projet'!$A$61:$I$81,4,0))</f>
        <v>0</v>
      </c>
      <c r="AR39" s="122" t="n">
        <f aca="false">IF(ISNA(VLOOKUP(A39,'Données projet'!$A$61:$I$81,5,0)),0%,VLOOKUP(A39,'Données projet'!$A$61:$I$81,5,0)*VLOOKUP('Données projet'!$B$10,Paramètres!$A$1:$I$89,7,0))</f>
        <v>0</v>
      </c>
      <c r="AS39" s="122" t="n">
        <f aca="false">IF(ISNA(VLOOKUP(A39,'Données projet'!$A$61:$I$81,6,0)),0%,VLOOKUP(A39,'Données projet'!$A$61:$I$81,6,0)*VLOOKUP('Données projet'!$B$10,Paramètres!$A$1:$I$89,7,0))</f>
        <v>0</v>
      </c>
      <c r="AT39" s="122" t="n">
        <f aca="false">IF(ISNA(VLOOKUP(A39,'Données projet'!$A$61:$I$81,7,0)),0%,VLOOKUP(A39,'Données projet'!$A$61:$I$81,7,0))</f>
        <v>0</v>
      </c>
      <c r="AU39" s="129" t="n">
        <f aca="false">EXP(-LN(2)/35)*AU38+(1-EXP(-LN(2)/35))/(LN(2)/35)*AQ39*AR39*VLOOKUP('Données projet'!$B$10,Paramètres!$A$1:$I$89,3,0)*0.475*44/12</f>
        <v>3.04212459830276</v>
      </c>
      <c r="AV39" s="129" t="n">
        <f aca="false">EXP(-LN(2)/25)*AV38+(1-EXP(-LN(2)/25))/(LN(2)/25)*Calculateur!AQ39*Calculateur!AS39*VLOOKUP('Données projet'!$B$10,Paramètres!$A$1:$I$89,3,0)*0.475*44/12</f>
        <v>11.1839271127815</v>
      </c>
      <c r="AW39" s="129" t="n">
        <f aca="false">EXP(-LN(2)/2)*AW38+(1-EXP(-LN(2)/2))/(LN(2)/2)*AQ39*AT39*VLOOKUP('Données projet'!$B$10,Paramètres!$A$1:$I$89,3,0)*0.475*44/12</f>
        <v>0.742883335709474</v>
      </c>
      <c r="AX39" s="129" t="n">
        <f aca="false">SUM(AU39:AW39)</f>
        <v>14.9689350467937</v>
      </c>
      <c r="AY39" s="124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8" t="e">
        <f aca="false">VLOOKUP(A39,'Données projet'!$A$87:$I$107,2,0)</f>
        <v>#N/A</v>
      </c>
      <c r="BB39" s="118" t="e">
        <f aca="false">VLOOKUP(A39,'Données projet'!$A$87:$I$107,9,0)</f>
        <v>#N/A</v>
      </c>
      <c r="BC39" s="118" t="n">
        <f aca="false" t="array" ref="BC39:BC39">INDEX(BB:BB,MIN(IF(ISNUMBER(BB39:BB235),ROW(BB39:BB235),"")))</f>
        <v>10.8</v>
      </c>
      <c r="BD39" s="118" t="n">
        <f aca="false">IF('Données projet'!$A$88&gt;35,BD38+BC39-BL38,IF(A39&lt;'Données projet'!$A$88,$BA$205^A39,IF(A39='Données projet'!$A$88,'Données projet'!$B$88,BD38+BC39-BL38)))</f>
        <v>169.8</v>
      </c>
      <c r="BE39" s="117" t="n">
        <f aca="false">BD39*VLOOKUP('Données projet'!$B$11,Paramètres!$A$1:$I$89,3,0)*VLOOKUP('Données projet'!$B$11,Paramètres!$A$1:$I$89,5,0)</f>
        <v>148.33728</v>
      </c>
      <c r="BF39" s="117" t="n">
        <f aca="false">EXP(-1.0587+0.8836*LN(BE39)+0.284)</f>
        <v>38.2004817526548</v>
      </c>
      <c r="BG39" s="128" t="n">
        <f aca="false">(BE39+BF39)*0.475*44/12</f>
        <v>324.886601719207</v>
      </c>
      <c r="BH39" s="120" t="n">
        <f aca="false">BG39+(AY39+AZ39)*44/12</f>
        <v>618.219935052541</v>
      </c>
      <c r="BI39" s="120" t="n">
        <f aca="true">AVERAGE(OFFSET($BH$3,0,0,'Données projet'!$E$11+1,1))-AVERAGE(OFFSET($H$3,0,0,'Données projet'!$E$11+1,1))</f>
        <v>321.235999689929</v>
      </c>
      <c r="BJ39" s="120" t="n">
        <f aca="false">$BJ$3</f>
        <v>388.051958478005</v>
      </c>
      <c r="BK39" s="121" t="n">
        <f aca="false">IF(ISNA(VLOOKUP(A39,'Données projet'!$A$87:$I$107,3,0)),0,VLOOKUP(A39,'Données projet'!$A$87:$I$107,3,0))</f>
        <v>0</v>
      </c>
      <c r="BL39" s="121" t="n">
        <f aca="false">IF(ISNA(VLOOKUP(A39,'Données projet'!$A$87:$I$107,4,0)),0,VLOOKUP(A39,'Données projet'!$A$87:$I$107,4,0))</f>
        <v>0</v>
      </c>
      <c r="BM39" s="122" t="n">
        <f aca="false">IF(ISNA(VLOOKUP(A39,'Données projet'!$A$87:$I$107,5,0)),0%,VLOOKUP(A39,'Données projet'!$A$87:$I$107,5,0)*VLOOKUP('Données projet'!$B$11,Paramètres!$A$1:$I$89,7,0))</f>
        <v>0</v>
      </c>
      <c r="BN39" s="122" t="n">
        <f aca="false">IF(ISNA(VLOOKUP(A39,'Données projet'!$A$87:$I$107,6,0)),0%,VLOOKUP(A39,'Données projet'!$A$87:$I$107,6,0)*VLOOKUP('Données projet'!$B$11,Paramètres!$A$1:$I$89,7,0))</f>
        <v>0</v>
      </c>
      <c r="BO39" s="122" t="n">
        <f aca="false">IF(ISNA(VLOOKUP(A39,'Données projet'!$A$87:$I$107,7,0)),0%,VLOOKUP(A39,'Données projet'!$A$87:$I$107,7,0))</f>
        <v>0</v>
      </c>
      <c r="BP39" s="129" t="n">
        <f aca="false">EXP(-LN(2)/35)*BP38+(1-EXP(-LN(2)/35))/(LN(2)/35)*BL39*BM39*VLOOKUP('Données projet'!$B$11,Paramètres!$A$1:$I$89,3,0)*0.475*44/12</f>
        <v>7.63762297179364</v>
      </c>
      <c r="BQ39" s="129" t="n">
        <f aca="false">EXP(-LN(2)/25)*BQ38+(1-EXP(-LN(2)/25))/(LN(2)/25)*Calculateur!BL39*Calculateur!BN39*VLOOKUP('Données projet'!$B$11,Paramètres!$A$1:$I$89,3,0)*0.475*44/12</f>
        <v>11.4158885125276</v>
      </c>
      <c r="BR39" s="129" t="n">
        <f aca="false">EXP(-LN(2)/2)*BR38+(1-EXP(-LN(2)/2))/(LN(2)/2)*BL39*BO39*VLOOKUP('Données projet'!$B$11,Paramètres!$A$1:$I$89,3,0)*0.475*44/12</f>
        <v>0.755125469661842</v>
      </c>
      <c r="BS39" s="130" t="n">
        <f aca="false">SUM(BP39:BR39)</f>
        <v>19.808636953983</v>
      </c>
      <c r="BT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8" t="n">
        <f aca="false">VLOOKUP(A39,'Données projet'!$A$113:$I$133,2,0)</f>
        <v>248</v>
      </c>
      <c r="BW39" s="118" t="n">
        <f aca="false">VLOOKUP(A39,'Données projet'!$A$113:$I$133,9,0)</f>
        <v>12.8333333333333</v>
      </c>
      <c r="BX39" s="118" t="n">
        <f aca="false" t="array" ref="BX39:BX39">INDEX(BW:BW,MIN(IF(ISNUMBER(BW39:BW235),ROW(BW39:BW235),"")))</f>
        <v>12.8333333333333</v>
      </c>
      <c r="BY39" s="118" t="n">
        <f aca="false">IF('Données projet'!$A$114&gt;35,BY38+BX39-CG38,IF(A39&lt;'Données projet'!$A$114,$BV$205^A39,IF(A39='Données projet'!$A$114,'Données projet'!$B$114,BY38+BX39-CG38)))</f>
        <v>248</v>
      </c>
      <c r="BZ39" s="117" t="n">
        <f aca="false">BY39*VLOOKUP('Données projet'!$B$12,Paramètres!$A$1:$I$89,3,0)*VLOOKUP('Données projet'!$B$12,Paramètres!$A$1:$I$89,5,0)</f>
        <v>154.752</v>
      </c>
      <c r="CA39" s="117" t="n">
        <f aca="false">EXP(-1.0587+0.8836*LN(BZ39)+0.284)</f>
        <v>39.6565266500764</v>
      </c>
      <c r="CB39" s="128" t="n">
        <f aca="false">(BZ39+CA39)*0.475*44/12</f>
        <v>338.594850582216</v>
      </c>
      <c r="CC39" s="120" t="n">
        <f aca="false">CB39+(BT39+BU39)*44/12</f>
        <v>631.92818391555</v>
      </c>
      <c r="CD39" s="120" t="n">
        <f aca="true">AVERAGE(OFFSET($CC$3,0,0,'Données projet'!$E$12+1,1))-AVERAGE(OFFSET($H$3,0,0,'Données projet'!$E$12+1,1))</f>
        <v>240.228848647662</v>
      </c>
      <c r="CE39" s="120" t="n">
        <f aca="false">$CE$3</f>
        <v>343.237768841432</v>
      </c>
      <c r="CF39" s="121" t="n">
        <f aca="false">IF(ISNA(VLOOKUP(A39,'Données projet'!$A$113:$I$133,3,0)),0,VLOOKUP(A39,'Données projet'!$A$113:$I$133,3,0))</f>
        <v>5</v>
      </c>
      <c r="CG39" s="121" t="n">
        <f aca="false">IF(ISNA(VLOOKUP(A39,'Données projet'!$A$113:$I$133,4,0)),0,VLOOKUP(A39,'Données projet'!$A$113:$I$133,4,0))</f>
        <v>62</v>
      </c>
      <c r="CH39" s="122" t="n">
        <f aca="false">IF(ISNA(VLOOKUP(A39,'Données projet'!$A$113:$I$133,5,0)),0%,VLOOKUP(A39,'Données projet'!$A$113:$I$133,5,0)*VLOOKUP('Données projet'!$B$12,Paramètres!$A$1:$I$89,7,0))</f>
        <v>0</v>
      </c>
      <c r="CI39" s="122" t="n">
        <f aca="false">IF(ISNA(VLOOKUP(A39,'Données projet'!$A$113:$I$133,6,0)),0%,VLOOKUP(A39,'Données projet'!$A$113:$I$133,6,0)*VLOOKUP('Données projet'!$B$12,Paramètres!$A$1:$I$89,7,0))</f>
        <v>0</v>
      </c>
      <c r="CJ39" s="122" t="n">
        <f aca="false">IF(ISNA(VLOOKUP(A39,'Données projet'!$A$113:$I$133,7,0)),0%,VLOOKUP(A39,'Données projet'!$A$113:$I$133,7,0))</f>
        <v>0</v>
      </c>
      <c r="CK39" s="129" t="n">
        <f aca="false">EXP(-LN(2)/35)*CK38+(1-EXP(-LN(2)/35))/(LN(2)/35)*CG39*CH39*VLOOKUP('Données projet'!$B$12,Paramètres!$A$1:$I$89,3,0)*0.475*44/12</f>
        <v>4.67482028274372</v>
      </c>
      <c r="CL39" s="129" t="n">
        <f aca="false">EXP(-LN(2)/25)*CL38+(1-EXP(-LN(2)/25))/(LN(2)/25)*Calculateur!CG39*Calculateur!CI39*VLOOKUP('Données projet'!$B$12,Paramètres!$A$1:$I$89,3,0)*0.475*44/12</f>
        <v>20.1611199776161</v>
      </c>
      <c r="CM39" s="129" t="n">
        <f aca="false">EXP(-LN(2)/2)*CM38+(1-EXP(-LN(2)/2))/(LN(2)/2)*CG39*CJ39*VLOOKUP('Données projet'!$B$12,Paramètres!$A$1:$I$89,3,0)*0.475*44/12</f>
        <v>1.20497893324548</v>
      </c>
      <c r="CN39" s="130" t="n">
        <f aca="false">SUM(CK39:CM39)</f>
        <v>26.0409191936053</v>
      </c>
      <c r="CO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8" t="n">
        <f aca="false">VLOOKUP(A39,'Données projet'!$A$139:$I$159,2,0)</f>
        <v>269</v>
      </c>
      <c r="CR39" s="118" t="n">
        <f aca="false">VLOOKUP(A39,'Données projet'!$A$139:$I$159,9,0)</f>
        <v>15</v>
      </c>
      <c r="CS39" s="118" t="n">
        <f aca="false" t="array" ref="CS39:CS39">INDEX(CR:CR,MIN(IF(ISNUMBER(CR39:CR235),ROW(CR39:CR235),"")))</f>
        <v>15</v>
      </c>
      <c r="CT39" s="118" t="n">
        <f aca="false">IF('Données projet'!$A$140&gt;35,CT38+CS39-DB38,IF(A39&lt;'Données projet'!$A$140,$CQ$205^A39,IF(A39='Données projet'!$A$140,'Données projet'!$B$140,CT38+CS39-DB38)))</f>
        <v>269</v>
      </c>
      <c r="CU39" s="125" t="n">
        <f aca="false">CT39*VLOOKUP('Données projet'!$B$13,Paramètres!$A$1:$I$89,3,0)*VLOOKUP('Données projet'!$B$13,Paramètres!$A$1:$I$89,5,0)</f>
        <v>146.874</v>
      </c>
      <c r="CV39" s="117" t="n">
        <f aca="false">EXP(-1.0587+0.8836*LN(CU39)+0.284)</f>
        <v>37.8673225175914</v>
      </c>
      <c r="CW39" s="128" t="n">
        <f aca="false">(CU39+CV39)*0.475*44/12</f>
        <v>321.757803384805</v>
      </c>
      <c r="CX39" s="120" t="n">
        <f aca="false">CW39+(CO39+CP39)*44/12</f>
        <v>615.091136718138</v>
      </c>
      <c r="CY39" s="120" t="n">
        <f aca="true">AVERAGE(OFFSET($CX$3,0,0,'Données projet'!$E$13+1,1))-AVERAGE(OFFSET($H$3,0,0,'Données projet'!$E$13+1,1))</f>
        <v>207.023069645676</v>
      </c>
      <c r="CZ39" s="120" t="n">
        <f aca="false">$CZ$3</f>
        <v>342.068879333518</v>
      </c>
      <c r="DA39" s="121" t="n">
        <f aca="false">IF(ISNA(VLOOKUP(A39,'Données projet'!$A$139:$I$159,3,0)),0,VLOOKUP(A39,'Données projet'!$A$139:$I$159,3,0))</f>
        <v>6</v>
      </c>
      <c r="DB39" s="121" t="n">
        <f aca="false">IF(ISNA(VLOOKUP(A39,'Données projet'!$A$139:$I$159,4,0)),0,VLOOKUP(A39,'Données projet'!$A$139:$I$159,4,0))</f>
        <v>75</v>
      </c>
      <c r="DC39" s="122" t="n">
        <f aca="false">IF(ISNA(VLOOKUP(A39,'Données projet'!$A$139:$I$159,5,0)),0%,VLOOKUP(A39,'Données projet'!$A$139:$I$159,5,0)*VLOOKUP('Données projet'!$B$13,Paramètres!$A$1:$I$89,7,0))</f>
        <v>0</v>
      </c>
      <c r="DD39" s="122" t="n">
        <f aca="false">IF(ISNA(VLOOKUP(A39,'Données projet'!$A$139:$I$159,6,0)),0%,VLOOKUP(A39,'Données projet'!$A$139:$I$159,6,0)*VLOOKUP('Données projet'!$B$13,Paramètres!$A$1:$I$89,7,0))</f>
        <v>0</v>
      </c>
      <c r="DE39" s="122" t="n">
        <f aca="false">IF(ISNA(VLOOKUP(A39,'Données projet'!$A$139:$I$159,7,0)),0%,VLOOKUP(A39,'Données projet'!$A$139:$I$159,7,0))</f>
        <v>0</v>
      </c>
      <c r="DF39" s="129" t="n">
        <f aca="false">EXP(-LN(2)/35)*DF38+(1-EXP(-LN(2)/35))/(LN(2)/35)*DB39*DC39*VLOOKUP('Données projet'!$B$13,Paramètres!$A$1:$I$89,3,0)*0.475*44/12</f>
        <v>5.86557639249919</v>
      </c>
      <c r="DG39" s="129" t="n">
        <f aca="false">EXP(-LN(2)/25)*DG38+(1-EXP(-LN(2)/25))/(LN(2)/25)*Calculateur!DB39*Calculateur!DD39*VLOOKUP('Données projet'!$B$13,Paramètres!$A$1:$I$89,3,0)*0.475*44/12</f>
        <v>32.9550342822014</v>
      </c>
      <c r="DH39" s="129" t="n">
        <f aca="false">EXP(-LN(2)/2)*DH38+(1-EXP(-LN(2)/2))/(LN(2)/2)*DB39*DE39*VLOOKUP('Données projet'!$B$13,Paramètres!$A$1:$I$89,3,0)*0.475*44/12</f>
        <v>1.65925654973761</v>
      </c>
      <c r="DI39" s="130" t="n">
        <f aca="false">SUM(DF39:DH39)</f>
        <v>40.4798672244382</v>
      </c>
      <c r="DJ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8" t="e">
        <f aca="false">VLOOKUP(A39,'Données projet'!$A$165:$I$185,2,0)</f>
        <v>#N/A</v>
      </c>
      <c r="DM39" s="118" t="e">
        <f aca="false">VLOOKUP(A39,'Données projet'!$A$165:$I$185,9,0)</f>
        <v>#N/A</v>
      </c>
      <c r="DN39" s="118" t="n">
        <f aca="false" t="array" ref="DN39:DN39">INDEX(DM:DM,MIN(IF(ISNUMBER(DM39:DM235),ROW(DM39:DM235),"")))</f>
        <v>12.8333333333333</v>
      </c>
      <c r="DO39" s="118" t="n">
        <f aca="false">IF('Données projet'!$A$166&gt;35,DO38+DN39-DW38,IF(A39&lt;'Données projet'!$A$166,$DL$205^A39,IF(A39='Données projet'!$A$166,'Données projet'!$B$166,DO38+DN39-DW38)))</f>
        <v>223.666666666667</v>
      </c>
      <c r="DP39" s="125" t="n">
        <f aca="false">DO39*VLOOKUP('Données projet'!$B$14,Paramètres!$A$1:$I$89,3,0)*VLOOKUP('Données projet'!$B$14,Paramètres!$A$1:$I$89,5,0)</f>
        <v>133.752666666667</v>
      </c>
      <c r="DQ39" s="117" t="n">
        <f aca="false">EXP(-1.0587+0.8836*LN(DP39)+0.284)</f>
        <v>34.8620490177679</v>
      </c>
      <c r="DR39" s="128" t="n">
        <f aca="false">(DP39+DQ39)*0.475*44/12</f>
        <v>293.670629817057</v>
      </c>
      <c r="DS39" s="120" t="n">
        <f aca="false">DR39+(DJ39+DK39)*44/12</f>
        <v>587.00396315039</v>
      </c>
      <c r="DT39" s="120" t="n">
        <f aca="true">AVERAGE(OFFSET($DS$3,0,0,'Données projet'!$E$14+1,1))-AVERAGE(OFFSET($H$3,0,0,'Données projet'!$E$14+1,1))</f>
        <v>549.432320957297</v>
      </c>
      <c r="DU39" s="120" t="n">
        <f aca="false">$DU$3</f>
        <v>280.26155987301</v>
      </c>
      <c r="DV39" s="121" t="n">
        <f aca="false">IF(ISNA(VLOOKUP(A39,'Données projet'!$A$165:$I$185,3,0)),0,VLOOKUP(A39,'Données projet'!$A$165:$I$185,3,0))</f>
        <v>0</v>
      </c>
      <c r="DW39" s="121" t="n">
        <f aca="false">IF(ISNA(VLOOKUP(A39,'Données projet'!$A$165:$I$185,4,0)),0,VLOOKUP(A39,'Données projet'!$A$165:$I$185,4,0))</f>
        <v>0</v>
      </c>
      <c r="DX39" s="122" t="n">
        <f aca="false">IF(ISNA(VLOOKUP(A39,'Données projet'!$A$165:$I$185,5,0)),0%,VLOOKUP(A39,'Données projet'!$A$165:$I$185,5,0)*VLOOKUP('Données projet'!$B$14,Paramètres!$A$1:$I$89,7,0))</f>
        <v>0</v>
      </c>
      <c r="DY39" s="122" t="n">
        <f aca="false">IF(ISNA(VLOOKUP(A39,'Données projet'!$A$165:$I$185,6,0)),0%,VLOOKUP(A39,'Données projet'!$A$165:$I$185,6,0)*VLOOKUP('Données projet'!$B$14,Paramètres!$A$1:$I$89,7,0))</f>
        <v>0</v>
      </c>
      <c r="DZ39" s="122" t="n">
        <f aca="false">IF(ISNA(VLOOKUP(A39,'Données projet'!$A$165:$I$185,7,0)),0%,VLOOKUP(A39,'Données projet'!$A$165:$I$185,7,0))</f>
        <v>0</v>
      </c>
      <c r="EA39" s="129" t="n">
        <f aca="false">EXP(-LN(2)/35)*EA38+(1-EXP(-LN(2)/35))/(LN(2)/35)*DW39*DX39*VLOOKUP('Données projet'!$B$14,Paramètres!$A$1:$I$89,3,0)*0.475*44/12</f>
        <v>2.13271703593801</v>
      </c>
      <c r="EB39" s="129" t="n">
        <f aca="false">EXP(-LN(2)/25)*EB38+(1-EXP(-LN(2)/25))/(LN(2)/25)*Calculateur!DW39*Calculateur!DY39*VLOOKUP('Données projet'!$B$14,Paramètres!$A$1:$I$89,3,0)*0.475*44/12</f>
        <v>6.56529302041296</v>
      </c>
      <c r="EC39" s="129" t="n">
        <f aca="false">EXP(-LN(2)/2)*EC38+(1-EXP(-LN(2)/2))/(LN(2)/2)*DW39*DZ39*VLOOKUP('Données projet'!$B$14,Paramètres!$A$1:$I$89,3,0)*0.475*44/12</f>
        <v>0.764883066819934</v>
      </c>
      <c r="ED39" s="130" t="n">
        <f aca="false">SUM(EA39:EC39)</f>
        <v>9.4628931231709</v>
      </c>
      <c r="EE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8" t="e">
        <f aca="false">VLOOKUP(A39,'Données projet'!$A$191:$I$211,2,0)</f>
        <v>#N/A</v>
      </c>
      <c r="EH39" s="118" t="e">
        <f aca="false">VLOOKUP(A39,'Données projet'!$A$191:$I$211,9,0)</f>
        <v>#N/A</v>
      </c>
      <c r="EI39" s="118" t="n">
        <f aca="false" t="array" ref="EI39:EI39">INDEX(EH:EH,MIN(IF(ISNUMBER(EH39:EH235),ROW(EH39:EH235),"")))</f>
        <v>0</v>
      </c>
      <c r="EJ39" s="118" t="n">
        <f aca="false">IF('Données projet'!$A$192&gt;35,EJ38+EI39-ER38,IF(A39&lt;'Données projet'!$A$192,$EG$205^A39,IF(A39='Données projet'!$A$192,'Données projet'!$B$192,EJ38+EI39-ER38)))</f>
        <v>0</v>
      </c>
      <c r="EK39" s="125" t="e">
        <f aca="false">EJ39*VLOOKUP('Données projet'!$B$15,Paramètres!$A$1:$I$89,3,0)*VLOOKUP('Données projet'!$B$15,Paramètres!$A$1:$I$89,5,0)</f>
        <v>#N/A</v>
      </c>
      <c r="EL39" s="117" t="e">
        <f aca="false">EXP(-1.0587+0.8836*LN(EK39)+0.284)</f>
        <v>#N/A</v>
      </c>
      <c r="EM39" s="128" t="e">
        <f aca="false">(EK39+EL39)*0.475*44/12</f>
        <v>#N/A</v>
      </c>
      <c r="EN39" s="120" t="e">
        <f aca="false">EM39+(EE39+EF39)*44/12</f>
        <v>#N/A</v>
      </c>
      <c r="EO39" s="120" t="e">
        <f aca="true">AVERAGE(OFFSET($EN$3,0,0,'Données projet'!$E$15+1,1))-AVERAGE(OFFSET($H$3,0,0,'Données projet'!$E$15+1,1))</f>
        <v>#N/A</v>
      </c>
      <c r="EP39" s="120" t="e">
        <f aca="false">$EP$3</f>
        <v>#N/A</v>
      </c>
      <c r="EQ39" s="121" t="n">
        <f aca="false">IF(ISNA(VLOOKUP(A39,'Données projet'!$A$191:$I$211,3,0)),0,VLOOKUP(A39,'Données projet'!$A$191:$I$211,3,0))</f>
        <v>0</v>
      </c>
      <c r="ER39" s="121" t="n">
        <f aca="false">IF(ISNA(VLOOKUP(A39,'Données projet'!$A$191:$I$211,4,0)),0,VLOOKUP(A39,'Données projet'!$A$191:$I$211,4,0))</f>
        <v>0</v>
      </c>
      <c r="ES39" s="122" t="n">
        <f aca="false">IF(ISNA(VLOOKUP(A39,'Données projet'!$A$191:$I$211,5,0)),0%,VLOOKUP(A39,'Données projet'!$A$191:$I$211,5,0)*VLOOKUP('Données projet'!$B$15,Paramètres!$A$1:$I$89,7,0))</f>
        <v>0</v>
      </c>
      <c r="ET39" s="122" t="n">
        <f aca="false">IF(ISNA(VLOOKUP(A39,'Données projet'!$A$191:$I$211,6,0)),0%,VLOOKUP(A39,'Données projet'!$A$191:$I$211,6,0)*VLOOKUP('Données projet'!$B$15,Paramètres!$A$1:$I$89,7,0))</f>
        <v>0</v>
      </c>
      <c r="EU39" s="122" t="n">
        <f aca="false">IF(ISNA(VLOOKUP(A39,'Données projet'!$A$191:$I$211,7,0)),0%,VLOOKUP(A39,'Données projet'!$A$191:$I$211,7,0))</f>
        <v>0</v>
      </c>
      <c r="EV39" s="129" t="e">
        <f aca="false">EXP(-LN(2)/35)*EV38+(1-EXP(-LN(2)/35))/(LN(2)/35)*ER39*ES39*VLOOKUP('Données projet'!$B$15,Paramètres!$A$1:$I$89,3,0)*0.475*44/12</f>
        <v>#N/A</v>
      </c>
      <c r="EW39" s="129" t="e">
        <f aca="false">EXP(-LN(2)/25)*EW38+(1-EXP(-LN(2)/25))/(LN(2)/25)*Calculateur!ER39*Calculateur!ET39*VLOOKUP('Données projet'!$B$15,Paramètres!$A$1:$I$89,3,0)*0.475*44/12</f>
        <v>#N/A</v>
      </c>
      <c r="EX39" s="129" t="e">
        <f aca="false">EXP(-LN(2)/2)*EX38+(1-EXP(-LN(2)/2))/(LN(2)/2)*ER39*EU39*VLOOKUP('Données projet'!$B$15,Paramètres!$A$1:$I$89,3,0)*0.475*44/12</f>
        <v>#N/A</v>
      </c>
      <c r="EY39" s="130" t="e">
        <f aca="false">SUM(EV39:EX39)</f>
        <v>#N/A</v>
      </c>
      <c r="EZ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8" t="e">
        <f aca="false">VLOOKUP(A39,'Données projet'!$A$217:$I$237,2,0)</f>
        <v>#N/A</v>
      </c>
      <c r="FC39" s="118" t="e">
        <f aca="false">VLOOKUP(A39,'Données projet'!$A$217:$I$237,9,0)</f>
        <v>#N/A</v>
      </c>
      <c r="FD39" s="118" t="n">
        <f aca="false" t="array" ref="FD39:FD39">INDEX(FC:FC,MIN(IF(ISNUMBER(FC39:FC235),ROW(FC39:FC235),"")))</f>
        <v>0</v>
      </c>
      <c r="FE39" s="118" t="n">
        <f aca="false">IF('Données projet'!$A$218&gt;35,FE38+FD39-FM38,IF(A39&lt;'Données projet'!$A$218,$FB$205^A39,IF(A39='Données projet'!$A$218,'Données projet'!$B$218,FE38+FD39-FM38)))</f>
        <v>0</v>
      </c>
      <c r="FF39" s="125" t="e">
        <f aca="false">FE39*VLOOKUP('Données projet'!$B$16,Paramètres!$A$1:$I$89,3,0)*VLOOKUP('Données projet'!$B$16,Paramètres!$A$1:$I$89,5,0)</f>
        <v>#N/A</v>
      </c>
      <c r="FG39" s="117" t="e">
        <f aca="false">EXP(-1.0587+0.8836*LN(FF39)+0.284)</f>
        <v>#N/A</v>
      </c>
      <c r="FH39" s="128" t="e">
        <f aca="false">(FF39+FG39)*0.475*44/12</f>
        <v>#N/A</v>
      </c>
      <c r="FI39" s="120" t="e">
        <f aca="false">FH39+(EZ39+FA39)*44/12</f>
        <v>#N/A</v>
      </c>
      <c r="FJ39" s="120" t="e">
        <f aca="true">AVERAGE(OFFSET($FI$3,0,0,'Données projet'!$E$16+1,1))-AVERAGE(OFFSET($H$3,0,0,'Données projet'!$E$16+1,1))</f>
        <v>#N/A</v>
      </c>
      <c r="FK39" s="120" t="e">
        <f aca="false">$FK$3</f>
        <v>#N/A</v>
      </c>
      <c r="FL39" s="121" t="n">
        <f aca="false">IF(ISNA(VLOOKUP(A39,'Données projet'!$A$217:$I$237,3,0)),0,VLOOKUP(A39,'Données projet'!$A$217:$I$237,3,0))</f>
        <v>0</v>
      </c>
      <c r="FM39" s="121" t="n">
        <f aca="false">IF(ISNA(VLOOKUP(A39,'Données projet'!$A$217:$I$237,4,0)),0,VLOOKUP(A39,'Données projet'!$A$217:$I$237,4,0))</f>
        <v>0</v>
      </c>
      <c r="FN39" s="122" t="n">
        <f aca="false">IF(ISNA(VLOOKUP(A39,'Données projet'!$A$217:$I$237,5,0)),0%,VLOOKUP(A39,'Données projet'!$A$217:$I$237,5,0)*VLOOKUP('Données projet'!$B$16,Paramètres!$A$1:$I$89,7,0))</f>
        <v>0</v>
      </c>
      <c r="FO39" s="122" t="n">
        <f aca="false">IF(ISNA(VLOOKUP(A39,'Données projet'!$A$217:$I$237,6,0)),0%,VLOOKUP(A39,'Données projet'!$A$217:$I$237,6,0)*VLOOKUP('Données projet'!$B$16,Paramètres!$A$1:$I$89,7,0))</f>
        <v>0</v>
      </c>
      <c r="FP39" s="122" t="n">
        <f aca="false">IF(ISNA(VLOOKUP(A39,'Données projet'!$A$217:$I$237,7,0)),0%,VLOOKUP(A39,'Données projet'!$A$217:$I$237,7,0))</f>
        <v>0</v>
      </c>
      <c r="FQ39" s="129" t="e">
        <f aca="false">EXP(-LN(2)/35)*FQ38+(1-EXP(-LN(2)/35))/(LN(2)/35)*FM39*FN39*VLOOKUP('Données projet'!$B$16,Paramètres!$A$1:$I$89,3,0)*0.475*44/12</f>
        <v>#N/A</v>
      </c>
      <c r="FR39" s="129" t="e">
        <f aca="false">EXP(-LN(2)/25)*FR38+(1-EXP(-LN(2)/25))/(LN(2)/25)*Calculateur!FM39*Calculateur!FO39*VLOOKUP('Données projet'!$B$16,Paramètres!$A$1:$I$89,3,0)*0.475*44/12</f>
        <v>#N/A</v>
      </c>
      <c r="FS39" s="129" t="e">
        <f aca="false">EXP(-LN(2)/2)*FS38+(1-EXP(-LN(2)/2))/(LN(2)/2)*FM39*FP39*VLOOKUP('Données projet'!$B$16,Paramètres!$A$1:$I$89,3,0)*0.475*44/12</f>
        <v>#N/A</v>
      </c>
      <c r="FT39" s="130" t="e">
        <f aca="false">SUM(FQ39:FS39)</f>
        <v>#N/A</v>
      </c>
      <c r="FU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8" t="e">
        <f aca="false">VLOOKUP(A39,'Données projet'!$A$243:$I$263,2,0)</f>
        <v>#N/A</v>
      </c>
      <c r="FX39" s="118" t="e">
        <f aca="false">VLOOKUP(A39,'Données projet'!$A$243:$I$263,9,0)</f>
        <v>#N/A</v>
      </c>
      <c r="FY39" s="118" t="n">
        <f aca="false" t="array" ref="FY39:FY39">INDEX(FX:FX,MIN(IF(ISNUMBER(FX39:FX235),ROW(FX39:FX235),"")))</f>
        <v>0</v>
      </c>
      <c r="FZ39" s="118" t="n">
        <f aca="false">IF('Données projet'!$A$244&gt;35,FZ38+FY39-GH38,IF(A39&lt;'Données projet'!$A$244,$FW$205^A39,IF(A39='Données projet'!$A$244,'Données projet'!$B$244,FZ38+FY39-GH38)))</f>
        <v>0</v>
      </c>
      <c r="GA39" s="125" t="e">
        <f aca="false">FZ39*VLOOKUP('Données projet'!$B$17,Paramètres!$A$1:$I$89,3,0)*VLOOKUP('Données projet'!$B$17,Paramètres!$A$1:$I$89,5,0)</f>
        <v>#N/A</v>
      </c>
      <c r="GB39" s="117" t="e">
        <f aca="false">EXP(-1.0587+0.8836*LN(GA39)+0.284)</f>
        <v>#N/A</v>
      </c>
      <c r="GC39" s="128" t="e">
        <f aca="false">(GA39+GB39)*0.475*44/12</f>
        <v>#N/A</v>
      </c>
      <c r="GD39" s="120" t="e">
        <f aca="false">GC39+(FU39+FV39)*44/12</f>
        <v>#N/A</v>
      </c>
      <c r="GE39" s="120" t="e">
        <f aca="true">AVERAGE(OFFSET($GD$3,0,0,'Données projet'!$E$17+1,1))-AVERAGE(OFFSET($H$3,0,0,'Données projet'!$E$17+1,1))</f>
        <v>#N/A</v>
      </c>
      <c r="GF39" s="120" t="e">
        <f aca="false">$GF$3</f>
        <v>#N/A</v>
      </c>
      <c r="GG39" s="121" t="n">
        <f aca="false">IF(ISNA(VLOOKUP(A39,'Données projet'!$A$243:$I$263,3,0)),0,VLOOKUP(A39,'Données projet'!$A$243:$I$263,3,0))</f>
        <v>0</v>
      </c>
      <c r="GH39" s="121" t="n">
        <f aca="false">IF(ISNA(VLOOKUP(A39,'Données projet'!$A$243:$I$263,4,0)),0,VLOOKUP(A39,'Données projet'!$A$243:$I$263,4,0))</f>
        <v>0</v>
      </c>
      <c r="GI39" s="122" t="n">
        <f aca="false">IF(ISNA(VLOOKUP(A39,'Données projet'!$A$243:$I$263,5,0)),0%,VLOOKUP(A39,'Données projet'!$A$243:$I$263,5,0)*VLOOKUP('Données projet'!$B$17,Paramètres!$A$1:$I$89,7,0))</f>
        <v>0</v>
      </c>
      <c r="GJ39" s="122" t="n">
        <f aca="false">IF(ISNA(VLOOKUP(A39,'Données projet'!$A$243:$I$263,6,0)),0%,VLOOKUP(A39,'Données projet'!$A$243:$I$263,6,0)*VLOOKUP('Données projet'!$B$17,Paramètres!$A$1:$I$89,7,0))</f>
        <v>0</v>
      </c>
      <c r="GK39" s="122" t="n">
        <f aca="false">IF(ISNA(VLOOKUP(A39,'Données projet'!$A$243:$I$263,7,0)),0%,VLOOKUP(A39,'Données projet'!$A$243:$I$263,7,0))</f>
        <v>0</v>
      </c>
      <c r="GL39" s="129" t="e">
        <f aca="false">EXP(-LN(2)/35)*GL38+(1-EXP(-LN(2)/35))/(LN(2)/35)*GH39*GI39*VLOOKUP('Données projet'!$B$17,Paramètres!$A$1:$I$89,3,0)*0.475*44/12</f>
        <v>#N/A</v>
      </c>
      <c r="GM39" s="129" t="e">
        <f aca="false">EXP(-LN(2)/25)*GM38+(1-EXP(-LN(2)/25))/(LN(2)/25)*Calculateur!GH39*Calculateur!GJ39*VLOOKUP('Données projet'!$B$17,Paramètres!$A$1:$I$89,3,0)*0.475*44/12</f>
        <v>#N/A</v>
      </c>
      <c r="GN39" s="129" t="e">
        <f aca="false">EXP(-LN(2)/2)*GN38+(1-EXP(-LN(2)/2))/(LN(2)/2)*GH39*GK39*VLOOKUP('Données projet'!$B$17,Paramètres!$A$1:$I$89,3,0)*0.475*44/12</f>
        <v>#N/A</v>
      </c>
      <c r="GO39" s="129" t="e">
        <f aca="false">SUM(GL39:GN39)</f>
        <v>#N/A</v>
      </c>
      <c r="GP39" s="126" t="n">
        <f aca="false"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8" t="n">
        <f aca="false"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8" t="e">
        <f aca="false">VLOOKUP(A39,'Données projet'!$A$269:$I$289,2,0)</f>
        <v>#N/A</v>
      </c>
      <c r="GS39" s="118" t="e">
        <f aca="false">VLOOKUP(A39,'Données projet'!$A$269:$I$289,9,0)</f>
        <v>#N/A</v>
      </c>
      <c r="GT39" s="118" t="n">
        <f aca="false" t="array" ref="GT39:GT39">INDEX(GS:GS,MIN(IF(ISNUMBER(GS39:GS235),ROW(GS39:GS235),"")))</f>
        <v>0</v>
      </c>
      <c r="GU39" s="118" t="n">
        <f aca="false">IF('Données projet'!$A$270&gt;35,GU38+GT39-HC38,IF(A39&lt;'Données projet'!$A$270,$GR$205^A39,IF(A39='Données projet'!$A$270,'Données projet'!$B$270,GU38+GT39-HC38)))</f>
        <v>0</v>
      </c>
      <c r="GV39" s="125" t="e">
        <f aca="false">GU39*VLOOKUP('Données projet'!$B$18,Paramètres!$A$1:$I$89,3,0)*VLOOKUP('Données projet'!$B$18,Paramètres!$A$1:$I$89,5,0)</f>
        <v>#N/A</v>
      </c>
      <c r="GW39" s="117" t="e">
        <f aca="false">EXP(-1.0587+0.8836*LN(GV39)+0.284)</f>
        <v>#N/A</v>
      </c>
      <c r="GX39" s="128" t="e">
        <f aca="false">(GV39+GW39)*0.475*44/12</f>
        <v>#N/A</v>
      </c>
      <c r="GY39" s="120" t="e">
        <f aca="false">GX39+(GP39+GQ39)*44/12</f>
        <v>#N/A</v>
      </c>
      <c r="GZ39" s="120" t="e">
        <f aca="true">AVERAGE(OFFSET($GY$3,0,0,'Données projet'!$E$18+1,1))-AVERAGE(OFFSET($H$3,0,0,'Données projet'!$E$18+1,1))</f>
        <v>#N/A</v>
      </c>
      <c r="HA39" s="120" t="e">
        <f aca="false">$HA$3</f>
        <v>#N/A</v>
      </c>
      <c r="HB39" s="121" t="n">
        <f aca="false">IF(ISNA(VLOOKUP(A39,'Données projet'!$A$269:$I$289,3,0)),0,VLOOKUP(A39,'Données projet'!$A$269:$I$289,3,0))</f>
        <v>0</v>
      </c>
      <c r="HC39" s="121" t="n">
        <f aca="false">IF(ISNA(VLOOKUP(A39,'Données projet'!$A$269:$I$289,4,0)),0,VLOOKUP(A39,'Données projet'!$A$269:$I$289,4,0))</f>
        <v>0</v>
      </c>
      <c r="HD39" s="122" t="n">
        <f aca="false">IF(ISNA(VLOOKUP(A39,'Données projet'!$A$269:$I$289,5,0)),0%,VLOOKUP(A39,'Données projet'!$A$269:$I$289,5,0)*VLOOKUP('Données projet'!$B$18,Paramètres!$A$1:$I$89,7,0))</f>
        <v>0</v>
      </c>
      <c r="HE39" s="122" t="n">
        <f aca="false">IF(ISNA(VLOOKUP(A39,'Données projet'!$A$269:$I$289,6,0)),0%,VLOOKUP(A39,'Données projet'!$A$269:$I$289,6,0)*VLOOKUP('Données projet'!$B$18,Paramètres!$A$1:$I$89,7,0))</f>
        <v>0</v>
      </c>
      <c r="HF39" s="122" t="n">
        <f aca="false">IF(ISNA(VLOOKUP(A39,'Données projet'!$A$269:$I$289,7,0)),0%,VLOOKUP(A39,'Données projet'!$A$269:$I$289,7,0))</f>
        <v>0</v>
      </c>
      <c r="HG39" s="129" t="e">
        <f aca="false">EXP(-LN(2)/35)*HG38+(1-EXP(-LN(2)/35))/(LN(2)/35)*HC39*HD39*VLOOKUP('Données projet'!$B$18,Paramètres!$A$1:$I$89,3,0)*0.475*44/12</f>
        <v>#N/A</v>
      </c>
      <c r="HH39" s="129" t="e">
        <f aca="false">EXP(-LN(2)/25)*HH38+(1-EXP(-LN(2)/25))/(LN(2)/25)*Calculateur!HC39*Calculateur!HE39*VLOOKUP('Données projet'!$B$18,Paramètres!$A$1:$I$89,3,0)*0.475*44/12</f>
        <v>#N/A</v>
      </c>
      <c r="HI39" s="129" t="e">
        <f aca="false">EXP(-LN(2)/2)*HI38+(1-EXP(-LN(2)/2))/(LN(2)/2)*HC39*HF39*VLOOKUP('Données projet'!$B$18,Paramètres!$A$1:$I$89,3,0)*0.475*44/12</f>
        <v>#N/A</v>
      </c>
      <c r="HJ39" s="130" t="e">
        <f aca="false">SUM(HG39:HI39)</f>
        <v>#N/A</v>
      </c>
    </row>
    <row r="40" customFormat="false" ht="14.25" hidden="false" customHeight="false" outlineLevel="0" collapsed="false">
      <c r="A40" s="112" t="n">
        <f aca="false">A39+1</f>
        <v>37</v>
      </c>
      <c r="B40" s="113" t="n">
        <f aca="false">'Scénario référence'!$B$16*5+'Scénario référence'!$B$17*0+'Scénario référence'!$B$18*5</f>
        <v>0</v>
      </c>
      <c r="C40" s="127" t="n">
        <f aca="false"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4" t="n">
        <f aca="false">IFERROR(EXP(-1.0587+0.8836*LN(C40)+0.284),0)</f>
        <v>0</v>
      </c>
      <c r="E4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0" s="114" t="n">
        <f aca="false">IF(OR('Scénario référence'!$F$8&gt;0,'Scénario référence'!$F$9&gt;0),('Scénario référence'!$F$8+'Scénario référence'!$F$9)*10,0)</f>
        <v>0</v>
      </c>
      <c r="G40" s="114" t="n">
        <f aca="false"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15" t="n">
        <f aca="false">(B40+E40+F40)*44/12+(C40+D40)*0.475*44/12</f>
        <v>256.666666666667</v>
      </c>
      <c r="I40" s="11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7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8" t="e">
        <f aca="false">VLOOKUP(A40,'Données projet'!$A$35:$I$55,2,0)</f>
        <v>#N/A</v>
      </c>
      <c r="L40" s="118" t="e">
        <f aca="false">VLOOKUP(A40,'Données projet'!$A$35:$I$55,9,0)</f>
        <v>#N/A</v>
      </c>
      <c r="M40" s="118" t="n">
        <f aca="false" t="array" ref="M40:M40">INDEX(L:L,MIN(IF(ISNUMBER(L40:L236),ROW(L40:L236),"")))</f>
        <v>10</v>
      </c>
      <c r="N40" s="117" t="n">
        <f aca="false">IF('Données projet'!$A$36&gt;35,N39+M40-V39,IF(A40&lt;'Données projet'!$A$36,$K$205^A40,IF(A40='Données projet'!$A$36,'Données projet'!$B$36,N39+M40-V39)))</f>
        <v>213.5</v>
      </c>
      <c r="O40" s="117" t="n">
        <f aca="false">N40*VLOOKUP('Données projet'!$B$9,Paramètres!$A$1:$I$89,3,0)*VLOOKUP('Données projet'!$B$9,Paramètres!$A$1:$I$89,5,0)</f>
        <v>99.9179999999999</v>
      </c>
      <c r="P40" s="117" t="n">
        <f aca="false">EXP(-1.0587+0.8836*LN(O40)+0.284)</f>
        <v>26.9424612465127</v>
      </c>
      <c r="Q40" s="128" t="n">
        <f aca="false">(O40+P40)*0.475*44/12</f>
        <v>220.94863667101</v>
      </c>
      <c r="R40" s="120" t="n">
        <f aca="false">Q40+(I40+J40)*44/12</f>
        <v>514.281970004343</v>
      </c>
      <c r="S40" s="120" t="n">
        <f aca="true">AVERAGE(OFFSET($R$3,0,0,'Données projet'!$E$9+1,1))-AVERAGE(OFFSET($H$3,0,0,'Données projet'!$E$9+1,1))</f>
        <v>319.229030946746</v>
      </c>
      <c r="T40" s="120" t="n">
        <f aca="false">$T$3</f>
        <v>254.586909731428</v>
      </c>
      <c r="U40" s="121" t="n">
        <f aca="false">IF(ISNA(VLOOKUP(A40,'Données projet'!$A$35:$I$55,3,0)),0,VLOOKUP(A40,'Données projet'!$A$35:$I$55,3,0))</f>
        <v>0</v>
      </c>
      <c r="V40" s="121" t="n">
        <f aca="false">IF(ISNA(VLOOKUP(A40,'Données projet'!$A$35:$I$55,4,0)),0,VLOOKUP(A40,'Données projet'!$A$35:$I$55,4,0))</f>
        <v>0</v>
      </c>
      <c r="W40" s="122" t="n">
        <f aca="false">IF(ISNA(VLOOKUP(A40,'Données projet'!$A$35:$I$55,5,0)),0%,VLOOKUP(A40,'Données projet'!$A$35:$I$55,5,0)*VLOOKUP('Données projet'!$B$9,Paramètres!$A$1:$I$89,7,0))</f>
        <v>0</v>
      </c>
      <c r="X40" s="122" t="n">
        <f aca="false">IF(ISNA(VLOOKUP(A40,'Données projet'!$A$35:$I$55,6,0)),0%,VLOOKUP(A40,'Données projet'!$A$35:$I$55,6,0)*VLOOKUP('Données projet'!$B$9,Paramètres!$A$1:$I$89,7,0))</f>
        <v>0</v>
      </c>
      <c r="Y40" s="122" t="n">
        <f aca="false">IF(ISNA(VLOOKUP(A40,'Données projet'!$A$35:$I$55,7,0)),0%,VLOOKUP(A40,'Données projet'!$A$35:$I$55,7,0))</f>
        <v>0</v>
      </c>
      <c r="Z40" s="129" t="n">
        <f aca="false">EXP(-LN(2)/35)*Z39+(1-EXP(-LN(2)/35))/(LN(2)/35)*V40*W40*VLOOKUP('Données projet'!$B$9,Paramètres!$A$1:$I$89,3,0)*0.475*44/12</f>
        <v>7.90126241194262</v>
      </c>
      <c r="AA40" s="129" t="n">
        <f aca="false">EXP(-LN(2)/25)*AA39+(1-EXP(-LN(2)/25))/(LN(2)/25)*Calculateur!V40*Calculateur!X40*VLOOKUP('Données projet'!$B$9,Paramètres!$A$1:$I$89,3,0)*0.475*44/12</f>
        <v>9.18412716114012</v>
      </c>
      <c r="AB40" s="129" t="n">
        <f aca="false">EXP(-LN(2)/2)*AB39+(1-EXP(-LN(2)/2))/(LN(2)/2)*V40*Y40*VLOOKUP('Données projet'!$B$9,Paramètres!$A$1:$I$89,3,0)*0.475*44/12</f>
        <v>0.976083893675475</v>
      </c>
      <c r="AC40" s="130" t="n">
        <f aca="false">SUM(Z40:AB40)</f>
        <v>18.0614734667582</v>
      </c>
      <c r="AD40" s="117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7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8" t="e">
        <f aca="false">VLOOKUP(A40,'Données projet'!$A$61:$I$81,2,0)</f>
        <v>#N/A</v>
      </c>
      <c r="AG40" s="118" t="e">
        <f aca="false">VLOOKUP(A40,'Données projet'!$A$61:$I$81,9,0)</f>
        <v>#N/A</v>
      </c>
      <c r="AH40" s="118" t="n">
        <f aca="false" t="array" ref="AH40:AH40">INDEX(AG:AG,MIN(IF(ISNUMBER(AG40:AG236),ROW(AG40:AG236),"")))</f>
        <v>24</v>
      </c>
      <c r="AI40" s="117" t="n">
        <f aca="false">IF('Données projet'!$A$62&gt;35,AI39+AH40-AQ39,IF(A40&lt;'Données projet'!$A$62,$AF$205^A40,IF(A40='Données projet'!$A$62,'Données projet'!$B$62,AI39+AH40-AQ39)))</f>
        <v>409</v>
      </c>
      <c r="AJ40" s="117" t="n">
        <f aca="false">AI40*VLOOKUP('Données projet'!$B$10,Paramètres!$A$1:$I$89,3,0)*VLOOKUP('Données projet'!$B$10,Paramètres!$A$1:$I$89,5,0)</f>
        <v>228.631</v>
      </c>
      <c r="AK40" s="117" t="n">
        <f aca="false">EXP(-1.0587+0.8836*LN(AJ40)+0.284)</f>
        <v>55.9865689533775</v>
      </c>
      <c r="AL40" s="128" t="n">
        <f aca="false">(AJ40+AK40)*0.475*44/12</f>
        <v>495.708932593799</v>
      </c>
      <c r="AM40" s="120" t="n">
        <f aca="false">AL40+(AD40+AE40)*44/12</f>
        <v>789.042265927133</v>
      </c>
      <c r="AN40" s="120" t="n">
        <f aca="true">AVERAGE(OFFSET($AM$3,0,0,'Données projet'!$E$10+1,1))-AVERAGE(OFFSET($H$3,0,0,'Données projet'!$E$10+1,1))</f>
        <v>365.705101827279</v>
      </c>
      <c r="AO40" s="120" t="n">
        <f aca="false">$AO$3</f>
        <v>436.238338449625</v>
      </c>
      <c r="AP40" s="121" t="n">
        <f aca="false">IF(ISNA(VLOOKUP(A40,'Données projet'!$A$61:$I$81,3,0)),0,VLOOKUP(A40,'Données projet'!$A$61:$I$81,3,0))</f>
        <v>0</v>
      </c>
      <c r="AQ40" s="121" t="n">
        <f aca="false">IF(ISNA(VLOOKUP(A40,'Données projet'!$A$61:$I$81,4,0)),0,VLOOKUP(A40,'Données projet'!$A$61:$I$81,4,0))</f>
        <v>0</v>
      </c>
      <c r="AR40" s="122" t="n">
        <f aca="false">IF(ISNA(VLOOKUP(A40,'Données projet'!$A$61:$I$81,5,0)),0%,VLOOKUP(A40,'Données projet'!$A$61:$I$81,5,0)*VLOOKUP('Données projet'!$B$10,Paramètres!$A$1:$I$89,7,0))</f>
        <v>0</v>
      </c>
      <c r="AS40" s="122" t="n">
        <f aca="false">IF(ISNA(VLOOKUP(A40,'Données projet'!$A$61:$I$81,6,0)),0%,VLOOKUP(A40,'Données projet'!$A$61:$I$81,6,0)*VLOOKUP('Données projet'!$B$10,Paramètres!$A$1:$I$89,7,0))</f>
        <v>0</v>
      </c>
      <c r="AT40" s="122" t="n">
        <f aca="false">IF(ISNA(VLOOKUP(A40,'Données projet'!$A$61:$I$81,7,0)),0%,VLOOKUP(A40,'Données projet'!$A$61:$I$81,7,0))</f>
        <v>0</v>
      </c>
      <c r="AU40" s="129" t="n">
        <f aca="false">EXP(-LN(2)/35)*AU39+(1-EXP(-LN(2)/35))/(LN(2)/35)*AQ40*AR40*VLOOKUP('Données projet'!$B$10,Paramètres!$A$1:$I$89,3,0)*0.475*44/12</f>
        <v>2.98247039044283</v>
      </c>
      <c r="AV40" s="129" t="n">
        <f aca="false">EXP(-LN(2)/25)*AV39+(1-EXP(-LN(2)/25))/(LN(2)/25)*Calculateur!AQ40*Calculateur!AS40*VLOOKUP('Données projet'!$B$10,Paramètres!$A$1:$I$89,3,0)*0.475*44/12</f>
        <v>10.8781020377453</v>
      </c>
      <c r="AW40" s="129" t="n">
        <f aca="false">EXP(-LN(2)/2)*AW39+(1-EXP(-LN(2)/2))/(LN(2)/2)*AQ40*AT40*VLOOKUP('Données projet'!$B$10,Paramètres!$A$1:$I$89,3,0)*0.475*44/12</f>
        <v>0.525297844310652</v>
      </c>
      <c r="AX40" s="129" t="n">
        <f aca="false">SUM(AU40:AW40)</f>
        <v>14.3858702724988</v>
      </c>
      <c r="AY40" s="124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8" t="e">
        <f aca="false">VLOOKUP(A40,'Données projet'!$A$87:$I$107,2,0)</f>
        <v>#N/A</v>
      </c>
      <c r="BB40" s="118" t="e">
        <f aca="false">VLOOKUP(A40,'Données projet'!$A$87:$I$107,9,0)</f>
        <v>#N/A</v>
      </c>
      <c r="BC40" s="118" t="n">
        <f aca="false" t="array" ref="BC40:BC40">INDEX(BB:BB,MIN(IF(ISNUMBER(BB40:BB236),ROW(BB40:BB236),"")))</f>
        <v>10.8</v>
      </c>
      <c r="BD40" s="118" t="n">
        <f aca="false">IF('Données projet'!$A$88&gt;35,BD39+BC40-BL39,IF(A40&lt;'Données projet'!$A$88,$BA$205^A40,IF(A40='Données projet'!$A$88,'Données projet'!$B$88,BD39+BC40-BL39)))</f>
        <v>180.6</v>
      </c>
      <c r="BE40" s="117" t="n">
        <f aca="false">BD40*VLOOKUP('Données projet'!$B$11,Paramètres!$A$1:$I$89,3,0)*VLOOKUP('Données projet'!$B$11,Paramètres!$A$1:$I$89,5,0)</f>
        <v>157.77216</v>
      </c>
      <c r="BF40" s="117" t="n">
        <f aca="false">EXP(-1.0587+0.8836*LN(BE40)+0.284)</f>
        <v>40.3396105396536</v>
      </c>
      <c r="BG40" s="128" t="n">
        <f aca="false">(BE40+BF40)*0.475*44/12</f>
        <v>345.04466702323</v>
      </c>
      <c r="BH40" s="120" t="n">
        <f aca="false">BG40+(AY40+AZ40)*44/12</f>
        <v>638.378000356563</v>
      </c>
      <c r="BI40" s="120" t="n">
        <f aca="true">AVERAGE(OFFSET($BH$3,0,0,'Données projet'!$E$11+1,1))-AVERAGE(OFFSET($H$3,0,0,'Données projet'!$E$11+1,1))</f>
        <v>321.235999689929</v>
      </c>
      <c r="BJ40" s="120" t="n">
        <f aca="false">$BJ$3</f>
        <v>388.051958478005</v>
      </c>
      <c r="BK40" s="121" t="n">
        <f aca="false">IF(ISNA(VLOOKUP(A40,'Données projet'!$A$87:$I$107,3,0)),0,VLOOKUP(A40,'Données projet'!$A$87:$I$107,3,0))</f>
        <v>0</v>
      </c>
      <c r="BL40" s="121" t="n">
        <f aca="false">IF(ISNA(VLOOKUP(A40,'Données projet'!$A$87:$I$107,4,0)),0,VLOOKUP(A40,'Données projet'!$A$87:$I$107,4,0))</f>
        <v>0</v>
      </c>
      <c r="BM40" s="122" t="n">
        <f aca="false">IF(ISNA(VLOOKUP(A40,'Données projet'!$A$87:$I$107,5,0)),0%,VLOOKUP(A40,'Données projet'!$A$87:$I$107,5,0)*VLOOKUP('Données projet'!$B$11,Paramètres!$A$1:$I$89,7,0))</f>
        <v>0</v>
      </c>
      <c r="BN40" s="122" t="n">
        <f aca="false">IF(ISNA(VLOOKUP(A40,'Données projet'!$A$87:$I$107,6,0)),0%,VLOOKUP(A40,'Données projet'!$A$87:$I$107,6,0)*VLOOKUP('Données projet'!$B$11,Paramètres!$A$1:$I$89,7,0))</f>
        <v>0</v>
      </c>
      <c r="BO40" s="122" t="n">
        <f aca="false">IF(ISNA(VLOOKUP(A40,'Données projet'!$A$87:$I$107,7,0)),0%,VLOOKUP(A40,'Données projet'!$A$87:$I$107,7,0))</f>
        <v>0</v>
      </c>
      <c r="BP40" s="129" t="n">
        <f aca="false">EXP(-LN(2)/35)*BP39+(1-EXP(-LN(2)/35))/(LN(2)/35)*BL40*BM40*VLOOKUP('Données projet'!$B$11,Paramètres!$A$1:$I$89,3,0)*0.475*44/12</f>
        <v>7.48785384380679</v>
      </c>
      <c r="BQ40" s="129" t="n">
        <f aca="false">EXP(-LN(2)/25)*BQ39+(1-EXP(-LN(2)/25))/(LN(2)/25)*Calculateur!BL40*Calculateur!BN40*VLOOKUP('Données projet'!$B$11,Paramètres!$A$1:$I$89,3,0)*0.475*44/12</f>
        <v>11.103720440817</v>
      </c>
      <c r="BR40" s="129" t="n">
        <f aca="false">EXP(-LN(2)/2)*BR39+(1-EXP(-LN(2)/2))/(LN(2)/2)*BL40*BO40*VLOOKUP('Données projet'!$B$11,Paramètres!$A$1:$I$89,3,0)*0.475*44/12</f>
        <v>0.533954340244565</v>
      </c>
      <c r="BS40" s="130" t="n">
        <f aca="false">SUM(BP40:BR40)</f>
        <v>19.1255286248684</v>
      </c>
      <c r="BT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8" t="e">
        <f aca="false">VLOOKUP(A40,'Données projet'!$A$113:$I$133,2,0)</f>
        <v>#N/A</v>
      </c>
      <c r="BW40" s="118" t="e">
        <f aca="false">VLOOKUP(A40,'Données projet'!$A$113:$I$133,9,0)</f>
        <v>#N/A</v>
      </c>
      <c r="BX40" s="118" t="n">
        <f aca="false" t="array" ref="BX40:BX40">INDEX(BW:BW,MIN(IF(ISNUMBER(BW40:BW236),ROW(BW40:BW236),"")))</f>
        <v>11.5</v>
      </c>
      <c r="BY40" s="118" t="n">
        <f aca="false">IF('Données projet'!$A$114&gt;35,BY39+BX40-CG39,IF(A40&lt;'Données projet'!$A$114,$BV$205^A40,IF(A40='Données projet'!$A$114,'Données projet'!$B$114,BY39+BX40-CG39)))</f>
        <v>197.5</v>
      </c>
      <c r="BZ40" s="117" t="n">
        <f aca="false">BY40*VLOOKUP('Données projet'!$B$12,Paramètres!$A$1:$I$89,3,0)*VLOOKUP('Données projet'!$B$12,Paramètres!$A$1:$I$89,5,0)</f>
        <v>123.24</v>
      </c>
      <c r="CA40" s="117" t="n">
        <f aca="false">EXP(-1.0587+0.8836*LN(BZ40)+0.284)</f>
        <v>32.4295003803691</v>
      </c>
      <c r="CB40" s="128" t="n">
        <f aca="false">(BZ40+CA40)*0.475*44/12</f>
        <v>271.124379829143</v>
      </c>
      <c r="CC40" s="120" t="n">
        <f aca="false">CB40+(BT40+BU40)*44/12</f>
        <v>564.457713162476</v>
      </c>
      <c r="CD40" s="120" t="n">
        <f aca="true">AVERAGE(OFFSET($CC$3,0,0,'Données projet'!$E$12+1,1))-AVERAGE(OFFSET($H$3,0,0,'Données projet'!$E$12+1,1))</f>
        <v>240.228848647662</v>
      </c>
      <c r="CE40" s="120" t="n">
        <f aca="false">$CE$3</f>
        <v>343.237768841432</v>
      </c>
      <c r="CF40" s="121" t="n">
        <f aca="false">IF(ISNA(VLOOKUP(A40,'Données projet'!$A$113:$I$133,3,0)),0,VLOOKUP(A40,'Données projet'!$A$113:$I$133,3,0))</f>
        <v>0</v>
      </c>
      <c r="CG40" s="121" t="n">
        <f aca="false">IF(ISNA(VLOOKUP(A40,'Données projet'!$A$113:$I$133,4,0)),0,VLOOKUP(A40,'Données projet'!$A$113:$I$133,4,0))</f>
        <v>0</v>
      </c>
      <c r="CH40" s="122" t="n">
        <f aca="false">IF(ISNA(VLOOKUP(A40,'Données projet'!$A$113:$I$133,5,0)),0%,VLOOKUP(A40,'Données projet'!$A$113:$I$133,5,0)*VLOOKUP('Données projet'!$B$12,Paramètres!$A$1:$I$89,7,0))</f>
        <v>0</v>
      </c>
      <c r="CI40" s="122" t="n">
        <f aca="false">IF(ISNA(VLOOKUP(A40,'Données projet'!$A$113:$I$133,6,0)),0%,VLOOKUP(A40,'Données projet'!$A$113:$I$133,6,0)*VLOOKUP('Données projet'!$B$12,Paramètres!$A$1:$I$89,7,0))</f>
        <v>0</v>
      </c>
      <c r="CJ40" s="122" t="n">
        <f aca="false">IF(ISNA(VLOOKUP(A40,'Données projet'!$A$113:$I$133,7,0)),0%,VLOOKUP(A40,'Données projet'!$A$113:$I$133,7,0))</f>
        <v>0</v>
      </c>
      <c r="CK40" s="129" t="n">
        <f aca="false">EXP(-LN(2)/35)*CK39+(1-EXP(-LN(2)/35))/(LN(2)/35)*CG40*CH40*VLOOKUP('Données projet'!$B$12,Paramètres!$A$1:$I$89,3,0)*0.475*44/12</f>
        <v>4.58314990835794</v>
      </c>
      <c r="CL40" s="129" t="n">
        <f aca="false">EXP(-LN(2)/25)*CL39+(1-EXP(-LN(2)/25))/(LN(2)/25)*Calculateur!CG40*Calculateur!CI40*VLOOKUP('Données projet'!$B$12,Paramètres!$A$1:$I$89,3,0)*0.475*44/12</f>
        <v>19.6098130916009</v>
      </c>
      <c r="CM40" s="129" t="n">
        <f aca="false">EXP(-LN(2)/2)*CM39+(1-EXP(-LN(2)/2))/(LN(2)/2)*CG40*CJ40*VLOOKUP('Données projet'!$B$12,Paramètres!$A$1:$I$89,3,0)*0.475*44/12</f>
        <v>0.852048774884808</v>
      </c>
      <c r="CN40" s="130" t="n">
        <f aca="false">SUM(CK40:CM40)</f>
        <v>25.0450117748437</v>
      </c>
      <c r="CO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8" t="e">
        <f aca="false">VLOOKUP(A40,'Données projet'!$A$139:$I$159,2,0)</f>
        <v>#N/A</v>
      </c>
      <c r="CR40" s="118" t="e">
        <f aca="false">VLOOKUP(A40,'Données projet'!$A$139:$I$159,9,0)</f>
        <v>#N/A</v>
      </c>
      <c r="CS40" s="118" t="n">
        <f aca="false" t="array" ref="CS40:CS40">INDEX(CR:CR,MIN(IF(ISNUMBER(CR40:CR236),ROW(CR40:CR236),"")))</f>
        <v>14</v>
      </c>
      <c r="CT40" s="118" t="n">
        <f aca="false">IF('Données projet'!$A$140&gt;35,CT39+CS40-DB39,IF(A40&lt;'Données projet'!$A$140,$CQ$205^A40,IF(A40='Données projet'!$A$140,'Données projet'!$B$140,CT39+CS40-DB39)))</f>
        <v>208</v>
      </c>
      <c r="CU40" s="125" t="n">
        <f aca="false">CT40*VLOOKUP('Données projet'!$B$13,Paramètres!$A$1:$I$89,3,0)*VLOOKUP('Données projet'!$B$13,Paramètres!$A$1:$I$89,5,0)</f>
        <v>113.568</v>
      </c>
      <c r="CV40" s="117" t="n">
        <f aca="false">EXP(-1.0587+0.8836*LN(CU40)+0.284)</f>
        <v>30.1700650620582</v>
      </c>
      <c r="CW40" s="128" t="n">
        <f aca="false">(CU40+CV40)*0.475*44/12</f>
        <v>250.343796649751</v>
      </c>
      <c r="CX40" s="120" t="n">
        <f aca="false">CW40+(CO40+CP40)*44/12</f>
        <v>543.677129983085</v>
      </c>
      <c r="CY40" s="120" t="n">
        <f aca="true">AVERAGE(OFFSET($CX$3,0,0,'Données projet'!$E$13+1,1))-AVERAGE(OFFSET($H$3,0,0,'Données projet'!$E$13+1,1))</f>
        <v>207.023069645676</v>
      </c>
      <c r="CZ40" s="120" t="n">
        <f aca="false">$CZ$3</f>
        <v>342.068879333518</v>
      </c>
      <c r="DA40" s="121" t="n">
        <f aca="false">IF(ISNA(VLOOKUP(A40,'Données projet'!$A$139:$I$159,3,0)),0,VLOOKUP(A40,'Données projet'!$A$139:$I$159,3,0))</f>
        <v>0</v>
      </c>
      <c r="DB40" s="121" t="n">
        <f aca="false">IF(ISNA(VLOOKUP(A40,'Données projet'!$A$139:$I$159,4,0)),0,VLOOKUP(A40,'Données projet'!$A$139:$I$159,4,0))</f>
        <v>0</v>
      </c>
      <c r="DC40" s="122" t="n">
        <f aca="false">IF(ISNA(VLOOKUP(A40,'Données projet'!$A$139:$I$159,5,0)),0%,VLOOKUP(A40,'Données projet'!$A$139:$I$159,5,0)*VLOOKUP('Données projet'!$B$13,Paramètres!$A$1:$I$89,7,0))</f>
        <v>0</v>
      </c>
      <c r="DD40" s="122" t="n">
        <f aca="false">IF(ISNA(VLOOKUP(A40,'Données projet'!$A$139:$I$159,6,0)),0%,VLOOKUP(A40,'Données projet'!$A$139:$I$159,6,0)*VLOOKUP('Données projet'!$B$13,Paramètres!$A$1:$I$89,7,0))</f>
        <v>0</v>
      </c>
      <c r="DE40" s="122" t="n">
        <f aca="false">IF(ISNA(VLOOKUP(A40,'Données projet'!$A$139:$I$159,7,0)),0%,VLOOKUP(A40,'Données projet'!$A$139:$I$159,7,0))</f>
        <v>0</v>
      </c>
      <c r="DF40" s="129" t="n">
        <f aca="false">EXP(-LN(2)/35)*DF39+(1-EXP(-LN(2)/35))/(LN(2)/35)*DB40*DC40*VLOOKUP('Données projet'!$B$13,Paramètres!$A$1:$I$89,3,0)*0.475*44/12</f>
        <v>5.75055601709062</v>
      </c>
      <c r="DG40" s="129" t="n">
        <f aca="false">EXP(-LN(2)/25)*DG39+(1-EXP(-LN(2)/25))/(LN(2)/25)*Calculateur!DB40*Calculateur!DD40*VLOOKUP('Données projet'!$B$13,Paramètres!$A$1:$I$89,3,0)*0.475*44/12</f>
        <v>32.0538771367247</v>
      </c>
      <c r="DH40" s="129" t="n">
        <f aca="false">EXP(-LN(2)/2)*DH39+(1-EXP(-LN(2)/2))/(LN(2)/2)*DB40*DE40*VLOOKUP('Données projet'!$B$13,Paramètres!$A$1:$I$89,3,0)*0.475*44/12</f>
        <v>1.17327155804765</v>
      </c>
      <c r="DI40" s="130" t="n">
        <f aca="false">SUM(DF40:DH40)</f>
        <v>38.9777047118629</v>
      </c>
      <c r="DJ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8" t="e">
        <f aca="false">VLOOKUP(A40,'Données projet'!$A$165:$I$185,2,0)</f>
        <v>#N/A</v>
      </c>
      <c r="DM40" s="118" t="e">
        <f aca="false">VLOOKUP(A40,'Données projet'!$A$165:$I$185,9,0)</f>
        <v>#N/A</v>
      </c>
      <c r="DN40" s="118" t="n">
        <f aca="false" t="array" ref="DN40:DN40">INDEX(DM:DM,MIN(IF(ISNUMBER(DM40:DM236),ROW(DM40:DM236),"")))</f>
        <v>12.8333333333333</v>
      </c>
      <c r="DO40" s="118" t="n">
        <f aca="false">IF('Données projet'!$A$166&gt;35,DO39+DN40-DW39,IF(A40&lt;'Données projet'!$A$166,$DL$205^A40,IF(A40='Données projet'!$A$166,'Données projet'!$B$166,DO39+DN40-DW39)))</f>
        <v>236.5</v>
      </c>
      <c r="DP40" s="125" t="n">
        <f aca="false">DO40*VLOOKUP('Données projet'!$B$14,Paramètres!$A$1:$I$89,3,0)*VLOOKUP('Données projet'!$B$14,Paramètres!$A$1:$I$89,5,0)</f>
        <v>141.427</v>
      </c>
      <c r="DQ40" s="117" t="n">
        <f aca="false">EXP(-1.0587+0.8836*LN(DP40)+0.284)</f>
        <v>36.623717959686</v>
      </c>
      <c r="DR40" s="128" t="n">
        <f aca="false">(DP40+DQ40)*0.475*44/12</f>
        <v>310.105000446453</v>
      </c>
      <c r="DS40" s="120" t="n">
        <f aca="false">DR40+(DJ40+DK40)*44/12</f>
        <v>603.438333779787</v>
      </c>
      <c r="DT40" s="120" t="n">
        <f aca="true">AVERAGE(OFFSET($DS$3,0,0,'Données projet'!$E$14+1,1))-AVERAGE(OFFSET($H$3,0,0,'Données projet'!$E$14+1,1))</f>
        <v>549.432320957297</v>
      </c>
      <c r="DU40" s="120" t="n">
        <f aca="false">$DU$3</f>
        <v>280.26155987301</v>
      </c>
      <c r="DV40" s="121" t="n">
        <f aca="false">IF(ISNA(VLOOKUP(A40,'Données projet'!$A$165:$I$185,3,0)),0,VLOOKUP(A40,'Données projet'!$A$165:$I$185,3,0))</f>
        <v>0</v>
      </c>
      <c r="DW40" s="121" t="n">
        <f aca="false">IF(ISNA(VLOOKUP(A40,'Données projet'!$A$165:$I$185,4,0)),0,VLOOKUP(A40,'Données projet'!$A$165:$I$185,4,0))</f>
        <v>0</v>
      </c>
      <c r="DX40" s="122" t="n">
        <f aca="false">IF(ISNA(VLOOKUP(A40,'Données projet'!$A$165:$I$185,5,0)),0%,VLOOKUP(A40,'Données projet'!$A$165:$I$185,5,0)*VLOOKUP('Données projet'!$B$14,Paramètres!$A$1:$I$89,7,0))</f>
        <v>0</v>
      </c>
      <c r="DY40" s="122" t="n">
        <f aca="false">IF(ISNA(VLOOKUP(A40,'Données projet'!$A$165:$I$185,6,0)),0%,VLOOKUP(A40,'Données projet'!$A$165:$I$185,6,0)*VLOOKUP('Données projet'!$B$14,Paramètres!$A$1:$I$89,7,0))</f>
        <v>0</v>
      </c>
      <c r="DZ40" s="122" t="n">
        <f aca="false">IF(ISNA(VLOOKUP(A40,'Données projet'!$A$165:$I$185,7,0)),0%,VLOOKUP(A40,'Données projet'!$A$165:$I$185,7,0))</f>
        <v>0</v>
      </c>
      <c r="EA40" s="129" t="n">
        <f aca="false">EXP(-LN(2)/35)*EA39+(1-EXP(-LN(2)/35))/(LN(2)/35)*DW40*DX40*VLOOKUP('Données projet'!$B$14,Paramètres!$A$1:$I$89,3,0)*0.475*44/12</f>
        <v>2.09089575569221</v>
      </c>
      <c r="EB40" s="129" t="n">
        <f aca="false">EXP(-LN(2)/25)*EB39+(1-EXP(-LN(2)/25))/(LN(2)/25)*Calculateur!DW40*Calculateur!DY40*VLOOKUP('Données projet'!$B$14,Paramètres!$A$1:$I$89,3,0)*0.475*44/12</f>
        <v>6.38576473751601</v>
      </c>
      <c r="EC40" s="129" t="n">
        <f aca="false">EXP(-LN(2)/2)*EC39+(1-EXP(-LN(2)/2))/(LN(2)/2)*DW40*DZ40*VLOOKUP('Données projet'!$B$14,Paramètres!$A$1:$I$89,3,0)*0.475*44/12</f>
        <v>0.540854003363139</v>
      </c>
      <c r="ED40" s="130" t="n">
        <f aca="false">SUM(EA40:EC40)</f>
        <v>9.01751449657136</v>
      </c>
      <c r="EE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8" t="e">
        <f aca="false">VLOOKUP(A40,'Données projet'!$A$191:$I$211,2,0)</f>
        <v>#N/A</v>
      </c>
      <c r="EH40" s="118" t="e">
        <f aca="false">VLOOKUP(A40,'Données projet'!$A$191:$I$211,9,0)</f>
        <v>#N/A</v>
      </c>
      <c r="EI40" s="118" t="n">
        <f aca="false" t="array" ref="EI40:EI40">INDEX(EH:EH,MIN(IF(ISNUMBER(EH40:EH236),ROW(EH40:EH236),"")))</f>
        <v>0</v>
      </c>
      <c r="EJ40" s="118" t="n">
        <f aca="false">IF('Données projet'!$A$192&gt;35,EJ39+EI40-ER39,IF(A40&lt;'Données projet'!$A$192,$EG$205^A40,IF(A40='Données projet'!$A$192,'Données projet'!$B$192,EJ39+EI40-ER39)))</f>
        <v>0</v>
      </c>
      <c r="EK40" s="125" t="e">
        <f aca="false">EJ40*VLOOKUP('Données projet'!$B$15,Paramètres!$A$1:$I$89,3,0)*VLOOKUP('Données projet'!$B$15,Paramètres!$A$1:$I$89,5,0)</f>
        <v>#N/A</v>
      </c>
      <c r="EL40" s="117" t="e">
        <f aca="false">EXP(-1.0587+0.8836*LN(EK40)+0.284)</f>
        <v>#N/A</v>
      </c>
      <c r="EM40" s="128" t="e">
        <f aca="false">(EK40+EL40)*0.475*44/12</f>
        <v>#N/A</v>
      </c>
      <c r="EN40" s="120" t="e">
        <f aca="false">EM40+(EE40+EF40)*44/12</f>
        <v>#N/A</v>
      </c>
      <c r="EO40" s="120" t="e">
        <f aca="true">AVERAGE(OFFSET($EN$3,0,0,'Données projet'!$E$15+1,1))-AVERAGE(OFFSET($H$3,0,0,'Données projet'!$E$15+1,1))</f>
        <v>#N/A</v>
      </c>
      <c r="EP40" s="120" t="e">
        <f aca="false">$EP$3</f>
        <v>#N/A</v>
      </c>
      <c r="EQ40" s="121" t="n">
        <f aca="false">IF(ISNA(VLOOKUP(A40,'Données projet'!$A$191:$I$211,3,0)),0,VLOOKUP(A40,'Données projet'!$A$191:$I$211,3,0))</f>
        <v>0</v>
      </c>
      <c r="ER40" s="121" t="n">
        <f aca="false">IF(ISNA(VLOOKUP(A40,'Données projet'!$A$191:$I$211,4,0)),0,VLOOKUP(A40,'Données projet'!$A$191:$I$211,4,0))</f>
        <v>0</v>
      </c>
      <c r="ES40" s="122" t="n">
        <f aca="false">IF(ISNA(VLOOKUP(A40,'Données projet'!$A$191:$I$211,5,0)),0%,VLOOKUP(A40,'Données projet'!$A$191:$I$211,5,0)*VLOOKUP('Données projet'!$B$15,Paramètres!$A$1:$I$89,7,0))</f>
        <v>0</v>
      </c>
      <c r="ET40" s="122" t="n">
        <f aca="false">IF(ISNA(VLOOKUP(A40,'Données projet'!$A$191:$I$211,6,0)),0%,VLOOKUP(A40,'Données projet'!$A$191:$I$211,6,0)*VLOOKUP('Données projet'!$B$15,Paramètres!$A$1:$I$89,7,0))</f>
        <v>0</v>
      </c>
      <c r="EU40" s="122" t="n">
        <f aca="false">IF(ISNA(VLOOKUP(A40,'Données projet'!$A$191:$I$211,7,0)),0%,VLOOKUP(A40,'Données projet'!$A$191:$I$211,7,0))</f>
        <v>0</v>
      </c>
      <c r="EV40" s="129" t="e">
        <f aca="false">EXP(-LN(2)/35)*EV39+(1-EXP(-LN(2)/35))/(LN(2)/35)*ER40*ES40*VLOOKUP('Données projet'!$B$15,Paramètres!$A$1:$I$89,3,0)*0.475*44/12</f>
        <v>#N/A</v>
      </c>
      <c r="EW40" s="129" t="e">
        <f aca="false">EXP(-LN(2)/25)*EW39+(1-EXP(-LN(2)/25))/(LN(2)/25)*Calculateur!ER40*Calculateur!ET40*VLOOKUP('Données projet'!$B$15,Paramètres!$A$1:$I$89,3,0)*0.475*44/12</f>
        <v>#N/A</v>
      </c>
      <c r="EX40" s="129" t="e">
        <f aca="false">EXP(-LN(2)/2)*EX39+(1-EXP(-LN(2)/2))/(LN(2)/2)*ER40*EU40*VLOOKUP('Données projet'!$B$15,Paramètres!$A$1:$I$89,3,0)*0.475*44/12</f>
        <v>#N/A</v>
      </c>
      <c r="EY40" s="130" t="e">
        <f aca="false">SUM(EV40:EX40)</f>
        <v>#N/A</v>
      </c>
      <c r="EZ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8" t="e">
        <f aca="false">VLOOKUP(A40,'Données projet'!$A$217:$I$237,2,0)</f>
        <v>#N/A</v>
      </c>
      <c r="FC40" s="118" t="e">
        <f aca="false">VLOOKUP(A40,'Données projet'!$A$217:$I$237,9,0)</f>
        <v>#N/A</v>
      </c>
      <c r="FD40" s="118" t="n">
        <f aca="false" t="array" ref="FD40:FD40">INDEX(FC:FC,MIN(IF(ISNUMBER(FC40:FC236),ROW(FC40:FC236),"")))</f>
        <v>0</v>
      </c>
      <c r="FE40" s="118" t="n">
        <f aca="false">IF('Données projet'!$A$218&gt;35,FE39+FD40-FM39,IF(A40&lt;'Données projet'!$A$218,$FB$205^A40,IF(A40='Données projet'!$A$218,'Données projet'!$B$218,FE39+FD40-FM39)))</f>
        <v>0</v>
      </c>
      <c r="FF40" s="125" t="e">
        <f aca="false">FE40*VLOOKUP('Données projet'!$B$16,Paramètres!$A$1:$I$89,3,0)*VLOOKUP('Données projet'!$B$16,Paramètres!$A$1:$I$89,5,0)</f>
        <v>#N/A</v>
      </c>
      <c r="FG40" s="117" t="e">
        <f aca="false">EXP(-1.0587+0.8836*LN(FF40)+0.284)</f>
        <v>#N/A</v>
      </c>
      <c r="FH40" s="128" t="e">
        <f aca="false">(FF40+FG40)*0.475*44/12</f>
        <v>#N/A</v>
      </c>
      <c r="FI40" s="120" t="e">
        <f aca="false">FH40+(EZ40+FA40)*44/12</f>
        <v>#N/A</v>
      </c>
      <c r="FJ40" s="120" t="e">
        <f aca="true">AVERAGE(OFFSET($FI$3,0,0,'Données projet'!$E$16+1,1))-AVERAGE(OFFSET($H$3,0,0,'Données projet'!$E$16+1,1))</f>
        <v>#N/A</v>
      </c>
      <c r="FK40" s="120" t="e">
        <f aca="false">$FK$3</f>
        <v>#N/A</v>
      </c>
      <c r="FL40" s="121" t="n">
        <f aca="false">IF(ISNA(VLOOKUP(A40,'Données projet'!$A$217:$I$237,3,0)),0,VLOOKUP(A40,'Données projet'!$A$217:$I$237,3,0))</f>
        <v>0</v>
      </c>
      <c r="FM40" s="121" t="n">
        <f aca="false">IF(ISNA(VLOOKUP(A40,'Données projet'!$A$217:$I$237,4,0)),0,VLOOKUP(A40,'Données projet'!$A$217:$I$237,4,0))</f>
        <v>0</v>
      </c>
      <c r="FN40" s="122" t="n">
        <f aca="false">IF(ISNA(VLOOKUP(A40,'Données projet'!$A$217:$I$237,5,0)),0%,VLOOKUP(A40,'Données projet'!$A$217:$I$237,5,0)*VLOOKUP('Données projet'!$B$16,Paramètres!$A$1:$I$89,7,0))</f>
        <v>0</v>
      </c>
      <c r="FO40" s="122" t="n">
        <f aca="false">IF(ISNA(VLOOKUP(A40,'Données projet'!$A$217:$I$237,6,0)),0%,VLOOKUP(A40,'Données projet'!$A$217:$I$237,6,0)*VLOOKUP('Données projet'!$B$16,Paramètres!$A$1:$I$89,7,0))</f>
        <v>0</v>
      </c>
      <c r="FP40" s="122" t="n">
        <f aca="false">IF(ISNA(VLOOKUP(A40,'Données projet'!$A$217:$I$237,7,0)),0%,VLOOKUP(A40,'Données projet'!$A$217:$I$237,7,0))</f>
        <v>0</v>
      </c>
      <c r="FQ40" s="129" t="e">
        <f aca="false">EXP(-LN(2)/35)*FQ39+(1-EXP(-LN(2)/35))/(LN(2)/35)*FM40*FN40*VLOOKUP('Données projet'!$B$16,Paramètres!$A$1:$I$89,3,0)*0.475*44/12</f>
        <v>#N/A</v>
      </c>
      <c r="FR40" s="129" t="e">
        <f aca="false">EXP(-LN(2)/25)*FR39+(1-EXP(-LN(2)/25))/(LN(2)/25)*Calculateur!FM40*Calculateur!FO40*VLOOKUP('Données projet'!$B$16,Paramètres!$A$1:$I$89,3,0)*0.475*44/12</f>
        <v>#N/A</v>
      </c>
      <c r="FS40" s="129" t="e">
        <f aca="false">EXP(-LN(2)/2)*FS39+(1-EXP(-LN(2)/2))/(LN(2)/2)*FM40*FP40*VLOOKUP('Données projet'!$B$16,Paramètres!$A$1:$I$89,3,0)*0.475*44/12</f>
        <v>#N/A</v>
      </c>
      <c r="FT40" s="130" t="e">
        <f aca="false">SUM(FQ40:FS40)</f>
        <v>#N/A</v>
      </c>
      <c r="FU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8" t="e">
        <f aca="false">VLOOKUP(A40,'Données projet'!$A$243:$I$263,2,0)</f>
        <v>#N/A</v>
      </c>
      <c r="FX40" s="118" t="e">
        <f aca="false">VLOOKUP(A40,'Données projet'!$A$243:$I$263,9,0)</f>
        <v>#N/A</v>
      </c>
      <c r="FY40" s="118" t="n">
        <f aca="false" t="array" ref="FY40:FY40">INDEX(FX:FX,MIN(IF(ISNUMBER(FX40:FX236),ROW(FX40:FX236),"")))</f>
        <v>0</v>
      </c>
      <c r="FZ40" s="118" t="n">
        <f aca="false">IF('Données projet'!$A$244&gt;35,FZ39+FY40-GH39,IF(A40&lt;'Données projet'!$A$244,$FW$205^A40,IF(A40='Données projet'!$A$244,'Données projet'!$B$244,FZ39+FY40-GH39)))</f>
        <v>0</v>
      </c>
      <c r="GA40" s="125" t="e">
        <f aca="false">FZ40*VLOOKUP('Données projet'!$B$17,Paramètres!$A$1:$I$89,3,0)*VLOOKUP('Données projet'!$B$17,Paramètres!$A$1:$I$89,5,0)</f>
        <v>#N/A</v>
      </c>
      <c r="GB40" s="117" t="e">
        <f aca="false">EXP(-1.0587+0.8836*LN(GA40)+0.284)</f>
        <v>#N/A</v>
      </c>
      <c r="GC40" s="128" t="e">
        <f aca="false">(GA40+GB40)*0.475*44/12</f>
        <v>#N/A</v>
      </c>
      <c r="GD40" s="120" t="e">
        <f aca="false">GC40+(FU40+FV40)*44/12</f>
        <v>#N/A</v>
      </c>
      <c r="GE40" s="120" t="e">
        <f aca="true">AVERAGE(OFFSET($GD$3,0,0,'Données projet'!$E$17+1,1))-AVERAGE(OFFSET($H$3,0,0,'Données projet'!$E$17+1,1))</f>
        <v>#N/A</v>
      </c>
      <c r="GF40" s="120" t="e">
        <f aca="false">$GF$3</f>
        <v>#N/A</v>
      </c>
      <c r="GG40" s="121" t="n">
        <f aca="false">IF(ISNA(VLOOKUP(A40,'Données projet'!$A$243:$I$263,3,0)),0,VLOOKUP(A40,'Données projet'!$A$243:$I$263,3,0))</f>
        <v>0</v>
      </c>
      <c r="GH40" s="121" t="n">
        <f aca="false">IF(ISNA(VLOOKUP(A40,'Données projet'!$A$243:$I$263,4,0)),0,VLOOKUP(A40,'Données projet'!$A$243:$I$263,4,0))</f>
        <v>0</v>
      </c>
      <c r="GI40" s="122" t="n">
        <f aca="false">IF(ISNA(VLOOKUP(A40,'Données projet'!$A$243:$I$263,5,0)),0%,VLOOKUP(A40,'Données projet'!$A$243:$I$263,5,0)*VLOOKUP('Données projet'!$B$17,Paramètres!$A$1:$I$89,7,0))</f>
        <v>0</v>
      </c>
      <c r="GJ40" s="122" t="n">
        <f aca="false">IF(ISNA(VLOOKUP(A40,'Données projet'!$A$243:$I$263,6,0)),0%,VLOOKUP(A40,'Données projet'!$A$243:$I$263,6,0)*VLOOKUP('Données projet'!$B$17,Paramètres!$A$1:$I$89,7,0))</f>
        <v>0</v>
      </c>
      <c r="GK40" s="122" t="n">
        <f aca="false">IF(ISNA(VLOOKUP(A40,'Données projet'!$A$243:$I$263,7,0)),0%,VLOOKUP(A40,'Données projet'!$A$243:$I$263,7,0))</f>
        <v>0</v>
      </c>
      <c r="GL40" s="129" t="e">
        <f aca="false">EXP(-LN(2)/35)*GL39+(1-EXP(-LN(2)/35))/(LN(2)/35)*GH40*GI40*VLOOKUP('Données projet'!$B$17,Paramètres!$A$1:$I$89,3,0)*0.475*44/12</f>
        <v>#N/A</v>
      </c>
      <c r="GM40" s="129" t="e">
        <f aca="false">EXP(-LN(2)/25)*GM39+(1-EXP(-LN(2)/25))/(LN(2)/25)*Calculateur!GH40*Calculateur!GJ40*VLOOKUP('Données projet'!$B$17,Paramètres!$A$1:$I$89,3,0)*0.475*44/12</f>
        <v>#N/A</v>
      </c>
      <c r="GN40" s="129" t="e">
        <f aca="false">EXP(-LN(2)/2)*GN39+(1-EXP(-LN(2)/2))/(LN(2)/2)*GH40*GK40*VLOOKUP('Données projet'!$B$17,Paramètres!$A$1:$I$89,3,0)*0.475*44/12</f>
        <v>#N/A</v>
      </c>
      <c r="GO40" s="129" t="e">
        <f aca="false">SUM(GL40:GN40)</f>
        <v>#N/A</v>
      </c>
      <c r="GP40" s="126" t="n">
        <f aca="false"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8" t="n">
        <f aca="false"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8" t="e">
        <f aca="false">VLOOKUP(A40,'Données projet'!$A$269:$I$289,2,0)</f>
        <v>#N/A</v>
      </c>
      <c r="GS40" s="118" t="e">
        <f aca="false">VLOOKUP(A40,'Données projet'!$A$269:$I$289,9,0)</f>
        <v>#N/A</v>
      </c>
      <c r="GT40" s="118" t="n">
        <f aca="false" t="array" ref="GT40:GT40">INDEX(GS:GS,MIN(IF(ISNUMBER(GS40:GS236),ROW(GS40:GS236),"")))</f>
        <v>0</v>
      </c>
      <c r="GU40" s="118" t="n">
        <f aca="false">IF('Données projet'!$A$270&gt;35,GU39+GT40-HC39,IF(A40&lt;'Données projet'!$A$270,$GR$205^A40,IF(A40='Données projet'!$A$270,'Données projet'!$B$270,GU39+GT40-HC39)))</f>
        <v>0</v>
      </c>
      <c r="GV40" s="125" t="e">
        <f aca="false">GU40*VLOOKUP('Données projet'!$B$18,Paramètres!$A$1:$I$89,3,0)*VLOOKUP('Données projet'!$B$18,Paramètres!$A$1:$I$89,5,0)</f>
        <v>#N/A</v>
      </c>
      <c r="GW40" s="117" t="e">
        <f aca="false">EXP(-1.0587+0.8836*LN(GV40)+0.284)</f>
        <v>#N/A</v>
      </c>
      <c r="GX40" s="128" t="e">
        <f aca="false">(GV40+GW40)*0.475*44/12</f>
        <v>#N/A</v>
      </c>
      <c r="GY40" s="120" t="e">
        <f aca="false">GX40+(GP40+GQ40)*44/12</f>
        <v>#N/A</v>
      </c>
      <c r="GZ40" s="120" t="e">
        <f aca="true">AVERAGE(OFFSET($GY$3,0,0,'Données projet'!$E$18+1,1))-AVERAGE(OFFSET($H$3,0,0,'Données projet'!$E$18+1,1))</f>
        <v>#N/A</v>
      </c>
      <c r="HA40" s="120" t="e">
        <f aca="false">$HA$3</f>
        <v>#N/A</v>
      </c>
      <c r="HB40" s="121" t="n">
        <f aca="false">IF(ISNA(VLOOKUP(A40,'Données projet'!$A$269:$I$289,3,0)),0,VLOOKUP(A40,'Données projet'!$A$269:$I$289,3,0))</f>
        <v>0</v>
      </c>
      <c r="HC40" s="121" t="n">
        <f aca="false">IF(ISNA(VLOOKUP(A40,'Données projet'!$A$269:$I$289,4,0)),0,VLOOKUP(A40,'Données projet'!$A$269:$I$289,4,0))</f>
        <v>0</v>
      </c>
      <c r="HD40" s="122" t="n">
        <f aca="false">IF(ISNA(VLOOKUP(A40,'Données projet'!$A$269:$I$289,5,0)),0%,VLOOKUP(A40,'Données projet'!$A$269:$I$289,5,0)*VLOOKUP('Données projet'!$B$18,Paramètres!$A$1:$I$89,7,0))</f>
        <v>0</v>
      </c>
      <c r="HE40" s="122" t="n">
        <f aca="false">IF(ISNA(VLOOKUP(A40,'Données projet'!$A$269:$I$289,6,0)),0%,VLOOKUP(A40,'Données projet'!$A$269:$I$289,6,0)*VLOOKUP('Données projet'!$B$18,Paramètres!$A$1:$I$89,7,0))</f>
        <v>0</v>
      </c>
      <c r="HF40" s="122" t="n">
        <f aca="false">IF(ISNA(VLOOKUP(A40,'Données projet'!$A$269:$I$289,7,0)),0%,VLOOKUP(A40,'Données projet'!$A$269:$I$289,7,0))</f>
        <v>0</v>
      </c>
      <c r="HG40" s="129" t="e">
        <f aca="false">EXP(-LN(2)/35)*HG39+(1-EXP(-LN(2)/35))/(LN(2)/35)*HC40*HD40*VLOOKUP('Données projet'!$B$18,Paramètres!$A$1:$I$89,3,0)*0.475*44/12</f>
        <v>#N/A</v>
      </c>
      <c r="HH40" s="129" t="e">
        <f aca="false">EXP(-LN(2)/25)*HH39+(1-EXP(-LN(2)/25))/(LN(2)/25)*Calculateur!HC40*Calculateur!HE40*VLOOKUP('Données projet'!$B$18,Paramètres!$A$1:$I$89,3,0)*0.475*44/12</f>
        <v>#N/A</v>
      </c>
      <c r="HI40" s="129" t="e">
        <f aca="false">EXP(-LN(2)/2)*HI39+(1-EXP(-LN(2)/2))/(LN(2)/2)*HC40*HF40*VLOOKUP('Données projet'!$B$18,Paramètres!$A$1:$I$89,3,0)*0.475*44/12</f>
        <v>#N/A</v>
      </c>
      <c r="HJ40" s="130" t="e">
        <f aca="false">SUM(HG40:HI40)</f>
        <v>#N/A</v>
      </c>
    </row>
    <row r="41" customFormat="false" ht="14.25" hidden="false" customHeight="false" outlineLevel="0" collapsed="false">
      <c r="A41" s="112" t="n">
        <f aca="false">A40+1</f>
        <v>38</v>
      </c>
      <c r="B41" s="113" t="n">
        <f aca="false">'Scénario référence'!$B$16*5+'Scénario référence'!$B$17*0+'Scénario référence'!$B$18*5</f>
        <v>0</v>
      </c>
      <c r="C41" s="127" t="n">
        <f aca="false"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4" t="n">
        <f aca="false">IFERROR(EXP(-1.0587+0.8836*LN(C41)+0.284),0)</f>
        <v>0</v>
      </c>
      <c r="E4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1" s="114" t="n">
        <f aca="false">IF(OR('Scénario référence'!$F$8&gt;0,'Scénario référence'!$F$9&gt;0),('Scénario référence'!$F$8+'Scénario référence'!$F$9)*10,0)</f>
        <v>0</v>
      </c>
      <c r="G41" s="114" t="n">
        <f aca="false"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15" t="n">
        <f aca="false">(B41+E41+F41)*44/12+(C41+D41)*0.475*44/12</f>
        <v>256.666666666667</v>
      </c>
      <c r="I41" s="11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7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8" t="e">
        <f aca="false">VLOOKUP(A41,'Données projet'!$A$35:$I$55,2,0)</f>
        <v>#N/A</v>
      </c>
      <c r="L41" s="118" t="e">
        <f aca="false">VLOOKUP(A41,'Données projet'!$A$35:$I$55,9,0)</f>
        <v>#N/A</v>
      </c>
      <c r="M41" s="118" t="n">
        <f aca="false" t="array" ref="M41:M41">INDEX(L:L,MIN(IF(ISNUMBER(L41:L237),ROW(L41:L237),"")))</f>
        <v>10</v>
      </c>
      <c r="N41" s="117" t="n">
        <f aca="false">IF('Données projet'!$A$36&gt;35,N40+M41-V40,IF(A41&lt;'Données projet'!$A$36,$K$205^A41,IF(A41='Données projet'!$A$36,'Données projet'!$B$36,N40+M41-V40)))</f>
        <v>223.5</v>
      </c>
      <c r="O41" s="117" t="n">
        <f aca="false">N41*VLOOKUP('Données projet'!$B$9,Paramètres!$A$1:$I$89,3,0)*VLOOKUP('Données projet'!$B$9,Paramètres!$A$1:$I$89,5,0)</f>
        <v>104.598</v>
      </c>
      <c r="P41" s="117" t="n">
        <f aca="false">EXP(-1.0587+0.8836*LN(O41)+0.284)</f>
        <v>28.0545252578416</v>
      </c>
      <c r="Q41" s="128" t="n">
        <f aca="false">(O41+P41)*0.475*44/12</f>
        <v>231.036481490741</v>
      </c>
      <c r="R41" s="120" t="n">
        <f aca="false">Q41+(I41+J41)*44/12</f>
        <v>524.369814824074</v>
      </c>
      <c r="S41" s="120" t="n">
        <f aca="true">AVERAGE(OFFSET($R$3,0,0,'Données projet'!$E$9+1,1))-AVERAGE(OFFSET($H$3,0,0,'Données projet'!$E$9+1,1))</f>
        <v>319.229030946746</v>
      </c>
      <c r="T41" s="120" t="n">
        <f aca="false">$T$3</f>
        <v>254.586909731428</v>
      </c>
      <c r="U41" s="121" t="n">
        <f aca="false">IF(ISNA(VLOOKUP(A41,'Données projet'!$A$35:$I$55,3,0)),0,VLOOKUP(A41,'Données projet'!$A$35:$I$55,3,0))</f>
        <v>0</v>
      </c>
      <c r="V41" s="121" t="n">
        <f aca="false">IF(ISNA(VLOOKUP(A41,'Données projet'!$A$35:$I$55,4,0)),0,VLOOKUP(A41,'Données projet'!$A$35:$I$55,4,0))</f>
        <v>0</v>
      </c>
      <c r="W41" s="122" t="n">
        <f aca="false">IF(ISNA(VLOOKUP(A41,'Données projet'!$A$35:$I$55,5,0)),0%,VLOOKUP(A41,'Données projet'!$A$35:$I$55,5,0)*VLOOKUP('Données projet'!$B$9,Paramètres!$A$1:$I$89,7,0))</f>
        <v>0</v>
      </c>
      <c r="X41" s="122" t="n">
        <f aca="false">IF(ISNA(VLOOKUP(A41,'Données projet'!$A$35:$I$55,6,0)),0%,VLOOKUP(A41,'Données projet'!$A$35:$I$55,6,0)*VLOOKUP('Données projet'!$B$9,Paramètres!$A$1:$I$89,7,0))</f>
        <v>0</v>
      </c>
      <c r="Y41" s="122" t="n">
        <f aca="false">IF(ISNA(VLOOKUP(A41,'Données projet'!$A$35:$I$55,7,0)),0%,VLOOKUP(A41,'Données projet'!$A$35:$I$55,7,0))</f>
        <v>0</v>
      </c>
      <c r="Z41" s="129" t="n">
        <f aca="false">EXP(-LN(2)/35)*Z40+(1-EXP(-LN(2)/35))/(LN(2)/35)*V41*W41*VLOOKUP('Données projet'!$B$9,Paramètres!$A$1:$I$89,3,0)*0.475*44/12</f>
        <v>7.74632347533863</v>
      </c>
      <c r="AA41" s="129" t="n">
        <f aca="false">EXP(-LN(2)/25)*AA40+(1-EXP(-LN(2)/25))/(LN(2)/25)*Calculateur!V41*Calculateur!X41*VLOOKUP('Données projet'!$B$9,Paramètres!$A$1:$I$89,3,0)*0.475*44/12</f>
        <v>8.93298672094648</v>
      </c>
      <c r="AB41" s="129" t="n">
        <f aca="false">EXP(-LN(2)/2)*AB40+(1-EXP(-LN(2)/2))/(LN(2)/2)*V41*Y41*VLOOKUP('Données projet'!$B$9,Paramètres!$A$1:$I$89,3,0)*0.475*44/12</f>
        <v>0.690195540224897</v>
      </c>
      <c r="AC41" s="130" t="n">
        <f aca="false">SUM(Z41:AB41)</f>
        <v>17.36950573651</v>
      </c>
      <c r="AD41" s="117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7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8" t="e">
        <f aca="false">VLOOKUP(A41,'Données projet'!$A$61:$I$81,2,0)</f>
        <v>#N/A</v>
      </c>
      <c r="AG41" s="118" t="e">
        <f aca="false">VLOOKUP(A41,'Données projet'!$A$61:$I$81,9,0)</f>
        <v>#N/A</v>
      </c>
      <c r="AH41" s="118" t="n">
        <f aca="false" t="array" ref="AH41:AH41">INDEX(AG:AG,MIN(IF(ISNUMBER(AG41:AG237),ROW(AG41:AG237),"")))</f>
        <v>24</v>
      </c>
      <c r="AI41" s="117" t="n">
        <f aca="false">IF('Données projet'!$A$62&gt;35,AI40+AH41-AQ40,IF(A41&lt;'Données projet'!$A$62,$AF$205^A41,IF(A41='Données projet'!$A$62,'Données projet'!$B$62,AI40+AH41-AQ40)))</f>
        <v>433</v>
      </c>
      <c r="AJ41" s="117" t="n">
        <f aca="false">AI41*VLOOKUP('Données projet'!$B$10,Paramètres!$A$1:$I$89,3,0)*VLOOKUP('Données projet'!$B$10,Paramètres!$A$1:$I$89,5,0)</f>
        <v>242.047</v>
      </c>
      <c r="AK41" s="117" t="n">
        <f aca="false">EXP(-1.0587+0.8836*LN(AJ41)+0.284)</f>
        <v>58.8797345703596</v>
      </c>
      <c r="AL41" s="128" t="n">
        <f aca="false">(AJ41+AK41)*0.475*44/12</f>
        <v>524.114062710043</v>
      </c>
      <c r="AM41" s="120" t="n">
        <f aca="false">AL41+(AD41+AE41)*44/12</f>
        <v>817.447396043376</v>
      </c>
      <c r="AN41" s="120" t="n">
        <f aca="true">AVERAGE(OFFSET($AM$3,0,0,'Données projet'!$E$10+1,1))-AVERAGE(OFFSET($H$3,0,0,'Données projet'!$E$10+1,1))</f>
        <v>365.705101827279</v>
      </c>
      <c r="AO41" s="120" t="n">
        <f aca="false">$AO$3</f>
        <v>436.238338449625</v>
      </c>
      <c r="AP41" s="121" t="n">
        <f aca="false">IF(ISNA(VLOOKUP(A41,'Données projet'!$A$61:$I$81,3,0)),0,VLOOKUP(A41,'Données projet'!$A$61:$I$81,3,0))</f>
        <v>0</v>
      </c>
      <c r="AQ41" s="121" t="n">
        <f aca="false">IF(ISNA(VLOOKUP(A41,'Données projet'!$A$61:$I$81,4,0)),0,VLOOKUP(A41,'Données projet'!$A$61:$I$81,4,0))</f>
        <v>0</v>
      </c>
      <c r="AR41" s="122" t="n">
        <f aca="false">IF(ISNA(VLOOKUP(A41,'Données projet'!$A$61:$I$81,5,0)),0%,VLOOKUP(A41,'Données projet'!$A$61:$I$81,5,0)*VLOOKUP('Données projet'!$B$10,Paramètres!$A$1:$I$89,7,0))</f>
        <v>0</v>
      </c>
      <c r="AS41" s="122" t="n">
        <f aca="false">IF(ISNA(VLOOKUP(A41,'Données projet'!$A$61:$I$81,6,0)),0%,VLOOKUP(A41,'Données projet'!$A$61:$I$81,6,0)*VLOOKUP('Données projet'!$B$10,Paramètres!$A$1:$I$89,7,0))</f>
        <v>0</v>
      </c>
      <c r="AT41" s="122" t="n">
        <f aca="false">IF(ISNA(VLOOKUP(A41,'Données projet'!$A$61:$I$81,7,0)),0%,VLOOKUP(A41,'Données projet'!$A$61:$I$81,7,0))</f>
        <v>0</v>
      </c>
      <c r="AU41" s="129" t="n">
        <f aca="false">EXP(-LN(2)/35)*AU40+(1-EXP(-LN(2)/35))/(LN(2)/35)*AQ41*AR41*VLOOKUP('Données projet'!$B$10,Paramètres!$A$1:$I$89,3,0)*0.475*44/12</f>
        <v>2.92398596521356</v>
      </c>
      <c r="AV41" s="129" t="n">
        <f aca="false">EXP(-LN(2)/25)*AV40+(1-EXP(-LN(2)/25))/(LN(2)/25)*Calculateur!AQ41*Calculateur!AS41*VLOOKUP('Données projet'!$B$10,Paramètres!$A$1:$I$89,3,0)*0.475*44/12</f>
        <v>10.5806397654686</v>
      </c>
      <c r="AW41" s="129" t="n">
        <f aca="false">EXP(-LN(2)/2)*AW40+(1-EXP(-LN(2)/2))/(LN(2)/2)*AQ41*AT41*VLOOKUP('Données projet'!$B$10,Paramètres!$A$1:$I$89,3,0)*0.475*44/12</f>
        <v>0.371441667854737</v>
      </c>
      <c r="AX41" s="129" t="n">
        <f aca="false">SUM(AU41:AW41)</f>
        <v>13.8760673985369</v>
      </c>
      <c r="AY41" s="124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8" t="e">
        <f aca="false">VLOOKUP(A41,'Données projet'!$A$87:$I$107,2,0)</f>
        <v>#N/A</v>
      </c>
      <c r="BB41" s="118" t="e">
        <f aca="false">VLOOKUP(A41,'Données projet'!$A$87:$I$107,9,0)</f>
        <v>#N/A</v>
      </c>
      <c r="BC41" s="118" t="n">
        <f aca="false" t="array" ref="BC41:BC41">INDEX(BB:BB,MIN(IF(ISNUMBER(BB41:BB237),ROW(BB41:BB237),"")))</f>
        <v>10.8</v>
      </c>
      <c r="BD41" s="118" t="n">
        <f aca="false">IF('Données projet'!$A$88&gt;35,BD40+BC41-BL40,IF(A41&lt;'Données projet'!$A$88,$BA$205^A41,IF(A41='Données projet'!$A$88,'Données projet'!$B$88,BD40+BC41-BL40)))</f>
        <v>191.4</v>
      </c>
      <c r="BE41" s="117" t="n">
        <f aca="false">BD41*VLOOKUP('Données projet'!$B$11,Paramètres!$A$1:$I$89,3,0)*VLOOKUP('Données projet'!$B$11,Paramètres!$A$1:$I$89,5,0)</f>
        <v>167.20704</v>
      </c>
      <c r="BF41" s="117" t="n">
        <f aca="false">EXP(-1.0587+0.8836*LN(BE41)+0.284)</f>
        <v>42.4638916478228</v>
      </c>
      <c r="BG41" s="128" t="n">
        <f aca="false">(BE41+BF41)*0.475*44/12</f>
        <v>365.176872619958</v>
      </c>
      <c r="BH41" s="120" t="n">
        <f aca="false">BG41+(AY41+AZ41)*44/12</f>
        <v>658.510205953291</v>
      </c>
      <c r="BI41" s="120" t="n">
        <f aca="true">AVERAGE(OFFSET($BH$3,0,0,'Données projet'!$E$11+1,1))-AVERAGE(OFFSET($H$3,0,0,'Données projet'!$E$11+1,1))</f>
        <v>321.235999689929</v>
      </c>
      <c r="BJ41" s="120" t="n">
        <f aca="false">$BJ$3</f>
        <v>388.051958478005</v>
      </c>
      <c r="BK41" s="121" t="n">
        <f aca="false">IF(ISNA(VLOOKUP(A41,'Données projet'!$A$87:$I$107,3,0)),0,VLOOKUP(A41,'Données projet'!$A$87:$I$107,3,0))</f>
        <v>0</v>
      </c>
      <c r="BL41" s="121" t="n">
        <f aca="false">IF(ISNA(VLOOKUP(A41,'Données projet'!$A$87:$I$107,4,0)),0,VLOOKUP(A41,'Données projet'!$A$87:$I$107,4,0))</f>
        <v>0</v>
      </c>
      <c r="BM41" s="122" t="n">
        <f aca="false">IF(ISNA(VLOOKUP(A41,'Données projet'!$A$87:$I$107,5,0)),0%,VLOOKUP(A41,'Données projet'!$A$87:$I$107,5,0)*VLOOKUP('Données projet'!$B$11,Paramètres!$A$1:$I$89,7,0))</f>
        <v>0</v>
      </c>
      <c r="BN41" s="122" t="n">
        <f aca="false">IF(ISNA(VLOOKUP(A41,'Données projet'!$A$87:$I$107,6,0)),0%,VLOOKUP(A41,'Données projet'!$A$87:$I$107,6,0)*VLOOKUP('Données projet'!$B$11,Paramètres!$A$1:$I$89,7,0))</f>
        <v>0</v>
      </c>
      <c r="BO41" s="122" t="n">
        <f aca="false">IF(ISNA(VLOOKUP(A41,'Données projet'!$A$87:$I$107,7,0)),0%,VLOOKUP(A41,'Données projet'!$A$87:$I$107,7,0))</f>
        <v>0</v>
      </c>
      <c r="BP41" s="129" t="n">
        <f aca="false">EXP(-LN(2)/35)*BP40+(1-EXP(-LN(2)/35))/(LN(2)/35)*BL41*BM41*VLOOKUP('Données projet'!$B$11,Paramètres!$A$1:$I$89,3,0)*0.475*44/12</f>
        <v>7.34102159706962</v>
      </c>
      <c r="BQ41" s="129" t="n">
        <f aca="false">EXP(-LN(2)/25)*BQ40+(1-EXP(-LN(2)/25))/(LN(2)/25)*Calculateur!BL41*Calculateur!BN41*VLOOKUP('Données projet'!$B$11,Paramètres!$A$1:$I$89,3,0)*0.475*44/12</f>
        <v>10.8000886214436</v>
      </c>
      <c r="BR41" s="129" t="n">
        <f aca="false">EXP(-LN(2)/2)*BR40+(1-EXP(-LN(2)/2))/(LN(2)/2)*BL41*BO41*VLOOKUP('Données projet'!$B$11,Paramètres!$A$1:$I$89,3,0)*0.475*44/12</f>
        <v>0.377562734830921</v>
      </c>
      <c r="BS41" s="130" t="n">
        <f aca="false">SUM(BP41:BR41)</f>
        <v>18.5186729533441</v>
      </c>
      <c r="BT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8" t="e">
        <f aca="false">VLOOKUP(A41,'Données projet'!$A$113:$I$133,2,0)</f>
        <v>#N/A</v>
      </c>
      <c r="BW41" s="118" t="e">
        <f aca="false">VLOOKUP(A41,'Données projet'!$A$113:$I$133,9,0)</f>
        <v>#N/A</v>
      </c>
      <c r="BX41" s="118" t="n">
        <f aca="false" t="array" ref="BX41:BX41">INDEX(BW:BW,MIN(IF(ISNUMBER(BW41:BW237),ROW(BW41:BW237),"")))</f>
        <v>11.5</v>
      </c>
      <c r="BY41" s="118" t="n">
        <f aca="false">IF('Données projet'!$A$114&gt;35,BY40+BX41-CG40,IF(A41&lt;'Données projet'!$A$114,$BV$205^A41,IF(A41='Données projet'!$A$114,'Données projet'!$B$114,BY40+BX41-CG40)))</f>
        <v>209</v>
      </c>
      <c r="BZ41" s="117" t="n">
        <f aca="false">BY41*VLOOKUP('Données projet'!$B$12,Paramètres!$A$1:$I$89,3,0)*VLOOKUP('Données projet'!$B$12,Paramètres!$A$1:$I$89,5,0)</f>
        <v>130.416</v>
      </c>
      <c r="CA41" s="117" t="n">
        <f aca="false">EXP(-1.0587+0.8836*LN(BZ41)+0.284)</f>
        <v>34.0924668371799</v>
      </c>
      <c r="CB41" s="128" t="n">
        <f aca="false">(BZ41+CA41)*0.475*44/12</f>
        <v>286.518913074755</v>
      </c>
      <c r="CC41" s="120" t="n">
        <f aca="false">CB41+(BT41+BU41)*44/12</f>
        <v>579.852246408088</v>
      </c>
      <c r="CD41" s="120" t="n">
        <f aca="true">AVERAGE(OFFSET($CC$3,0,0,'Données projet'!$E$12+1,1))-AVERAGE(OFFSET($H$3,0,0,'Données projet'!$E$12+1,1))</f>
        <v>240.228848647662</v>
      </c>
      <c r="CE41" s="120" t="n">
        <f aca="false">$CE$3</f>
        <v>343.237768841432</v>
      </c>
      <c r="CF41" s="121" t="n">
        <f aca="false">IF(ISNA(VLOOKUP(A41,'Données projet'!$A$113:$I$133,3,0)),0,VLOOKUP(A41,'Données projet'!$A$113:$I$133,3,0))</f>
        <v>0</v>
      </c>
      <c r="CG41" s="121" t="n">
        <f aca="false">IF(ISNA(VLOOKUP(A41,'Données projet'!$A$113:$I$133,4,0)),0,VLOOKUP(A41,'Données projet'!$A$113:$I$133,4,0))</f>
        <v>0</v>
      </c>
      <c r="CH41" s="122" t="n">
        <f aca="false">IF(ISNA(VLOOKUP(A41,'Données projet'!$A$113:$I$133,5,0)),0%,VLOOKUP(A41,'Données projet'!$A$113:$I$133,5,0)*VLOOKUP('Données projet'!$B$12,Paramètres!$A$1:$I$89,7,0))</f>
        <v>0</v>
      </c>
      <c r="CI41" s="122" t="n">
        <f aca="false">IF(ISNA(VLOOKUP(A41,'Données projet'!$A$113:$I$133,6,0)),0%,VLOOKUP(A41,'Données projet'!$A$113:$I$133,6,0)*VLOOKUP('Données projet'!$B$12,Paramètres!$A$1:$I$89,7,0))</f>
        <v>0</v>
      </c>
      <c r="CJ41" s="122" t="n">
        <f aca="false">IF(ISNA(VLOOKUP(A41,'Données projet'!$A$113:$I$133,7,0)),0%,VLOOKUP(A41,'Données projet'!$A$113:$I$133,7,0))</f>
        <v>0</v>
      </c>
      <c r="CK41" s="129" t="n">
        <f aca="false">EXP(-LN(2)/35)*CK40+(1-EXP(-LN(2)/35))/(LN(2)/35)*CG41*CH41*VLOOKUP('Données projet'!$B$12,Paramètres!$A$1:$I$89,3,0)*0.475*44/12</f>
        <v>4.49327713410046</v>
      </c>
      <c r="CL41" s="129" t="n">
        <f aca="false">EXP(-LN(2)/25)*CL40+(1-EXP(-LN(2)/25))/(LN(2)/25)*Calculateur!CG41*Calculateur!CI41*VLOOKUP('Données projet'!$B$12,Paramètres!$A$1:$I$89,3,0)*0.475*44/12</f>
        <v>19.0735817213759</v>
      </c>
      <c r="CM41" s="129" t="n">
        <f aca="false">EXP(-LN(2)/2)*CM40+(1-EXP(-LN(2)/2))/(LN(2)/2)*CG41*CJ41*VLOOKUP('Données projet'!$B$12,Paramètres!$A$1:$I$89,3,0)*0.475*44/12</f>
        <v>0.602489466622738</v>
      </c>
      <c r="CN41" s="130" t="n">
        <f aca="false">SUM(CK41:CM41)</f>
        <v>24.169348322099</v>
      </c>
      <c r="CO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8" t="e">
        <f aca="false">VLOOKUP(A41,'Données projet'!$A$139:$I$159,2,0)</f>
        <v>#N/A</v>
      </c>
      <c r="CR41" s="118" t="e">
        <f aca="false">VLOOKUP(A41,'Données projet'!$A$139:$I$159,9,0)</f>
        <v>#N/A</v>
      </c>
      <c r="CS41" s="118" t="n">
        <f aca="false" t="array" ref="CS41:CS41">INDEX(CR:CR,MIN(IF(ISNUMBER(CR41:CR237),ROW(CR41:CR237),"")))</f>
        <v>14</v>
      </c>
      <c r="CT41" s="118" t="n">
        <f aca="false">IF('Données projet'!$A$140&gt;35,CT40+CS41-DB40,IF(A41&lt;'Données projet'!$A$140,$CQ$205^A41,IF(A41='Données projet'!$A$140,'Données projet'!$B$140,CT40+CS41-DB40)))</f>
        <v>222</v>
      </c>
      <c r="CU41" s="125" t="n">
        <f aca="false">CT41*VLOOKUP('Données projet'!$B$13,Paramètres!$A$1:$I$89,3,0)*VLOOKUP('Données projet'!$B$13,Paramètres!$A$1:$I$89,5,0)</f>
        <v>121.212</v>
      </c>
      <c r="CV41" s="117" t="n">
        <f aca="false">EXP(-1.0587+0.8836*LN(CU41)+0.284)</f>
        <v>31.9575128476171</v>
      </c>
      <c r="CW41" s="128" t="n">
        <f aca="false">(CU41+CV41)*0.475*44/12</f>
        <v>266.770234876266</v>
      </c>
      <c r="CX41" s="120" t="n">
        <f aca="false">CW41+(CO41+CP41)*44/12</f>
        <v>560.1035682096</v>
      </c>
      <c r="CY41" s="120" t="n">
        <f aca="true">AVERAGE(OFFSET($CX$3,0,0,'Données projet'!$E$13+1,1))-AVERAGE(OFFSET($H$3,0,0,'Données projet'!$E$13+1,1))</f>
        <v>207.023069645676</v>
      </c>
      <c r="CZ41" s="120" t="n">
        <f aca="false">$CZ$3</f>
        <v>342.068879333518</v>
      </c>
      <c r="DA41" s="121" t="n">
        <f aca="false">IF(ISNA(VLOOKUP(A41,'Données projet'!$A$139:$I$159,3,0)),0,VLOOKUP(A41,'Données projet'!$A$139:$I$159,3,0))</f>
        <v>0</v>
      </c>
      <c r="DB41" s="121" t="n">
        <f aca="false">IF(ISNA(VLOOKUP(A41,'Données projet'!$A$139:$I$159,4,0)),0,VLOOKUP(A41,'Données projet'!$A$139:$I$159,4,0))</f>
        <v>0</v>
      </c>
      <c r="DC41" s="122" t="n">
        <f aca="false">IF(ISNA(VLOOKUP(A41,'Données projet'!$A$139:$I$159,5,0)),0%,VLOOKUP(A41,'Données projet'!$A$139:$I$159,5,0)*VLOOKUP('Données projet'!$B$13,Paramètres!$A$1:$I$89,7,0))</f>
        <v>0</v>
      </c>
      <c r="DD41" s="122" t="n">
        <f aca="false">IF(ISNA(VLOOKUP(A41,'Données projet'!$A$139:$I$159,6,0)),0%,VLOOKUP(A41,'Données projet'!$A$139:$I$159,6,0)*VLOOKUP('Données projet'!$B$13,Paramètres!$A$1:$I$89,7,0))</f>
        <v>0</v>
      </c>
      <c r="DE41" s="122" t="n">
        <f aca="false">IF(ISNA(VLOOKUP(A41,'Données projet'!$A$139:$I$159,7,0)),0%,VLOOKUP(A41,'Données projet'!$A$139:$I$159,7,0))</f>
        <v>0</v>
      </c>
      <c r="DF41" s="129" t="n">
        <f aca="false">EXP(-LN(2)/35)*DF40+(1-EXP(-LN(2)/35))/(LN(2)/35)*DB41*DC41*VLOOKUP('Données projet'!$B$13,Paramètres!$A$1:$I$89,3,0)*0.475*44/12</f>
        <v>5.63779112108831</v>
      </c>
      <c r="DG41" s="129" t="n">
        <f aca="false">EXP(-LN(2)/25)*DG40+(1-EXP(-LN(2)/25))/(LN(2)/25)*Calculateur!DB41*Calculateur!DD41*VLOOKUP('Données projet'!$B$13,Paramètres!$A$1:$I$89,3,0)*0.475*44/12</f>
        <v>31.1773621807808</v>
      </c>
      <c r="DH41" s="129" t="n">
        <f aca="false">EXP(-LN(2)/2)*DH40+(1-EXP(-LN(2)/2))/(LN(2)/2)*DB41*DE41*VLOOKUP('Données projet'!$B$13,Paramètres!$A$1:$I$89,3,0)*0.475*44/12</f>
        <v>0.829628274868803</v>
      </c>
      <c r="DI41" s="130" t="n">
        <f aca="false">SUM(DF41:DH41)</f>
        <v>37.6447815767379</v>
      </c>
      <c r="DJ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8" t="e">
        <f aca="false">VLOOKUP(A41,'Données projet'!$A$165:$I$185,2,0)</f>
        <v>#N/A</v>
      </c>
      <c r="DM41" s="118" t="e">
        <f aca="false">VLOOKUP(A41,'Données projet'!$A$165:$I$185,9,0)</f>
        <v>#N/A</v>
      </c>
      <c r="DN41" s="118" t="n">
        <f aca="false" t="array" ref="DN41:DN41">INDEX(DM:DM,MIN(IF(ISNUMBER(DM41:DM237),ROW(DM41:DM237),"")))</f>
        <v>12.8333333333333</v>
      </c>
      <c r="DO41" s="118" t="n">
        <f aca="false">IF('Données projet'!$A$166&gt;35,DO40+DN41-DW40,IF(A41&lt;'Données projet'!$A$166,$DL$205^A41,IF(A41='Données projet'!$A$166,'Données projet'!$B$166,DO40+DN41-DW40)))</f>
        <v>249.333333333333</v>
      </c>
      <c r="DP41" s="125" t="n">
        <f aca="false">DO41*VLOOKUP('Données projet'!$B$14,Paramètres!$A$1:$I$89,3,0)*VLOOKUP('Données projet'!$B$14,Paramètres!$A$1:$I$89,5,0)</f>
        <v>149.101333333333</v>
      </c>
      <c r="DQ41" s="117" t="n">
        <f aca="false">EXP(-1.0587+0.8836*LN(DP41)+0.284)</f>
        <v>38.3742890270479</v>
      </c>
      <c r="DR41" s="128" t="n">
        <f aca="false">(DP41+DQ41)*0.475*44/12</f>
        <v>326.520042277664</v>
      </c>
      <c r="DS41" s="120" t="n">
        <f aca="false">DR41+(DJ41+DK41)*44/12</f>
        <v>619.853375610997</v>
      </c>
      <c r="DT41" s="120" t="n">
        <f aca="true">AVERAGE(OFFSET($DS$3,0,0,'Données projet'!$E$14+1,1))-AVERAGE(OFFSET($H$3,0,0,'Données projet'!$E$14+1,1))</f>
        <v>549.432320957297</v>
      </c>
      <c r="DU41" s="120" t="n">
        <f aca="false">$DU$3</f>
        <v>280.26155987301</v>
      </c>
      <c r="DV41" s="121" t="n">
        <f aca="false">IF(ISNA(VLOOKUP(A41,'Données projet'!$A$165:$I$185,3,0)),0,VLOOKUP(A41,'Données projet'!$A$165:$I$185,3,0))</f>
        <v>0</v>
      </c>
      <c r="DW41" s="121" t="n">
        <f aca="false">IF(ISNA(VLOOKUP(A41,'Données projet'!$A$165:$I$185,4,0)),0,VLOOKUP(A41,'Données projet'!$A$165:$I$185,4,0))</f>
        <v>0</v>
      </c>
      <c r="DX41" s="122" t="n">
        <f aca="false">IF(ISNA(VLOOKUP(A41,'Données projet'!$A$165:$I$185,5,0)),0%,VLOOKUP(A41,'Données projet'!$A$165:$I$185,5,0)*VLOOKUP('Données projet'!$B$14,Paramètres!$A$1:$I$89,7,0))</f>
        <v>0</v>
      </c>
      <c r="DY41" s="122" t="n">
        <f aca="false">IF(ISNA(VLOOKUP(A41,'Données projet'!$A$165:$I$185,6,0)),0%,VLOOKUP(A41,'Données projet'!$A$165:$I$185,6,0)*VLOOKUP('Données projet'!$B$14,Paramètres!$A$1:$I$89,7,0))</f>
        <v>0</v>
      </c>
      <c r="DZ41" s="122" t="n">
        <f aca="false">IF(ISNA(VLOOKUP(A41,'Données projet'!$A$165:$I$185,7,0)),0%,VLOOKUP(A41,'Données projet'!$A$165:$I$185,7,0))</f>
        <v>0</v>
      </c>
      <c r="EA41" s="129" t="n">
        <f aca="false">EXP(-LN(2)/35)*EA40+(1-EXP(-LN(2)/35))/(LN(2)/35)*DW41*DX41*VLOOKUP('Données projet'!$B$14,Paramètres!$A$1:$I$89,3,0)*0.475*44/12</f>
        <v>2.04989456524357</v>
      </c>
      <c r="EB41" s="129" t="n">
        <f aca="false">EXP(-LN(2)/25)*EB40+(1-EXP(-LN(2)/25))/(LN(2)/25)*Calculateur!DW41*Calculateur!DY41*VLOOKUP('Données projet'!$B$14,Paramètres!$A$1:$I$89,3,0)*0.475*44/12</f>
        <v>6.21114566495586</v>
      </c>
      <c r="EC41" s="129" t="n">
        <f aca="false">EXP(-LN(2)/2)*EC40+(1-EXP(-LN(2)/2))/(LN(2)/2)*DW41*DZ41*VLOOKUP('Données projet'!$B$14,Paramètres!$A$1:$I$89,3,0)*0.475*44/12</f>
        <v>0.382441533409967</v>
      </c>
      <c r="ED41" s="130" t="n">
        <f aca="false">SUM(EA41:EC41)</f>
        <v>8.6434817636094</v>
      </c>
      <c r="EE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8" t="e">
        <f aca="false">VLOOKUP(A41,'Données projet'!$A$191:$I$211,2,0)</f>
        <v>#N/A</v>
      </c>
      <c r="EH41" s="118" t="e">
        <f aca="false">VLOOKUP(A41,'Données projet'!$A$191:$I$211,9,0)</f>
        <v>#N/A</v>
      </c>
      <c r="EI41" s="118" t="n">
        <f aca="false" t="array" ref="EI41:EI41">INDEX(EH:EH,MIN(IF(ISNUMBER(EH41:EH237),ROW(EH41:EH237),"")))</f>
        <v>0</v>
      </c>
      <c r="EJ41" s="118" t="n">
        <f aca="false">IF('Données projet'!$A$192&gt;35,EJ40+EI41-ER40,IF(A41&lt;'Données projet'!$A$192,$EG$205^A41,IF(A41='Données projet'!$A$192,'Données projet'!$B$192,EJ40+EI41-ER40)))</f>
        <v>0</v>
      </c>
      <c r="EK41" s="125" t="e">
        <f aca="false">EJ41*VLOOKUP('Données projet'!$B$15,Paramètres!$A$1:$I$89,3,0)*VLOOKUP('Données projet'!$B$15,Paramètres!$A$1:$I$89,5,0)</f>
        <v>#N/A</v>
      </c>
      <c r="EL41" s="117" t="e">
        <f aca="false">EXP(-1.0587+0.8836*LN(EK41)+0.284)</f>
        <v>#N/A</v>
      </c>
      <c r="EM41" s="128" t="e">
        <f aca="false">(EK41+EL41)*0.475*44/12</f>
        <v>#N/A</v>
      </c>
      <c r="EN41" s="120" t="e">
        <f aca="false">EM41+(EE41+EF41)*44/12</f>
        <v>#N/A</v>
      </c>
      <c r="EO41" s="120" t="e">
        <f aca="true">AVERAGE(OFFSET($EN$3,0,0,'Données projet'!$E$15+1,1))-AVERAGE(OFFSET($H$3,0,0,'Données projet'!$E$15+1,1))</f>
        <v>#N/A</v>
      </c>
      <c r="EP41" s="120" t="e">
        <f aca="false">$EP$3</f>
        <v>#N/A</v>
      </c>
      <c r="EQ41" s="121" t="n">
        <f aca="false">IF(ISNA(VLOOKUP(A41,'Données projet'!$A$191:$I$211,3,0)),0,VLOOKUP(A41,'Données projet'!$A$191:$I$211,3,0))</f>
        <v>0</v>
      </c>
      <c r="ER41" s="121" t="n">
        <f aca="false">IF(ISNA(VLOOKUP(A41,'Données projet'!$A$191:$I$211,4,0)),0,VLOOKUP(A41,'Données projet'!$A$191:$I$211,4,0))</f>
        <v>0</v>
      </c>
      <c r="ES41" s="122" t="n">
        <f aca="false">IF(ISNA(VLOOKUP(A41,'Données projet'!$A$191:$I$211,5,0)),0%,VLOOKUP(A41,'Données projet'!$A$191:$I$211,5,0)*VLOOKUP('Données projet'!$B$15,Paramètres!$A$1:$I$89,7,0))</f>
        <v>0</v>
      </c>
      <c r="ET41" s="122" t="n">
        <f aca="false">IF(ISNA(VLOOKUP(A41,'Données projet'!$A$191:$I$211,6,0)),0%,VLOOKUP(A41,'Données projet'!$A$191:$I$211,6,0)*VLOOKUP('Données projet'!$B$15,Paramètres!$A$1:$I$89,7,0))</f>
        <v>0</v>
      </c>
      <c r="EU41" s="122" t="n">
        <f aca="false">IF(ISNA(VLOOKUP(A41,'Données projet'!$A$191:$I$211,7,0)),0%,VLOOKUP(A41,'Données projet'!$A$191:$I$211,7,0))</f>
        <v>0</v>
      </c>
      <c r="EV41" s="129" t="e">
        <f aca="false">EXP(-LN(2)/35)*EV40+(1-EXP(-LN(2)/35))/(LN(2)/35)*ER41*ES41*VLOOKUP('Données projet'!$B$15,Paramètres!$A$1:$I$89,3,0)*0.475*44/12</f>
        <v>#N/A</v>
      </c>
      <c r="EW41" s="129" t="e">
        <f aca="false">EXP(-LN(2)/25)*EW40+(1-EXP(-LN(2)/25))/(LN(2)/25)*Calculateur!ER41*Calculateur!ET41*VLOOKUP('Données projet'!$B$15,Paramètres!$A$1:$I$89,3,0)*0.475*44/12</f>
        <v>#N/A</v>
      </c>
      <c r="EX41" s="129" t="e">
        <f aca="false">EXP(-LN(2)/2)*EX40+(1-EXP(-LN(2)/2))/(LN(2)/2)*ER41*EU41*VLOOKUP('Données projet'!$B$15,Paramètres!$A$1:$I$89,3,0)*0.475*44/12</f>
        <v>#N/A</v>
      </c>
      <c r="EY41" s="130" t="e">
        <f aca="false">SUM(EV41:EX41)</f>
        <v>#N/A</v>
      </c>
      <c r="EZ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8" t="e">
        <f aca="false">VLOOKUP(A41,'Données projet'!$A$217:$I$237,2,0)</f>
        <v>#N/A</v>
      </c>
      <c r="FC41" s="118" t="e">
        <f aca="false">VLOOKUP(A41,'Données projet'!$A$217:$I$237,9,0)</f>
        <v>#N/A</v>
      </c>
      <c r="FD41" s="118" t="n">
        <f aca="false" t="array" ref="FD41:FD41">INDEX(FC:FC,MIN(IF(ISNUMBER(FC41:FC237),ROW(FC41:FC237),"")))</f>
        <v>0</v>
      </c>
      <c r="FE41" s="118" t="n">
        <f aca="false">IF('Données projet'!$A$218&gt;35,FE40+FD41-FM40,IF(A41&lt;'Données projet'!$A$218,$FB$205^A41,IF(A41='Données projet'!$A$218,'Données projet'!$B$218,FE40+FD41-FM40)))</f>
        <v>0</v>
      </c>
      <c r="FF41" s="125" t="e">
        <f aca="false">FE41*VLOOKUP('Données projet'!$B$16,Paramètres!$A$1:$I$89,3,0)*VLOOKUP('Données projet'!$B$16,Paramètres!$A$1:$I$89,5,0)</f>
        <v>#N/A</v>
      </c>
      <c r="FG41" s="117" t="e">
        <f aca="false">EXP(-1.0587+0.8836*LN(FF41)+0.284)</f>
        <v>#N/A</v>
      </c>
      <c r="FH41" s="128" t="e">
        <f aca="false">(FF41+FG41)*0.475*44/12</f>
        <v>#N/A</v>
      </c>
      <c r="FI41" s="120" t="e">
        <f aca="false">FH41+(EZ41+FA41)*44/12</f>
        <v>#N/A</v>
      </c>
      <c r="FJ41" s="120" t="e">
        <f aca="true">AVERAGE(OFFSET($FI$3,0,0,'Données projet'!$E$16+1,1))-AVERAGE(OFFSET($H$3,0,0,'Données projet'!$E$16+1,1))</f>
        <v>#N/A</v>
      </c>
      <c r="FK41" s="120" t="e">
        <f aca="false">$FK$3</f>
        <v>#N/A</v>
      </c>
      <c r="FL41" s="121" t="n">
        <f aca="false">IF(ISNA(VLOOKUP(A41,'Données projet'!$A$217:$I$237,3,0)),0,VLOOKUP(A41,'Données projet'!$A$217:$I$237,3,0))</f>
        <v>0</v>
      </c>
      <c r="FM41" s="121" t="n">
        <f aca="false">IF(ISNA(VLOOKUP(A41,'Données projet'!$A$217:$I$237,4,0)),0,VLOOKUP(A41,'Données projet'!$A$217:$I$237,4,0))</f>
        <v>0</v>
      </c>
      <c r="FN41" s="122" t="n">
        <f aca="false">IF(ISNA(VLOOKUP(A41,'Données projet'!$A$217:$I$237,5,0)),0%,VLOOKUP(A41,'Données projet'!$A$217:$I$237,5,0)*VLOOKUP('Données projet'!$B$16,Paramètres!$A$1:$I$89,7,0))</f>
        <v>0</v>
      </c>
      <c r="FO41" s="122" t="n">
        <f aca="false">IF(ISNA(VLOOKUP(A41,'Données projet'!$A$217:$I$237,6,0)),0%,VLOOKUP(A41,'Données projet'!$A$217:$I$237,6,0)*VLOOKUP('Données projet'!$B$16,Paramètres!$A$1:$I$89,7,0))</f>
        <v>0</v>
      </c>
      <c r="FP41" s="122" t="n">
        <f aca="false">IF(ISNA(VLOOKUP(A41,'Données projet'!$A$217:$I$237,7,0)),0%,VLOOKUP(A41,'Données projet'!$A$217:$I$237,7,0))</f>
        <v>0</v>
      </c>
      <c r="FQ41" s="129" t="e">
        <f aca="false">EXP(-LN(2)/35)*FQ40+(1-EXP(-LN(2)/35))/(LN(2)/35)*FM41*FN41*VLOOKUP('Données projet'!$B$16,Paramètres!$A$1:$I$89,3,0)*0.475*44/12</f>
        <v>#N/A</v>
      </c>
      <c r="FR41" s="129" t="e">
        <f aca="false">EXP(-LN(2)/25)*FR40+(1-EXP(-LN(2)/25))/(LN(2)/25)*Calculateur!FM41*Calculateur!FO41*VLOOKUP('Données projet'!$B$16,Paramètres!$A$1:$I$89,3,0)*0.475*44/12</f>
        <v>#N/A</v>
      </c>
      <c r="FS41" s="129" t="e">
        <f aca="false">EXP(-LN(2)/2)*FS40+(1-EXP(-LN(2)/2))/(LN(2)/2)*FM41*FP41*VLOOKUP('Données projet'!$B$16,Paramètres!$A$1:$I$89,3,0)*0.475*44/12</f>
        <v>#N/A</v>
      </c>
      <c r="FT41" s="130" t="e">
        <f aca="false">SUM(FQ41:FS41)</f>
        <v>#N/A</v>
      </c>
      <c r="FU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8" t="e">
        <f aca="false">VLOOKUP(A41,'Données projet'!$A$243:$I$263,2,0)</f>
        <v>#N/A</v>
      </c>
      <c r="FX41" s="118" t="e">
        <f aca="false">VLOOKUP(A41,'Données projet'!$A$243:$I$263,9,0)</f>
        <v>#N/A</v>
      </c>
      <c r="FY41" s="118" t="n">
        <f aca="false" t="array" ref="FY41:FY41">INDEX(FX:FX,MIN(IF(ISNUMBER(FX41:FX237),ROW(FX41:FX237),"")))</f>
        <v>0</v>
      </c>
      <c r="FZ41" s="118" t="n">
        <f aca="false">IF('Données projet'!$A$244&gt;35,FZ40+FY41-GH40,IF(A41&lt;'Données projet'!$A$244,$FW$205^A41,IF(A41='Données projet'!$A$244,'Données projet'!$B$244,FZ40+FY41-GH40)))</f>
        <v>0</v>
      </c>
      <c r="GA41" s="125" t="e">
        <f aca="false">FZ41*VLOOKUP('Données projet'!$B$17,Paramètres!$A$1:$I$89,3,0)*VLOOKUP('Données projet'!$B$17,Paramètres!$A$1:$I$89,5,0)</f>
        <v>#N/A</v>
      </c>
      <c r="GB41" s="117" t="e">
        <f aca="false">EXP(-1.0587+0.8836*LN(GA41)+0.284)</f>
        <v>#N/A</v>
      </c>
      <c r="GC41" s="128" t="e">
        <f aca="false">(GA41+GB41)*0.475*44/12</f>
        <v>#N/A</v>
      </c>
      <c r="GD41" s="120" t="e">
        <f aca="false">GC41+(FU41+FV41)*44/12</f>
        <v>#N/A</v>
      </c>
      <c r="GE41" s="120" t="e">
        <f aca="true">AVERAGE(OFFSET($GD$3,0,0,'Données projet'!$E$17+1,1))-AVERAGE(OFFSET($H$3,0,0,'Données projet'!$E$17+1,1))</f>
        <v>#N/A</v>
      </c>
      <c r="GF41" s="120" t="e">
        <f aca="false">$GF$3</f>
        <v>#N/A</v>
      </c>
      <c r="GG41" s="121" t="n">
        <f aca="false">IF(ISNA(VLOOKUP(A41,'Données projet'!$A$243:$I$263,3,0)),0,VLOOKUP(A41,'Données projet'!$A$243:$I$263,3,0))</f>
        <v>0</v>
      </c>
      <c r="GH41" s="121" t="n">
        <f aca="false">IF(ISNA(VLOOKUP(A41,'Données projet'!$A$243:$I$263,4,0)),0,VLOOKUP(A41,'Données projet'!$A$243:$I$263,4,0))</f>
        <v>0</v>
      </c>
      <c r="GI41" s="122" t="n">
        <f aca="false">IF(ISNA(VLOOKUP(A41,'Données projet'!$A$243:$I$263,5,0)),0%,VLOOKUP(A41,'Données projet'!$A$243:$I$263,5,0)*VLOOKUP('Données projet'!$B$17,Paramètres!$A$1:$I$89,7,0))</f>
        <v>0</v>
      </c>
      <c r="GJ41" s="122" t="n">
        <f aca="false">IF(ISNA(VLOOKUP(A41,'Données projet'!$A$243:$I$263,6,0)),0%,VLOOKUP(A41,'Données projet'!$A$243:$I$263,6,0)*VLOOKUP('Données projet'!$B$17,Paramètres!$A$1:$I$89,7,0))</f>
        <v>0</v>
      </c>
      <c r="GK41" s="122" t="n">
        <f aca="false">IF(ISNA(VLOOKUP(A41,'Données projet'!$A$243:$I$263,7,0)),0%,VLOOKUP(A41,'Données projet'!$A$243:$I$263,7,0))</f>
        <v>0</v>
      </c>
      <c r="GL41" s="129" t="e">
        <f aca="false">EXP(-LN(2)/35)*GL40+(1-EXP(-LN(2)/35))/(LN(2)/35)*GH41*GI41*VLOOKUP('Données projet'!$B$17,Paramètres!$A$1:$I$89,3,0)*0.475*44/12</f>
        <v>#N/A</v>
      </c>
      <c r="GM41" s="129" t="e">
        <f aca="false">EXP(-LN(2)/25)*GM40+(1-EXP(-LN(2)/25))/(LN(2)/25)*Calculateur!GH41*Calculateur!GJ41*VLOOKUP('Données projet'!$B$17,Paramètres!$A$1:$I$89,3,0)*0.475*44/12</f>
        <v>#N/A</v>
      </c>
      <c r="GN41" s="129" t="e">
        <f aca="false">EXP(-LN(2)/2)*GN40+(1-EXP(-LN(2)/2))/(LN(2)/2)*GH41*GK41*VLOOKUP('Données projet'!$B$17,Paramètres!$A$1:$I$89,3,0)*0.475*44/12</f>
        <v>#N/A</v>
      </c>
      <c r="GO41" s="129" t="e">
        <f aca="false">SUM(GL41:GN41)</f>
        <v>#N/A</v>
      </c>
      <c r="GP41" s="126" t="n">
        <f aca="false"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8" t="n">
        <f aca="false"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8" t="e">
        <f aca="false">VLOOKUP(A41,'Données projet'!$A$269:$I$289,2,0)</f>
        <v>#N/A</v>
      </c>
      <c r="GS41" s="118" t="e">
        <f aca="false">VLOOKUP(A41,'Données projet'!$A$269:$I$289,9,0)</f>
        <v>#N/A</v>
      </c>
      <c r="GT41" s="118" t="n">
        <f aca="false" t="array" ref="GT41:GT41">INDEX(GS:GS,MIN(IF(ISNUMBER(GS41:GS237),ROW(GS41:GS237),"")))</f>
        <v>0</v>
      </c>
      <c r="GU41" s="118" t="n">
        <f aca="false">IF('Données projet'!$A$270&gt;35,GU40+GT41-HC40,IF(A41&lt;'Données projet'!$A$270,$GR$205^A41,IF(A41='Données projet'!$A$270,'Données projet'!$B$270,GU40+GT41-HC40)))</f>
        <v>0</v>
      </c>
      <c r="GV41" s="125" t="e">
        <f aca="false">GU41*VLOOKUP('Données projet'!$B$18,Paramètres!$A$1:$I$89,3,0)*VLOOKUP('Données projet'!$B$18,Paramètres!$A$1:$I$89,5,0)</f>
        <v>#N/A</v>
      </c>
      <c r="GW41" s="117" t="e">
        <f aca="false">EXP(-1.0587+0.8836*LN(GV41)+0.284)</f>
        <v>#N/A</v>
      </c>
      <c r="GX41" s="128" t="e">
        <f aca="false">(GV41+GW41)*0.475*44/12</f>
        <v>#N/A</v>
      </c>
      <c r="GY41" s="120" t="e">
        <f aca="false">GX41+(GP41+GQ41)*44/12</f>
        <v>#N/A</v>
      </c>
      <c r="GZ41" s="120" t="e">
        <f aca="true">AVERAGE(OFFSET($GY$3,0,0,'Données projet'!$E$18+1,1))-AVERAGE(OFFSET($H$3,0,0,'Données projet'!$E$18+1,1))</f>
        <v>#N/A</v>
      </c>
      <c r="HA41" s="120" t="e">
        <f aca="false">$HA$3</f>
        <v>#N/A</v>
      </c>
      <c r="HB41" s="121" t="n">
        <f aca="false">IF(ISNA(VLOOKUP(A41,'Données projet'!$A$269:$I$289,3,0)),0,VLOOKUP(A41,'Données projet'!$A$269:$I$289,3,0))</f>
        <v>0</v>
      </c>
      <c r="HC41" s="121" t="n">
        <f aca="false">IF(ISNA(VLOOKUP(A41,'Données projet'!$A$269:$I$289,4,0)),0,VLOOKUP(A41,'Données projet'!$A$269:$I$289,4,0))</f>
        <v>0</v>
      </c>
      <c r="HD41" s="122" t="n">
        <f aca="false">IF(ISNA(VLOOKUP(A41,'Données projet'!$A$269:$I$289,5,0)),0%,VLOOKUP(A41,'Données projet'!$A$269:$I$289,5,0)*VLOOKUP('Données projet'!$B$18,Paramètres!$A$1:$I$89,7,0))</f>
        <v>0</v>
      </c>
      <c r="HE41" s="122" t="n">
        <f aca="false">IF(ISNA(VLOOKUP(A41,'Données projet'!$A$269:$I$289,6,0)),0%,VLOOKUP(A41,'Données projet'!$A$269:$I$289,6,0)*VLOOKUP('Données projet'!$B$18,Paramètres!$A$1:$I$89,7,0))</f>
        <v>0</v>
      </c>
      <c r="HF41" s="122" t="n">
        <f aca="false">IF(ISNA(VLOOKUP(A41,'Données projet'!$A$269:$I$289,7,0)),0%,VLOOKUP(A41,'Données projet'!$A$269:$I$289,7,0))</f>
        <v>0</v>
      </c>
      <c r="HG41" s="129" t="e">
        <f aca="false">EXP(-LN(2)/35)*HG40+(1-EXP(-LN(2)/35))/(LN(2)/35)*HC41*HD41*VLOOKUP('Données projet'!$B$18,Paramètres!$A$1:$I$89,3,0)*0.475*44/12</f>
        <v>#N/A</v>
      </c>
      <c r="HH41" s="129" t="e">
        <f aca="false">EXP(-LN(2)/25)*HH40+(1-EXP(-LN(2)/25))/(LN(2)/25)*Calculateur!HC41*Calculateur!HE41*VLOOKUP('Données projet'!$B$18,Paramètres!$A$1:$I$89,3,0)*0.475*44/12</f>
        <v>#N/A</v>
      </c>
      <c r="HI41" s="129" t="e">
        <f aca="false">EXP(-LN(2)/2)*HI40+(1-EXP(-LN(2)/2))/(LN(2)/2)*HC41*HF41*VLOOKUP('Données projet'!$B$18,Paramètres!$A$1:$I$89,3,0)*0.475*44/12</f>
        <v>#N/A</v>
      </c>
      <c r="HJ41" s="130" t="e">
        <f aca="false">SUM(HG41:HI41)</f>
        <v>#N/A</v>
      </c>
    </row>
    <row r="42" customFormat="false" ht="14.25" hidden="false" customHeight="false" outlineLevel="0" collapsed="false">
      <c r="A42" s="112" t="n">
        <f aca="false">A41+1</f>
        <v>39</v>
      </c>
      <c r="B42" s="113" t="n">
        <f aca="false">'Scénario référence'!$B$16*5+'Scénario référence'!$B$17*0+'Scénario référence'!$B$18*5</f>
        <v>0</v>
      </c>
      <c r="C42" s="127" t="n">
        <f aca="false"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4" t="n">
        <f aca="false">IFERROR(EXP(-1.0587+0.8836*LN(C42)+0.284),0)</f>
        <v>0</v>
      </c>
      <c r="E4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2" s="114" t="n">
        <f aca="false">IF(OR('Scénario référence'!$F$8&gt;0,'Scénario référence'!$F$9&gt;0),('Scénario référence'!$F$8+'Scénario référence'!$F$9)*10,0)</f>
        <v>0</v>
      </c>
      <c r="G42" s="114" t="n">
        <f aca="false"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15" t="n">
        <f aca="false">(B42+E42+F42)*44/12+(C42+D42)*0.475*44/12</f>
        <v>256.666666666667</v>
      </c>
      <c r="I42" s="11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7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8" t="e">
        <f aca="false">VLOOKUP(A42,'Données projet'!$A$35:$I$55,2,0)</f>
        <v>#N/A</v>
      </c>
      <c r="L42" s="118" t="e">
        <f aca="false">VLOOKUP(A42,'Données projet'!$A$35:$I$55,9,0)</f>
        <v>#N/A</v>
      </c>
      <c r="M42" s="118" t="n">
        <f aca="false" t="array" ref="M42:M42">INDEX(L:L,MIN(IF(ISNUMBER(L42:L238),ROW(L42:L238),"")))</f>
        <v>10</v>
      </c>
      <c r="N42" s="117" t="n">
        <f aca="false">IF('Données projet'!$A$36&gt;35,N41+M42-V41,IF(A42&lt;'Données projet'!$A$36,$K$205^A42,IF(A42='Données projet'!$A$36,'Données projet'!$B$36,N41+M42-V41)))</f>
        <v>233.5</v>
      </c>
      <c r="O42" s="117" t="n">
        <f aca="false">N42*VLOOKUP('Données projet'!$B$9,Paramètres!$A$1:$I$89,3,0)*VLOOKUP('Données projet'!$B$9,Paramètres!$A$1:$I$89,5,0)</f>
        <v>109.278</v>
      </c>
      <c r="P42" s="117" t="n">
        <f aca="false">EXP(-1.0587+0.8836*LN(O42)+0.284)</f>
        <v>29.1608105996993</v>
      </c>
      <c r="Q42" s="128" t="n">
        <f aca="false">(O42+P42)*0.475*44/12</f>
        <v>241.114261794476</v>
      </c>
      <c r="R42" s="120" t="n">
        <f aca="false">Q42+(I42+J42)*44/12</f>
        <v>534.447595127809</v>
      </c>
      <c r="S42" s="120" t="n">
        <f aca="true">AVERAGE(OFFSET($R$3,0,0,'Données projet'!$E$9+1,1))-AVERAGE(OFFSET($H$3,0,0,'Données projet'!$E$9+1,1))</f>
        <v>319.229030946746</v>
      </c>
      <c r="T42" s="120" t="n">
        <f aca="false">$T$3</f>
        <v>254.586909731428</v>
      </c>
      <c r="U42" s="121" t="n">
        <f aca="false">IF(ISNA(VLOOKUP(A42,'Données projet'!$A$35:$I$55,3,0)),0,VLOOKUP(A42,'Données projet'!$A$35:$I$55,3,0))</f>
        <v>0</v>
      </c>
      <c r="V42" s="121" t="n">
        <f aca="false">IF(ISNA(VLOOKUP(A42,'Données projet'!$A$35:$I$55,4,0)),0,VLOOKUP(A42,'Données projet'!$A$35:$I$55,4,0))</f>
        <v>0</v>
      </c>
      <c r="W42" s="122" t="n">
        <f aca="false">IF(ISNA(VLOOKUP(A42,'Données projet'!$A$35:$I$55,5,0)),0%,VLOOKUP(A42,'Données projet'!$A$35:$I$55,5,0)*VLOOKUP('Données projet'!$B$9,Paramètres!$A$1:$I$89,7,0))</f>
        <v>0</v>
      </c>
      <c r="X42" s="122" t="n">
        <f aca="false">IF(ISNA(VLOOKUP(A42,'Données projet'!$A$35:$I$55,6,0)),0%,VLOOKUP(A42,'Données projet'!$A$35:$I$55,6,0)*VLOOKUP('Données projet'!$B$9,Paramètres!$A$1:$I$89,7,0))</f>
        <v>0</v>
      </c>
      <c r="Y42" s="122" t="n">
        <f aca="false">IF(ISNA(VLOOKUP(A42,'Données projet'!$A$35:$I$55,7,0)),0%,VLOOKUP(A42,'Données projet'!$A$35:$I$55,7,0))</f>
        <v>0</v>
      </c>
      <c r="Z42" s="129" t="n">
        <f aca="false">EXP(-LN(2)/35)*Z41+(1-EXP(-LN(2)/35))/(LN(2)/35)*V42*W42*VLOOKUP('Données projet'!$B$9,Paramètres!$A$1:$I$89,3,0)*0.475*44/12</f>
        <v>7.59442279677802</v>
      </c>
      <c r="AA42" s="129" t="n">
        <f aca="false">EXP(-LN(2)/25)*AA41+(1-EXP(-LN(2)/25))/(LN(2)/25)*Calculateur!V42*Calculateur!X42*VLOOKUP('Données projet'!$B$9,Paramètres!$A$1:$I$89,3,0)*0.475*44/12</f>
        <v>8.68871372929685</v>
      </c>
      <c r="AB42" s="129" t="n">
        <f aca="false">EXP(-LN(2)/2)*AB41+(1-EXP(-LN(2)/2))/(LN(2)/2)*V42*Y42*VLOOKUP('Données projet'!$B$9,Paramètres!$A$1:$I$89,3,0)*0.475*44/12</f>
        <v>0.488041946837737</v>
      </c>
      <c r="AC42" s="130" t="n">
        <f aca="false">SUM(Z42:AB42)</f>
        <v>16.7711784729126</v>
      </c>
      <c r="AD42" s="117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7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8" t="e">
        <f aca="false">VLOOKUP(A42,'Données projet'!$A$61:$I$81,2,0)</f>
        <v>#N/A</v>
      </c>
      <c r="AG42" s="118" t="e">
        <f aca="false">VLOOKUP(A42,'Données projet'!$A$61:$I$81,9,0)</f>
        <v>#N/A</v>
      </c>
      <c r="AH42" s="118" t="n">
        <f aca="false" t="array" ref="AH42:AH42">INDEX(AG:AG,MIN(IF(ISNUMBER(AG42:AG238),ROW(AG42:AG238),"")))</f>
        <v>24</v>
      </c>
      <c r="AI42" s="117" t="n">
        <f aca="false">IF('Données projet'!$A$62&gt;35,AI41+AH42-AQ41,IF(A42&lt;'Données projet'!$A$62,$AF$205^A42,IF(A42='Données projet'!$A$62,'Données projet'!$B$62,AI41+AH42-AQ41)))</f>
        <v>457</v>
      </c>
      <c r="AJ42" s="117" t="n">
        <f aca="false">AI42*VLOOKUP('Données projet'!$B$10,Paramètres!$A$1:$I$89,3,0)*VLOOKUP('Données projet'!$B$10,Paramètres!$A$1:$I$89,5,0)</f>
        <v>255.463</v>
      </c>
      <c r="AK42" s="117" t="n">
        <f aca="false">EXP(-1.0587+0.8836*LN(AJ42)+0.284)</f>
        <v>61.7542842807031</v>
      </c>
      <c r="AL42" s="128" t="n">
        <f aca="false">(AJ42+AK42)*0.475*44/12</f>
        <v>552.486770122225</v>
      </c>
      <c r="AM42" s="120" t="n">
        <f aca="false">AL42+(AD42+AE42)*44/12</f>
        <v>845.820103455558</v>
      </c>
      <c r="AN42" s="120" t="n">
        <f aca="true">AVERAGE(OFFSET($AM$3,0,0,'Données projet'!$E$10+1,1))-AVERAGE(OFFSET($H$3,0,0,'Données projet'!$E$10+1,1))</f>
        <v>365.705101827279</v>
      </c>
      <c r="AO42" s="120" t="n">
        <f aca="false">$AO$3</f>
        <v>436.238338449625</v>
      </c>
      <c r="AP42" s="121" t="n">
        <f aca="false">IF(ISNA(VLOOKUP(A42,'Données projet'!$A$61:$I$81,3,0)),0,VLOOKUP(A42,'Données projet'!$A$61:$I$81,3,0))</f>
        <v>0</v>
      </c>
      <c r="AQ42" s="121" t="n">
        <f aca="false">IF(ISNA(VLOOKUP(A42,'Données projet'!$A$61:$I$81,4,0)),0,VLOOKUP(A42,'Données projet'!$A$61:$I$81,4,0))</f>
        <v>0</v>
      </c>
      <c r="AR42" s="122" t="n">
        <f aca="false">IF(ISNA(VLOOKUP(A42,'Données projet'!$A$61:$I$81,5,0)),0%,VLOOKUP(A42,'Données projet'!$A$61:$I$81,5,0)*VLOOKUP('Données projet'!$B$10,Paramètres!$A$1:$I$89,7,0))</f>
        <v>0</v>
      </c>
      <c r="AS42" s="122" t="n">
        <f aca="false">IF(ISNA(VLOOKUP(A42,'Données projet'!$A$61:$I$81,6,0)),0%,VLOOKUP(A42,'Données projet'!$A$61:$I$81,6,0)*VLOOKUP('Données projet'!$B$10,Paramètres!$A$1:$I$89,7,0))</f>
        <v>0</v>
      </c>
      <c r="AT42" s="122" t="n">
        <f aca="false">IF(ISNA(VLOOKUP(A42,'Données projet'!$A$61:$I$81,7,0)),0%,VLOOKUP(A42,'Données projet'!$A$61:$I$81,7,0))</f>
        <v>0</v>
      </c>
      <c r="AU42" s="129" t="n">
        <f aca="false">EXP(-LN(2)/35)*AU41+(1-EXP(-LN(2)/35))/(LN(2)/35)*AQ42*AR42*VLOOKUP('Données projet'!$B$10,Paramètres!$A$1:$I$89,3,0)*0.475*44/12</f>
        <v>2.86664838389106</v>
      </c>
      <c r="AV42" s="129" t="n">
        <f aca="false">EXP(-LN(2)/25)*AV41+(1-EXP(-LN(2)/25))/(LN(2)/25)*Calculateur!AQ42*Calculateur!AS42*VLOOKUP('Données projet'!$B$10,Paramètres!$A$1:$I$89,3,0)*0.475*44/12</f>
        <v>10.2913116146702</v>
      </c>
      <c r="AW42" s="129" t="n">
        <f aca="false">EXP(-LN(2)/2)*AW41+(1-EXP(-LN(2)/2))/(LN(2)/2)*AQ42*AT42*VLOOKUP('Données projet'!$B$10,Paramètres!$A$1:$I$89,3,0)*0.475*44/12</f>
        <v>0.262648922155326</v>
      </c>
      <c r="AX42" s="129" t="n">
        <f aca="false">SUM(AU42:AW42)</f>
        <v>13.4206089207166</v>
      </c>
      <c r="AY42" s="124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8" t="e">
        <f aca="false">VLOOKUP(A42,'Données projet'!$A$87:$I$107,2,0)</f>
        <v>#N/A</v>
      </c>
      <c r="BB42" s="118" t="e">
        <f aca="false">VLOOKUP(A42,'Données projet'!$A$87:$I$107,9,0)</f>
        <v>#N/A</v>
      </c>
      <c r="BC42" s="118" t="n">
        <f aca="false" t="array" ref="BC42:BC42">INDEX(BB:BB,MIN(IF(ISNUMBER(BB42:BB238),ROW(BB42:BB238),"")))</f>
        <v>10.8</v>
      </c>
      <c r="BD42" s="118" t="n">
        <f aca="false">IF('Données projet'!$A$88&gt;35,BD41+BC42-BL41,IF(A42&lt;'Données projet'!$A$88,$BA$205^A42,IF(A42='Données projet'!$A$88,'Données projet'!$B$88,BD41+BC42-BL41)))</f>
        <v>202.2</v>
      </c>
      <c r="BE42" s="117" t="n">
        <f aca="false">BD42*VLOOKUP('Données projet'!$B$11,Paramètres!$A$1:$I$89,3,0)*VLOOKUP('Données projet'!$B$11,Paramètres!$A$1:$I$89,5,0)</f>
        <v>176.64192</v>
      </c>
      <c r="BF42" s="117" t="n">
        <f aca="false">EXP(-1.0587+0.8836*LN(BE42)+0.284)</f>
        <v>44.5742583500082</v>
      </c>
      <c r="BG42" s="128" t="n">
        <f aca="false">(BE42+BF42)*0.475*44/12</f>
        <v>385.284843959598</v>
      </c>
      <c r="BH42" s="120" t="n">
        <f aca="false">BG42+(AY42+AZ42)*44/12</f>
        <v>678.618177292931</v>
      </c>
      <c r="BI42" s="120" t="n">
        <f aca="true">AVERAGE(OFFSET($BH$3,0,0,'Données projet'!$E$11+1,1))-AVERAGE(OFFSET($H$3,0,0,'Données projet'!$E$11+1,1))</f>
        <v>321.235999689929</v>
      </c>
      <c r="BJ42" s="120" t="n">
        <f aca="false">$BJ$3</f>
        <v>388.051958478005</v>
      </c>
      <c r="BK42" s="121" t="n">
        <f aca="false">IF(ISNA(VLOOKUP(A42,'Données projet'!$A$87:$I$107,3,0)),0,VLOOKUP(A42,'Données projet'!$A$87:$I$107,3,0))</f>
        <v>0</v>
      </c>
      <c r="BL42" s="121" t="n">
        <f aca="false">IF(ISNA(VLOOKUP(A42,'Données projet'!$A$87:$I$107,4,0)),0,VLOOKUP(A42,'Données projet'!$A$87:$I$107,4,0))</f>
        <v>0</v>
      </c>
      <c r="BM42" s="122" t="n">
        <f aca="false">IF(ISNA(VLOOKUP(A42,'Données projet'!$A$87:$I$107,5,0)),0%,VLOOKUP(A42,'Données projet'!$A$87:$I$107,5,0)*VLOOKUP('Données projet'!$B$11,Paramètres!$A$1:$I$89,7,0))</f>
        <v>0</v>
      </c>
      <c r="BN42" s="122" t="n">
        <f aca="false">IF(ISNA(VLOOKUP(A42,'Données projet'!$A$87:$I$107,6,0)),0%,VLOOKUP(A42,'Données projet'!$A$87:$I$107,6,0)*VLOOKUP('Données projet'!$B$11,Paramètres!$A$1:$I$89,7,0))</f>
        <v>0</v>
      </c>
      <c r="BO42" s="122" t="n">
        <f aca="false">IF(ISNA(VLOOKUP(A42,'Données projet'!$A$87:$I$107,7,0)),0%,VLOOKUP(A42,'Données projet'!$A$87:$I$107,7,0))</f>
        <v>0</v>
      </c>
      <c r="BP42" s="129" t="n">
        <f aca="false">EXP(-LN(2)/35)*BP41+(1-EXP(-LN(2)/35))/(LN(2)/35)*BL42*BM42*VLOOKUP('Données projet'!$B$11,Paramètres!$A$1:$I$89,3,0)*0.475*44/12</f>
        <v>7.19706864113213</v>
      </c>
      <c r="BQ42" s="129" t="n">
        <f aca="false">EXP(-LN(2)/25)*BQ41+(1-EXP(-LN(2)/25))/(LN(2)/25)*Calculateur!BL42*Calculateur!BN42*VLOOKUP('Données projet'!$B$11,Paramètres!$A$1:$I$89,3,0)*0.475*44/12</f>
        <v>10.5047596301382</v>
      </c>
      <c r="BR42" s="129" t="n">
        <f aca="false">EXP(-LN(2)/2)*BR41+(1-EXP(-LN(2)/2))/(LN(2)/2)*BL42*BO42*VLOOKUP('Données projet'!$B$11,Paramètres!$A$1:$I$89,3,0)*0.475*44/12</f>
        <v>0.266977170122282</v>
      </c>
      <c r="BS42" s="130" t="n">
        <f aca="false">SUM(BP42:BR42)</f>
        <v>17.9688054413927</v>
      </c>
      <c r="BT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8" t="e">
        <f aca="false">VLOOKUP(A42,'Données projet'!$A$113:$I$133,2,0)</f>
        <v>#N/A</v>
      </c>
      <c r="BW42" s="118" t="e">
        <f aca="false">VLOOKUP(A42,'Données projet'!$A$113:$I$133,9,0)</f>
        <v>#N/A</v>
      </c>
      <c r="BX42" s="118" t="n">
        <f aca="false" t="array" ref="BX42:BX42">INDEX(BW:BW,MIN(IF(ISNUMBER(BW42:BW238),ROW(BW42:BW238),"")))</f>
        <v>11.5</v>
      </c>
      <c r="BY42" s="118" t="n">
        <f aca="false">IF('Données projet'!$A$114&gt;35,BY41+BX42-CG41,IF(A42&lt;'Données projet'!$A$114,$BV$205^A42,IF(A42='Données projet'!$A$114,'Données projet'!$B$114,BY41+BX42-CG41)))</f>
        <v>220.5</v>
      </c>
      <c r="BZ42" s="117" t="n">
        <f aca="false">BY42*VLOOKUP('Données projet'!$B$12,Paramètres!$A$1:$I$89,3,0)*VLOOKUP('Données projet'!$B$12,Paramètres!$A$1:$I$89,5,0)</f>
        <v>137.592</v>
      </c>
      <c r="CA42" s="117" t="n">
        <f aca="false">EXP(-1.0587+0.8836*LN(BZ42)+0.284)</f>
        <v>35.7448107295058</v>
      </c>
      <c r="CB42" s="128" t="n">
        <f aca="false">(BZ42+CA42)*0.475*44/12</f>
        <v>301.894945353889</v>
      </c>
      <c r="CC42" s="120" t="n">
        <f aca="false">CB42+(BT42+BU42)*44/12</f>
        <v>595.228278687223</v>
      </c>
      <c r="CD42" s="120" t="n">
        <f aca="true">AVERAGE(OFFSET($CC$3,0,0,'Données projet'!$E$12+1,1))-AVERAGE(OFFSET($H$3,0,0,'Données projet'!$E$12+1,1))</f>
        <v>240.228848647662</v>
      </c>
      <c r="CE42" s="120" t="n">
        <f aca="false">$CE$3</f>
        <v>343.237768841432</v>
      </c>
      <c r="CF42" s="121" t="n">
        <f aca="false">IF(ISNA(VLOOKUP(A42,'Données projet'!$A$113:$I$133,3,0)),0,VLOOKUP(A42,'Données projet'!$A$113:$I$133,3,0))</f>
        <v>0</v>
      </c>
      <c r="CG42" s="121" t="n">
        <f aca="false">IF(ISNA(VLOOKUP(A42,'Données projet'!$A$113:$I$133,4,0)),0,VLOOKUP(A42,'Données projet'!$A$113:$I$133,4,0))</f>
        <v>0</v>
      </c>
      <c r="CH42" s="122" t="n">
        <f aca="false">IF(ISNA(VLOOKUP(A42,'Données projet'!$A$113:$I$133,5,0)),0%,VLOOKUP(A42,'Données projet'!$A$113:$I$133,5,0)*VLOOKUP('Données projet'!$B$12,Paramètres!$A$1:$I$89,7,0))</f>
        <v>0</v>
      </c>
      <c r="CI42" s="122" t="n">
        <f aca="false">IF(ISNA(VLOOKUP(A42,'Données projet'!$A$113:$I$133,6,0)),0%,VLOOKUP(A42,'Données projet'!$A$113:$I$133,6,0)*VLOOKUP('Données projet'!$B$12,Paramètres!$A$1:$I$89,7,0))</f>
        <v>0</v>
      </c>
      <c r="CJ42" s="122" t="n">
        <f aca="false">IF(ISNA(VLOOKUP(A42,'Données projet'!$A$113:$I$133,7,0)),0%,VLOOKUP(A42,'Données projet'!$A$113:$I$133,7,0))</f>
        <v>0</v>
      </c>
      <c r="CK42" s="129" t="n">
        <f aca="false">EXP(-LN(2)/35)*CK41+(1-EXP(-LN(2)/35))/(LN(2)/35)*CG42*CH42*VLOOKUP('Données projet'!$B$12,Paramètres!$A$1:$I$89,3,0)*0.475*44/12</f>
        <v>4.40516671012918</v>
      </c>
      <c r="CL42" s="129" t="n">
        <f aca="false">EXP(-LN(2)/25)*CL41+(1-EXP(-LN(2)/25))/(LN(2)/25)*Calculateur!CG42*Calculateur!CI42*VLOOKUP('Données projet'!$B$12,Paramètres!$A$1:$I$89,3,0)*0.475*44/12</f>
        <v>18.5520136261688</v>
      </c>
      <c r="CM42" s="129" t="n">
        <f aca="false">EXP(-LN(2)/2)*CM41+(1-EXP(-LN(2)/2))/(LN(2)/2)*CG42*CJ42*VLOOKUP('Données projet'!$B$12,Paramètres!$A$1:$I$89,3,0)*0.475*44/12</f>
        <v>0.426024387442404</v>
      </c>
      <c r="CN42" s="130" t="n">
        <f aca="false">SUM(CK42:CM42)</f>
        <v>23.3832047237403</v>
      </c>
      <c r="CO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8" t="e">
        <f aca="false">VLOOKUP(A42,'Données projet'!$A$139:$I$159,2,0)</f>
        <v>#N/A</v>
      </c>
      <c r="CR42" s="118" t="e">
        <f aca="false">VLOOKUP(A42,'Données projet'!$A$139:$I$159,9,0)</f>
        <v>#N/A</v>
      </c>
      <c r="CS42" s="118" t="n">
        <f aca="false" t="array" ref="CS42:CS42">INDEX(CR:CR,MIN(IF(ISNUMBER(CR42:CR238),ROW(CR42:CR238),"")))</f>
        <v>14</v>
      </c>
      <c r="CT42" s="118" t="n">
        <f aca="false">IF('Données projet'!$A$140&gt;35,CT41+CS42-DB41,IF(A42&lt;'Données projet'!$A$140,$CQ$205^A42,IF(A42='Données projet'!$A$140,'Données projet'!$B$140,CT41+CS42-DB41)))</f>
        <v>236</v>
      </c>
      <c r="CU42" s="125" t="n">
        <f aca="false">CT42*VLOOKUP('Données projet'!$B$13,Paramètres!$A$1:$I$89,3,0)*VLOOKUP('Données projet'!$B$13,Paramètres!$A$1:$I$89,5,0)</f>
        <v>128.856</v>
      </c>
      <c r="CV42" s="117" t="n">
        <f aca="false">EXP(-1.0587+0.8836*LN(CU42)+0.284)</f>
        <v>33.7318786887409</v>
      </c>
      <c r="CW42" s="128" t="n">
        <f aca="false">(CU42+CV42)*0.475*44/12</f>
        <v>283.173888716224</v>
      </c>
      <c r="CX42" s="120" t="n">
        <f aca="false">CW42+(CO42+CP42)*44/12</f>
        <v>576.507222049557</v>
      </c>
      <c r="CY42" s="120" t="n">
        <f aca="true">AVERAGE(OFFSET($CX$3,0,0,'Données projet'!$E$13+1,1))-AVERAGE(OFFSET($H$3,0,0,'Données projet'!$E$13+1,1))</f>
        <v>207.023069645676</v>
      </c>
      <c r="CZ42" s="120" t="n">
        <f aca="false">$CZ$3</f>
        <v>342.068879333518</v>
      </c>
      <c r="DA42" s="121" t="n">
        <f aca="false">IF(ISNA(VLOOKUP(A42,'Données projet'!$A$139:$I$159,3,0)),0,VLOOKUP(A42,'Données projet'!$A$139:$I$159,3,0))</f>
        <v>0</v>
      </c>
      <c r="DB42" s="121" t="n">
        <f aca="false">IF(ISNA(VLOOKUP(A42,'Données projet'!$A$139:$I$159,4,0)),0,VLOOKUP(A42,'Données projet'!$A$139:$I$159,4,0))</f>
        <v>0</v>
      </c>
      <c r="DC42" s="122" t="n">
        <f aca="false">IF(ISNA(VLOOKUP(A42,'Données projet'!$A$139:$I$159,5,0)),0%,VLOOKUP(A42,'Données projet'!$A$139:$I$159,5,0)*VLOOKUP('Données projet'!$B$13,Paramètres!$A$1:$I$89,7,0))</f>
        <v>0</v>
      </c>
      <c r="DD42" s="122" t="n">
        <f aca="false">IF(ISNA(VLOOKUP(A42,'Données projet'!$A$139:$I$159,6,0)),0%,VLOOKUP(A42,'Données projet'!$A$139:$I$159,6,0)*VLOOKUP('Données projet'!$B$13,Paramètres!$A$1:$I$89,7,0))</f>
        <v>0</v>
      </c>
      <c r="DE42" s="122" t="n">
        <f aca="false">IF(ISNA(VLOOKUP(A42,'Données projet'!$A$139:$I$159,7,0)),0%,VLOOKUP(A42,'Données projet'!$A$139:$I$159,7,0))</f>
        <v>0</v>
      </c>
      <c r="DF42" s="129" t="n">
        <f aca="false">EXP(-LN(2)/35)*DF41+(1-EXP(-LN(2)/35))/(LN(2)/35)*DB42*DC42*VLOOKUP('Données projet'!$B$13,Paramètres!$A$1:$I$89,3,0)*0.475*44/12</f>
        <v>5.5272374759168</v>
      </c>
      <c r="DG42" s="129" t="n">
        <f aca="false">EXP(-LN(2)/25)*DG41+(1-EXP(-LN(2)/25))/(LN(2)/25)*Calculateur!DB42*Calculateur!DD42*VLOOKUP('Données projet'!$B$13,Paramètres!$A$1:$I$89,3,0)*0.475*44/12</f>
        <v>30.3248155724011</v>
      </c>
      <c r="DH42" s="129" t="n">
        <f aca="false">EXP(-LN(2)/2)*DH41+(1-EXP(-LN(2)/2))/(LN(2)/2)*DB42*DE42*VLOOKUP('Données projet'!$B$13,Paramètres!$A$1:$I$89,3,0)*0.475*44/12</f>
        <v>0.586635779023827</v>
      </c>
      <c r="DI42" s="130" t="n">
        <f aca="false">SUM(DF42:DH42)</f>
        <v>36.4386888273417</v>
      </c>
      <c r="DJ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8" t="e">
        <f aca="false">VLOOKUP(A42,'Données projet'!$A$165:$I$185,2,0)</f>
        <v>#N/A</v>
      </c>
      <c r="DM42" s="118" t="e">
        <f aca="false">VLOOKUP(A42,'Données projet'!$A$165:$I$185,9,0)</f>
        <v>#N/A</v>
      </c>
      <c r="DN42" s="118" t="n">
        <f aca="false" t="array" ref="DN42:DN42">INDEX(DM:DM,MIN(IF(ISNUMBER(DM42:DM238),ROW(DM42:DM238),"")))</f>
        <v>12.8333333333333</v>
      </c>
      <c r="DO42" s="118" t="n">
        <f aca="false">IF('Données projet'!$A$166&gt;35,DO41+DN42-DW41,IF(A42&lt;'Données projet'!$A$166,$DL$205^A42,IF(A42='Données projet'!$A$166,'Données projet'!$B$166,DO41+DN42-DW41)))</f>
        <v>262.166666666667</v>
      </c>
      <c r="DP42" s="125" t="n">
        <f aca="false">DO42*VLOOKUP('Données projet'!$B$14,Paramètres!$A$1:$I$89,3,0)*VLOOKUP('Données projet'!$B$14,Paramètres!$A$1:$I$89,5,0)</f>
        <v>156.775666666667</v>
      </c>
      <c r="DQ42" s="117" t="n">
        <f aca="false">EXP(-1.0587+0.8836*LN(DP42)+0.284)</f>
        <v>40.1143985927634</v>
      </c>
      <c r="DR42" s="128" t="n">
        <f aca="false">(DP42+DQ42)*0.475*44/12</f>
        <v>342.916863660174</v>
      </c>
      <c r="DS42" s="120" t="n">
        <f aca="false">DR42+(DJ42+DK42)*44/12</f>
        <v>636.250196993507</v>
      </c>
      <c r="DT42" s="120" t="n">
        <f aca="true">AVERAGE(OFFSET($DS$3,0,0,'Données projet'!$E$14+1,1))-AVERAGE(OFFSET($H$3,0,0,'Données projet'!$E$14+1,1))</f>
        <v>549.432320957297</v>
      </c>
      <c r="DU42" s="120" t="n">
        <f aca="false">$DU$3</f>
        <v>280.26155987301</v>
      </c>
      <c r="DV42" s="121" t="n">
        <f aca="false">IF(ISNA(VLOOKUP(A42,'Données projet'!$A$165:$I$185,3,0)),0,VLOOKUP(A42,'Données projet'!$A$165:$I$185,3,0))</f>
        <v>0</v>
      </c>
      <c r="DW42" s="121" t="n">
        <f aca="false">IF(ISNA(VLOOKUP(A42,'Données projet'!$A$165:$I$185,4,0)),0,VLOOKUP(A42,'Données projet'!$A$165:$I$185,4,0))</f>
        <v>0</v>
      </c>
      <c r="DX42" s="122" t="n">
        <f aca="false">IF(ISNA(VLOOKUP(A42,'Données projet'!$A$165:$I$185,5,0)),0%,VLOOKUP(A42,'Données projet'!$A$165:$I$185,5,0)*VLOOKUP('Données projet'!$B$14,Paramètres!$A$1:$I$89,7,0))</f>
        <v>0</v>
      </c>
      <c r="DY42" s="122" t="n">
        <f aca="false">IF(ISNA(VLOOKUP(A42,'Données projet'!$A$165:$I$185,6,0)),0%,VLOOKUP(A42,'Données projet'!$A$165:$I$185,6,0)*VLOOKUP('Données projet'!$B$14,Paramètres!$A$1:$I$89,7,0))</f>
        <v>0</v>
      </c>
      <c r="DZ42" s="122" t="n">
        <f aca="false">IF(ISNA(VLOOKUP(A42,'Données projet'!$A$165:$I$185,7,0)),0%,VLOOKUP(A42,'Données projet'!$A$165:$I$185,7,0))</f>
        <v>0</v>
      </c>
      <c r="EA42" s="129" t="n">
        <f aca="false">EXP(-LN(2)/35)*EA41+(1-EXP(-LN(2)/35))/(LN(2)/35)*DW42*DX42*VLOOKUP('Données projet'!$B$14,Paramètres!$A$1:$I$89,3,0)*0.475*44/12</f>
        <v>2.00969738313137</v>
      </c>
      <c r="EB42" s="129" t="n">
        <f aca="false">EXP(-LN(2)/25)*EB41+(1-EXP(-LN(2)/25))/(LN(2)/25)*Calculateur!DW42*Calculateur!DY42*VLOOKUP('Données projet'!$B$14,Paramètres!$A$1:$I$89,3,0)*0.475*44/12</f>
        <v>6.04130156011769</v>
      </c>
      <c r="EC42" s="129" t="n">
        <f aca="false">EXP(-LN(2)/2)*EC41+(1-EXP(-LN(2)/2))/(LN(2)/2)*DW42*DZ42*VLOOKUP('Données projet'!$B$14,Paramètres!$A$1:$I$89,3,0)*0.475*44/12</f>
        <v>0.270427001681569</v>
      </c>
      <c r="ED42" s="130" t="n">
        <f aca="false">SUM(EA42:EC42)</f>
        <v>8.32142594493063</v>
      </c>
      <c r="EE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8" t="e">
        <f aca="false">VLOOKUP(A42,'Données projet'!$A$191:$I$211,2,0)</f>
        <v>#N/A</v>
      </c>
      <c r="EH42" s="118" t="e">
        <f aca="false">VLOOKUP(A42,'Données projet'!$A$191:$I$211,9,0)</f>
        <v>#N/A</v>
      </c>
      <c r="EI42" s="118" t="n">
        <f aca="false" t="array" ref="EI42:EI42">INDEX(EH:EH,MIN(IF(ISNUMBER(EH42:EH238),ROW(EH42:EH238),"")))</f>
        <v>0</v>
      </c>
      <c r="EJ42" s="118" t="n">
        <f aca="false">IF('Données projet'!$A$192&gt;35,EJ41+EI42-ER41,IF(A42&lt;'Données projet'!$A$192,$EG$205^A42,IF(A42='Données projet'!$A$192,'Données projet'!$B$192,EJ41+EI42-ER41)))</f>
        <v>0</v>
      </c>
      <c r="EK42" s="125" t="e">
        <f aca="false">EJ42*VLOOKUP('Données projet'!$B$15,Paramètres!$A$1:$I$89,3,0)*VLOOKUP('Données projet'!$B$15,Paramètres!$A$1:$I$89,5,0)</f>
        <v>#N/A</v>
      </c>
      <c r="EL42" s="117" t="e">
        <f aca="false">EXP(-1.0587+0.8836*LN(EK42)+0.284)</f>
        <v>#N/A</v>
      </c>
      <c r="EM42" s="128" t="e">
        <f aca="false">(EK42+EL42)*0.475*44/12</f>
        <v>#N/A</v>
      </c>
      <c r="EN42" s="120" t="e">
        <f aca="false">EM42+(EE42+EF42)*44/12</f>
        <v>#N/A</v>
      </c>
      <c r="EO42" s="120" t="e">
        <f aca="true">AVERAGE(OFFSET($EN$3,0,0,'Données projet'!$E$15+1,1))-AVERAGE(OFFSET($H$3,0,0,'Données projet'!$E$15+1,1))</f>
        <v>#N/A</v>
      </c>
      <c r="EP42" s="120" t="e">
        <f aca="false">$EP$3</f>
        <v>#N/A</v>
      </c>
      <c r="EQ42" s="121" t="n">
        <f aca="false">IF(ISNA(VLOOKUP(A42,'Données projet'!$A$191:$I$211,3,0)),0,VLOOKUP(A42,'Données projet'!$A$191:$I$211,3,0))</f>
        <v>0</v>
      </c>
      <c r="ER42" s="121" t="n">
        <f aca="false">IF(ISNA(VLOOKUP(A42,'Données projet'!$A$191:$I$211,4,0)),0,VLOOKUP(A42,'Données projet'!$A$191:$I$211,4,0))</f>
        <v>0</v>
      </c>
      <c r="ES42" s="122" t="n">
        <f aca="false">IF(ISNA(VLOOKUP(A42,'Données projet'!$A$191:$I$211,5,0)),0%,VLOOKUP(A42,'Données projet'!$A$191:$I$211,5,0)*VLOOKUP('Données projet'!$B$15,Paramètres!$A$1:$I$89,7,0))</f>
        <v>0</v>
      </c>
      <c r="ET42" s="122" t="n">
        <f aca="false">IF(ISNA(VLOOKUP(A42,'Données projet'!$A$191:$I$211,6,0)),0%,VLOOKUP(A42,'Données projet'!$A$191:$I$211,6,0)*VLOOKUP('Données projet'!$B$15,Paramètres!$A$1:$I$89,7,0))</f>
        <v>0</v>
      </c>
      <c r="EU42" s="122" t="n">
        <f aca="false">IF(ISNA(VLOOKUP(A42,'Données projet'!$A$191:$I$211,7,0)),0%,VLOOKUP(A42,'Données projet'!$A$191:$I$211,7,0))</f>
        <v>0</v>
      </c>
      <c r="EV42" s="129" t="e">
        <f aca="false">EXP(-LN(2)/35)*EV41+(1-EXP(-LN(2)/35))/(LN(2)/35)*ER42*ES42*VLOOKUP('Données projet'!$B$15,Paramètres!$A$1:$I$89,3,0)*0.475*44/12</f>
        <v>#N/A</v>
      </c>
      <c r="EW42" s="129" t="e">
        <f aca="false">EXP(-LN(2)/25)*EW41+(1-EXP(-LN(2)/25))/(LN(2)/25)*Calculateur!ER42*Calculateur!ET42*VLOOKUP('Données projet'!$B$15,Paramètres!$A$1:$I$89,3,0)*0.475*44/12</f>
        <v>#N/A</v>
      </c>
      <c r="EX42" s="129" t="e">
        <f aca="false">EXP(-LN(2)/2)*EX41+(1-EXP(-LN(2)/2))/(LN(2)/2)*ER42*EU42*VLOOKUP('Données projet'!$B$15,Paramètres!$A$1:$I$89,3,0)*0.475*44/12</f>
        <v>#N/A</v>
      </c>
      <c r="EY42" s="130" t="e">
        <f aca="false">SUM(EV42:EX42)</f>
        <v>#N/A</v>
      </c>
      <c r="EZ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8" t="e">
        <f aca="false">VLOOKUP(A42,'Données projet'!$A$217:$I$237,2,0)</f>
        <v>#N/A</v>
      </c>
      <c r="FC42" s="118" t="e">
        <f aca="false">VLOOKUP(A42,'Données projet'!$A$217:$I$237,9,0)</f>
        <v>#N/A</v>
      </c>
      <c r="FD42" s="118" t="n">
        <f aca="false" t="array" ref="FD42:FD42">INDEX(FC:FC,MIN(IF(ISNUMBER(FC42:FC238),ROW(FC42:FC238),"")))</f>
        <v>0</v>
      </c>
      <c r="FE42" s="118" t="n">
        <f aca="false">IF('Données projet'!$A$218&gt;35,FE41+FD42-FM41,IF(A42&lt;'Données projet'!$A$218,$FB$205^A42,IF(A42='Données projet'!$A$218,'Données projet'!$B$218,FE41+FD42-FM41)))</f>
        <v>0</v>
      </c>
      <c r="FF42" s="125" t="e">
        <f aca="false">FE42*VLOOKUP('Données projet'!$B$16,Paramètres!$A$1:$I$89,3,0)*VLOOKUP('Données projet'!$B$16,Paramètres!$A$1:$I$89,5,0)</f>
        <v>#N/A</v>
      </c>
      <c r="FG42" s="117" t="e">
        <f aca="false">EXP(-1.0587+0.8836*LN(FF42)+0.284)</f>
        <v>#N/A</v>
      </c>
      <c r="FH42" s="128" t="e">
        <f aca="false">(FF42+FG42)*0.475*44/12</f>
        <v>#N/A</v>
      </c>
      <c r="FI42" s="120" t="e">
        <f aca="false">FH42+(EZ42+FA42)*44/12</f>
        <v>#N/A</v>
      </c>
      <c r="FJ42" s="120" t="e">
        <f aca="true">AVERAGE(OFFSET($FI$3,0,0,'Données projet'!$E$16+1,1))-AVERAGE(OFFSET($H$3,0,0,'Données projet'!$E$16+1,1))</f>
        <v>#N/A</v>
      </c>
      <c r="FK42" s="120" t="e">
        <f aca="false">$FK$3</f>
        <v>#N/A</v>
      </c>
      <c r="FL42" s="121" t="n">
        <f aca="false">IF(ISNA(VLOOKUP(A42,'Données projet'!$A$217:$I$237,3,0)),0,VLOOKUP(A42,'Données projet'!$A$217:$I$237,3,0))</f>
        <v>0</v>
      </c>
      <c r="FM42" s="121" t="n">
        <f aca="false">IF(ISNA(VLOOKUP(A42,'Données projet'!$A$217:$I$237,4,0)),0,VLOOKUP(A42,'Données projet'!$A$217:$I$237,4,0))</f>
        <v>0</v>
      </c>
      <c r="FN42" s="122" t="n">
        <f aca="false">IF(ISNA(VLOOKUP(A42,'Données projet'!$A$217:$I$237,5,0)),0%,VLOOKUP(A42,'Données projet'!$A$217:$I$237,5,0)*VLOOKUP('Données projet'!$B$16,Paramètres!$A$1:$I$89,7,0))</f>
        <v>0</v>
      </c>
      <c r="FO42" s="122" t="n">
        <f aca="false">IF(ISNA(VLOOKUP(A42,'Données projet'!$A$217:$I$237,6,0)),0%,VLOOKUP(A42,'Données projet'!$A$217:$I$237,6,0)*VLOOKUP('Données projet'!$B$16,Paramètres!$A$1:$I$89,7,0))</f>
        <v>0</v>
      </c>
      <c r="FP42" s="122" t="n">
        <f aca="false">IF(ISNA(VLOOKUP(A42,'Données projet'!$A$217:$I$237,7,0)),0%,VLOOKUP(A42,'Données projet'!$A$217:$I$237,7,0))</f>
        <v>0</v>
      </c>
      <c r="FQ42" s="129" t="e">
        <f aca="false">EXP(-LN(2)/35)*FQ41+(1-EXP(-LN(2)/35))/(LN(2)/35)*FM42*FN42*VLOOKUP('Données projet'!$B$16,Paramètres!$A$1:$I$89,3,0)*0.475*44/12</f>
        <v>#N/A</v>
      </c>
      <c r="FR42" s="129" t="e">
        <f aca="false">EXP(-LN(2)/25)*FR41+(1-EXP(-LN(2)/25))/(LN(2)/25)*Calculateur!FM42*Calculateur!FO42*VLOOKUP('Données projet'!$B$16,Paramètres!$A$1:$I$89,3,0)*0.475*44/12</f>
        <v>#N/A</v>
      </c>
      <c r="FS42" s="129" t="e">
        <f aca="false">EXP(-LN(2)/2)*FS41+(1-EXP(-LN(2)/2))/(LN(2)/2)*FM42*FP42*VLOOKUP('Données projet'!$B$16,Paramètres!$A$1:$I$89,3,0)*0.475*44/12</f>
        <v>#N/A</v>
      </c>
      <c r="FT42" s="130" t="e">
        <f aca="false">SUM(FQ42:FS42)</f>
        <v>#N/A</v>
      </c>
      <c r="FU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8" t="e">
        <f aca="false">VLOOKUP(A42,'Données projet'!$A$243:$I$263,2,0)</f>
        <v>#N/A</v>
      </c>
      <c r="FX42" s="118" t="e">
        <f aca="false">VLOOKUP(A42,'Données projet'!$A$243:$I$263,9,0)</f>
        <v>#N/A</v>
      </c>
      <c r="FY42" s="118" t="n">
        <f aca="false" t="array" ref="FY42:FY42">INDEX(FX:FX,MIN(IF(ISNUMBER(FX42:FX238),ROW(FX42:FX238),"")))</f>
        <v>0</v>
      </c>
      <c r="FZ42" s="118" t="n">
        <f aca="false">IF('Données projet'!$A$244&gt;35,FZ41+FY42-GH41,IF(A42&lt;'Données projet'!$A$244,$FW$205^A42,IF(A42='Données projet'!$A$244,'Données projet'!$B$244,FZ41+FY42-GH41)))</f>
        <v>0</v>
      </c>
      <c r="GA42" s="125" t="e">
        <f aca="false">FZ42*VLOOKUP('Données projet'!$B$17,Paramètres!$A$1:$I$89,3,0)*VLOOKUP('Données projet'!$B$17,Paramètres!$A$1:$I$89,5,0)</f>
        <v>#N/A</v>
      </c>
      <c r="GB42" s="117" t="e">
        <f aca="false">EXP(-1.0587+0.8836*LN(GA42)+0.284)</f>
        <v>#N/A</v>
      </c>
      <c r="GC42" s="128" t="e">
        <f aca="false">(GA42+GB42)*0.475*44/12</f>
        <v>#N/A</v>
      </c>
      <c r="GD42" s="120" t="e">
        <f aca="false">GC42+(FU42+FV42)*44/12</f>
        <v>#N/A</v>
      </c>
      <c r="GE42" s="120" t="e">
        <f aca="true">AVERAGE(OFFSET($GD$3,0,0,'Données projet'!$E$17+1,1))-AVERAGE(OFFSET($H$3,0,0,'Données projet'!$E$17+1,1))</f>
        <v>#N/A</v>
      </c>
      <c r="GF42" s="120" t="e">
        <f aca="false">$GF$3</f>
        <v>#N/A</v>
      </c>
      <c r="GG42" s="121" t="n">
        <f aca="false">IF(ISNA(VLOOKUP(A42,'Données projet'!$A$243:$I$263,3,0)),0,VLOOKUP(A42,'Données projet'!$A$243:$I$263,3,0))</f>
        <v>0</v>
      </c>
      <c r="GH42" s="121" t="n">
        <f aca="false">IF(ISNA(VLOOKUP(A42,'Données projet'!$A$243:$I$263,4,0)),0,VLOOKUP(A42,'Données projet'!$A$243:$I$263,4,0))</f>
        <v>0</v>
      </c>
      <c r="GI42" s="122" t="n">
        <f aca="false">IF(ISNA(VLOOKUP(A42,'Données projet'!$A$243:$I$263,5,0)),0%,VLOOKUP(A42,'Données projet'!$A$243:$I$263,5,0)*VLOOKUP('Données projet'!$B$17,Paramètres!$A$1:$I$89,7,0))</f>
        <v>0</v>
      </c>
      <c r="GJ42" s="122" t="n">
        <f aca="false">IF(ISNA(VLOOKUP(A42,'Données projet'!$A$243:$I$263,6,0)),0%,VLOOKUP(A42,'Données projet'!$A$243:$I$263,6,0)*VLOOKUP('Données projet'!$B$17,Paramètres!$A$1:$I$89,7,0))</f>
        <v>0</v>
      </c>
      <c r="GK42" s="122" t="n">
        <f aca="false">IF(ISNA(VLOOKUP(A42,'Données projet'!$A$243:$I$263,7,0)),0%,VLOOKUP(A42,'Données projet'!$A$243:$I$263,7,0))</f>
        <v>0</v>
      </c>
      <c r="GL42" s="129" t="e">
        <f aca="false">EXP(-LN(2)/35)*GL41+(1-EXP(-LN(2)/35))/(LN(2)/35)*GH42*GI42*VLOOKUP('Données projet'!$B$17,Paramètres!$A$1:$I$89,3,0)*0.475*44/12</f>
        <v>#N/A</v>
      </c>
      <c r="GM42" s="129" t="e">
        <f aca="false">EXP(-LN(2)/25)*GM41+(1-EXP(-LN(2)/25))/(LN(2)/25)*Calculateur!GH42*Calculateur!GJ42*VLOOKUP('Données projet'!$B$17,Paramètres!$A$1:$I$89,3,0)*0.475*44/12</f>
        <v>#N/A</v>
      </c>
      <c r="GN42" s="129" t="e">
        <f aca="false">EXP(-LN(2)/2)*GN41+(1-EXP(-LN(2)/2))/(LN(2)/2)*GH42*GK42*VLOOKUP('Données projet'!$B$17,Paramètres!$A$1:$I$89,3,0)*0.475*44/12</f>
        <v>#N/A</v>
      </c>
      <c r="GO42" s="129" t="e">
        <f aca="false">SUM(GL42:GN42)</f>
        <v>#N/A</v>
      </c>
      <c r="GP42" s="126" t="n">
        <f aca="false"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8" t="n">
        <f aca="false"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8" t="e">
        <f aca="false">VLOOKUP(A42,'Données projet'!$A$269:$I$289,2,0)</f>
        <v>#N/A</v>
      </c>
      <c r="GS42" s="118" t="e">
        <f aca="false">VLOOKUP(A42,'Données projet'!$A$269:$I$289,9,0)</f>
        <v>#N/A</v>
      </c>
      <c r="GT42" s="118" t="n">
        <f aca="false" t="array" ref="GT42:GT42">INDEX(GS:GS,MIN(IF(ISNUMBER(GS42:GS238),ROW(GS42:GS238),"")))</f>
        <v>0</v>
      </c>
      <c r="GU42" s="118" t="n">
        <f aca="false">IF('Données projet'!$A$270&gt;35,GU41+GT42-HC41,IF(A42&lt;'Données projet'!$A$270,$GR$205^A42,IF(A42='Données projet'!$A$270,'Données projet'!$B$270,GU41+GT42-HC41)))</f>
        <v>0</v>
      </c>
      <c r="GV42" s="125" t="e">
        <f aca="false">GU42*VLOOKUP('Données projet'!$B$18,Paramètres!$A$1:$I$89,3,0)*VLOOKUP('Données projet'!$B$18,Paramètres!$A$1:$I$89,5,0)</f>
        <v>#N/A</v>
      </c>
      <c r="GW42" s="117" t="e">
        <f aca="false">EXP(-1.0587+0.8836*LN(GV42)+0.284)</f>
        <v>#N/A</v>
      </c>
      <c r="GX42" s="128" t="e">
        <f aca="false">(GV42+GW42)*0.475*44/12</f>
        <v>#N/A</v>
      </c>
      <c r="GY42" s="120" t="e">
        <f aca="false">GX42+(GP42+GQ42)*44/12</f>
        <v>#N/A</v>
      </c>
      <c r="GZ42" s="120" t="e">
        <f aca="true">AVERAGE(OFFSET($GY$3,0,0,'Données projet'!$E$18+1,1))-AVERAGE(OFFSET($H$3,0,0,'Données projet'!$E$18+1,1))</f>
        <v>#N/A</v>
      </c>
      <c r="HA42" s="120" t="e">
        <f aca="false">$HA$3</f>
        <v>#N/A</v>
      </c>
      <c r="HB42" s="121" t="n">
        <f aca="false">IF(ISNA(VLOOKUP(A42,'Données projet'!$A$269:$I$289,3,0)),0,VLOOKUP(A42,'Données projet'!$A$269:$I$289,3,0))</f>
        <v>0</v>
      </c>
      <c r="HC42" s="121" t="n">
        <f aca="false">IF(ISNA(VLOOKUP(A42,'Données projet'!$A$269:$I$289,4,0)),0,VLOOKUP(A42,'Données projet'!$A$269:$I$289,4,0))</f>
        <v>0</v>
      </c>
      <c r="HD42" s="122" t="n">
        <f aca="false">IF(ISNA(VLOOKUP(A42,'Données projet'!$A$269:$I$289,5,0)),0%,VLOOKUP(A42,'Données projet'!$A$269:$I$289,5,0)*VLOOKUP('Données projet'!$B$18,Paramètres!$A$1:$I$89,7,0))</f>
        <v>0</v>
      </c>
      <c r="HE42" s="122" t="n">
        <f aca="false">IF(ISNA(VLOOKUP(A42,'Données projet'!$A$269:$I$289,6,0)),0%,VLOOKUP(A42,'Données projet'!$A$269:$I$289,6,0)*VLOOKUP('Données projet'!$B$18,Paramètres!$A$1:$I$89,7,0))</f>
        <v>0</v>
      </c>
      <c r="HF42" s="122" t="n">
        <f aca="false">IF(ISNA(VLOOKUP(A42,'Données projet'!$A$269:$I$289,7,0)),0%,VLOOKUP(A42,'Données projet'!$A$269:$I$289,7,0))</f>
        <v>0</v>
      </c>
      <c r="HG42" s="129" t="e">
        <f aca="false">EXP(-LN(2)/35)*HG41+(1-EXP(-LN(2)/35))/(LN(2)/35)*HC42*HD42*VLOOKUP('Données projet'!$B$18,Paramètres!$A$1:$I$89,3,0)*0.475*44/12</f>
        <v>#N/A</v>
      </c>
      <c r="HH42" s="129" t="e">
        <f aca="false">EXP(-LN(2)/25)*HH41+(1-EXP(-LN(2)/25))/(LN(2)/25)*Calculateur!HC42*Calculateur!HE42*VLOOKUP('Données projet'!$B$18,Paramètres!$A$1:$I$89,3,0)*0.475*44/12</f>
        <v>#N/A</v>
      </c>
      <c r="HI42" s="129" t="e">
        <f aca="false">EXP(-LN(2)/2)*HI41+(1-EXP(-LN(2)/2))/(LN(2)/2)*HC42*HF42*VLOOKUP('Données projet'!$B$18,Paramètres!$A$1:$I$89,3,0)*0.475*44/12</f>
        <v>#N/A</v>
      </c>
      <c r="HJ42" s="130" t="e">
        <f aca="false">SUM(HG42:HI42)</f>
        <v>#N/A</v>
      </c>
    </row>
    <row r="43" customFormat="false" ht="14.25" hidden="false" customHeight="false" outlineLevel="0" collapsed="false">
      <c r="A43" s="112" t="n">
        <f aca="false">A42+1</f>
        <v>40</v>
      </c>
      <c r="B43" s="113" t="n">
        <f aca="false">'Scénario référence'!$B$16*5+'Scénario référence'!$B$17*0+'Scénario référence'!$B$18*5</f>
        <v>0</v>
      </c>
      <c r="C43" s="127" t="n">
        <f aca="false"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4" t="n">
        <f aca="false">IFERROR(EXP(-1.0587+0.8836*LN(C43)+0.284),0)</f>
        <v>0</v>
      </c>
      <c r="E4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3" s="114" t="n">
        <f aca="false">IF(OR('Scénario référence'!$F$8&gt;0,'Scénario référence'!$F$9&gt;0),('Scénario référence'!$F$8+'Scénario référence'!$F$9)*10,0)</f>
        <v>0</v>
      </c>
      <c r="G43" s="114" t="n">
        <f aca="false"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15" t="n">
        <f aca="false">(B43+E43+F43)*44/12+(C43+D43)*0.475*44/12</f>
        <v>256.666666666667</v>
      </c>
      <c r="I43" s="11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7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8" t="n">
        <f aca="false">VLOOKUP(A43,'Données projet'!$A$35:$I$55,2,0)</f>
        <v>243.5</v>
      </c>
      <c r="L43" s="118" t="n">
        <f aca="false">VLOOKUP(A43,'Données projet'!$A$35:$I$55,9,0)</f>
        <v>10</v>
      </c>
      <c r="M43" s="118" t="n">
        <f aca="false" t="array" ref="M43:M43">INDEX(L:L,MIN(IF(ISNUMBER(L43:L239),ROW(L43:L239),"")))</f>
        <v>10</v>
      </c>
      <c r="N43" s="117" t="n">
        <f aca="false">IF('Données projet'!$A$36&gt;35,N42+M43-V42,IF(A43&lt;'Données projet'!$A$36,$K$205^A43,IF(A43='Données projet'!$A$36,'Données projet'!$B$36,N42+M43-V42)))</f>
        <v>243.5</v>
      </c>
      <c r="O43" s="117" t="n">
        <f aca="false">N43*VLOOKUP('Données projet'!$B$9,Paramètres!$A$1:$I$89,3,0)*VLOOKUP('Données projet'!$B$9,Paramètres!$A$1:$I$89,5,0)</f>
        <v>113.958</v>
      </c>
      <c r="P43" s="117" t="n">
        <f aca="false">EXP(-1.0587+0.8836*LN(O43)+0.284)</f>
        <v>30.2615930438344</v>
      </c>
      <c r="Q43" s="128" t="n">
        <f aca="false">(O43+P43)*0.475*44/12</f>
        <v>251.182457884678</v>
      </c>
      <c r="R43" s="120" t="n">
        <f aca="false">Q43+(I43+J43)*44/12</f>
        <v>544.515791218011</v>
      </c>
      <c r="S43" s="120" t="n">
        <f aca="true">AVERAGE(OFFSET($R$3,0,0,'Données projet'!$E$9+1,1))-AVERAGE(OFFSET($H$3,0,0,'Données projet'!$E$9+1,1))</f>
        <v>319.229030946746</v>
      </c>
      <c r="T43" s="120" t="n">
        <f aca="false">$T$3</f>
        <v>254.586909731428</v>
      </c>
      <c r="U43" s="121" t="n">
        <f aca="false">IF(ISNA(VLOOKUP(A43,'Données projet'!$A$35:$I$55,3,0)),0,VLOOKUP(A43,'Données projet'!$A$35:$I$55,3,0))</f>
        <v>3</v>
      </c>
      <c r="V43" s="121" t="n">
        <f aca="false">IF(ISNA(VLOOKUP(A43,'Données projet'!$A$35:$I$55,4,0)),0,VLOOKUP(A43,'Données projet'!$A$35:$I$55,4,0))</f>
        <v>70</v>
      </c>
      <c r="W43" s="122" t="n">
        <f aca="false">IF(ISNA(VLOOKUP(A43,'Données projet'!$A$35:$I$55,5,0)),0%,VLOOKUP(A43,'Données projet'!$A$35:$I$55,5,0)*VLOOKUP('Données projet'!$B$9,Paramètres!$A$1:$I$89,7,0))</f>
        <v>0</v>
      </c>
      <c r="X43" s="122" t="n">
        <f aca="false">IF(ISNA(VLOOKUP(A43,'Données projet'!$A$35:$I$55,6,0)),0%,VLOOKUP(A43,'Données projet'!$A$35:$I$55,6,0)*VLOOKUP('Données projet'!$B$9,Paramètres!$A$1:$I$89,7,0))</f>
        <v>0</v>
      </c>
      <c r="Y43" s="122" t="n">
        <f aca="false">IF(ISNA(VLOOKUP(A43,'Données projet'!$A$35:$I$55,7,0)),0%,VLOOKUP(A43,'Données projet'!$A$35:$I$55,7,0))</f>
        <v>0</v>
      </c>
      <c r="Z43" s="129" t="n">
        <f aca="false">EXP(-LN(2)/35)*Z42+(1-EXP(-LN(2)/35))/(LN(2)/35)*V43*W43*VLOOKUP('Données projet'!$B$9,Paramètres!$A$1:$I$89,3,0)*0.475*44/12</f>
        <v>7.44550079787373</v>
      </c>
      <c r="AA43" s="129" t="n">
        <f aca="false">EXP(-LN(2)/25)*AA42+(1-EXP(-LN(2)/25))/(LN(2)/25)*Calculateur!V43*Calculateur!X43*VLOOKUP('Données projet'!$B$9,Paramètres!$A$1:$I$89,3,0)*0.475*44/12</f>
        <v>8.45112039544963</v>
      </c>
      <c r="AB43" s="129" t="n">
        <f aca="false">EXP(-LN(2)/2)*AB42+(1-EXP(-LN(2)/2))/(LN(2)/2)*V43*Y43*VLOOKUP('Données projet'!$B$9,Paramètres!$A$1:$I$89,3,0)*0.475*44/12</f>
        <v>0.345097770112449</v>
      </c>
      <c r="AC43" s="130" t="n">
        <f aca="false">SUM(Z43:AB43)</f>
        <v>16.2417189634358</v>
      </c>
      <c r="AD43" s="117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7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8" t="n">
        <f aca="false">VLOOKUP(A43,'Données projet'!$A$61:$I$81,2,0)</f>
        <v>481</v>
      </c>
      <c r="AG43" s="118" t="n">
        <f aca="false">VLOOKUP(A43,'Données projet'!$A$61:$I$81,9,0)</f>
        <v>24</v>
      </c>
      <c r="AH43" s="118" t="n">
        <f aca="false" t="array" ref="AH43:AH43">INDEX(AG:AG,MIN(IF(ISNUMBER(AG43:AG239),ROW(AG43:AG239),"")))</f>
        <v>24</v>
      </c>
      <c r="AI43" s="117" t="n">
        <f aca="false">IF('Données projet'!$A$62&gt;35,AI42+AH43-AQ42,IF(A43&lt;'Données projet'!$A$62,$AF$205^A43,IF(A43='Données projet'!$A$62,'Données projet'!$B$62,AI42+AH43-AQ42)))</f>
        <v>481</v>
      </c>
      <c r="AJ43" s="117" t="n">
        <f aca="false">AI43*VLOOKUP('Données projet'!$B$10,Paramètres!$A$1:$I$89,3,0)*VLOOKUP('Données projet'!$B$10,Paramètres!$A$1:$I$89,5,0)</f>
        <v>268.879</v>
      </c>
      <c r="AK43" s="117" t="n">
        <f aca="false">EXP(-1.0587+0.8836*LN(AJ43)+0.284)</f>
        <v>64.6113072199694</v>
      </c>
      <c r="AL43" s="128" t="n">
        <f aca="false">(AJ43+AK43)*0.475*44/12</f>
        <v>580.828951741447</v>
      </c>
      <c r="AM43" s="120" t="n">
        <f aca="false">AL43+(AD43+AE43)*44/12</f>
        <v>874.16228507478</v>
      </c>
      <c r="AN43" s="120" t="n">
        <f aca="true">AVERAGE(OFFSET($AM$3,0,0,'Données projet'!$E$10+1,1))-AVERAGE(OFFSET($H$3,0,0,'Données projet'!$E$10+1,1))</f>
        <v>365.705101827279</v>
      </c>
      <c r="AO43" s="120" t="n">
        <f aca="false">$AO$3</f>
        <v>436.238338449625</v>
      </c>
      <c r="AP43" s="121" t="n">
        <f aca="false">IF(ISNA(VLOOKUP(A43,'Données projet'!$A$61:$I$81,3,0)),0,VLOOKUP(A43,'Données projet'!$A$61:$I$81,3,0))</f>
        <v>5</v>
      </c>
      <c r="AQ43" s="121" t="n">
        <f aca="false">IF(ISNA(VLOOKUP(A43,'Données projet'!$A$61:$I$81,4,0)),0,VLOOKUP(A43,'Données projet'!$A$61:$I$81,4,0))</f>
        <v>58</v>
      </c>
      <c r="AR43" s="122" t="n">
        <f aca="false">IF(ISNA(VLOOKUP(A43,'Données projet'!$A$61:$I$81,5,0)),0%,VLOOKUP(A43,'Données projet'!$A$61:$I$81,5,0)*VLOOKUP('Données projet'!$B$10,Paramètres!$A$1:$I$89,7,0))</f>
        <v>0</v>
      </c>
      <c r="AS43" s="122" t="n">
        <f aca="false">IF(ISNA(VLOOKUP(A43,'Données projet'!$A$61:$I$81,6,0)),0%,VLOOKUP(A43,'Données projet'!$A$61:$I$81,6,0)*VLOOKUP('Données projet'!$B$10,Paramètres!$A$1:$I$89,7,0))</f>
        <v>0</v>
      </c>
      <c r="AT43" s="122" t="n">
        <f aca="false">IF(ISNA(VLOOKUP(A43,'Données projet'!$A$61:$I$81,7,0)),0%,VLOOKUP(A43,'Données projet'!$A$61:$I$81,7,0))</f>
        <v>0</v>
      </c>
      <c r="AU43" s="129" t="n">
        <f aca="false">EXP(-LN(2)/35)*AU42+(1-EXP(-LN(2)/35))/(LN(2)/35)*AQ43*AR43*VLOOKUP('Données projet'!$B$10,Paramètres!$A$1:$I$89,3,0)*0.475*44/12</f>
        <v>2.81043515756582</v>
      </c>
      <c r="AV43" s="129" t="n">
        <f aca="false">EXP(-LN(2)/25)*AV42+(1-EXP(-LN(2)/25))/(LN(2)/25)*Calculateur!AQ43*Calculateur!AS43*VLOOKUP('Données projet'!$B$10,Paramètres!$A$1:$I$89,3,0)*0.475*44/12</f>
        <v>10.0098951573705</v>
      </c>
      <c r="AW43" s="129" t="n">
        <f aca="false">EXP(-LN(2)/2)*AW42+(1-EXP(-LN(2)/2))/(LN(2)/2)*AQ43*AT43*VLOOKUP('Données projet'!$B$10,Paramètres!$A$1:$I$89,3,0)*0.475*44/12</f>
        <v>0.185720833927369</v>
      </c>
      <c r="AX43" s="129" t="n">
        <f aca="false">SUM(AU43:AW43)</f>
        <v>13.0060511488637</v>
      </c>
      <c r="AY43" s="124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8" t="n">
        <f aca="false">VLOOKUP(A43,'Données projet'!$A$87:$I$107,2,0)</f>
        <v>213</v>
      </c>
      <c r="BB43" s="118" t="n">
        <f aca="false">VLOOKUP(A43,'Données projet'!$A$87:$I$107,9,0)</f>
        <v>10.8</v>
      </c>
      <c r="BC43" s="118" t="n">
        <f aca="false" t="array" ref="BC43:BC43">INDEX(BB:BB,MIN(IF(ISNUMBER(BB43:BB239),ROW(BB43:BB239),"")))</f>
        <v>10.8</v>
      </c>
      <c r="BD43" s="118" t="n">
        <f aca="false">IF('Données projet'!$A$88&gt;35,BD42+BC43-BL42,IF(A43&lt;'Données projet'!$A$88,$BA$205^A43,IF(A43='Données projet'!$A$88,'Données projet'!$B$88,BD42+BC43-BL42)))</f>
        <v>213</v>
      </c>
      <c r="BE43" s="117" t="n">
        <f aca="false">BD43*VLOOKUP('Données projet'!$B$11,Paramètres!$A$1:$I$89,3,0)*VLOOKUP('Données projet'!$B$11,Paramètres!$A$1:$I$89,5,0)</f>
        <v>186.0768</v>
      </c>
      <c r="BF43" s="117" t="n">
        <f aca="false">EXP(-1.0587+0.8836*LN(BE43)+0.284)</f>
        <v>46.6715385915287</v>
      </c>
      <c r="BG43" s="128" t="n">
        <f aca="false">(BE43+BF43)*0.475*44/12</f>
        <v>405.370023046912</v>
      </c>
      <c r="BH43" s="120" t="n">
        <f aca="false">BG43+(AY43+AZ43)*44/12</f>
        <v>698.703356380246</v>
      </c>
      <c r="BI43" s="120" t="n">
        <f aca="true">AVERAGE(OFFSET($BH$3,0,0,'Données projet'!$E$11+1,1))-AVERAGE(OFFSET($H$3,0,0,'Données projet'!$E$11+1,1))</f>
        <v>321.235999689929</v>
      </c>
      <c r="BJ43" s="120" t="n">
        <f aca="false">$BJ$3</f>
        <v>388.051958478005</v>
      </c>
      <c r="BK43" s="121" t="n">
        <f aca="false">IF(ISNA(VLOOKUP(A43,'Données projet'!$A$87:$I$107,3,0)),0,VLOOKUP(A43,'Données projet'!$A$87:$I$107,3,0))</f>
        <v>6</v>
      </c>
      <c r="BL43" s="121" t="n">
        <f aca="false">IF(ISNA(VLOOKUP(A43,'Données projet'!$A$87:$I$107,4,0)),0,VLOOKUP(A43,'Données projet'!$A$87:$I$107,4,0))</f>
        <v>39</v>
      </c>
      <c r="BM43" s="122" t="n">
        <f aca="false">IF(ISNA(VLOOKUP(A43,'Données projet'!$A$87:$I$107,5,0)),0%,VLOOKUP(A43,'Données projet'!$A$87:$I$107,5,0)*VLOOKUP('Données projet'!$B$11,Paramètres!$A$1:$I$89,7,0))</f>
        <v>0</v>
      </c>
      <c r="BN43" s="122" t="n">
        <f aca="false">IF(ISNA(VLOOKUP(A43,'Données projet'!$A$87:$I$107,6,0)),0%,VLOOKUP(A43,'Données projet'!$A$87:$I$107,6,0)*VLOOKUP('Données projet'!$B$11,Paramètres!$A$1:$I$89,7,0))</f>
        <v>0</v>
      </c>
      <c r="BO43" s="122" t="n">
        <f aca="false">IF(ISNA(VLOOKUP(A43,'Données projet'!$A$87:$I$107,7,0)),0%,VLOOKUP(A43,'Données projet'!$A$87:$I$107,7,0))</f>
        <v>0</v>
      </c>
      <c r="BP43" s="129" t="n">
        <f aca="false">EXP(-LN(2)/35)*BP42+(1-EXP(-LN(2)/35))/(LN(2)/35)*BL43*BM43*VLOOKUP('Données projet'!$B$11,Paramètres!$A$1:$I$89,3,0)*0.475*44/12</f>
        <v>7.05593851485795</v>
      </c>
      <c r="BQ43" s="129" t="n">
        <f aca="false">EXP(-LN(2)/25)*BQ42+(1-EXP(-LN(2)/25))/(LN(2)/25)*Calculateur!BL43*Calculateur!BN43*VLOOKUP('Données projet'!$B$11,Paramètres!$A$1:$I$89,3,0)*0.475*44/12</f>
        <v>10.2175064256308</v>
      </c>
      <c r="BR43" s="129" t="n">
        <f aca="false">EXP(-LN(2)/2)*BR42+(1-EXP(-LN(2)/2))/(LN(2)/2)*BL43*BO43*VLOOKUP('Données projet'!$B$11,Paramètres!$A$1:$I$89,3,0)*0.475*44/12</f>
        <v>0.18878136741546</v>
      </c>
      <c r="BS43" s="130" t="n">
        <f aca="false">SUM(BP43:BR43)</f>
        <v>17.4622263079042</v>
      </c>
      <c r="BT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8" t="e">
        <f aca="false">VLOOKUP(A43,'Données projet'!$A$113:$I$133,2,0)</f>
        <v>#N/A</v>
      </c>
      <c r="BW43" s="118" t="e">
        <f aca="false">VLOOKUP(A43,'Données projet'!$A$113:$I$133,9,0)</f>
        <v>#N/A</v>
      </c>
      <c r="BX43" s="118" t="n">
        <f aca="false" t="array" ref="BX43:BX43">INDEX(BW:BW,MIN(IF(ISNUMBER(BW43:BW239),ROW(BW43:BW239),"")))</f>
        <v>11.5</v>
      </c>
      <c r="BY43" s="118" t="n">
        <f aca="false">IF('Données projet'!$A$114&gt;35,BY42+BX43-CG42,IF(A43&lt;'Données projet'!$A$114,$BV$205^A43,IF(A43='Données projet'!$A$114,'Données projet'!$B$114,BY42+BX43-CG42)))</f>
        <v>232</v>
      </c>
      <c r="BZ43" s="117" t="n">
        <f aca="false">BY43*VLOOKUP('Données projet'!$B$12,Paramètres!$A$1:$I$89,3,0)*VLOOKUP('Données projet'!$B$12,Paramètres!$A$1:$I$89,5,0)</f>
        <v>144.768</v>
      </c>
      <c r="CA43" s="117" t="n">
        <f aca="false">EXP(-1.0587+0.8836*LN(BZ43)+0.284)</f>
        <v>37.3871492557078</v>
      </c>
      <c r="CB43" s="128" t="n">
        <f aca="false">(BZ43+CA43)*0.475*44/12</f>
        <v>317.253551620358</v>
      </c>
      <c r="CC43" s="120" t="n">
        <f aca="false">CB43+(BT43+BU43)*44/12</f>
        <v>610.586884953691</v>
      </c>
      <c r="CD43" s="120" t="n">
        <f aca="true">AVERAGE(OFFSET($CC$3,0,0,'Données projet'!$E$12+1,1))-AVERAGE(OFFSET($H$3,0,0,'Données projet'!$E$12+1,1))</f>
        <v>240.228848647662</v>
      </c>
      <c r="CE43" s="120" t="n">
        <f aca="false">$CE$3</f>
        <v>343.237768841432</v>
      </c>
      <c r="CF43" s="121" t="n">
        <f aca="false">IF(ISNA(VLOOKUP(A43,'Données projet'!$A$113:$I$133,3,0)),0,VLOOKUP(A43,'Données projet'!$A$113:$I$133,3,0))</f>
        <v>0</v>
      </c>
      <c r="CG43" s="121" t="n">
        <f aca="false">IF(ISNA(VLOOKUP(A43,'Données projet'!$A$113:$I$133,4,0)),0,VLOOKUP(A43,'Données projet'!$A$113:$I$133,4,0))</f>
        <v>0</v>
      </c>
      <c r="CH43" s="122" t="n">
        <f aca="false">IF(ISNA(VLOOKUP(A43,'Données projet'!$A$113:$I$133,5,0)),0%,VLOOKUP(A43,'Données projet'!$A$113:$I$133,5,0)*VLOOKUP('Données projet'!$B$12,Paramètres!$A$1:$I$89,7,0))</f>
        <v>0</v>
      </c>
      <c r="CI43" s="122" t="n">
        <f aca="false">IF(ISNA(VLOOKUP(A43,'Données projet'!$A$113:$I$133,6,0)),0%,VLOOKUP(A43,'Données projet'!$A$113:$I$133,6,0)*VLOOKUP('Données projet'!$B$12,Paramètres!$A$1:$I$89,7,0))</f>
        <v>0</v>
      </c>
      <c r="CJ43" s="122" t="n">
        <f aca="false">IF(ISNA(VLOOKUP(A43,'Données projet'!$A$113:$I$133,7,0)),0%,VLOOKUP(A43,'Données projet'!$A$113:$I$133,7,0))</f>
        <v>0</v>
      </c>
      <c r="CK43" s="129" t="n">
        <f aca="false">EXP(-LN(2)/35)*CK42+(1-EXP(-LN(2)/35))/(LN(2)/35)*CG43*CH43*VLOOKUP('Données projet'!$B$12,Paramètres!$A$1:$I$89,3,0)*0.475*44/12</f>
        <v>4.31878407782994</v>
      </c>
      <c r="CL43" s="129" t="n">
        <f aca="false">EXP(-LN(2)/25)*CL42+(1-EXP(-LN(2)/25))/(LN(2)/25)*Calculateur!CG43*Calculateur!CI43*VLOOKUP('Données projet'!$B$12,Paramètres!$A$1:$I$89,3,0)*0.475*44/12</f>
        <v>18.0447078379532</v>
      </c>
      <c r="CM43" s="129" t="n">
        <f aca="false">EXP(-LN(2)/2)*CM42+(1-EXP(-LN(2)/2))/(LN(2)/2)*CG43*CJ43*VLOOKUP('Données projet'!$B$12,Paramètres!$A$1:$I$89,3,0)*0.475*44/12</f>
        <v>0.301244733311369</v>
      </c>
      <c r="CN43" s="130" t="n">
        <f aca="false">SUM(CK43:CM43)</f>
        <v>22.6647366490945</v>
      </c>
      <c r="CO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8" t="e">
        <f aca="false">VLOOKUP(A43,'Données projet'!$A$139:$I$159,2,0)</f>
        <v>#N/A</v>
      </c>
      <c r="CR43" s="118" t="e">
        <f aca="false">VLOOKUP(A43,'Données projet'!$A$139:$I$159,9,0)</f>
        <v>#N/A</v>
      </c>
      <c r="CS43" s="118" t="n">
        <f aca="false" t="array" ref="CS43:CS43">INDEX(CR:CR,MIN(IF(ISNUMBER(CR43:CR239),ROW(CR43:CR239),"")))</f>
        <v>14</v>
      </c>
      <c r="CT43" s="118" t="n">
        <f aca="false">IF('Données projet'!$A$140&gt;35,CT42+CS43-DB42,IF(A43&lt;'Données projet'!$A$140,$CQ$205^A43,IF(A43='Données projet'!$A$140,'Données projet'!$B$140,CT42+CS43-DB42)))</f>
        <v>250</v>
      </c>
      <c r="CU43" s="125" t="n">
        <f aca="false">CT43*VLOOKUP('Données projet'!$B$13,Paramètres!$A$1:$I$89,3,0)*VLOOKUP('Données projet'!$B$13,Paramètres!$A$1:$I$89,5,0)</f>
        <v>136.5</v>
      </c>
      <c r="CV43" s="117" t="n">
        <f aca="false">EXP(-1.0587+0.8836*LN(CU43)+0.284)</f>
        <v>35.4940270240874</v>
      </c>
      <c r="CW43" s="128" t="n">
        <f aca="false">(CU43+CV43)*0.475*44/12</f>
        <v>299.556263733619</v>
      </c>
      <c r="CX43" s="120" t="n">
        <f aca="false">CW43+(CO43+CP43)*44/12</f>
        <v>592.889597066952</v>
      </c>
      <c r="CY43" s="120" t="n">
        <f aca="true">AVERAGE(OFFSET($CX$3,0,0,'Données projet'!$E$13+1,1))-AVERAGE(OFFSET($H$3,0,0,'Données projet'!$E$13+1,1))</f>
        <v>207.023069645676</v>
      </c>
      <c r="CZ43" s="120" t="n">
        <f aca="false">$CZ$3</f>
        <v>342.068879333518</v>
      </c>
      <c r="DA43" s="121" t="n">
        <f aca="false">IF(ISNA(VLOOKUP(A43,'Données projet'!$A$139:$I$159,3,0)),0,VLOOKUP(A43,'Données projet'!$A$139:$I$159,3,0))</f>
        <v>0</v>
      </c>
      <c r="DB43" s="121" t="n">
        <f aca="false">IF(ISNA(VLOOKUP(A43,'Données projet'!$A$139:$I$159,4,0)),0,VLOOKUP(A43,'Données projet'!$A$139:$I$159,4,0))</f>
        <v>0</v>
      </c>
      <c r="DC43" s="122" t="n">
        <f aca="false">IF(ISNA(VLOOKUP(A43,'Données projet'!$A$139:$I$159,5,0)),0%,VLOOKUP(A43,'Données projet'!$A$139:$I$159,5,0)*VLOOKUP('Données projet'!$B$13,Paramètres!$A$1:$I$89,7,0))</f>
        <v>0</v>
      </c>
      <c r="DD43" s="122" t="n">
        <f aca="false">IF(ISNA(VLOOKUP(A43,'Données projet'!$A$139:$I$159,6,0)),0%,VLOOKUP(A43,'Données projet'!$A$139:$I$159,6,0)*VLOOKUP('Données projet'!$B$13,Paramètres!$A$1:$I$89,7,0))</f>
        <v>0</v>
      </c>
      <c r="DE43" s="122" t="n">
        <f aca="false">IF(ISNA(VLOOKUP(A43,'Données projet'!$A$139:$I$159,7,0)),0%,VLOOKUP(A43,'Données projet'!$A$139:$I$159,7,0))</f>
        <v>0</v>
      </c>
      <c r="DF43" s="129" t="n">
        <f aca="false">EXP(-LN(2)/35)*DF42+(1-EXP(-LN(2)/35))/(LN(2)/35)*DB43*DC43*VLOOKUP('Données projet'!$B$13,Paramètres!$A$1:$I$89,3,0)*0.475*44/12</f>
        <v>5.41885172029605</v>
      </c>
      <c r="DG43" s="129" t="n">
        <f aca="false">EXP(-LN(2)/25)*DG42+(1-EXP(-LN(2)/25))/(LN(2)/25)*Calculateur!DB43*Calculateur!DD43*VLOOKUP('Données projet'!$B$13,Paramètres!$A$1:$I$89,3,0)*0.475*44/12</f>
        <v>29.4955818958611</v>
      </c>
      <c r="DH43" s="129" t="n">
        <f aca="false">EXP(-LN(2)/2)*DH42+(1-EXP(-LN(2)/2))/(LN(2)/2)*DB43*DE43*VLOOKUP('Données projet'!$B$13,Paramètres!$A$1:$I$89,3,0)*0.475*44/12</f>
        <v>0.414814137434401</v>
      </c>
      <c r="DI43" s="130" t="n">
        <f aca="false">SUM(DF43:DH43)</f>
        <v>35.3292477535915</v>
      </c>
      <c r="DJ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8" t="n">
        <f aca="false">VLOOKUP(A43,'Données projet'!$A$165:$I$185,2,0)</f>
        <v>275</v>
      </c>
      <c r="DM43" s="118" t="n">
        <f aca="false">VLOOKUP(A43,'Données projet'!$A$165:$I$185,9,0)</f>
        <v>12.8333333333333</v>
      </c>
      <c r="DN43" s="118" t="n">
        <f aca="false" t="array" ref="DN43:DN43">INDEX(DM:DM,MIN(IF(ISNUMBER(DM43:DM239),ROW(DM43:DM239),"")))</f>
        <v>12.8333333333333</v>
      </c>
      <c r="DO43" s="118" t="n">
        <f aca="false">IF('Données projet'!$A$166&gt;35,DO42+DN43-DW42,IF(A43&lt;'Données projet'!$A$166,$DL$205^A43,IF(A43='Données projet'!$A$166,'Données projet'!$B$166,DO42+DN43-DW42)))</f>
        <v>275</v>
      </c>
      <c r="DP43" s="125" t="n">
        <f aca="false">DO43*VLOOKUP('Données projet'!$B$14,Paramètres!$A$1:$I$89,3,0)*VLOOKUP('Données projet'!$B$14,Paramètres!$A$1:$I$89,5,0)</f>
        <v>164.45</v>
      </c>
      <c r="DQ43" s="117" t="n">
        <f aca="false">EXP(-1.0587+0.8836*LN(DP43)+0.284)</f>
        <v>41.8446172076874</v>
      </c>
      <c r="DR43" s="128" t="n">
        <f aca="false">(DP43+DQ43)*0.475*44/12</f>
        <v>359.296458303389</v>
      </c>
      <c r="DS43" s="120" t="n">
        <f aca="false">DR43+(DJ43+DK43)*44/12</f>
        <v>652.629791636722</v>
      </c>
      <c r="DT43" s="120" t="n">
        <f aca="true">AVERAGE(OFFSET($DS$3,0,0,'Données projet'!$E$14+1,1))-AVERAGE(OFFSET($H$3,0,0,'Données projet'!$E$14+1,1))</f>
        <v>549.432320957297</v>
      </c>
      <c r="DU43" s="120" t="n">
        <f aca="false">$DU$3</f>
        <v>280.26155987301</v>
      </c>
      <c r="DV43" s="121" t="n">
        <f aca="false">IF(ISNA(VLOOKUP(A43,'Données projet'!$A$165:$I$185,3,0)),0,VLOOKUP(A43,'Données projet'!$A$165:$I$185,3,0))</f>
        <v>7</v>
      </c>
      <c r="DW43" s="121" t="n">
        <f aca="false">IF(ISNA(VLOOKUP(A43,'Données projet'!$A$165:$I$185,4,0)),0,VLOOKUP(A43,'Données projet'!$A$165:$I$185,4,0))</f>
        <v>41</v>
      </c>
      <c r="DX43" s="122" t="n">
        <f aca="false">IF(ISNA(VLOOKUP(A43,'Données projet'!$A$165:$I$185,5,0)),0%,VLOOKUP(A43,'Données projet'!$A$165:$I$185,5,0)*VLOOKUP('Données projet'!$B$14,Paramètres!$A$1:$I$89,7,0))</f>
        <v>0</v>
      </c>
      <c r="DY43" s="122" t="n">
        <f aca="false">IF(ISNA(VLOOKUP(A43,'Données projet'!$A$165:$I$185,6,0)),0%,VLOOKUP(A43,'Données projet'!$A$165:$I$185,6,0)*VLOOKUP('Données projet'!$B$14,Paramètres!$A$1:$I$89,7,0))</f>
        <v>0</v>
      </c>
      <c r="DZ43" s="122" t="n">
        <f aca="false">IF(ISNA(VLOOKUP(A43,'Données projet'!$A$165:$I$185,7,0)),0%,VLOOKUP(A43,'Données projet'!$A$165:$I$185,7,0))</f>
        <v>0</v>
      </c>
      <c r="EA43" s="129" t="n">
        <f aca="false">EXP(-LN(2)/35)*EA42+(1-EXP(-LN(2)/35))/(LN(2)/35)*DW43*DX43*VLOOKUP('Données projet'!$B$14,Paramètres!$A$1:$I$89,3,0)*0.475*44/12</f>
        <v>1.97028844324253</v>
      </c>
      <c r="EB43" s="129" t="n">
        <f aca="false">EXP(-LN(2)/25)*EB42+(1-EXP(-LN(2)/25))/(LN(2)/25)*Calculateur!DW43*Calculateur!DY43*VLOOKUP('Données projet'!$B$14,Paramètres!$A$1:$I$89,3,0)*0.475*44/12</f>
        <v>5.87610185125803</v>
      </c>
      <c r="EC43" s="129" t="n">
        <f aca="false">EXP(-LN(2)/2)*EC42+(1-EXP(-LN(2)/2))/(LN(2)/2)*DW43*DZ43*VLOOKUP('Données projet'!$B$14,Paramètres!$A$1:$I$89,3,0)*0.475*44/12</f>
        <v>0.191220766704984</v>
      </c>
      <c r="ED43" s="130" t="n">
        <f aca="false">SUM(EA43:EC43)</f>
        <v>8.03761106120554</v>
      </c>
      <c r="EE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8" t="e">
        <f aca="false">VLOOKUP(A43,'Données projet'!$A$191:$I$211,2,0)</f>
        <v>#N/A</v>
      </c>
      <c r="EH43" s="118" t="e">
        <f aca="false">VLOOKUP(A43,'Données projet'!$A$191:$I$211,9,0)</f>
        <v>#N/A</v>
      </c>
      <c r="EI43" s="118" t="n">
        <f aca="false" t="array" ref="EI43:EI43">INDEX(EH:EH,MIN(IF(ISNUMBER(EH43:EH239),ROW(EH43:EH239),"")))</f>
        <v>0</v>
      </c>
      <c r="EJ43" s="118" t="n">
        <f aca="false">IF('Données projet'!$A$192&gt;35,EJ42+EI43-ER42,IF(A43&lt;'Données projet'!$A$192,$EG$205^A43,IF(A43='Données projet'!$A$192,'Données projet'!$B$192,EJ42+EI43-ER42)))</f>
        <v>0</v>
      </c>
      <c r="EK43" s="125" t="e">
        <f aca="false">EJ43*VLOOKUP('Données projet'!$B$15,Paramètres!$A$1:$I$89,3,0)*VLOOKUP('Données projet'!$B$15,Paramètres!$A$1:$I$89,5,0)</f>
        <v>#N/A</v>
      </c>
      <c r="EL43" s="117" t="e">
        <f aca="false">EXP(-1.0587+0.8836*LN(EK43)+0.284)</f>
        <v>#N/A</v>
      </c>
      <c r="EM43" s="128" t="e">
        <f aca="false">(EK43+EL43)*0.475*44/12</f>
        <v>#N/A</v>
      </c>
      <c r="EN43" s="120" t="e">
        <f aca="false">EM43+(EE43+EF43)*44/12</f>
        <v>#N/A</v>
      </c>
      <c r="EO43" s="120" t="e">
        <f aca="true">AVERAGE(OFFSET($EN$3,0,0,'Données projet'!$E$15+1,1))-AVERAGE(OFFSET($H$3,0,0,'Données projet'!$E$15+1,1))</f>
        <v>#N/A</v>
      </c>
      <c r="EP43" s="120" t="e">
        <f aca="false">$EP$3</f>
        <v>#N/A</v>
      </c>
      <c r="EQ43" s="121" t="n">
        <f aca="false">IF(ISNA(VLOOKUP(A43,'Données projet'!$A$191:$I$211,3,0)),0,VLOOKUP(A43,'Données projet'!$A$191:$I$211,3,0))</f>
        <v>0</v>
      </c>
      <c r="ER43" s="121" t="n">
        <f aca="false">IF(ISNA(VLOOKUP(A43,'Données projet'!$A$191:$I$211,4,0)),0,VLOOKUP(A43,'Données projet'!$A$191:$I$211,4,0))</f>
        <v>0</v>
      </c>
      <c r="ES43" s="122" t="n">
        <f aca="false">IF(ISNA(VLOOKUP(A43,'Données projet'!$A$191:$I$211,5,0)),0%,VLOOKUP(A43,'Données projet'!$A$191:$I$211,5,0)*VLOOKUP('Données projet'!$B$15,Paramètres!$A$1:$I$89,7,0))</f>
        <v>0</v>
      </c>
      <c r="ET43" s="122" t="n">
        <f aca="false">IF(ISNA(VLOOKUP(A43,'Données projet'!$A$191:$I$211,6,0)),0%,VLOOKUP(A43,'Données projet'!$A$191:$I$211,6,0)*VLOOKUP('Données projet'!$B$15,Paramètres!$A$1:$I$89,7,0))</f>
        <v>0</v>
      </c>
      <c r="EU43" s="122" t="n">
        <f aca="false">IF(ISNA(VLOOKUP(A43,'Données projet'!$A$191:$I$211,7,0)),0%,VLOOKUP(A43,'Données projet'!$A$191:$I$211,7,0))</f>
        <v>0</v>
      </c>
      <c r="EV43" s="129" t="e">
        <f aca="false">EXP(-LN(2)/35)*EV42+(1-EXP(-LN(2)/35))/(LN(2)/35)*ER43*ES43*VLOOKUP('Données projet'!$B$15,Paramètres!$A$1:$I$89,3,0)*0.475*44/12</f>
        <v>#N/A</v>
      </c>
      <c r="EW43" s="129" t="e">
        <f aca="false">EXP(-LN(2)/25)*EW42+(1-EXP(-LN(2)/25))/(LN(2)/25)*Calculateur!ER43*Calculateur!ET43*VLOOKUP('Données projet'!$B$15,Paramètres!$A$1:$I$89,3,0)*0.475*44/12</f>
        <v>#N/A</v>
      </c>
      <c r="EX43" s="129" t="e">
        <f aca="false">EXP(-LN(2)/2)*EX42+(1-EXP(-LN(2)/2))/(LN(2)/2)*ER43*EU43*VLOOKUP('Données projet'!$B$15,Paramètres!$A$1:$I$89,3,0)*0.475*44/12</f>
        <v>#N/A</v>
      </c>
      <c r="EY43" s="130" t="e">
        <f aca="false">SUM(EV43:EX43)</f>
        <v>#N/A</v>
      </c>
      <c r="EZ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8" t="e">
        <f aca="false">VLOOKUP(A43,'Données projet'!$A$217:$I$237,2,0)</f>
        <v>#N/A</v>
      </c>
      <c r="FC43" s="118" t="e">
        <f aca="false">VLOOKUP(A43,'Données projet'!$A$217:$I$237,9,0)</f>
        <v>#N/A</v>
      </c>
      <c r="FD43" s="118" t="n">
        <f aca="false" t="array" ref="FD43:FD43">INDEX(FC:FC,MIN(IF(ISNUMBER(FC43:FC239),ROW(FC43:FC239),"")))</f>
        <v>0</v>
      </c>
      <c r="FE43" s="118" t="n">
        <f aca="false">IF('Données projet'!$A$218&gt;35,FE42+FD43-FM42,IF(A43&lt;'Données projet'!$A$218,$FB$205^A43,IF(A43='Données projet'!$A$218,'Données projet'!$B$218,FE42+FD43-FM42)))</f>
        <v>0</v>
      </c>
      <c r="FF43" s="125" t="e">
        <f aca="false">FE43*VLOOKUP('Données projet'!$B$16,Paramètres!$A$1:$I$89,3,0)*VLOOKUP('Données projet'!$B$16,Paramètres!$A$1:$I$89,5,0)</f>
        <v>#N/A</v>
      </c>
      <c r="FG43" s="117" t="e">
        <f aca="false">EXP(-1.0587+0.8836*LN(FF43)+0.284)</f>
        <v>#N/A</v>
      </c>
      <c r="FH43" s="128" t="e">
        <f aca="false">(FF43+FG43)*0.475*44/12</f>
        <v>#N/A</v>
      </c>
      <c r="FI43" s="120" t="e">
        <f aca="false">FH43+(EZ43+FA43)*44/12</f>
        <v>#N/A</v>
      </c>
      <c r="FJ43" s="120" t="e">
        <f aca="true">AVERAGE(OFFSET($FI$3,0,0,'Données projet'!$E$16+1,1))-AVERAGE(OFFSET($H$3,0,0,'Données projet'!$E$16+1,1))</f>
        <v>#N/A</v>
      </c>
      <c r="FK43" s="120" t="e">
        <f aca="false">$FK$3</f>
        <v>#N/A</v>
      </c>
      <c r="FL43" s="121" t="n">
        <f aca="false">IF(ISNA(VLOOKUP(A43,'Données projet'!$A$217:$I$237,3,0)),0,VLOOKUP(A43,'Données projet'!$A$217:$I$237,3,0))</f>
        <v>0</v>
      </c>
      <c r="FM43" s="121" t="n">
        <f aca="false">IF(ISNA(VLOOKUP(A43,'Données projet'!$A$217:$I$237,4,0)),0,VLOOKUP(A43,'Données projet'!$A$217:$I$237,4,0))</f>
        <v>0</v>
      </c>
      <c r="FN43" s="122" t="n">
        <f aca="false">IF(ISNA(VLOOKUP(A43,'Données projet'!$A$217:$I$237,5,0)),0%,VLOOKUP(A43,'Données projet'!$A$217:$I$237,5,0)*VLOOKUP('Données projet'!$B$16,Paramètres!$A$1:$I$89,7,0))</f>
        <v>0</v>
      </c>
      <c r="FO43" s="122" t="n">
        <f aca="false">IF(ISNA(VLOOKUP(A43,'Données projet'!$A$217:$I$237,6,0)),0%,VLOOKUP(A43,'Données projet'!$A$217:$I$237,6,0)*VLOOKUP('Données projet'!$B$16,Paramètres!$A$1:$I$89,7,0))</f>
        <v>0</v>
      </c>
      <c r="FP43" s="122" t="n">
        <f aca="false">IF(ISNA(VLOOKUP(A43,'Données projet'!$A$217:$I$237,7,0)),0%,VLOOKUP(A43,'Données projet'!$A$217:$I$237,7,0))</f>
        <v>0</v>
      </c>
      <c r="FQ43" s="129" t="e">
        <f aca="false">EXP(-LN(2)/35)*FQ42+(1-EXP(-LN(2)/35))/(LN(2)/35)*FM43*FN43*VLOOKUP('Données projet'!$B$16,Paramètres!$A$1:$I$89,3,0)*0.475*44/12</f>
        <v>#N/A</v>
      </c>
      <c r="FR43" s="129" t="e">
        <f aca="false">EXP(-LN(2)/25)*FR42+(1-EXP(-LN(2)/25))/(LN(2)/25)*Calculateur!FM43*Calculateur!FO43*VLOOKUP('Données projet'!$B$16,Paramètres!$A$1:$I$89,3,0)*0.475*44/12</f>
        <v>#N/A</v>
      </c>
      <c r="FS43" s="129" t="e">
        <f aca="false">EXP(-LN(2)/2)*FS42+(1-EXP(-LN(2)/2))/(LN(2)/2)*FM43*FP43*VLOOKUP('Données projet'!$B$16,Paramètres!$A$1:$I$89,3,0)*0.475*44/12</f>
        <v>#N/A</v>
      </c>
      <c r="FT43" s="130" t="e">
        <f aca="false">SUM(FQ43:FS43)</f>
        <v>#N/A</v>
      </c>
      <c r="FU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8" t="e">
        <f aca="false">VLOOKUP(A43,'Données projet'!$A$243:$I$263,2,0)</f>
        <v>#N/A</v>
      </c>
      <c r="FX43" s="118" t="e">
        <f aca="false">VLOOKUP(A43,'Données projet'!$A$243:$I$263,9,0)</f>
        <v>#N/A</v>
      </c>
      <c r="FY43" s="118" t="n">
        <f aca="false" t="array" ref="FY43:FY43">INDEX(FX:FX,MIN(IF(ISNUMBER(FX43:FX239),ROW(FX43:FX239),"")))</f>
        <v>0</v>
      </c>
      <c r="FZ43" s="118" t="n">
        <f aca="false">IF('Données projet'!$A$244&gt;35,FZ42+FY43-GH42,IF(A43&lt;'Données projet'!$A$244,$FW$205^A43,IF(A43='Données projet'!$A$244,'Données projet'!$B$244,FZ42+FY43-GH42)))</f>
        <v>0</v>
      </c>
      <c r="GA43" s="125" t="e">
        <f aca="false">FZ43*VLOOKUP('Données projet'!$B$17,Paramètres!$A$1:$I$89,3,0)*VLOOKUP('Données projet'!$B$17,Paramètres!$A$1:$I$89,5,0)</f>
        <v>#N/A</v>
      </c>
      <c r="GB43" s="117" t="e">
        <f aca="false">EXP(-1.0587+0.8836*LN(GA43)+0.284)</f>
        <v>#N/A</v>
      </c>
      <c r="GC43" s="128" t="e">
        <f aca="false">(GA43+GB43)*0.475*44/12</f>
        <v>#N/A</v>
      </c>
      <c r="GD43" s="120" t="e">
        <f aca="false">GC43+(FU43+FV43)*44/12</f>
        <v>#N/A</v>
      </c>
      <c r="GE43" s="120" t="e">
        <f aca="true">AVERAGE(OFFSET($GD$3,0,0,'Données projet'!$E$17+1,1))-AVERAGE(OFFSET($H$3,0,0,'Données projet'!$E$17+1,1))</f>
        <v>#N/A</v>
      </c>
      <c r="GF43" s="120" t="e">
        <f aca="false">$GF$3</f>
        <v>#N/A</v>
      </c>
      <c r="GG43" s="121" t="n">
        <f aca="false">IF(ISNA(VLOOKUP(A43,'Données projet'!$A$243:$I$263,3,0)),0,VLOOKUP(A43,'Données projet'!$A$243:$I$263,3,0))</f>
        <v>0</v>
      </c>
      <c r="GH43" s="121" t="n">
        <f aca="false">IF(ISNA(VLOOKUP(A43,'Données projet'!$A$243:$I$263,4,0)),0,VLOOKUP(A43,'Données projet'!$A$243:$I$263,4,0))</f>
        <v>0</v>
      </c>
      <c r="GI43" s="122" t="n">
        <f aca="false">IF(ISNA(VLOOKUP(A43,'Données projet'!$A$243:$I$263,5,0)),0%,VLOOKUP(A43,'Données projet'!$A$243:$I$263,5,0)*VLOOKUP('Données projet'!$B$17,Paramètres!$A$1:$I$89,7,0))</f>
        <v>0</v>
      </c>
      <c r="GJ43" s="122" t="n">
        <f aca="false">IF(ISNA(VLOOKUP(A43,'Données projet'!$A$243:$I$263,6,0)),0%,VLOOKUP(A43,'Données projet'!$A$243:$I$263,6,0)*VLOOKUP('Données projet'!$B$17,Paramètres!$A$1:$I$89,7,0))</f>
        <v>0</v>
      </c>
      <c r="GK43" s="122" t="n">
        <f aca="false">IF(ISNA(VLOOKUP(A43,'Données projet'!$A$243:$I$263,7,0)),0%,VLOOKUP(A43,'Données projet'!$A$243:$I$263,7,0))</f>
        <v>0</v>
      </c>
      <c r="GL43" s="129" t="e">
        <f aca="false">EXP(-LN(2)/35)*GL42+(1-EXP(-LN(2)/35))/(LN(2)/35)*GH43*GI43*VLOOKUP('Données projet'!$B$17,Paramètres!$A$1:$I$89,3,0)*0.475*44/12</f>
        <v>#N/A</v>
      </c>
      <c r="GM43" s="129" t="e">
        <f aca="false">EXP(-LN(2)/25)*GM42+(1-EXP(-LN(2)/25))/(LN(2)/25)*Calculateur!GH43*Calculateur!GJ43*VLOOKUP('Données projet'!$B$17,Paramètres!$A$1:$I$89,3,0)*0.475*44/12</f>
        <v>#N/A</v>
      </c>
      <c r="GN43" s="129" t="e">
        <f aca="false">EXP(-LN(2)/2)*GN42+(1-EXP(-LN(2)/2))/(LN(2)/2)*GH43*GK43*VLOOKUP('Données projet'!$B$17,Paramètres!$A$1:$I$89,3,0)*0.475*44/12</f>
        <v>#N/A</v>
      </c>
      <c r="GO43" s="129" t="e">
        <f aca="false">SUM(GL43:GN43)</f>
        <v>#N/A</v>
      </c>
      <c r="GP43" s="126" t="n">
        <f aca="false"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8" t="n">
        <f aca="false"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8" t="e">
        <f aca="false">VLOOKUP(A43,'Données projet'!$A$269:$I$289,2,0)</f>
        <v>#N/A</v>
      </c>
      <c r="GS43" s="118" t="e">
        <f aca="false">VLOOKUP(A43,'Données projet'!$A$269:$I$289,9,0)</f>
        <v>#N/A</v>
      </c>
      <c r="GT43" s="118" t="n">
        <f aca="false" t="array" ref="GT43:GT43">INDEX(GS:GS,MIN(IF(ISNUMBER(GS43:GS239),ROW(GS43:GS239),"")))</f>
        <v>0</v>
      </c>
      <c r="GU43" s="118" t="n">
        <f aca="false">IF('Données projet'!$A$270&gt;35,GU42+GT43-HC42,IF(A43&lt;'Données projet'!$A$270,$GR$205^A43,IF(A43='Données projet'!$A$270,'Données projet'!$B$270,GU42+GT43-HC42)))</f>
        <v>0</v>
      </c>
      <c r="GV43" s="125" t="e">
        <f aca="false">GU43*VLOOKUP('Données projet'!$B$18,Paramètres!$A$1:$I$89,3,0)*VLOOKUP('Données projet'!$B$18,Paramètres!$A$1:$I$89,5,0)</f>
        <v>#N/A</v>
      </c>
      <c r="GW43" s="117" t="e">
        <f aca="false">EXP(-1.0587+0.8836*LN(GV43)+0.284)</f>
        <v>#N/A</v>
      </c>
      <c r="GX43" s="128" t="e">
        <f aca="false">(GV43+GW43)*0.475*44/12</f>
        <v>#N/A</v>
      </c>
      <c r="GY43" s="120" t="e">
        <f aca="false">GX43+(GP43+GQ43)*44/12</f>
        <v>#N/A</v>
      </c>
      <c r="GZ43" s="120" t="e">
        <f aca="true">AVERAGE(OFFSET($GY$3,0,0,'Données projet'!$E$18+1,1))-AVERAGE(OFFSET($H$3,0,0,'Données projet'!$E$18+1,1))</f>
        <v>#N/A</v>
      </c>
      <c r="HA43" s="120" t="e">
        <f aca="false">$HA$3</f>
        <v>#N/A</v>
      </c>
      <c r="HB43" s="121" t="n">
        <f aca="false">IF(ISNA(VLOOKUP(A43,'Données projet'!$A$269:$I$289,3,0)),0,VLOOKUP(A43,'Données projet'!$A$269:$I$289,3,0))</f>
        <v>0</v>
      </c>
      <c r="HC43" s="121" t="n">
        <f aca="false">IF(ISNA(VLOOKUP(A43,'Données projet'!$A$269:$I$289,4,0)),0,VLOOKUP(A43,'Données projet'!$A$269:$I$289,4,0))</f>
        <v>0</v>
      </c>
      <c r="HD43" s="122" t="n">
        <f aca="false">IF(ISNA(VLOOKUP(A43,'Données projet'!$A$269:$I$289,5,0)),0%,VLOOKUP(A43,'Données projet'!$A$269:$I$289,5,0)*VLOOKUP('Données projet'!$B$18,Paramètres!$A$1:$I$89,7,0))</f>
        <v>0</v>
      </c>
      <c r="HE43" s="122" t="n">
        <f aca="false">IF(ISNA(VLOOKUP(A43,'Données projet'!$A$269:$I$289,6,0)),0%,VLOOKUP(A43,'Données projet'!$A$269:$I$289,6,0)*VLOOKUP('Données projet'!$B$18,Paramètres!$A$1:$I$89,7,0))</f>
        <v>0</v>
      </c>
      <c r="HF43" s="122" t="n">
        <f aca="false">IF(ISNA(VLOOKUP(A43,'Données projet'!$A$269:$I$289,7,0)),0%,VLOOKUP(A43,'Données projet'!$A$269:$I$289,7,0))</f>
        <v>0</v>
      </c>
      <c r="HG43" s="129" t="e">
        <f aca="false">EXP(-LN(2)/35)*HG42+(1-EXP(-LN(2)/35))/(LN(2)/35)*HC43*HD43*VLOOKUP('Données projet'!$B$18,Paramètres!$A$1:$I$89,3,0)*0.475*44/12</f>
        <v>#N/A</v>
      </c>
      <c r="HH43" s="129" t="e">
        <f aca="false">EXP(-LN(2)/25)*HH42+(1-EXP(-LN(2)/25))/(LN(2)/25)*Calculateur!HC43*Calculateur!HE43*VLOOKUP('Données projet'!$B$18,Paramètres!$A$1:$I$89,3,0)*0.475*44/12</f>
        <v>#N/A</v>
      </c>
      <c r="HI43" s="129" t="e">
        <f aca="false">EXP(-LN(2)/2)*HI42+(1-EXP(-LN(2)/2))/(LN(2)/2)*HC43*HF43*VLOOKUP('Données projet'!$B$18,Paramètres!$A$1:$I$89,3,0)*0.475*44/12</f>
        <v>#N/A</v>
      </c>
      <c r="HJ43" s="130" t="e">
        <f aca="false">SUM(HG43:HI43)</f>
        <v>#N/A</v>
      </c>
    </row>
    <row r="44" customFormat="false" ht="14.25" hidden="false" customHeight="false" outlineLevel="0" collapsed="false">
      <c r="A44" s="112" t="n">
        <f aca="false">A43+1</f>
        <v>41</v>
      </c>
      <c r="B44" s="113" t="n">
        <f aca="false">'Scénario référence'!$B$16*5+'Scénario référence'!$B$17*0+'Scénario référence'!$B$18*5</f>
        <v>0</v>
      </c>
      <c r="C44" s="127" t="n">
        <f aca="false"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4" t="n">
        <f aca="false">IFERROR(EXP(-1.0587+0.8836*LN(C44)+0.284),0)</f>
        <v>0</v>
      </c>
      <c r="E4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4" s="114" t="n">
        <f aca="false">IF(OR('Scénario référence'!$F$8&gt;0,'Scénario référence'!$F$9&gt;0),('Scénario référence'!$F$8+'Scénario référence'!$F$9)*10,0)</f>
        <v>0</v>
      </c>
      <c r="G44" s="114" t="n">
        <f aca="false"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15" t="n">
        <f aca="false">(B44+E44+F44)*44/12+(C44+D44)*0.475*44/12</f>
        <v>256.666666666667</v>
      </c>
      <c r="I44" s="11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7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8" t="e">
        <f aca="false">VLOOKUP(A44,'Données projet'!$A$35:$I$55,2,0)</f>
        <v>#N/A</v>
      </c>
      <c r="L44" s="118" t="e">
        <f aca="false">VLOOKUP(A44,'Données projet'!$A$35:$I$55,9,0)</f>
        <v>#N/A</v>
      </c>
      <c r="M44" s="118" t="n">
        <f aca="false" t="array" ref="M44:M44">INDEX(L:L,MIN(IF(ISNUMBER(L44:L240),ROW(L44:L240),"")))</f>
        <v>11.5</v>
      </c>
      <c r="N44" s="117" t="n">
        <f aca="false">IF('Données projet'!$A$36&gt;35,N43+M44-V43,IF(A44&lt;'Données projet'!$A$36,$K$205^A44,IF(A44='Données projet'!$A$36,'Données projet'!$B$36,N43+M44-V43)))</f>
        <v>185</v>
      </c>
      <c r="O44" s="117" t="n">
        <f aca="false">N44*VLOOKUP('Données projet'!$B$9,Paramètres!$A$1:$I$89,3,0)*VLOOKUP('Données projet'!$B$9,Paramètres!$A$1:$I$89,5,0)</f>
        <v>86.5799999999999</v>
      </c>
      <c r="P44" s="117" t="n">
        <f aca="false">EXP(-1.0587+0.8836*LN(O44)+0.284)</f>
        <v>23.738552844734</v>
      </c>
      <c r="Q44" s="128" t="n">
        <f aca="false">(O44+P44)*0.475*44/12</f>
        <v>192.138146204578</v>
      </c>
      <c r="R44" s="120" t="n">
        <f aca="false">Q44+(I44+J44)*44/12</f>
        <v>485.471479537912</v>
      </c>
      <c r="S44" s="120" t="n">
        <f aca="true">AVERAGE(OFFSET($R$3,0,0,'Données projet'!$E$9+1,1))-AVERAGE(OFFSET($H$3,0,0,'Données projet'!$E$9+1,1))</f>
        <v>319.229030946746</v>
      </c>
      <c r="T44" s="120" t="n">
        <f aca="false">$T$3</f>
        <v>254.586909731428</v>
      </c>
      <c r="U44" s="121" t="n">
        <f aca="false">IF(ISNA(VLOOKUP(A44,'Données projet'!$A$35:$I$55,3,0)),0,VLOOKUP(A44,'Données projet'!$A$35:$I$55,3,0))</f>
        <v>0</v>
      </c>
      <c r="V44" s="121" t="n">
        <f aca="false">IF(ISNA(VLOOKUP(A44,'Données projet'!$A$35:$I$55,4,0)),0,VLOOKUP(A44,'Données projet'!$A$35:$I$55,4,0))</f>
        <v>0</v>
      </c>
      <c r="W44" s="122" t="n">
        <f aca="false">IF(ISNA(VLOOKUP(A44,'Données projet'!$A$35:$I$55,5,0)),0%,VLOOKUP(A44,'Données projet'!$A$35:$I$55,5,0)*VLOOKUP('Données projet'!$B$9,Paramètres!$A$1:$I$89,7,0))</f>
        <v>0</v>
      </c>
      <c r="X44" s="122" t="n">
        <f aca="false">IF(ISNA(VLOOKUP(A44,'Données projet'!$A$35:$I$55,6,0)),0%,VLOOKUP(A44,'Données projet'!$A$35:$I$55,6,0)*VLOOKUP('Données projet'!$B$9,Paramètres!$A$1:$I$89,7,0))</f>
        <v>0</v>
      </c>
      <c r="Y44" s="122" t="n">
        <f aca="false">IF(ISNA(VLOOKUP(A44,'Données projet'!$A$35:$I$55,7,0)),0%,VLOOKUP(A44,'Données projet'!$A$35:$I$55,7,0))</f>
        <v>0</v>
      </c>
      <c r="Z44" s="129" t="n">
        <f aca="false">EXP(-LN(2)/35)*Z43+(1-EXP(-LN(2)/35))/(LN(2)/35)*V44*W44*VLOOKUP('Données projet'!$B$9,Paramètres!$A$1:$I$89,3,0)*0.475*44/12</f>
        <v>7.29949906853449</v>
      </c>
      <c r="AA44" s="129" t="n">
        <f aca="false">EXP(-LN(2)/25)*AA43+(1-EXP(-LN(2)/25))/(LN(2)/25)*Calculateur!V44*Calculateur!X44*VLOOKUP('Données projet'!$B$9,Paramètres!$A$1:$I$89,3,0)*0.475*44/12</f>
        <v>8.22002406381095</v>
      </c>
      <c r="AB44" s="129" t="n">
        <f aca="false">EXP(-LN(2)/2)*AB43+(1-EXP(-LN(2)/2))/(LN(2)/2)*V44*Y44*VLOOKUP('Données projet'!$B$9,Paramètres!$A$1:$I$89,3,0)*0.475*44/12</f>
        <v>0.244020973418869</v>
      </c>
      <c r="AC44" s="130" t="n">
        <f aca="false">SUM(Z44:AB44)</f>
        <v>15.7635441057643</v>
      </c>
      <c r="AD44" s="117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7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8" t="e">
        <f aca="false">VLOOKUP(A44,'Données projet'!$A$61:$I$81,2,0)</f>
        <v>#N/A</v>
      </c>
      <c r="AG44" s="118" t="e">
        <f aca="false">VLOOKUP(A44,'Données projet'!$A$61:$I$81,9,0)</f>
        <v>#N/A</v>
      </c>
      <c r="AH44" s="118" t="n">
        <f aca="false" t="array" ref="AH44:AH44">INDEX(AG:AG,MIN(IF(ISNUMBER(AG44:AG240),ROW(AG44:AG240),"")))</f>
        <v>20.6</v>
      </c>
      <c r="AI44" s="117" t="n">
        <f aca="false">IF('Données projet'!$A$62&gt;35,AI43+AH44-AQ43,IF(A44&lt;'Données projet'!$A$62,$AF$205^A44,IF(A44='Données projet'!$A$62,'Données projet'!$B$62,AI43+AH44-AQ43)))</f>
        <v>443.6</v>
      </c>
      <c r="AJ44" s="117" t="n">
        <f aca="false">AI44*VLOOKUP('Données projet'!$B$10,Paramètres!$A$1:$I$89,3,0)*VLOOKUP('Données projet'!$B$10,Paramètres!$A$1:$I$89,5,0)</f>
        <v>247.9724</v>
      </c>
      <c r="AK44" s="117" t="n">
        <f aca="false">EXP(-1.0587+0.8836*LN(AJ44)+0.284)</f>
        <v>60.1515552638792</v>
      </c>
      <c r="AL44" s="128" t="n">
        <f aca="false">(AJ44+AK44)*0.475*44/12</f>
        <v>536.64922208459</v>
      </c>
      <c r="AM44" s="120" t="n">
        <f aca="false">AL44+(AD44+AE44)*44/12</f>
        <v>829.982555417923</v>
      </c>
      <c r="AN44" s="120" t="n">
        <f aca="true">AVERAGE(OFFSET($AM$3,0,0,'Données projet'!$E$10+1,1))-AVERAGE(OFFSET($H$3,0,0,'Données projet'!$E$10+1,1))</f>
        <v>365.705101827279</v>
      </c>
      <c r="AO44" s="120" t="n">
        <f aca="false">$AO$3</f>
        <v>436.238338449625</v>
      </c>
      <c r="AP44" s="121" t="n">
        <f aca="false">IF(ISNA(VLOOKUP(A44,'Données projet'!$A$61:$I$81,3,0)),0,VLOOKUP(A44,'Données projet'!$A$61:$I$81,3,0))</f>
        <v>0</v>
      </c>
      <c r="AQ44" s="121" t="n">
        <f aca="false">IF(ISNA(VLOOKUP(A44,'Données projet'!$A$61:$I$81,4,0)),0,VLOOKUP(A44,'Données projet'!$A$61:$I$81,4,0))</f>
        <v>0</v>
      </c>
      <c r="AR44" s="122" t="n">
        <f aca="false">IF(ISNA(VLOOKUP(A44,'Données projet'!$A$61:$I$81,5,0)),0%,VLOOKUP(A44,'Données projet'!$A$61:$I$81,5,0)*VLOOKUP('Données projet'!$B$10,Paramètres!$A$1:$I$89,7,0))</f>
        <v>0</v>
      </c>
      <c r="AS44" s="122" t="n">
        <f aca="false">IF(ISNA(VLOOKUP(A44,'Données projet'!$A$61:$I$81,6,0)),0%,VLOOKUP(A44,'Données projet'!$A$61:$I$81,6,0)*VLOOKUP('Données projet'!$B$10,Paramètres!$A$1:$I$89,7,0))</f>
        <v>0</v>
      </c>
      <c r="AT44" s="122" t="n">
        <f aca="false">IF(ISNA(VLOOKUP(A44,'Données projet'!$A$61:$I$81,7,0)),0%,VLOOKUP(A44,'Données projet'!$A$61:$I$81,7,0))</f>
        <v>0</v>
      </c>
      <c r="AU44" s="129" t="n">
        <f aca="false">EXP(-LN(2)/35)*AU43+(1-EXP(-LN(2)/35))/(LN(2)/35)*AQ44*AR44*VLOOKUP('Données projet'!$B$10,Paramètres!$A$1:$I$89,3,0)*0.475*44/12</f>
        <v>2.75532423832214</v>
      </c>
      <c r="AV44" s="129" t="n">
        <f aca="false">EXP(-LN(2)/25)*AV43+(1-EXP(-LN(2)/25))/(LN(2)/25)*Calculateur!AQ44*Calculateur!AS44*VLOOKUP('Données projet'!$B$10,Paramètres!$A$1:$I$89,3,0)*0.475*44/12</f>
        <v>9.73617404789472</v>
      </c>
      <c r="AW44" s="129" t="n">
        <f aca="false">EXP(-LN(2)/2)*AW43+(1-EXP(-LN(2)/2))/(LN(2)/2)*AQ44*AT44*VLOOKUP('Données projet'!$B$10,Paramètres!$A$1:$I$89,3,0)*0.475*44/12</f>
        <v>0.131324461077663</v>
      </c>
      <c r="AX44" s="129" t="n">
        <f aca="false">SUM(AU44:AW44)</f>
        <v>12.6228227472945</v>
      </c>
      <c r="AY44" s="124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8" t="e">
        <f aca="false">VLOOKUP(A44,'Données projet'!$A$87:$I$107,2,0)</f>
        <v>#N/A</v>
      </c>
      <c r="BB44" s="118" t="e">
        <f aca="false">VLOOKUP(A44,'Données projet'!$A$87:$I$107,9,0)</f>
        <v>#N/A</v>
      </c>
      <c r="BC44" s="118" t="n">
        <f aca="false" t="array" ref="BC44:BC44">INDEX(BB:BB,MIN(IF(ISNUMBER(BB44:BB240),ROW(BB44:BB240),"")))</f>
        <v>9.8</v>
      </c>
      <c r="BD44" s="118" t="n">
        <f aca="false">IF('Données projet'!$A$88&gt;35,BD43+BC44-BL43,IF(A44&lt;'Données projet'!$A$88,$BA$205^A44,IF(A44='Données projet'!$A$88,'Données projet'!$B$88,BD43+BC44-BL43)))</f>
        <v>183.8</v>
      </c>
      <c r="BE44" s="117" t="n">
        <f aca="false">BD44*VLOOKUP('Données projet'!$B$11,Paramètres!$A$1:$I$89,3,0)*VLOOKUP('Données projet'!$B$11,Paramètres!$A$1:$I$89,5,0)</f>
        <v>160.56768</v>
      </c>
      <c r="BF44" s="117" t="n">
        <f aca="false">EXP(-1.0587+0.8836*LN(BE44)+0.284)</f>
        <v>40.9705308103099</v>
      </c>
      <c r="BG44" s="128" t="n">
        <f aca="false">(BE44+BF44)*0.475*44/12</f>
        <v>351.012383827956</v>
      </c>
      <c r="BH44" s="120" t="n">
        <f aca="false">BG44+(AY44+AZ44)*44/12</f>
        <v>644.34571716129</v>
      </c>
      <c r="BI44" s="120" t="n">
        <f aca="true">AVERAGE(OFFSET($BH$3,0,0,'Données projet'!$E$11+1,1))-AVERAGE(OFFSET($H$3,0,0,'Données projet'!$E$11+1,1))</f>
        <v>321.235999689929</v>
      </c>
      <c r="BJ44" s="120" t="n">
        <f aca="false">$BJ$3</f>
        <v>388.051958478005</v>
      </c>
      <c r="BK44" s="121" t="n">
        <f aca="false">IF(ISNA(VLOOKUP(A44,'Données projet'!$A$87:$I$107,3,0)),0,VLOOKUP(A44,'Données projet'!$A$87:$I$107,3,0))</f>
        <v>0</v>
      </c>
      <c r="BL44" s="121" t="n">
        <f aca="false">IF(ISNA(VLOOKUP(A44,'Données projet'!$A$87:$I$107,4,0)),0,VLOOKUP(A44,'Données projet'!$A$87:$I$107,4,0))</f>
        <v>0</v>
      </c>
      <c r="BM44" s="122" t="n">
        <f aca="false">IF(ISNA(VLOOKUP(A44,'Données projet'!$A$87:$I$107,5,0)),0%,VLOOKUP(A44,'Données projet'!$A$87:$I$107,5,0)*VLOOKUP('Données projet'!$B$11,Paramètres!$A$1:$I$89,7,0))</f>
        <v>0</v>
      </c>
      <c r="BN44" s="122" t="n">
        <f aca="false">IF(ISNA(VLOOKUP(A44,'Données projet'!$A$87:$I$107,6,0)),0%,VLOOKUP(A44,'Données projet'!$A$87:$I$107,6,0)*VLOOKUP('Données projet'!$B$11,Paramètres!$A$1:$I$89,7,0))</f>
        <v>0</v>
      </c>
      <c r="BO44" s="122" t="n">
        <f aca="false">IF(ISNA(VLOOKUP(A44,'Données projet'!$A$87:$I$107,7,0)),0%,VLOOKUP(A44,'Données projet'!$A$87:$I$107,7,0))</f>
        <v>0</v>
      </c>
      <c r="BP44" s="129" t="n">
        <f aca="false">EXP(-LN(2)/35)*BP43+(1-EXP(-LN(2)/35))/(LN(2)/35)*BL44*BM44*VLOOKUP('Données projet'!$B$11,Paramètres!$A$1:$I$89,3,0)*0.475*44/12</f>
        <v>6.91757586427912</v>
      </c>
      <c r="BQ44" s="129" t="n">
        <f aca="false">EXP(-LN(2)/25)*BQ43+(1-EXP(-LN(2)/25))/(LN(2)/25)*Calculateur!BL44*Calculateur!BN44*VLOOKUP('Données projet'!$B$11,Paramètres!$A$1:$I$89,3,0)*0.475*44/12</f>
        <v>9.93810817510663</v>
      </c>
      <c r="BR44" s="129" t="n">
        <f aca="false">EXP(-LN(2)/2)*BR43+(1-EXP(-LN(2)/2))/(LN(2)/2)*BL44*BO44*VLOOKUP('Données projet'!$B$11,Paramètres!$A$1:$I$89,3,0)*0.475*44/12</f>
        <v>0.133488585061141</v>
      </c>
      <c r="BS44" s="130" t="n">
        <f aca="false">SUM(BP44:BR44)</f>
        <v>16.9891726244469</v>
      </c>
      <c r="BT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8" t="e">
        <f aca="false">VLOOKUP(A44,'Données projet'!$A$113:$I$133,2,0)</f>
        <v>#N/A</v>
      </c>
      <c r="BW44" s="118" t="e">
        <f aca="false">VLOOKUP(A44,'Données projet'!$A$113:$I$133,9,0)</f>
        <v>#N/A</v>
      </c>
      <c r="BX44" s="118" t="n">
        <f aca="false" t="array" ref="BX44:BX44">INDEX(BW:BW,MIN(IF(ISNUMBER(BW44:BW240),ROW(BW44:BW240),"")))</f>
        <v>11.5</v>
      </c>
      <c r="BY44" s="118" t="n">
        <f aca="false">IF('Données projet'!$A$114&gt;35,BY43+BX44-CG43,IF(A44&lt;'Données projet'!$A$114,$BV$205^A44,IF(A44='Données projet'!$A$114,'Données projet'!$B$114,BY43+BX44-CG43)))</f>
        <v>243.5</v>
      </c>
      <c r="BZ44" s="117" t="n">
        <f aca="false">BY44*VLOOKUP('Données projet'!$B$12,Paramètres!$A$1:$I$89,3,0)*VLOOKUP('Données projet'!$B$12,Paramètres!$A$1:$I$89,5,0)</f>
        <v>151.944</v>
      </c>
      <c r="CA44" s="117" t="n">
        <f aca="false">EXP(-1.0587+0.8836*LN(BZ44)+0.284)</f>
        <v>39.0200349697652</v>
      </c>
      <c r="CB44" s="128" t="n">
        <f aca="false">(BZ44+CA44)*0.475*44/12</f>
        <v>332.595694239008</v>
      </c>
      <c r="CC44" s="120" t="n">
        <f aca="false">CB44+(BT44+BU44)*44/12</f>
        <v>625.929027572341</v>
      </c>
      <c r="CD44" s="120" t="n">
        <f aca="true">AVERAGE(OFFSET($CC$3,0,0,'Données projet'!$E$12+1,1))-AVERAGE(OFFSET($H$3,0,0,'Données projet'!$E$12+1,1))</f>
        <v>240.228848647662</v>
      </c>
      <c r="CE44" s="120" t="n">
        <f aca="false">$CE$3</f>
        <v>343.237768841432</v>
      </c>
      <c r="CF44" s="121" t="n">
        <f aca="false">IF(ISNA(VLOOKUP(A44,'Données projet'!$A$113:$I$133,3,0)),0,VLOOKUP(A44,'Données projet'!$A$113:$I$133,3,0))</f>
        <v>0</v>
      </c>
      <c r="CG44" s="121" t="n">
        <f aca="false">IF(ISNA(VLOOKUP(A44,'Données projet'!$A$113:$I$133,4,0)),0,VLOOKUP(A44,'Données projet'!$A$113:$I$133,4,0))</f>
        <v>0</v>
      </c>
      <c r="CH44" s="122" t="n">
        <f aca="false">IF(ISNA(VLOOKUP(A44,'Données projet'!$A$113:$I$133,5,0)),0%,VLOOKUP(A44,'Données projet'!$A$113:$I$133,5,0)*VLOOKUP('Données projet'!$B$12,Paramètres!$A$1:$I$89,7,0))</f>
        <v>0</v>
      </c>
      <c r="CI44" s="122" t="n">
        <f aca="false">IF(ISNA(VLOOKUP(A44,'Données projet'!$A$113:$I$133,6,0)),0%,VLOOKUP(A44,'Données projet'!$A$113:$I$133,6,0)*VLOOKUP('Données projet'!$B$12,Paramètres!$A$1:$I$89,7,0))</f>
        <v>0</v>
      </c>
      <c r="CJ44" s="122" t="n">
        <f aca="false">IF(ISNA(VLOOKUP(A44,'Données projet'!$A$113:$I$133,7,0)),0%,VLOOKUP(A44,'Données projet'!$A$113:$I$133,7,0))</f>
        <v>0</v>
      </c>
      <c r="CK44" s="129" t="n">
        <f aca="false">EXP(-LN(2)/35)*CK43+(1-EXP(-LN(2)/35))/(LN(2)/35)*CG44*CH44*VLOOKUP('Données projet'!$B$12,Paramètres!$A$1:$I$89,3,0)*0.475*44/12</f>
        <v>4.23409535626187</v>
      </c>
      <c r="CL44" s="129" t="n">
        <f aca="false">EXP(-LN(2)/25)*CL43+(1-EXP(-LN(2)/25))/(LN(2)/25)*Calculateur!CG44*Calculateur!CI44*VLOOKUP('Données projet'!$B$12,Paramètres!$A$1:$I$89,3,0)*0.475*44/12</f>
        <v>17.5512743531944</v>
      </c>
      <c r="CM44" s="129" t="n">
        <f aca="false">EXP(-LN(2)/2)*CM43+(1-EXP(-LN(2)/2))/(LN(2)/2)*CG44*CJ44*VLOOKUP('Données projet'!$B$12,Paramètres!$A$1:$I$89,3,0)*0.475*44/12</f>
        <v>0.213012193721202</v>
      </c>
      <c r="CN44" s="130" t="n">
        <f aca="false">SUM(CK44:CM44)</f>
        <v>21.9983819031775</v>
      </c>
      <c r="CO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8" t="e">
        <f aca="false">VLOOKUP(A44,'Données projet'!$A$139:$I$159,2,0)</f>
        <v>#N/A</v>
      </c>
      <c r="CR44" s="118" t="e">
        <f aca="false">VLOOKUP(A44,'Données projet'!$A$139:$I$159,9,0)</f>
        <v>#N/A</v>
      </c>
      <c r="CS44" s="118" t="n">
        <f aca="false" t="array" ref="CS44:CS44">INDEX(CR:CR,MIN(IF(ISNUMBER(CR44:CR240),ROW(CR44:CR240),"")))</f>
        <v>14</v>
      </c>
      <c r="CT44" s="118" t="n">
        <f aca="false">IF('Données projet'!$A$140&gt;35,CT43+CS44-DB43,IF(A44&lt;'Données projet'!$A$140,$CQ$205^A44,IF(A44='Données projet'!$A$140,'Données projet'!$B$140,CT43+CS44-DB43)))</f>
        <v>264</v>
      </c>
      <c r="CU44" s="125" t="n">
        <f aca="false">CT44*VLOOKUP('Données projet'!$B$13,Paramètres!$A$1:$I$89,3,0)*VLOOKUP('Données projet'!$B$13,Paramètres!$A$1:$I$89,5,0)</f>
        <v>144.144</v>
      </c>
      <c r="CV44" s="117" t="n">
        <f aca="false">EXP(-1.0587+0.8836*LN(CU44)+0.284)</f>
        <v>37.2447200069762</v>
      </c>
      <c r="CW44" s="128" t="n">
        <f aca="false">(CU44+CV44)*0.475*44/12</f>
        <v>315.918687345483</v>
      </c>
      <c r="CX44" s="120" t="n">
        <f aca="false">CW44+(CO44+CP44)*44/12</f>
        <v>609.252020678817</v>
      </c>
      <c r="CY44" s="120" t="n">
        <f aca="true">AVERAGE(OFFSET($CX$3,0,0,'Données projet'!$E$13+1,1))-AVERAGE(OFFSET($H$3,0,0,'Données projet'!$E$13+1,1))</f>
        <v>207.023069645676</v>
      </c>
      <c r="CZ44" s="120" t="n">
        <f aca="false">$CZ$3</f>
        <v>342.068879333518</v>
      </c>
      <c r="DA44" s="121" t="n">
        <f aca="false">IF(ISNA(VLOOKUP(A44,'Données projet'!$A$139:$I$159,3,0)),0,VLOOKUP(A44,'Données projet'!$A$139:$I$159,3,0))</f>
        <v>0</v>
      </c>
      <c r="DB44" s="121" t="n">
        <f aca="false">IF(ISNA(VLOOKUP(A44,'Données projet'!$A$139:$I$159,4,0)),0,VLOOKUP(A44,'Données projet'!$A$139:$I$159,4,0))</f>
        <v>0</v>
      </c>
      <c r="DC44" s="122" t="n">
        <f aca="false">IF(ISNA(VLOOKUP(A44,'Données projet'!$A$139:$I$159,5,0)),0%,VLOOKUP(A44,'Données projet'!$A$139:$I$159,5,0)*VLOOKUP('Données projet'!$B$13,Paramètres!$A$1:$I$89,7,0))</f>
        <v>0</v>
      </c>
      <c r="DD44" s="122" t="n">
        <f aca="false">IF(ISNA(VLOOKUP(A44,'Données projet'!$A$139:$I$159,6,0)),0%,VLOOKUP(A44,'Données projet'!$A$139:$I$159,6,0)*VLOOKUP('Données projet'!$B$13,Paramètres!$A$1:$I$89,7,0))</f>
        <v>0</v>
      </c>
      <c r="DE44" s="122" t="n">
        <f aca="false">IF(ISNA(VLOOKUP(A44,'Données projet'!$A$139:$I$159,7,0)),0%,VLOOKUP(A44,'Données projet'!$A$139:$I$159,7,0))</f>
        <v>0</v>
      </c>
      <c r="DF44" s="129" t="n">
        <f aca="false">EXP(-LN(2)/35)*DF43+(1-EXP(-LN(2)/35))/(LN(2)/35)*DB44*DC44*VLOOKUP('Données projet'!$B$13,Paramètres!$A$1:$I$89,3,0)*0.475*44/12</f>
        <v>5.31259134323424</v>
      </c>
      <c r="DG44" s="129" t="n">
        <f aca="false">EXP(-LN(2)/25)*DG43+(1-EXP(-LN(2)/25))/(LN(2)/25)*Calculateur!DB44*Calculateur!DD44*VLOOKUP('Données projet'!$B$13,Paramètres!$A$1:$I$89,3,0)*0.475*44/12</f>
        <v>28.6890236578135</v>
      </c>
      <c r="DH44" s="129" t="n">
        <f aca="false">EXP(-LN(2)/2)*DH43+(1-EXP(-LN(2)/2))/(LN(2)/2)*DB44*DE44*VLOOKUP('Données projet'!$B$13,Paramètres!$A$1:$I$89,3,0)*0.475*44/12</f>
        <v>0.293317889511914</v>
      </c>
      <c r="DI44" s="130" t="n">
        <f aca="false">SUM(DF44:DH44)</f>
        <v>34.2949328905596</v>
      </c>
      <c r="DJ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8" t="e">
        <f aca="false">VLOOKUP(A44,'Données projet'!$A$165:$I$185,2,0)</f>
        <v>#N/A</v>
      </c>
      <c r="DM44" s="118" t="e">
        <f aca="false">VLOOKUP(A44,'Données projet'!$A$165:$I$185,9,0)</f>
        <v>#N/A</v>
      </c>
      <c r="DN44" s="118" t="n">
        <f aca="false" t="array" ref="DN44:DN44">INDEX(DM:DM,MIN(IF(ISNUMBER(DM44:DM240),ROW(DM44:DM240),"")))</f>
        <v>359.833333333333</v>
      </c>
      <c r="DO44" s="118" t="n">
        <f aca="false">IF('Données projet'!$A$166&gt;35,DO43+DN44-DW43,IF(A44&lt;'Données projet'!$A$166,$DL$205^A44,IF(A44='Données projet'!$A$166,'Données projet'!$B$166,DO43+DN44-DW43)))</f>
        <v>593.833333333333</v>
      </c>
      <c r="DP44" s="125" t="n">
        <f aca="false">DO44*VLOOKUP('Données projet'!$B$14,Paramètres!$A$1:$I$89,3,0)*VLOOKUP('Données projet'!$B$14,Paramètres!$A$1:$I$89,5,0)</f>
        <v>355.112333333333</v>
      </c>
      <c r="DQ44" s="117" t="n">
        <f aca="false">EXP(-1.0587+0.8836*LN(DP44)+0.284)</f>
        <v>82.6143036988154</v>
      </c>
      <c r="DR44" s="128" t="n">
        <f aca="false">(DP44+DQ44)*0.475*44/12</f>
        <v>762.373892830993</v>
      </c>
      <c r="DS44" s="120" t="n">
        <f aca="false">DR44+(DJ44+DK44)*44/12</f>
        <v>1055.70722616433</v>
      </c>
      <c r="DT44" s="120" t="n">
        <f aca="true">AVERAGE(OFFSET($DS$3,0,0,'Données projet'!$E$14+1,1))-AVERAGE(OFFSET($H$3,0,0,'Données projet'!$E$14+1,1))</f>
        <v>549.432320957297</v>
      </c>
      <c r="DU44" s="120" t="n">
        <f aca="false">$DU$3</f>
        <v>280.26155987301</v>
      </c>
      <c r="DV44" s="121" t="n">
        <f aca="false">IF(ISNA(VLOOKUP(A44,'Données projet'!$A$165:$I$185,3,0)),0,VLOOKUP(A44,'Données projet'!$A$165:$I$185,3,0))</f>
        <v>0</v>
      </c>
      <c r="DW44" s="121" t="n">
        <f aca="false">IF(ISNA(VLOOKUP(A44,'Données projet'!$A$165:$I$185,4,0)),0,VLOOKUP(A44,'Données projet'!$A$165:$I$185,4,0))</f>
        <v>0</v>
      </c>
      <c r="DX44" s="122" t="n">
        <f aca="false">IF(ISNA(VLOOKUP(A44,'Données projet'!$A$165:$I$185,5,0)),0%,VLOOKUP(A44,'Données projet'!$A$165:$I$185,5,0)*VLOOKUP('Données projet'!$B$14,Paramètres!$A$1:$I$89,7,0))</f>
        <v>0</v>
      </c>
      <c r="DY44" s="122" t="n">
        <f aca="false">IF(ISNA(VLOOKUP(A44,'Données projet'!$A$165:$I$185,6,0)),0%,VLOOKUP(A44,'Données projet'!$A$165:$I$185,6,0)*VLOOKUP('Données projet'!$B$14,Paramètres!$A$1:$I$89,7,0))</f>
        <v>0</v>
      </c>
      <c r="DZ44" s="122" t="n">
        <f aca="false">IF(ISNA(VLOOKUP(A44,'Données projet'!$A$165:$I$185,7,0)),0%,VLOOKUP(A44,'Données projet'!$A$165:$I$185,7,0))</f>
        <v>0</v>
      </c>
      <c r="EA44" s="129" t="n">
        <f aca="false">EXP(-LN(2)/35)*EA43+(1-EXP(-LN(2)/35))/(LN(2)/35)*DW44*DX44*VLOOKUP('Données projet'!$B$14,Paramètres!$A$1:$I$89,3,0)*0.475*44/12</f>
        <v>1.93165228862783</v>
      </c>
      <c r="EB44" s="129" t="n">
        <f aca="false">EXP(-LN(2)/25)*EB43+(1-EXP(-LN(2)/25))/(LN(2)/25)*Calculateur!DW44*Calculateur!DY44*VLOOKUP('Données projet'!$B$14,Paramètres!$A$1:$I$89,3,0)*0.475*44/12</f>
        <v>5.71541953712461</v>
      </c>
      <c r="EC44" s="129" t="n">
        <f aca="false">EXP(-LN(2)/2)*EC43+(1-EXP(-LN(2)/2))/(LN(2)/2)*DW44*DZ44*VLOOKUP('Données projet'!$B$14,Paramètres!$A$1:$I$89,3,0)*0.475*44/12</f>
        <v>0.135213500840785</v>
      </c>
      <c r="ED44" s="130" t="n">
        <f aca="false">SUM(EA44:EC44)</f>
        <v>7.78228532659323</v>
      </c>
      <c r="EE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8" t="e">
        <f aca="false">VLOOKUP(A44,'Données projet'!$A$191:$I$211,2,0)</f>
        <v>#N/A</v>
      </c>
      <c r="EH44" s="118" t="e">
        <f aca="false">VLOOKUP(A44,'Données projet'!$A$191:$I$211,9,0)</f>
        <v>#N/A</v>
      </c>
      <c r="EI44" s="118" t="n">
        <f aca="false" t="array" ref="EI44:EI44">INDEX(EH:EH,MIN(IF(ISNUMBER(EH44:EH240),ROW(EH44:EH240),"")))</f>
        <v>0</v>
      </c>
      <c r="EJ44" s="118" t="n">
        <f aca="false">IF('Données projet'!$A$192&gt;35,EJ43+EI44-ER43,IF(A44&lt;'Données projet'!$A$192,$EG$205^A44,IF(A44='Données projet'!$A$192,'Données projet'!$B$192,EJ43+EI44-ER43)))</f>
        <v>0</v>
      </c>
      <c r="EK44" s="125" t="e">
        <f aca="false">EJ44*VLOOKUP('Données projet'!$B$15,Paramètres!$A$1:$I$89,3,0)*VLOOKUP('Données projet'!$B$15,Paramètres!$A$1:$I$89,5,0)</f>
        <v>#N/A</v>
      </c>
      <c r="EL44" s="117" t="e">
        <f aca="false">EXP(-1.0587+0.8836*LN(EK44)+0.284)</f>
        <v>#N/A</v>
      </c>
      <c r="EM44" s="128" t="e">
        <f aca="false">(EK44+EL44)*0.475*44/12</f>
        <v>#N/A</v>
      </c>
      <c r="EN44" s="120" t="e">
        <f aca="false">EM44+(EE44+EF44)*44/12</f>
        <v>#N/A</v>
      </c>
      <c r="EO44" s="120" t="e">
        <f aca="true">AVERAGE(OFFSET($EN$3,0,0,'Données projet'!$E$15+1,1))-AVERAGE(OFFSET($H$3,0,0,'Données projet'!$E$15+1,1))</f>
        <v>#N/A</v>
      </c>
      <c r="EP44" s="120" t="e">
        <f aca="false">$EP$3</f>
        <v>#N/A</v>
      </c>
      <c r="EQ44" s="121" t="n">
        <f aca="false">IF(ISNA(VLOOKUP(A44,'Données projet'!$A$191:$I$211,3,0)),0,VLOOKUP(A44,'Données projet'!$A$191:$I$211,3,0))</f>
        <v>0</v>
      </c>
      <c r="ER44" s="121" t="n">
        <f aca="false">IF(ISNA(VLOOKUP(A44,'Données projet'!$A$191:$I$211,4,0)),0,VLOOKUP(A44,'Données projet'!$A$191:$I$211,4,0))</f>
        <v>0</v>
      </c>
      <c r="ES44" s="122" t="n">
        <f aca="false">IF(ISNA(VLOOKUP(A44,'Données projet'!$A$191:$I$211,5,0)),0%,VLOOKUP(A44,'Données projet'!$A$191:$I$211,5,0)*VLOOKUP('Données projet'!$B$15,Paramètres!$A$1:$I$89,7,0))</f>
        <v>0</v>
      </c>
      <c r="ET44" s="122" t="n">
        <f aca="false">IF(ISNA(VLOOKUP(A44,'Données projet'!$A$191:$I$211,6,0)),0%,VLOOKUP(A44,'Données projet'!$A$191:$I$211,6,0)*VLOOKUP('Données projet'!$B$15,Paramètres!$A$1:$I$89,7,0))</f>
        <v>0</v>
      </c>
      <c r="EU44" s="122" t="n">
        <f aca="false">IF(ISNA(VLOOKUP(A44,'Données projet'!$A$191:$I$211,7,0)),0%,VLOOKUP(A44,'Données projet'!$A$191:$I$211,7,0))</f>
        <v>0</v>
      </c>
      <c r="EV44" s="129" t="e">
        <f aca="false">EXP(-LN(2)/35)*EV43+(1-EXP(-LN(2)/35))/(LN(2)/35)*ER44*ES44*VLOOKUP('Données projet'!$B$15,Paramètres!$A$1:$I$89,3,0)*0.475*44/12</f>
        <v>#N/A</v>
      </c>
      <c r="EW44" s="129" t="e">
        <f aca="false">EXP(-LN(2)/25)*EW43+(1-EXP(-LN(2)/25))/(LN(2)/25)*Calculateur!ER44*Calculateur!ET44*VLOOKUP('Données projet'!$B$15,Paramètres!$A$1:$I$89,3,0)*0.475*44/12</f>
        <v>#N/A</v>
      </c>
      <c r="EX44" s="129" t="e">
        <f aca="false">EXP(-LN(2)/2)*EX43+(1-EXP(-LN(2)/2))/(LN(2)/2)*ER44*EU44*VLOOKUP('Données projet'!$B$15,Paramètres!$A$1:$I$89,3,0)*0.475*44/12</f>
        <v>#N/A</v>
      </c>
      <c r="EY44" s="130" t="e">
        <f aca="false">SUM(EV44:EX44)</f>
        <v>#N/A</v>
      </c>
      <c r="EZ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8" t="e">
        <f aca="false">VLOOKUP(A44,'Données projet'!$A$217:$I$237,2,0)</f>
        <v>#N/A</v>
      </c>
      <c r="FC44" s="118" t="e">
        <f aca="false">VLOOKUP(A44,'Données projet'!$A$217:$I$237,9,0)</f>
        <v>#N/A</v>
      </c>
      <c r="FD44" s="118" t="n">
        <f aca="false" t="array" ref="FD44:FD44">INDEX(FC:FC,MIN(IF(ISNUMBER(FC44:FC240),ROW(FC44:FC240),"")))</f>
        <v>0</v>
      </c>
      <c r="FE44" s="118" t="n">
        <f aca="false">IF('Données projet'!$A$218&gt;35,FE43+FD44-FM43,IF(A44&lt;'Données projet'!$A$218,$FB$205^A44,IF(A44='Données projet'!$A$218,'Données projet'!$B$218,FE43+FD44-FM43)))</f>
        <v>0</v>
      </c>
      <c r="FF44" s="125" t="e">
        <f aca="false">FE44*VLOOKUP('Données projet'!$B$16,Paramètres!$A$1:$I$89,3,0)*VLOOKUP('Données projet'!$B$16,Paramètres!$A$1:$I$89,5,0)</f>
        <v>#N/A</v>
      </c>
      <c r="FG44" s="117" t="e">
        <f aca="false">EXP(-1.0587+0.8836*LN(FF44)+0.284)</f>
        <v>#N/A</v>
      </c>
      <c r="FH44" s="128" t="e">
        <f aca="false">(FF44+FG44)*0.475*44/12</f>
        <v>#N/A</v>
      </c>
      <c r="FI44" s="120" t="e">
        <f aca="false">FH44+(EZ44+FA44)*44/12</f>
        <v>#N/A</v>
      </c>
      <c r="FJ44" s="120" t="e">
        <f aca="true">AVERAGE(OFFSET($FI$3,0,0,'Données projet'!$E$16+1,1))-AVERAGE(OFFSET($H$3,0,0,'Données projet'!$E$16+1,1))</f>
        <v>#N/A</v>
      </c>
      <c r="FK44" s="120" t="e">
        <f aca="false">$FK$3</f>
        <v>#N/A</v>
      </c>
      <c r="FL44" s="121" t="n">
        <f aca="false">IF(ISNA(VLOOKUP(A44,'Données projet'!$A$217:$I$237,3,0)),0,VLOOKUP(A44,'Données projet'!$A$217:$I$237,3,0))</f>
        <v>0</v>
      </c>
      <c r="FM44" s="121" t="n">
        <f aca="false">IF(ISNA(VLOOKUP(A44,'Données projet'!$A$217:$I$237,4,0)),0,VLOOKUP(A44,'Données projet'!$A$217:$I$237,4,0))</f>
        <v>0</v>
      </c>
      <c r="FN44" s="122" t="n">
        <f aca="false">IF(ISNA(VLOOKUP(A44,'Données projet'!$A$217:$I$237,5,0)),0%,VLOOKUP(A44,'Données projet'!$A$217:$I$237,5,0)*VLOOKUP('Données projet'!$B$16,Paramètres!$A$1:$I$89,7,0))</f>
        <v>0</v>
      </c>
      <c r="FO44" s="122" t="n">
        <f aca="false">IF(ISNA(VLOOKUP(A44,'Données projet'!$A$217:$I$237,6,0)),0%,VLOOKUP(A44,'Données projet'!$A$217:$I$237,6,0)*VLOOKUP('Données projet'!$B$16,Paramètres!$A$1:$I$89,7,0))</f>
        <v>0</v>
      </c>
      <c r="FP44" s="122" t="n">
        <f aca="false">IF(ISNA(VLOOKUP(A44,'Données projet'!$A$217:$I$237,7,0)),0%,VLOOKUP(A44,'Données projet'!$A$217:$I$237,7,0))</f>
        <v>0</v>
      </c>
      <c r="FQ44" s="129" t="e">
        <f aca="false">EXP(-LN(2)/35)*FQ43+(1-EXP(-LN(2)/35))/(LN(2)/35)*FM44*FN44*VLOOKUP('Données projet'!$B$16,Paramètres!$A$1:$I$89,3,0)*0.475*44/12</f>
        <v>#N/A</v>
      </c>
      <c r="FR44" s="129" t="e">
        <f aca="false">EXP(-LN(2)/25)*FR43+(1-EXP(-LN(2)/25))/(LN(2)/25)*Calculateur!FM44*Calculateur!FO44*VLOOKUP('Données projet'!$B$16,Paramètres!$A$1:$I$89,3,0)*0.475*44/12</f>
        <v>#N/A</v>
      </c>
      <c r="FS44" s="129" t="e">
        <f aca="false">EXP(-LN(2)/2)*FS43+(1-EXP(-LN(2)/2))/(LN(2)/2)*FM44*FP44*VLOOKUP('Données projet'!$B$16,Paramètres!$A$1:$I$89,3,0)*0.475*44/12</f>
        <v>#N/A</v>
      </c>
      <c r="FT44" s="130" t="e">
        <f aca="false">SUM(FQ44:FS44)</f>
        <v>#N/A</v>
      </c>
      <c r="FU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8" t="e">
        <f aca="false">VLOOKUP(A44,'Données projet'!$A$243:$I$263,2,0)</f>
        <v>#N/A</v>
      </c>
      <c r="FX44" s="118" t="e">
        <f aca="false">VLOOKUP(A44,'Données projet'!$A$243:$I$263,9,0)</f>
        <v>#N/A</v>
      </c>
      <c r="FY44" s="118" t="n">
        <f aca="false" t="array" ref="FY44:FY44">INDEX(FX:FX,MIN(IF(ISNUMBER(FX44:FX240),ROW(FX44:FX240),"")))</f>
        <v>0</v>
      </c>
      <c r="FZ44" s="118" t="n">
        <f aca="false">IF('Données projet'!$A$244&gt;35,FZ43+FY44-GH43,IF(A44&lt;'Données projet'!$A$244,$FW$205^A44,IF(A44='Données projet'!$A$244,'Données projet'!$B$244,FZ43+FY44-GH43)))</f>
        <v>0</v>
      </c>
      <c r="GA44" s="125" t="e">
        <f aca="false">FZ44*VLOOKUP('Données projet'!$B$17,Paramètres!$A$1:$I$89,3,0)*VLOOKUP('Données projet'!$B$17,Paramètres!$A$1:$I$89,5,0)</f>
        <v>#N/A</v>
      </c>
      <c r="GB44" s="117" t="e">
        <f aca="false">EXP(-1.0587+0.8836*LN(GA44)+0.284)</f>
        <v>#N/A</v>
      </c>
      <c r="GC44" s="128" t="e">
        <f aca="false">(GA44+GB44)*0.475*44/12</f>
        <v>#N/A</v>
      </c>
      <c r="GD44" s="120" t="e">
        <f aca="false">GC44+(FU44+FV44)*44/12</f>
        <v>#N/A</v>
      </c>
      <c r="GE44" s="120" t="e">
        <f aca="true">AVERAGE(OFFSET($GD$3,0,0,'Données projet'!$E$17+1,1))-AVERAGE(OFFSET($H$3,0,0,'Données projet'!$E$17+1,1))</f>
        <v>#N/A</v>
      </c>
      <c r="GF44" s="120" t="e">
        <f aca="false">$GF$3</f>
        <v>#N/A</v>
      </c>
      <c r="GG44" s="121" t="n">
        <f aca="false">IF(ISNA(VLOOKUP(A44,'Données projet'!$A$243:$I$263,3,0)),0,VLOOKUP(A44,'Données projet'!$A$243:$I$263,3,0))</f>
        <v>0</v>
      </c>
      <c r="GH44" s="121" t="n">
        <f aca="false">IF(ISNA(VLOOKUP(A44,'Données projet'!$A$243:$I$263,4,0)),0,VLOOKUP(A44,'Données projet'!$A$243:$I$263,4,0))</f>
        <v>0</v>
      </c>
      <c r="GI44" s="122" t="n">
        <f aca="false">IF(ISNA(VLOOKUP(A44,'Données projet'!$A$243:$I$263,5,0)),0%,VLOOKUP(A44,'Données projet'!$A$243:$I$263,5,0)*VLOOKUP('Données projet'!$B$17,Paramètres!$A$1:$I$89,7,0))</f>
        <v>0</v>
      </c>
      <c r="GJ44" s="122" t="n">
        <f aca="false">IF(ISNA(VLOOKUP(A44,'Données projet'!$A$243:$I$263,6,0)),0%,VLOOKUP(A44,'Données projet'!$A$243:$I$263,6,0)*VLOOKUP('Données projet'!$B$17,Paramètres!$A$1:$I$89,7,0))</f>
        <v>0</v>
      </c>
      <c r="GK44" s="122" t="n">
        <f aca="false">IF(ISNA(VLOOKUP(A44,'Données projet'!$A$243:$I$263,7,0)),0%,VLOOKUP(A44,'Données projet'!$A$243:$I$263,7,0))</f>
        <v>0</v>
      </c>
      <c r="GL44" s="129" t="e">
        <f aca="false">EXP(-LN(2)/35)*GL43+(1-EXP(-LN(2)/35))/(LN(2)/35)*GH44*GI44*VLOOKUP('Données projet'!$B$17,Paramètres!$A$1:$I$89,3,0)*0.475*44/12</f>
        <v>#N/A</v>
      </c>
      <c r="GM44" s="129" t="e">
        <f aca="false">EXP(-LN(2)/25)*GM43+(1-EXP(-LN(2)/25))/(LN(2)/25)*Calculateur!GH44*Calculateur!GJ44*VLOOKUP('Données projet'!$B$17,Paramètres!$A$1:$I$89,3,0)*0.475*44/12</f>
        <v>#N/A</v>
      </c>
      <c r="GN44" s="129" t="e">
        <f aca="false">EXP(-LN(2)/2)*GN43+(1-EXP(-LN(2)/2))/(LN(2)/2)*GH44*GK44*VLOOKUP('Données projet'!$B$17,Paramètres!$A$1:$I$89,3,0)*0.475*44/12</f>
        <v>#N/A</v>
      </c>
      <c r="GO44" s="129" t="e">
        <f aca="false">SUM(GL44:GN44)</f>
        <v>#N/A</v>
      </c>
      <c r="GP44" s="126" t="n">
        <f aca="false"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8" t="n">
        <f aca="false"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8" t="e">
        <f aca="false">VLOOKUP(A44,'Données projet'!$A$269:$I$289,2,0)</f>
        <v>#N/A</v>
      </c>
      <c r="GS44" s="118" t="e">
        <f aca="false">VLOOKUP(A44,'Données projet'!$A$269:$I$289,9,0)</f>
        <v>#N/A</v>
      </c>
      <c r="GT44" s="118" t="n">
        <f aca="false" t="array" ref="GT44:GT44">INDEX(GS:GS,MIN(IF(ISNUMBER(GS44:GS240),ROW(GS44:GS240),"")))</f>
        <v>0</v>
      </c>
      <c r="GU44" s="118" t="n">
        <f aca="false">IF('Données projet'!$A$270&gt;35,GU43+GT44-HC43,IF(A44&lt;'Données projet'!$A$270,$GR$205^A44,IF(A44='Données projet'!$A$270,'Données projet'!$B$270,GU43+GT44-HC43)))</f>
        <v>0</v>
      </c>
      <c r="GV44" s="125" t="e">
        <f aca="false">GU44*VLOOKUP('Données projet'!$B$18,Paramètres!$A$1:$I$89,3,0)*VLOOKUP('Données projet'!$B$18,Paramètres!$A$1:$I$89,5,0)</f>
        <v>#N/A</v>
      </c>
      <c r="GW44" s="117" t="e">
        <f aca="false">EXP(-1.0587+0.8836*LN(GV44)+0.284)</f>
        <v>#N/A</v>
      </c>
      <c r="GX44" s="128" t="e">
        <f aca="false">(GV44+GW44)*0.475*44/12</f>
        <v>#N/A</v>
      </c>
      <c r="GY44" s="120" t="e">
        <f aca="false">GX44+(GP44+GQ44)*44/12</f>
        <v>#N/A</v>
      </c>
      <c r="GZ44" s="120" t="e">
        <f aca="true">AVERAGE(OFFSET($GY$3,0,0,'Données projet'!$E$18+1,1))-AVERAGE(OFFSET($H$3,0,0,'Données projet'!$E$18+1,1))</f>
        <v>#N/A</v>
      </c>
      <c r="HA44" s="120" t="e">
        <f aca="false">$HA$3</f>
        <v>#N/A</v>
      </c>
      <c r="HB44" s="121" t="n">
        <f aca="false">IF(ISNA(VLOOKUP(A44,'Données projet'!$A$269:$I$289,3,0)),0,VLOOKUP(A44,'Données projet'!$A$269:$I$289,3,0))</f>
        <v>0</v>
      </c>
      <c r="HC44" s="121" t="n">
        <f aca="false">IF(ISNA(VLOOKUP(A44,'Données projet'!$A$269:$I$289,4,0)),0,VLOOKUP(A44,'Données projet'!$A$269:$I$289,4,0))</f>
        <v>0</v>
      </c>
      <c r="HD44" s="122" t="n">
        <f aca="false">IF(ISNA(VLOOKUP(A44,'Données projet'!$A$269:$I$289,5,0)),0%,VLOOKUP(A44,'Données projet'!$A$269:$I$289,5,0)*VLOOKUP('Données projet'!$B$18,Paramètres!$A$1:$I$89,7,0))</f>
        <v>0</v>
      </c>
      <c r="HE44" s="122" t="n">
        <f aca="false">IF(ISNA(VLOOKUP(A44,'Données projet'!$A$269:$I$289,6,0)),0%,VLOOKUP(A44,'Données projet'!$A$269:$I$289,6,0)*VLOOKUP('Données projet'!$B$18,Paramètres!$A$1:$I$89,7,0))</f>
        <v>0</v>
      </c>
      <c r="HF44" s="122" t="n">
        <f aca="false">IF(ISNA(VLOOKUP(A44,'Données projet'!$A$269:$I$289,7,0)),0%,VLOOKUP(A44,'Données projet'!$A$269:$I$289,7,0))</f>
        <v>0</v>
      </c>
      <c r="HG44" s="129" t="e">
        <f aca="false">EXP(-LN(2)/35)*HG43+(1-EXP(-LN(2)/35))/(LN(2)/35)*HC44*HD44*VLOOKUP('Données projet'!$B$18,Paramètres!$A$1:$I$89,3,0)*0.475*44/12</f>
        <v>#N/A</v>
      </c>
      <c r="HH44" s="129" t="e">
        <f aca="false">EXP(-LN(2)/25)*HH43+(1-EXP(-LN(2)/25))/(LN(2)/25)*Calculateur!HC44*Calculateur!HE44*VLOOKUP('Données projet'!$B$18,Paramètres!$A$1:$I$89,3,0)*0.475*44/12</f>
        <v>#N/A</v>
      </c>
      <c r="HI44" s="129" t="e">
        <f aca="false">EXP(-LN(2)/2)*HI43+(1-EXP(-LN(2)/2))/(LN(2)/2)*HC44*HF44*VLOOKUP('Données projet'!$B$18,Paramètres!$A$1:$I$89,3,0)*0.475*44/12</f>
        <v>#N/A</v>
      </c>
      <c r="HJ44" s="130" t="e">
        <f aca="false">SUM(HG44:HI44)</f>
        <v>#N/A</v>
      </c>
    </row>
    <row r="45" customFormat="false" ht="14.25" hidden="false" customHeight="false" outlineLevel="0" collapsed="false">
      <c r="A45" s="112" t="n">
        <f aca="false">A44+1</f>
        <v>42</v>
      </c>
      <c r="B45" s="113" t="n">
        <f aca="false">'Scénario référence'!$B$16*5+'Scénario référence'!$B$17*0+'Scénario référence'!$B$18*5</f>
        <v>0</v>
      </c>
      <c r="C45" s="127" t="n">
        <f aca="false"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4" t="n">
        <f aca="false">IFERROR(EXP(-1.0587+0.8836*LN(C45)+0.284),0)</f>
        <v>0</v>
      </c>
      <c r="E4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5" s="114" t="n">
        <f aca="false">IF(OR('Scénario référence'!$F$8&gt;0,'Scénario référence'!$F$9&gt;0),('Scénario référence'!$F$8+'Scénario référence'!$F$9)*10,0)</f>
        <v>0</v>
      </c>
      <c r="G45" s="114" t="n">
        <f aca="false"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15" t="n">
        <f aca="false">(B45+E45+F45)*44/12+(C45+D45)*0.475*44/12</f>
        <v>256.666666666667</v>
      </c>
      <c r="I45" s="11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7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8" t="e">
        <f aca="false">VLOOKUP(A45,'Données projet'!$A$35:$I$55,2,0)</f>
        <v>#N/A</v>
      </c>
      <c r="L45" s="118" t="e">
        <f aca="false">VLOOKUP(A45,'Données projet'!$A$35:$I$55,9,0)</f>
        <v>#N/A</v>
      </c>
      <c r="M45" s="118" t="n">
        <f aca="false" t="array" ref="M45:M45">INDEX(L:L,MIN(IF(ISNUMBER(L45:L241),ROW(L45:L241),"")))</f>
        <v>11.5</v>
      </c>
      <c r="N45" s="117" t="n">
        <f aca="false">IF('Données projet'!$A$36&gt;35,N44+M45-V44,IF(A45&lt;'Données projet'!$A$36,$K$205^A45,IF(A45='Données projet'!$A$36,'Données projet'!$B$36,N44+M45-V44)))</f>
        <v>196.5</v>
      </c>
      <c r="O45" s="117" t="n">
        <f aca="false">N45*VLOOKUP('Données projet'!$B$9,Paramètres!$A$1:$I$89,3,0)*VLOOKUP('Données projet'!$B$9,Paramètres!$A$1:$I$89,5,0)</f>
        <v>91.9619999999999</v>
      </c>
      <c r="P45" s="117" t="n">
        <f aca="false">EXP(-1.0587+0.8836*LN(O45)+0.284)</f>
        <v>25.0378166031219</v>
      </c>
      <c r="Q45" s="128" t="n">
        <f aca="false">(O45+P45)*0.475*44/12</f>
        <v>203.774680583771</v>
      </c>
      <c r="R45" s="120" t="n">
        <f aca="false">Q45+(I45+J45)*44/12</f>
        <v>497.108013917104</v>
      </c>
      <c r="S45" s="120" t="n">
        <f aca="true">AVERAGE(OFFSET($R$3,0,0,'Données projet'!$E$9+1,1))-AVERAGE(OFFSET($H$3,0,0,'Données projet'!$E$9+1,1))</f>
        <v>319.229030946746</v>
      </c>
      <c r="T45" s="120" t="n">
        <f aca="false">$T$3</f>
        <v>254.586909731428</v>
      </c>
      <c r="U45" s="121" t="n">
        <f aca="false">IF(ISNA(VLOOKUP(A45,'Données projet'!$A$35:$I$55,3,0)),0,VLOOKUP(A45,'Données projet'!$A$35:$I$55,3,0))</f>
        <v>0</v>
      </c>
      <c r="V45" s="121" t="n">
        <f aca="false">IF(ISNA(VLOOKUP(A45,'Données projet'!$A$35:$I$55,4,0)),0,VLOOKUP(A45,'Données projet'!$A$35:$I$55,4,0))</f>
        <v>0</v>
      </c>
      <c r="W45" s="122" t="n">
        <f aca="false">IF(ISNA(VLOOKUP(A45,'Données projet'!$A$35:$I$55,5,0)),0%,VLOOKUP(A45,'Données projet'!$A$35:$I$55,5,0)*VLOOKUP('Données projet'!$B$9,Paramètres!$A$1:$I$89,7,0))</f>
        <v>0</v>
      </c>
      <c r="X45" s="122" t="n">
        <f aca="false">IF(ISNA(VLOOKUP(A45,'Données projet'!$A$35:$I$55,6,0)),0%,VLOOKUP(A45,'Données projet'!$A$35:$I$55,6,0)*VLOOKUP('Données projet'!$B$9,Paramètres!$A$1:$I$89,7,0))</f>
        <v>0</v>
      </c>
      <c r="Y45" s="122" t="n">
        <f aca="false">IF(ISNA(VLOOKUP(A45,'Données projet'!$A$35:$I$55,7,0)),0%,VLOOKUP(A45,'Données projet'!$A$35:$I$55,7,0))</f>
        <v>0</v>
      </c>
      <c r="Z45" s="129" t="n">
        <f aca="false">EXP(-LN(2)/35)*Z44+(1-EXP(-LN(2)/35))/(LN(2)/35)*V45*W45*VLOOKUP('Données projet'!$B$9,Paramètres!$A$1:$I$89,3,0)*0.475*44/12</f>
        <v>7.15636034405534</v>
      </c>
      <c r="AA45" s="129" t="n">
        <f aca="false">EXP(-LN(2)/25)*AA44+(1-EXP(-LN(2)/25))/(LN(2)/25)*Calculateur!V45*Calculateur!X45*VLOOKUP('Données projet'!$B$9,Paramètres!$A$1:$I$89,3,0)*0.475*44/12</f>
        <v>7.99524707351377</v>
      </c>
      <c r="AB45" s="129" t="n">
        <f aca="false">EXP(-LN(2)/2)*AB44+(1-EXP(-LN(2)/2))/(LN(2)/2)*V45*Y45*VLOOKUP('Données projet'!$B$9,Paramètres!$A$1:$I$89,3,0)*0.475*44/12</f>
        <v>0.172548885056224</v>
      </c>
      <c r="AC45" s="130" t="n">
        <f aca="false">SUM(Z45:AB45)</f>
        <v>15.3241563026253</v>
      </c>
      <c r="AD45" s="117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7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8" t="e">
        <f aca="false">VLOOKUP(A45,'Données projet'!$A$61:$I$81,2,0)</f>
        <v>#N/A</v>
      </c>
      <c r="AG45" s="118" t="e">
        <f aca="false">VLOOKUP(A45,'Données projet'!$A$61:$I$81,9,0)</f>
        <v>#N/A</v>
      </c>
      <c r="AH45" s="118" t="n">
        <f aca="false" t="array" ref="AH45:AH45">INDEX(AG:AG,MIN(IF(ISNUMBER(AG45:AG241),ROW(AG45:AG241),"")))</f>
        <v>20.6</v>
      </c>
      <c r="AI45" s="117" t="n">
        <f aca="false">IF('Données projet'!$A$62&gt;35,AI44+AH45-AQ44,IF(A45&lt;'Données projet'!$A$62,$AF$205^A45,IF(A45='Données projet'!$A$62,'Données projet'!$B$62,AI44+AH45-AQ44)))</f>
        <v>464.2</v>
      </c>
      <c r="AJ45" s="117" t="n">
        <f aca="false">AI45*VLOOKUP('Données projet'!$B$10,Paramètres!$A$1:$I$89,3,0)*VLOOKUP('Données projet'!$B$10,Paramètres!$A$1:$I$89,5,0)</f>
        <v>259.4878</v>
      </c>
      <c r="AK45" s="117" t="n">
        <f aca="false">EXP(-1.0587+0.8836*LN(AJ45)+0.284)</f>
        <v>62.613185087484</v>
      </c>
      <c r="AL45" s="128" t="n">
        <f aca="false">(AJ45+AK45)*0.475*44/12</f>
        <v>560.992549027368</v>
      </c>
      <c r="AM45" s="120" t="n">
        <f aca="false">AL45+(AD45+AE45)*44/12</f>
        <v>854.325882360701</v>
      </c>
      <c r="AN45" s="120" t="n">
        <f aca="true">AVERAGE(OFFSET($AM$3,0,0,'Données projet'!$E$10+1,1))-AVERAGE(OFFSET($H$3,0,0,'Données projet'!$E$10+1,1))</f>
        <v>365.705101827279</v>
      </c>
      <c r="AO45" s="120" t="n">
        <f aca="false">$AO$3</f>
        <v>436.238338449625</v>
      </c>
      <c r="AP45" s="121" t="n">
        <f aca="false">IF(ISNA(VLOOKUP(A45,'Données projet'!$A$61:$I$81,3,0)),0,VLOOKUP(A45,'Données projet'!$A$61:$I$81,3,0))</f>
        <v>0</v>
      </c>
      <c r="AQ45" s="121" t="n">
        <f aca="false">IF(ISNA(VLOOKUP(A45,'Données projet'!$A$61:$I$81,4,0)),0,VLOOKUP(A45,'Données projet'!$A$61:$I$81,4,0))</f>
        <v>0</v>
      </c>
      <c r="AR45" s="122" t="n">
        <f aca="false">IF(ISNA(VLOOKUP(A45,'Données projet'!$A$61:$I$81,5,0)),0%,VLOOKUP(A45,'Données projet'!$A$61:$I$81,5,0)*VLOOKUP('Données projet'!$B$10,Paramètres!$A$1:$I$89,7,0))</f>
        <v>0</v>
      </c>
      <c r="AS45" s="122" t="n">
        <f aca="false">IF(ISNA(VLOOKUP(A45,'Données projet'!$A$61:$I$81,6,0)),0%,VLOOKUP(A45,'Données projet'!$A$61:$I$81,6,0)*VLOOKUP('Données projet'!$B$10,Paramètres!$A$1:$I$89,7,0))</f>
        <v>0</v>
      </c>
      <c r="AT45" s="122" t="n">
        <f aca="false">IF(ISNA(VLOOKUP(A45,'Données projet'!$A$61:$I$81,7,0)),0%,VLOOKUP(A45,'Données projet'!$A$61:$I$81,7,0))</f>
        <v>0</v>
      </c>
      <c r="AU45" s="129" t="n">
        <f aca="false">EXP(-LN(2)/35)*AU44+(1-EXP(-LN(2)/35))/(LN(2)/35)*AQ45*AR45*VLOOKUP('Données projet'!$B$10,Paramètres!$A$1:$I$89,3,0)*0.475*44/12</f>
        <v>2.70129401059049</v>
      </c>
      <c r="AV45" s="129" t="n">
        <f aca="false">EXP(-LN(2)/25)*AV44+(1-EXP(-LN(2)/25))/(LN(2)/25)*Calculateur!AQ45*Calculateur!AS45*VLOOKUP('Données projet'!$B$10,Paramètres!$A$1:$I$89,3,0)*0.475*44/12</f>
        <v>9.4699378565519</v>
      </c>
      <c r="AW45" s="129" t="n">
        <f aca="false">EXP(-LN(2)/2)*AW44+(1-EXP(-LN(2)/2))/(LN(2)/2)*AQ45*AT45*VLOOKUP('Données projet'!$B$10,Paramètres!$A$1:$I$89,3,0)*0.475*44/12</f>
        <v>0.0928604169636843</v>
      </c>
      <c r="AX45" s="129" t="n">
        <f aca="false">SUM(AU45:AW45)</f>
        <v>12.2640922841061</v>
      </c>
      <c r="AY45" s="124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8" t="e">
        <f aca="false">VLOOKUP(A45,'Données projet'!$A$87:$I$107,2,0)</f>
        <v>#N/A</v>
      </c>
      <c r="BB45" s="118" t="e">
        <f aca="false">VLOOKUP(A45,'Données projet'!$A$87:$I$107,9,0)</f>
        <v>#N/A</v>
      </c>
      <c r="BC45" s="118" t="n">
        <f aca="false" t="array" ref="BC45:BC45">INDEX(BB:BB,MIN(IF(ISNUMBER(BB45:BB241),ROW(BB45:BB241),"")))</f>
        <v>9.8</v>
      </c>
      <c r="BD45" s="118" t="n">
        <f aca="false">IF('Données projet'!$A$88&gt;35,BD44+BC45-BL44,IF(A45&lt;'Données projet'!$A$88,$BA$205^A45,IF(A45='Données projet'!$A$88,'Données projet'!$B$88,BD44+BC45-BL44)))</f>
        <v>193.6</v>
      </c>
      <c r="BE45" s="117" t="n">
        <f aca="false">BD45*VLOOKUP('Données projet'!$B$11,Paramètres!$A$1:$I$89,3,0)*VLOOKUP('Données projet'!$B$11,Paramètres!$A$1:$I$89,5,0)</f>
        <v>169.12896</v>
      </c>
      <c r="BF45" s="117" t="n">
        <f aca="false">EXP(-1.0587+0.8836*LN(BE45)+0.284)</f>
        <v>42.8948813151468</v>
      </c>
      <c r="BG45" s="128" t="n">
        <f aca="false">(BE45+BF45)*0.475*44/12</f>
        <v>369.274856957214</v>
      </c>
      <c r="BH45" s="120" t="n">
        <f aca="false">BG45+(AY45+AZ45)*44/12</f>
        <v>662.608190290547</v>
      </c>
      <c r="BI45" s="120" t="n">
        <f aca="true">AVERAGE(OFFSET($BH$3,0,0,'Données projet'!$E$11+1,1))-AVERAGE(OFFSET($H$3,0,0,'Données projet'!$E$11+1,1))</f>
        <v>321.235999689929</v>
      </c>
      <c r="BJ45" s="120" t="n">
        <f aca="false">$BJ$3</f>
        <v>388.051958478005</v>
      </c>
      <c r="BK45" s="121" t="n">
        <f aca="false">IF(ISNA(VLOOKUP(A45,'Données projet'!$A$87:$I$107,3,0)),0,VLOOKUP(A45,'Données projet'!$A$87:$I$107,3,0))</f>
        <v>0</v>
      </c>
      <c r="BL45" s="121" t="n">
        <f aca="false">IF(ISNA(VLOOKUP(A45,'Données projet'!$A$87:$I$107,4,0)),0,VLOOKUP(A45,'Données projet'!$A$87:$I$107,4,0))</f>
        <v>0</v>
      </c>
      <c r="BM45" s="122" t="n">
        <f aca="false">IF(ISNA(VLOOKUP(A45,'Données projet'!$A$87:$I$107,5,0)),0%,VLOOKUP(A45,'Données projet'!$A$87:$I$107,5,0)*VLOOKUP('Données projet'!$B$11,Paramètres!$A$1:$I$89,7,0))</f>
        <v>0</v>
      </c>
      <c r="BN45" s="122" t="n">
        <f aca="false">IF(ISNA(VLOOKUP(A45,'Données projet'!$A$87:$I$107,6,0)),0%,VLOOKUP(A45,'Données projet'!$A$87:$I$107,6,0)*VLOOKUP('Données projet'!$B$11,Paramètres!$A$1:$I$89,7,0))</f>
        <v>0</v>
      </c>
      <c r="BO45" s="122" t="n">
        <f aca="false">IF(ISNA(VLOOKUP(A45,'Données projet'!$A$87:$I$107,7,0)),0%,VLOOKUP(A45,'Données projet'!$A$87:$I$107,7,0))</f>
        <v>0</v>
      </c>
      <c r="BP45" s="129" t="n">
        <f aca="false">EXP(-LN(2)/35)*BP44+(1-EXP(-LN(2)/35))/(LN(2)/35)*BL45*BM45*VLOOKUP('Données projet'!$B$11,Paramètres!$A$1:$I$89,3,0)*0.475*44/12</f>
        <v>6.78192642088526</v>
      </c>
      <c r="BQ45" s="129" t="n">
        <f aca="false">EXP(-LN(2)/25)*BQ44+(1-EXP(-LN(2)/25))/(LN(2)/25)*Calculateur!BL45*Calculateur!BN45*VLOOKUP('Données projet'!$B$11,Paramètres!$A$1:$I$89,3,0)*0.475*44/12</f>
        <v>9.66635008443594</v>
      </c>
      <c r="BR45" s="129" t="n">
        <f aca="false">EXP(-LN(2)/2)*BR44+(1-EXP(-LN(2)/2))/(LN(2)/2)*BL45*BO45*VLOOKUP('Données projet'!$B$11,Paramètres!$A$1:$I$89,3,0)*0.475*44/12</f>
        <v>0.0943906837077302</v>
      </c>
      <c r="BS45" s="130" t="n">
        <f aca="false">SUM(BP45:BR45)</f>
        <v>16.5426671890289</v>
      </c>
      <c r="BT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8" t="n">
        <f aca="false">VLOOKUP(A45,'Données projet'!$A$113:$I$133,2,0)</f>
        <v>255</v>
      </c>
      <c r="BW45" s="118" t="n">
        <f aca="false">VLOOKUP(A45,'Données projet'!$A$113:$I$133,9,0)</f>
        <v>11.5</v>
      </c>
      <c r="BX45" s="118" t="n">
        <f aca="false" t="array" ref="BX45:BX45">INDEX(BW:BW,MIN(IF(ISNUMBER(BW45:BW241),ROW(BW45:BW241),"")))</f>
        <v>11.5</v>
      </c>
      <c r="BY45" s="118" t="n">
        <f aca="false">IF('Données projet'!$A$114&gt;35,BY44+BX45-CG44,IF(A45&lt;'Données projet'!$A$114,$BV$205^A45,IF(A45='Données projet'!$A$114,'Données projet'!$B$114,BY44+BX45-CG44)))</f>
        <v>255</v>
      </c>
      <c r="BZ45" s="117" t="n">
        <f aca="false">BY45*VLOOKUP('Données projet'!$B$12,Paramètres!$A$1:$I$89,3,0)*VLOOKUP('Données projet'!$B$12,Paramètres!$A$1:$I$89,5,0)</f>
        <v>159.12</v>
      </c>
      <c r="CA45" s="117" t="n">
        <f aca="false">EXP(-1.0587+0.8836*LN(BZ45)+0.284)</f>
        <v>40.6439652843877</v>
      </c>
      <c r="CB45" s="128" t="n">
        <f aca="false">(BZ45+CA45)*0.475*44/12</f>
        <v>347.922239536975</v>
      </c>
      <c r="CC45" s="120" t="n">
        <f aca="false">CB45+(BT45+BU45)*44/12</f>
        <v>641.255572870309</v>
      </c>
      <c r="CD45" s="120" t="n">
        <f aca="true">AVERAGE(OFFSET($CC$3,0,0,'Données projet'!$E$12+1,1))-AVERAGE(OFFSET($H$3,0,0,'Données projet'!$E$12+1,1))</f>
        <v>240.228848647662</v>
      </c>
      <c r="CE45" s="120" t="n">
        <f aca="false">$CE$3</f>
        <v>343.237768841432</v>
      </c>
      <c r="CF45" s="121" t="n">
        <f aca="false">IF(ISNA(VLOOKUP(A45,'Données projet'!$A$113:$I$133,3,0)),0,VLOOKUP(A45,'Données projet'!$A$113:$I$133,3,0))</f>
        <v>6</v>
      </c>
      <c r="CG45" s="121" t="n">
        <f aca="false">IF(ISNA(VLOOKUP(A45,'Données projet'!$A$113:$I$133,4,0)),0,VLOOKUP(A45,'Données projet'!$A$113:$I$133,4,0))</f>
        <v>67</v>
      </c>
      <c r="CH45" s="122" t="n">
        <f aca="false">IF(ISNA(VLOOKUP(A45,'Données projet'!$A$113:$I$133,5,0)),0%,VLOOKUP(A45,'Données projet'!$A$113:$I$133,5,0)*VLOOKUP('Données projet'!$B$12,Paramètres!$A$1:$I$89,7,0))</f>
        <v>0</v>
      </c>
      <c r="CI45" s="122" t="n">
        <f aca="false">IF(ISNA(VLOOKUP(A45,'Données projet'!$A$113:$I$133,6,0)),0%,VLOOKUP(A45,'Données projet'!$A$113:$I$133,6,0)*VLOOKUP('Données projet'!$B$12,Paramètres!$A$1:$I$89,7,0))</f>
        <v>0</v>
      </c>
      <c r="CJ45" s="122" t="n">
        <f aca="false">IF(ISNA(VLOOKUP(A45,'Données projet'!$A$113:$I$133,7,0)),0%,VLOOKUP(A45,'Données projet'!$A$113:$I$133,7,0))</f>
        <v>0</v>
      </c>
      <c r="CK45" s="129" t="n">
        <f aca="false">EXP(-LN(2)/35)*CK44+(1-EXP(-LN(2)/35))/(LN(2)/35)*CG45*CH45*VLOOKUP('Données projet'!$B$12,Paramètres!$A$1:$I$89,3,0)*0.475*44/12</f>
        <v>4.15106732886874</v>
      </c>
      <c r="CL45" s="129" t="n">
        <f aca="false">EXP(-LN(2)/25)*CL44+(1-EXP(-LN(2)/25))/(LN(2)/25)*Calculateur!CG45*Calculateur!CI45*VLOOKUP('Données projet'!$B$12,Paramètres!$A$1:$I$89,3,0)*0.475*44/12</f>
        <v>17.0713338330249</v>
      </c>
      <c r="CM45" s="129" t="n">
        <f aca="false">EXP(-LN(2)/2)*CM44+(1-EXP(-LN(2)/2))/(LN(2)/2)*CG45*CJ45*VLOOKUP('Données projet'!$B$12,Paramètres!$A$1:$I$89,3,0)*0.475*44/12</f>
        <v>0.150622366655685</v>
      </c>
      <c r="CN45" s="130" t="n">
        <f aca="false">SUM(CK45:CM45)</f>
        <v>21.3730235285493</v>
      </c>
      <c r="CO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8" t="n">
        <f aca="false">VLOOKUP(A45,'Données projet'!$A$139:$I$159,2,0)</f>
        <v>278</v>
      </c>
      <c r="CR45" s="118" t="n">
        <f aca="false">VLOOKUP(A45,'Données projet'!$A$139:$I$159,9,0)</f>
        <v>14</v>
      </c>
      <c r="CS45" s="118" t="n">
        <f aca="false" t="array" ref="CS45:CS45">INDEX(CR:CR,MIN(IF(ISNUMBER(CR45:CR241),ROW(CR45:CR241),"")))</f>
        <v>14</v>
      </c>
      <c r="CT45" s="118" t="n">
        <f aca="false">IF('Données projet'!$A$140&gt;35,CT44+CS45-DB44,IF(A45&lt;'Données projet'!$A$140,$CQ$205^A45,IF(A45='Données projet'!$A$140,'Données projet'!$B$140,CT44+CS45-DB44)))</f>
        <v>278</v>
      </c>
      <c r="CU45" s="125" t="n">
        <f aca="false">CT45*VLOOKUP('Données projet'!$B$13,Paramètres!$A$1:$I$89,3,0)*VLOOKUP('Données projet'!$B$13,Paramètres!$A$1:$I$89,5,0)</f>
        <v>151.788</v>
      </c>
      <c r="CV45" s="117" t="n">
        <f aca="false">EXP(-1.0587+0.8836*LN(CU45)+0.284)</f>
        <v>38.9846343908356</v>
      </c>
      <c r="CW45" s="128" t="n">
        <f aca="false">(CU45+CV45)*0.475*44/12</f>
        <v>332.262338230705</v>
      </c>
      <c r="CX45" s="120" t="n">
        <f aca="false">CW45+(CO45+CP45)*44/12</f>
        <v>625.595671564039</v>
      </c>
      <c r="CY45" s="120" t="n">
        <f aca="true">AVERAGE(OFFSET($CX$3,0,0,'Données projet'!$E$13+1,1))-AVERAGE(OFFSET($H$3,0,0,'Données projet'!$E$13+1,1))</f>
        <v>207.023069645676</v>
      </c>
      <c r="CZ45" s="120" t="n">
        <f aca="false">$CZ$3</f>
        <v>342.068879333518</v>
      </c>
      <c r="DA45" s="121" t="n">
        <f aca="false">IF(ISNA(VLOOKUP(A45,'Données projet'!$A$139:$I$159,3,0)),0,VLOOKUP(A45,'Données projet'!$A$139:$I$159,3,0))</f>
        <v>7</v>
      </c>
      <c r="DB45" s="121" t="n">
        <f aca="false">IF(ISNA(VLOOKUP(A45,'Données projet'!$A$139:$I$159,4,0)),0,VLOOKUP(A45,'Données projet'!$A$139:$I$159,4,0))</f>
        <v>278</v>
      </c>
      <c r="DC45" s="122" t="n">
        <f aca="false">IF(ISNA(VLOOKUP(A45,'Données projet'!$A$139:$I$159,5,0)),0%,VLOOKUP(A45,'Données projet'!$A$139:$I$159,5,0)*VLOOKUP('Données projet'!$B$13,Paramètres!$A$1:$I$89,7,0))</f>
        <v>0</v>
      </c>
      <c r="DD45" s="122" t="n">
        <f aca="false">IF(ISNA(VLOOKUP(A45,'Données projet'!$A$139:$I$159,6,0)),0%,VLOOKUP(A45,'Données projet'!$A$139:$I$159,6,0)*VLOOKUP('Données projet'!$B$13,Paramètres!$A$1:$I$89,7,0))</f>
        <v>0</v>
      </c>
      <c r="DE45" s="122" t="n">
        <f aca="false">IF(ISNA(VLOOKUP(A45,'Données projet'!$A$139:$I$159,7,0)),0%,VLOOKUP(A45,'Données projet'!$A$139:$I$159,7,0))</f>
        <v>0</v>
      </c>
      <c r="DF45" s="129" t="n">
        <f aca="false">EXP(-LN(2)/35)*DF44+(1-EXP(-LN(2)/35))/(LN(2)/35)*DB45*DC45*VLOOKUP('Données projet'!$B$13,Paramètres!$A$1:$I$89,3,0)*0.475*44/12</f>
        <v>5.20841466735417</v>
      </c>
      <c r="DG45" s="129" t="n">
        <f aca="false">EXP(-LN(2)/25)*DG44+(1-EXP(-LN(2)/25))/(LN(2)/25)*Calculateur!DB45*Calculateur!DD45*VLOOKUP('Données projet'!$B$13,Paramètres!$A$1:$I$89,3,0)*0.475*44/12</f>
        <v>27.9045207972004</v>
      </c>
      <c r="DH45" s="129" t="n">
        <f aca="false">EXP(-LN(2)/2)*DH44+(1-EXP(-LN(2)/2))/(LN(2)/2)*DB45*DE45*VLOOKUP('Données projet'!$B$13,Paramètres!$A$1:$I$89,3,0)*0.475*44/12</f>
        <v>0.207407068717201</v>
      </c>
      <c r="DI45" s="130" t="n">
        <f aca="false">SUM(DF45:DH45)</f>
        <v>33.3203425332718</v>
      </c>
      <c r="DJ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8" t="e">
        <f aca="false">VLOOKUP(A45,'Données projet'!$A$165:$I$185,2,0)</f>
        <v>#N/A</v>
      </c>
      <c r="DM45" s="118" t="e">
        <f aca="false">VLOOKUP(A45,'Données projet'!$A$165:$I$185,9,0)</f>
        <v>#N/A</v>
      </c>
      <c r="DN45" s="118" t="n">
        <f aca="false" t="array" ref="DN45:DN45">INDEX(DM:DM,MIN(IF(ISNUMBER(DM45:DM241),ROW(DM45:DM241),"")))</f>
        <v>359.833333333333</v>
      </c>
      <c r="DO45" s="118" t="n">
        <f aca="false">IF('Données projet'!$A$166&gt;35,DO44+DN45-DW44,IF(A45&lt;'Données projet'!$A$166,$DL$205^A45,IF(A45='Données projet'!$A$166,'Données projet'!$B$166,DO44+DN45-DW44)))</f>
        <v>953.666666666667</v>
      </c>
      <c r="DP45" s="125" t="n">
        <f aca="false">DO45*VLOOKUP('Données projet'!$B$14,Paramètres!$A$1:$I$89,3,0)*VLOOKUP('Données projet'!$B$14,Paramètres!$A$1:$I$89,5,0)</f>
        <v>570.292666666667</v>
      </c>
      <c r="DQ45" s="117" t="n">
        <f aca="false">EXP(-1.0587+0.8836*LN(DP45)+0.284)</f>
        <v>125.556751139408</v>
      </c>
      <c r="DR45" s="128" t="n">
        <f aca="false">(DP45+DQ45)*0.475*44/12</f>
        <v>1211.93773601225</v>
      </c>
      <c r="DS45" s="120" t="n">
        <f aca="false">DR45+(DJ45+DK45)*44/12</f>
        <v>1505.27106934558</v>
      </c>
      <c r="DT45" s="120" t="n">
        <f aca="true">AVERAGE(OFFSET($DS$3,0,0,'Données projet'!$E$14+1,1))-AVERAGE(OFFSET($H$3,0,0,'Données projet'!$E$14+1,1))</f>
        <v>549.432320957297</v>
      </c>
      <c r="DU45" s="120" t="n">
        <f aca="false">$DU$3</f>
        <v>280.26155987301</v>
      </c>
      <c r="DV45" s="121" t="n">
        <f aca="false">IF(ISNA(VLOOKUP(A45,'Données projet'!$A$165:$I$185,3,0)),0,VLOOKUP(A45,'Données projet'!$A$165:$I$185,3,0))</f>
        <v>0</v>
      </c>
      <c r="DW45" s="121" t="n">
        <f aca="false">IF(ISNA(VLOOKUP(A45,'Données projet'!$A$165:$I$185,4,0)),0,VLOOKUP(A45,'Données projet'!$A$165:$I$185,4,0))</f>
        <v>0</v>
      </c>
      <c r="DX45" s="122" t="n">
        <f aca="false">IF(ISNA(VLOOKUP(A45,'Données projet'!$A$165:$I$185,5,0)),0%,VLOOKUP(A45,'Données projet'!$A$165:$I$185,5,0)*VLOOKUP('Données projet'!$B$14,Paramètres!$A$1:$I$89,7,0))</f>
        <v>0</v>
      </c>
      <c r="DY45" s="122" t="n">
        <f aca="false">IF(ISNA(VLOOKUP(A45,'Données projet'!$A$165:$I$185,6,0)),0%,VLOOKUP(A45,'Données projet'!$A$165:$I$185,6,0)*VLOOKUP('Données projet'!$B$14,Paramètres!$A$1:$I$89,7,0))</f>
        <v>0</v>
      </c>
      <c r="DZ45" s="122" t="n">
        <f aca="false">IF(ISNA(VLOOKUP(A45,'Données projet'!$A$165:$I$185,7,0)),0%,VLOOKUP(A45,'Données projet'!$A$165:$I$185,7,0))</f>
        <v>0</v>
      </c>
      <c r="EA45" s="129" t="n">
        <f aca="false">EXP(-LN(2)/35)*EA44+(1-EXP(-LN(2)/35))/(LN(2)/35)*DW45*DX45*VLOOKUP('Données projet'!$B$14,Paramètres!$A$1:$I$89,3,0)*0.475*44/12</f>
        <v>1.8937737654394</v>
      </c>
      <c r="EB45" s="129" t="n">
        <f aca="false">EXP(-LN(2)/25)*EB44+(1-EXP(-LN(2)/25))/(LN(2)/25)*Calculateur!DW45*Calculateur!DY45*VLOOKUP('Données projet'!$B$14,Paramètres!$A$1:$I$89,3,0)*0.475*44/12</f>
        <v>5.55913108932109</v>
      </c>
      <c r="EC45" s="129" t="n">
        <f aca="false">EXP(-LN(2)/2)*EC44+(1-EXP(-LN(2)/2))/(LN(2)/2)*DW45*DZ45*VLOOKUP('Données projet'!$B$14,Paramètres!$A$1:$I$89,3,0)*0.475*44/12</f>
        <v>0.0956103833524918</v>
      </c>
      <c r="ED45" s="130" t="n">
        <f aca="false">SUM(EA45:EC45)</f>
        <v>7.54851523811298</v>
      </c>
      <c r="EE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8" t="e">
        <f aca="false">VLOOKUP(A45,'Données projet'!$A$191:$I$211,2,0)</f>
        <v>#N/A</v>
      </c>
      <c r="EH45" s="118" t="e">
        <f aca="false">VLOOKUP(A45,'Données projet'!$A$191:$I$211,9,0)</f>
        <v>#N/A</v>
      </c>
      <c r="EI45" s="118" t="n">
        <f aca="false" t="array" ref="EI45:EI45">INDEX(EH:EH,MIN(IF(ISNUMBER(EH45:EH241),ROW(EH45:EH241),"")))</f>
        <v>0</v>
      </c>
      <c r="EJ45" s="118" t="n">
        <f aca="false">IF('Données projet'!$A$192&gt;35,EJ44+EI45-ER44,IF(A45&lt;'Données projet'!$A$192,$EG$205^A45,IF(A45='Données projet'!$A$192,'Données projet'!$B$192,EJ44+EI45-ER44)))</f>
        <v>0</v>
      </c>
      <c r="EK45" s="125" t="e">
        <f aca="false">EJ45*VLOOKUP('Données projet'!$B$15,Paramètres!$A$1:$I$89,3,0)*VLOOKUP('Données projet'!$B$15,Paramètres!$A$1:$I$89,5,0)</f>
        <v>#N/A</v>
      </c>
      <c r="EL45" s="117" t="e">
        <f aca="false">EXP(-1.0587+0.8836*LN(EK45)+0.284)</f>
        <v>#N/A</v>
      </c>
      <c r="EM45" s="128" t="e">
        <f aca="false">(EK45+EL45)*0.475*44/12</f>
        <v>#N/A</v>
      </c>
      <c r="EN45" s="120" t="e">
        <f aca="false">EM45+(EE45+EF45)*44/12</f>
        <v>#N/A</v>
      </c>
      <c r="EO45" s="120" t="e">
        <f aca="true">AVERAGE(OFFSET($EN$3,0,0,'Données projet'!$E$15+1,1))-AVERAGE(OFFSET($H$3,0,0,'Données projet'!$E$15+1,1))</f>
        <v>#N/A</v>
      </c>
      <c r="EP45" s="120" t="e">
        <f aca="false">$EP$3</f>
        <v>#N/A</v>
      </c>
      <c r="EQ45" s="121" t="n">
        <f aca="false">IF(ISNA(VLOOKUP(A45,'Données projet'!$A$191:$I$211,3,0)),0,VLOOKUP(A45,'Données projet'!$A$191:$I$211,3,0))</f>
        <v>0</v>
      </c>
      <c r="ER45" s="121" t="n">
        <f aca="false">IF(ISNA(VLOOKUP(A45,'Données projet'!$A$191:$I$211,4,0)),0,VLOOKUP(A45,'Données projet'!$A$191:$I$211,4,0))</f>
        <v>0</v>
      </c>
      <c r="ES45" s="122" t="n">
        <f aca="false">IF(ISNA(VLOOKUP(A45,'Données projet'!$A$191:$I$211,5,0)),0%,VLOOKUP(A45,'Données projet'!$A$191:$I$211,5,0)*VLOOKUP('Données projet'!$B$15,Paramètres!$A$1:$I$89,7,0))</f>
        <v>0</v>
      </c>
      <c r="ET45" s="122" t="n">
        <f aca="false">IF(ISNA(VLOOKUP(A45,'Données projet'!$A$191:$I$211,6,0)),0%,VLOOKUP(A45,'Données projet'!$A$191:$I$211,6,0)*VLOOKUP('Données projet'!$B$15,Paramètres!$A$1:$I$89,7,0))</f>
        <v>0</v>
      </c>
      <c r="EU45" s="122" t="n">
        <f aca="false">IF(ISNA(VLOOKUP(A45,'Données projet'!$A$191:$I$211,7,0)),0%,VLOOKUP(A45,'Données projet'!$A$191:$I$211,7,0))</f>
        <v>0</v>
      </c>
      <c r="EV45" s="129" t="e">
        <f aca="false">EXP(-LN(2)/35)*EV44+(1-EXP(-LN(2)/35))/(LN(2)/35)*ER45*ES45*VLOOKUP('Données projet'!$B$15,Paramètres!$A$1:$I$89,3,0)*0.475*44/12</f>
        <v>#N/A</v>
      </c>
      <c r="EW45" s="129" t="e">
        <f aca="false">EXP(-LN(2)/25)*EW44+(1-EXP(-LN(2)/25))/(LN(2)/25)*Calculateur!ER45*Calculateur!ET45*VLOOKUP('Données projet'!$B$15,Paramètres!$A$1:$I$89,3,0)*0.475*44/12</f>
        <v>#N/A</v>
      </c>
      <c r="EX45" s="129" t="e">
        <f aca="false">EXP(-LN(2)/2)*EX44+(1-EXP(-LN(2)/2))/(LN(2)/2)*ER45*EU45*VLOOKUP('Données projet'!$B$15,Paramètres!$A$1:$I$89,3,0)*0.475*44/12</f>
        <v>#N/A</v>
      </c>
      <c r="EY45" s="130" t="e">
        <f aca="false">SUM(EV45:EX45)</f>
        <v>#N/A</v>
      </c>
      <c r="EZ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8" t="e">
        <f aca="false">VLOOKUP(A45,'Données projet'!$A$217:$I$237,2,0)</f>
        <v>#N/A</v>
      </c>
      <c r="FC45" s="118" t="e">
        <f aca="false">VLOOKUP(A45,'Données projet'!$A$217:$I$237,9,0)</f>
        <v>#N/A</v>
      </c>
      <c r="FD45" s="118" t="n">
        <f aca="false" t="array" ref="FD45:FD45">INDEX(FC:FC,MIN(IF(ISNUMBER(FC45:FC241),ROW(FC45:FC241),"")))</f>
        <v>0</v>
      </c>
      <c r="FE45" s="118" t="n">
        <f aca="false">IF('Données projet'!$A$218&gt;35,FE44+FD45-FM44,IF(A45&lt;'Données projet'!$A$218,$FB$205^A45,IF(A45='Données projet'!$A$218,'Données projet'!$B$218,FE44+FD45-FM44)))</f>
        <v>0</v>
      </c>
      <c r="FF45" s="125" t="e">
        <f aca="false">FE45*VLOOKUP('Données projet'!$B$16,Paramètres!$A$1:$I$89,3,0)*VLOOKUP('Données projet'!$B$16,Paramètres!$A$1:$I$89,5,0)</f>
        <v>#N/A</v>
      </c>
      <c r="FG45" s="117" t="e">
        <f aca="false">EXP(-1.0587+0.8836*LN(FF45)+0.284)</f>
        <v>#N/A</v>
      </c>
      <c r="FH45" s="128" t="e">
        <f aca="false">(FF45+FG45)*0.475*44/12</f>
        <v>#N/A</v>
      </c>
      <c r="FI45" s="120" t="e">
        <f aca="false">FH45+(EZ45+FA45)*44/12</f>
        <v>#N/A</v>
      </c>
      <c r="FJ45" s="120" t="e">
        <f aca="true">AVERAGE(OFFSET($FI$3,0,0,'Données projet'!$E$16+1,1))-AVERAGE(OFFSET($H$3,0,0,'Données projet'!$E$16+1,1))</f>
        <v>#N/A</v>
      </c>
      <c r="FK45" s="120" t="e">
        <f aca="false">$FK$3</f>
        <v>#N/A</v>
      </c>
      <c r="FL45" s="121" t="n">
        <f aca="false">IF(ISNA(VLOOKUP(A45,'Données projet'!$A$217:$I$237,3,0)),0,VLOOKUP(A45,'Données projet'!$A$217:$I$237,3,0))</f>
        <v>0</v>
      </c>
      <c r="FM45" s="121" t="n">
        <f aca="false">IF(ISNA(VLOOKUP(A45,'Données projet'!$A$217:$I$237,4,0)),0,VLOOKUP(A45,'Données projet'!$A$217:$I$237,4,0))</f>
        <v>0</v>
      </c>
      <c r="FN45" s="122" t="n">
        <f aca="false">IF(ISNA(VLOOKUP(A45,'Données projet'!$A$217:$I$237,5,0)),0%,VLOOKUP(A45,'Données projet'!$A$217:$I$237,5,0)*VLOOKUP('Données projet'!$B$16,Paramètres!$A$1:$I$89,7,0))</f>
        <v>0</v>
      </c>
      <c r="FO45" s="122" t="n">
        <f aca="false">IF(ISNA(VLOOKUP(A45,'Données projet'!$A$217:$I$237,6,0)),0%,VLOOKUP(A45,'Données projet'!$A$217:$I$237,6,0)*VLOOKUP('Données projet'!$B$16,Paramètres!$A$1:$I$89,7,0))</f>
        <v>0</v>
      </c>
      <c r="FP45" s="122" t="n">
        <f aca="false">IF(ISNA(VLOOKUP(A45,'Données projet'!$A$217:$I$237,7,0)),0%,VLOOKUP(A45,'Données projet'!$A$217:$I$237,7,0))</f>
        <v>0</v>
      </c>
      <c r="FQ45" s="129" t="e">
        <f aca="false">EXP(-LN(2)/35)*FQ44+(1-EXP(-LN(2)/35))/(LN(2)/35)*FM45*FN45*VLOOKUP('Données projet'!$B$16,Paramètres!$A$1:$I$89,3,0)*0.475*44/12</f>
        <v>#N/A</v>
      </c>
      <c r="FR45" s="129" t="e">
        <f aca="false">EXP(-LN(2)/25)*FR44+(1-EXP(-LN(2)/25))/(LN(2)/25)*Calculateur!FM45*Calculateur!FO45*VLOOKUP('Données projet'!$B$16,Paramètres!$A$1:$I$89,3,0)*0.475*44/12</f>
        <v>#N/A</v>
      </c>
      <c r="FS45" s="129" t="e">
        <f aca="false">EXP(-LN(2)/2)*FS44+(1-EXP(-LN(2)/2))/(LN(2)/2)*FM45*FP45*VLOOKUP('Données projet'!$B$16,Paramètres!$A$1:$I$89,3,0)*0.475*44/12</f>
        <v>#N/A</v>
      </c>
      <c r="FT45" s="130" t="e">
        <f aca="false">SUM(FQ45:FS45)</f>
        <v>#N/A</v>
      </c>
      <c r="FU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8" t="e">
        <f aca="false">VLOOKUP(A45,'Données projet'!$A$243:$I$263,2,0)</f>
        <v>#N/A</v>
      </c>
      <c r="FX45" s="118" t="e">
        <f aca="false">VLOOKUP(A45,'Données projet'!$A$243:$I$263,9,0)</f>
        <v>#N/A</v>
      </c>
      <c r="FY45" s="118" t="n">
        <f aca="false" t="array" ref="FY45:FY45">INDEX(FX:FX,MIN(IF(ISNUMBER(FX45:FX241),ROW(FX45:FX241),"")))</f>
        <v>0</v>
      </c>
      <c r="FZ45" s="118" t="n">
        <f aca="false">IF('Données projet'!$A$244&gt;35,FZ44+FY45-GH44,IF(A45&lt;'Données projet'!$A$244,$FW$205^A45,IF(A45='Données projet'!$A$244,'Données projet'!$B$244,FZ44+FY45-GH44)))</f>
        <v>0</v>
      </c>
      <c r="GA45" s="125" t="e">
        <f aca="false">FZ45*VLOOKUP('Données projet'!$B$17,Paramètres!$A$1:$I$89,3,0)*VLOOKUP('Données projet'!$B$17,Paramètres!$A$1:$I$89,5,0)</f>
        <v>#N/A</v>
      </c>
      <c r="GB45" s="117" t="e">
        <f aca="false">EXP(-1.0587+0.8836*LN(GA45)+0.284)</f>
        <v>#N/A</v>
      </c>
      <c r="GC45" s="128" t="e">
        <f aca="false">(GA45+GB45)*0.475*44/12</f>
        <v>#N/A</v>
      </c>
      <c r="GD45" s="120" t="e">
        <f aca="false">GC45+(FU45+FV45)*44/12</f>
        <v>#N/A</v>
      </c>
      <c r="GE45" s="120" t="e">
        <f aca="true">AVERAGE(OFFSET($GD$3,0,0,'Données projet'!$E$17+1,1))-AVERAGE(OFFSET($H$3,0,0,'Données projet'!$E$17+1,1))</f>
        <v>#N/A</v>
      </c>
      <c r="GF45" s="120" t="e">
        <f aca="false">$GF$3</f>
        <v>#N/A</v>
      </c>
      <c r="GG45" s="121" t="n">
        <f aca="false">IF(ISNA(VLOOKUP(A45,'Données projet'!$A$243:$I$263,3,0)),0,VLOOKUP(A45,'Données projet'!$A$243:$I$263,3,0))</f>
        <v>0</v>
      </c>
      <c r="GH45" s="121" t="n">
        <f aca="false">IF(ISNA(VLOOKUP(A45,'Données projet'!$A$243:$I$263,4,0)),0,VLOOKUP(A45,'Données projet'!$A$243:$I$263,4,0))</f>
        <v>0</v>
      </c>
      <c r="GI45" s="122" t="n">
        <f aca="false">IF(ISNA(VLOOKUP(A45,'Données projet'!$A$243:$I$263,5,0)),0%,VLOOKUP(A45,'Données projet'!$A$243:$I$263,5,0)*VLOOKUP('Données projet'!$B$17,Paramètres!$A$1:$I$89,7,0))</f>
        <v>0</v>
      </c>
      <c r="GJ45" s="122" t="n">
        <f aca="false">IF(ISNA(VLOOKUP(A45,'Données projet'!$A$243:$I$263,6,0)),0%,VLOOKUP(A45,'Données projet'!$A$243:$I$263,6,0)*VLOOKUP('Données projet'!$B$17,Paramètres!$A$1:$I$89,7,0))</f>
        <v>0</v>
      </c>
      <c r="GK45" s="122" t="n">
        <f aca="false">IF(ISNA(VLOOKUP(A45,'Données projet'!$A$243:$I$263,7,0)),0%,VLOOKUP(A45,'Données projet'!$A$243:$I$263,7,0))</f>
        <v>0</v>
      </c>
      <c r="GL45" s="129" t="e">
        <f aca="false">EXP(-LN(2)/35)*GL44+(1-EXP(-LN(2)/35))/(LN(2)/35)*GH45*GI45*VLOOKUP('Données projet'!$B$17,Paramètres!$A$1:$I$89,3,0)*0.475*44/12</f>
        <v>#N/A</v>
      </c>
      <c r="GM45" s="129" t="e">
        <f aca="false">EXP(-LN(2)/25)*GM44+(1-EXP(-LN(2)/25))/(LN(2)/25)*Calculateur!GH45*Calculateur!GJ45*VLOOKUP('Données projet'!$B$17,Paramètres!$A$1:$I$89,3,0)*0.475*44/12</f>
        <v>#N/A</v>
      </c>
      <c r="GN45" s="129" t="e">
        <f aca="false">EXP(-LN(2)/2)*GN44+(1-EXP(-LN(2)/2))/(LN(2)/2)*GH45*GK45*VLOOKUP('Données projet'!$B$17,Paramètres!$A$1:$I$89,3,0)*0.475*44/12</f>
        <v>#N/A</v>
      </c>
      <c r="GO45" s="129" t="e">
        <f aca="false">SUM(GL45:GN45)</f>
        <v>#N/A</v>
      </c>
      <c r="GP45" s="126" t="n">
        <f aca="false"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8" t="n">
        <f aca="false"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8" t="e">
        <f aca="false">VLOOKUP(A45,'Données projet'!$A$269:$I$289,2,0)</f>
        <v>#N/A</v>
      </c>
      <c r="GS45" s="118" t="e">
        <f aca="false">VLOOKUP(A45,'Données projet'!$A$269:$I$289,9,0)</f>
        <v>#N/A</v>
      </c>
      <c r="GT45" s="118" t="n">
        <f aca="false" t="array" ref="GT45:GT45">INDEX(GS:GS,MIN(IF(ISNUMBER(GS45:GS241),ROW(GS45:GS241),"")))</f>
        <v>0</v>
      </c>
      <c r="GU45" s="118" t="n">
        <f aca="false">IF('Données projet'!$A$270&gt;35,GU44+GT45-HC44,IF(A45&lt;'Données projet'!$A$270,$GR$205^A45,IF(A45='Données projet'!$A$270,'Données projet'!$B$270,GU44+GT45-HC44)))</f>
        <v>0</v>
      </c>
      <c r="GV45" s="125" t="e">
        <f aca="false">GU45*VLOOKUP('Données projet'!$B$18,Paramètres!$A$1:$I$89,3,0)*VLOOKUP('Données projet'!$B$18,Paramètres!$A$1:$I$89,5,0)</f>
        <v>#N/A</v>
      </c>
      <c r="GW45" s="117" t="e">
        <f aca="false">EXP(-1.0587+0.8836*LN(GV45)+0.284)</f>
        <v>#N/A</v>
      </c>
      <c r="GX45" s="128" t="e">
        <f aca="false">(GV45+GW45)*0.475*44/12</f>
        <v>#N/A</v>
      </c>
      <c r="GY45" s="120" t="e">
        <f aca="false">GX45+(GP45+GQ45)*44/12</f>
        <v>#N/A</v>
      </c>
      <c r="GZ45" s="120" t="e">
        <f aca="true">AVERAGE(OFFSET($GY$3,0,0,'Données projet'!$E$18+1,1))-AVERAGE(OFFSET($H$3,0,0,'Données projet'!$E$18+1,1))</f>
        <v>#N/A</v>
      </c>
      <c r="HA45" s="120" t="e">
        <f aca="false">$HA$3</f>
        <v>#N/A</v>
      </c>
      <c r="HB45" s="121" t="n">
        <f aca="false">IF(ISNA(VLOOKUP(A45,'Données projet'!$A$269:$I$289,3,0)),0,VLOOKUP(A45,'Données projet'!$A$269:$I$289,3,0))</f>
        <v>0</v>
      </c>
      <c r="HC45" s="121" t="n">
        <f aca="false">IF(ISNA(VLOOKUP(A45,'Données projet'!$A$269:$I$289,4,0)),0,VLOOKUP(A45,'Données projet'!$A$269:$I$289,4,0))</f>
        <v>0</v>
      </c>
      <c r="HD45" s="122" t="n">
        <f aca="false">IF(ISNA(VLOOKUP(A45,'Données projet'!$A$269:$I$289,5,0)),0%,VLOOKUP(A45,'Données projet'!$A$269:$I$289,5,0)*VLOOKUP('Données projet'!$B$18,Paramètres!$A$1:$I$89,7,0))</f>
        <v>0</v>
      </c>
      <c r="HE45" s="122" t="n">
        <f aca="false">IF(ISNA(VLOOKUP(A45,'Données projet'!$A$269:$I$289,6,0)),0%,VLOOKUP(A45,'Données projet'!$A$269:$I$289,6,0)*VLOOKUP('Données projet'!$B$18,Paramètres!$A$1:$I$89,7,0))</f>
        <v>0</v>
      </c>
      <c r="HF45" s="122" t="n">
        <f aca="false">IF(ISNA(VLOOKUP(A45,'Données projet'!$A$269:$I$289,7,0)),0%,VLOOKUP(A45,'Données projet'!$A$269:$I$289,7,0))</f>
        <v>0</v>
      </c>
      <c r="HG45" s="129" t="e">
        <f aca="false">EXP(-LN(2)/35)*HG44+(1-EXP(-LN(2)/35))/(LN(2)/35)*HC45*HD45*VLOOKUP('Données projet'!$B$18,Paramètres!$A$1:$I$89,3,0)*0.475*44/12</f>
        <v>#N/A</v>
      </c>
      <c r="HH45" s="129" t="e">
        <f aca="false">EXP(-LN(2)/25)*HH44+(1-EXP(-LN(2)/25))/(LN(2)/25)*Calculateur!HC45*Calculateur!HE45*VLOOKUP('Données projet'!$B$18,Paramètres!$A$1:$I$89,3,0)*0.475*44/12</f>
        <v>#N/A</v>
      </c>
      <c r="HI45" s="129" t="e">
        <f aca="false">EXP(-LN(2)/2)*HI44+(1-EXP(-LN(2)/2))/(LN(2)/2)*HC45*HF45*VLOOKUP('Données projet'!$B$18,Paramètres!$A$1:$I$89,3,0)*0.475*44/12</f>
        <v>#N/A</v>
      </c>
      <c r="HJ45" s="130" t="e">
        <f aca="false">SUM(HG45:HI45)</f>
        <v>#N/A</v>
      </c>
    </row>
    <row r="46" customFormat="false" ht="14.25" hidden="false" customHeight="false" outlineLevel="0" collapsed="false">
      <c r="A46" s="112" t="n">
        <f aca="false">A45+1</f>
        <v>43</v>
      </c>
      <c r="B46" s="113" t="n">
        <f aca="false">'Scénario référence'!$B$16*5+'Scénario référence'!$B$17*0+'Scénario référence'!$B$18*5</f>
        <v>0</v>
      </c>
      <c r="C46" s="127" t="n">
        <f aca="false"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4" t="n">
        <f aca="false">IFERROR(EXP(-1.0587+0.8836*LN(C46)+0.284),0)</f>
        <v>0</v>
      </c>
      <c r="E4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6" s="114" t="n">
        <f aca="false">IF(OR('Scénario référence'!$F$8&gt;0,'Scénario référence'!$F$9&gt;0),('Scénario référence'!$F$8+'Scénario référence'!$F$9)*10,0)</f>
        <v>0</v>
      </c>
      <c r="G46" s="114" t="n">
        <f aca="false"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15" t="n">
        <f aca="false">(B46+E46+F46)*44/12+(C46+D46)*0.475*44/12</f>
        <v>256.666666666667</v>
      </c>
      <c r="I46" s="11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7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8" t="e">
        <f aca="false">VLOOKUP(A46,'Données projet'!$A$35:$I$55,2,0)</f>
        <v>#N/A</v>
      </c>
      <c r="L46" s="118" t="e">
        <f aca="false">VLOOKUP(A46,'Données projet'!$A$35:$I$55,9,0)</f>
        <v>#N/A</v>
      </c>
      <c r="M46" s="118" t="n">
        <f aca="false" t="array" ref="M46:M46">INDEX(L:L,MIN(IF(ISNUMBER(L46:L242),ROW(L46:L242),"")))</f>
        <v>11.5</v>
      </c>
      <c r="N46" s="117" t="n">
        <f aca="false">IF('Données projet'!$A$36&gt;35,N45+M46-V45,IF(A46&lt;'Données projet'!$A$36,$K$205^A46,IF(A46='Données projet'!$A$36,'Données projet'!$B$36,N45+M46-V45)))</f>
        <v>208</v>
      </c>
      <c r="O46" s="117" t="n">
        <f aca="false">N46*VLOOKUP('Données projet'!$B$9,Paramètres!$A$1:$I$89,3,0)*VLOOKUP('Données projet'!$B$9,Paramètres!$A$1:$I$89,5,0)</f>
        <v>97.3439999999999</v>
      </c>
      <c r="P46" s="117" t="n">
        <f aca="false">EXP(-1.0587+0.8836*LN(O46)+0.284)</f>
        <v>26.3282542598664</v>
      </c>
      <c r="Q46" s="128" t="n">
        <f aca="false">(O46+P46)*0.475*44/12</f>
        <v>215.395842835934</v>
      </c>
      <c r="R46" s="120" t="n">
        <f aca="false">Q46+(I46+J46)*44/12</f>
        <v>508.729176169267</v>
      </c>
      <c r="S46" s="120" t="n">
        <f aca="true">AVERAGE(OFFSET($R$3,0,0,'Données projet'!$E$9+1,1))-AVERAGE(OFFSET($H$3,0,0,'Données projet'!$E$9+1,1))</f>
        <v>319.229030946746</v>
      </c>
      <c r="T46" s="120" t="n">
        <f aca="false">$T$3</f>
        <v>254.586909731428</v>
      </c>
      <c r="U46" s="121" t="n">
        <f aca="false">IF(ISNA(VLOOKUP(A46,'Données projet'!$A$35:$I$55,3,0)),0,VLOOKUP(A46,'Données projet'!$A$35:$I$55,3,0))</f>
        <v>0</v>
      </c>
      <c r="V46" s="121" t="n">
        <f aca="false">IF(ISNA(VLOOKUP(A46,'Données projet'!$A$35:$I$55,4,0)),0,VLOOKUP(A46,'Données projet'!$A$35:$I$55,4,0))</f>
        <v>0</v>
      </c>
      <c r="W46" s="122" t="n">
        <f aca="false">IF(ISNA(VLOOKUP(A46,'Données projet'!$A$35:$I$55,5,0)),0%,VLOOKUP(A46,'Données projet'!$A$35:$I$55,5,0)*VLOOKUP('Données projet'!$B$9,Paramètres!$A$1:$I$89,7,0))</f>
        <v>0</v>
      </c>
      <c r="X46" s="122" t="n">
        <f aca="false">IF(ISNA(VLOOKUP(A46,'Données projet'!$A$35:$I$55,6,0)),0%,VLOOKUP(A46,'Données projet'!$A$35:$I$55,6,0)*VLOOKUP('Données projet'!$B$9,Paramètres!$A$1:$I$89,7,0))</f>
        <v>0</v>
      </c>
      <c r="Y46" s="122" t="n">
        <f aca="false">IF(ISNA(VLOOKUP(A46,'Données projet'!$A$35:$I$55,7,0)),0%,VLOOKUP(A46,'Données projet'!$A$35:$I$55,7,0))</f>
        <v>0</v>
      </c>
      <c r="Z46" s="129" t="n">
        <f aca="false">EXP(-LN(2)/35)*Z45+(1-EXP(-LN(2)/35))/(LN(2)/35)*V46*W46*VLOOKUP('Données projet'!$B$9,Paramètres!$A$1:$I$89,3,0)*0.475*44/12</f>
        <v>7.01602848265722</v>
      </c>
      <c r="AA46" s="129" t="n">
        <f aca="false">EXP(-LN(2)/25)*AA45+(1-EXP(-LN(2)/25))/(LN(2)/25)*Calculateur!V46*Calculateur!X46*VLOOKUP('Données projet'!$B$9,Paramètres!$A$1:$I$89,3,0)*0.475*44/12</f>
        <v>7.77661662183676</v>
      </c>
      <c r="AB46" s="129" t="n">
        <f aca="false">EXP(-LN(2)/2)*AB45+(1-EXP(-LN(2)/2))/(LN(2)/2)*V46*Y46*VLOOKUP('Données projet'!$B$9,Paramètres!$A$1:$I$89,3,0)*0.475*44/12</f>
        <v>0.122010486709434</v>
      </c>
      <c r="AC46" s="130" t="n">
        <f aca="false">SUM(Z46:AB46)</f>
        <v>14.9146555912034</v>
      </c>
      <c r="AD46" s="117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7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8" t="e">
        <f aca="false">VLOOKUP(A46,'Données projet'!$A$61:$I$81,2,0)</f>
        <v>#N/A</v>
      </c>
      <c r="AG46" s="118" t="e">
        <f aca="false">VLOOKUP(A46,'Données projet'!$A$61:$I$81,9,0)</f>
        <v>#N/A</v>
      </c>
      <c r="AH46" s="118" t="n">
        <f aca="false" t="array" ref="AH46:AH46">INDEX(AG:AG,MIN(IF(ISNUMBER(AG46:AG242),ROW(AG46:AG242),"")))</f>
        <v>20.6</v>
      </c>
      <c r="AI46" s="117" t="n">
        <f aca="false">IF('Données projet'!$A$62&gt;35,AI45+AH46-AQ45,IF(A46&lt;'Données projet'!$A$62,$AF$205^A46,IF(A46='Données projet'!$A$62,'Données projet'!$B$62,AI45+AH46-AQ45)))</f>
        <v>484.8</v>
      </c>
      <c r="AJ46" s="117" t="n">
        <f aca="false">AI46*VLOOKUP('Données projet'!$B$10,Paramètres!$A$1:$I$89,3,0)*VLOOKUP('Données projet'!$B$10,Paramètres!$A$1:$I$89,5,0)</f>
        <v>271.0032</v>
      </c>
      <c r="AK46" s="117" t="n">
        <f aca="false">EXP(-1.0587+0.8836*LN(AJ46)+0.284)</f>
        <v>65.0621276708669</v>
      </c>
      <c r="AL46" s="128" t="n">
        <f aca="false">(AJ46+AK46)*0.475*44/12</f>
        <v>585.31377902676</v>
      </c>
      <c r="AM46" s="120" t="n">
        <f aca="false">AL46+(AD46+AE46)*44/12</f>
        <v>878.647112360093</v>
      </c>
      <c r="AN46" s="120" t="n">
        <f aca="true">AVERAGE(OFFSET($AM$3,0,0,'Données projet'!$E$10+1,1))-AVERAGE(OFFSET($H$3,0,0,'Données projet'!$E$10+1,1))</f>
        <v>365.705101827279</v>
      </c>
      <c r="AO46" s="120" t="n">
        <f aca="false">$AO$3</f>
        <v>436.238338449625</v>
      </c>
      <c r="AP46" s="121" t="n">
        <f aca="false">IF(ISNA(VLOOKUP(A46,'Données projet'!$A$61:$I$81,3,0)),0,VLOOKUP(A46,'Données projet'!$A$61:$I$81,3,0))</f>
        <v>0</v>
      </c>
      <c r="AQ46" s="121" t="n">
        <f aca="false">IF(ISNA(VLOOKUP(A46,'Données projet'!$A$61:$I$81,4,0)),0,VLOOKUP(A46,'Données projet'!$A$61:$I$81,4,0))</f>
        <v>0</v>
      </c>
      <c r="AR46" s="122" t="n">
        <f aca="false">IF(ISNA(VLOOKUP(A46,'Données projet'!$A$61:$I$81,5,0)),0%,VLOOKUP(A46,'Données projet'!$A$61:$I$81,5,0)*VLOOKUP('Données projet'!$B$10,Paramètres!$A$1:$I$89,7,0))</f>
        <v>0</v>
      </c>
      <c r="AS46" s="122" t="n">
        <f aca="false">IF(ISNA(VLOOKUP(A46,'Données projet'!$A$61:$I$81,6,0)),0%,VLOOKUP(A46,'Données projet'!$A$61:$I$81,6,0)*VLOOKUP('Données projet'!$B$10,Paramètres!$A$1:$I$89,7,0))</f>
        <v>0</v>
      </c>
      <c r="AT46" s="122" t="n">
        <f aca="false">IF(ISNA(VLOOKUP(A46,'Données projet'!$A$61:$I$81,7,0)),0%,VLOOKUP(A46,'Données projet'!$A$61:$I$81,7,0))</f>
        <v>0</v>
      </c>
      <c r="AU46" s="129" t="n">
        <f aca="false">EXP(-LN(2)/35)*AU45+(1-EXP(-LN(2)/35))/(LN(2)/35)*AQ46*AR46*VLOOKUP('Données projet'!$B$10,Paramètres!$A$1:$I$89,3,0)*0.475*44/12</f>
        <v>2.64832328266946</v>
      </c>
      <c r="AV46" s="129" t="n">
        <f aca="false">EXP(-LN(2)/25)*AV45+(1-EXP(-LN(2)/25))/(LN(2)/25)*Calculateur!AQ46*Calculateur!AS46*VLOOKUP('Données projet'!$B$10,Paramètres!$A$1:$I$89,3,0)*0.475*44/12</f>
        <v>9.2109819078621</v>
      </c>
      <c r="AW46" s="129" t="n">
        <f aca="false">EXP(-LN(2)/2)*AW45+(1-EXP(-LN(2)/2))/(LN(2)/2)*AQ46*AT46*VLOOKUP('Données projet'!$B$10,Paramètres!$A$1:$I$89,3,0)*0.475*44/12</f>
        <v>0.0656622305388314</v>
      </c>
      <c r="AX46" s="129" t="n">
        <f aca="false">SUM(AU46:AW46)</f>
        <v>11.9249674210704</v>
      </c>
      <c r="AY46" s="124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8" t="e">
        <f aca="false">VLOOKUP(A46,'Données projet'!$A$87:$I$107,2,0)</f>
        <v>#N/A</v>
      </c>
      <c r="BB46" s="118" t="e">
        <f aca="false">VLOOKUP(A46,'Données projet'!$A$87:$I$107,9,0)</f>
        <v>#N/A</v>
      </c>
      <c r="BC46" s="118" t="n">
        <f aca="false" t="array" ref="BC46:BC46">INDEX(BB:BB,MIN(IF(ISNUMBER(BB46:BB242),ROW(BB46:BB242),"")))</f>
        <v>9.8</v>
      </c>
      <c r="BD46" s="118" t="n">
        <f aca="false">IF('Données projet'!$A$88&gt;35,BD45+BC46-BL45,IF(A46&lt;'Données projet'!$A$88,$BA$205^A46,IF(A46='Données projet'!$A$88,'Données projet'!$B$88,BD45+BC46-BL45)))</f>
        <v>203.4</v>
      </c>
      <c r="BE46" s="117" t="n">
        <f aca="false">BD46*VLOOKUP('Données projet'!$B$11,Paramètres!$A$1:$I$89,3,0)*VLOOKUP('Données projet'!$B$11,Paramètres!$A$1:$I$89,5,0)</f>
        <v>177.69024</v>
      </c>
      <c r="BF46" s="117" t="n">
        <f aca="false">EXP(-1.0587+0.8836*LN(BE46)+0.284)</f>
        <v>44.8079214998277</v>
      </c>
      <c r="BG46" s="128" t="n">
        <f aca="false">(BE46+BF46)*0.475*44/12</f>
        <v>387.517631278867</v>
      </c>
      <c r="BH46" s="120" t="n">
        <f aca="false">BG46+(AY46+AZ46)*44/12</f>
        <v>680.8509646122</v>
      </c>
      <c r="BI46" s="120" t="n">
        <f aca="true">AVERAGE(OFFSET($BH$3,0,0,'Données projet'!$E$11+1,1))-AVERAGE(OFFSET($H$3,0,0,'Données projet'!$E$11+1,1))</f>
        <v>321.235999689929</v>
      </c>
      <c r="BJ46" s="120" t="n">
        <f aca="false">$BJ$3</f>
        <v>388.051958478005</v>
      </c>
      <c r="BK46" s="121" t="n">
        <f aca="false">IF(ISNA(VLOOKUP(A46,'Données projet'!$A$87:$I$107,3,0)),0,VLOOKUP(A46,'Données projet'!$A$87:$I$107,3,0))</f>
        <v>0</v>
      </c>
      <c r="BL46" s="121" t="n">
        <f aca="false">IF(ISNA(VLOOKUP(A46,'Données projet'!$A$87:$I$107,4,0)),0,VLOOKUP(A46,'Données projet'!$A$87:$I$107,4,0))</f>
        <v>0</v>
      </c>
      <c r="BM46" s="122" t="n">
        <f aca="false">IF(ISNA(VLOOKUP(A46,'Données projet'!$A$87:$I$107,5,0)),0%,VLOOKUP(A46,'Données projet'!$A$87:$I$107,5,0)*VLOOKUP('Données projet'!$B$11,Paramètres!$A$1:$I$89,7,0))</f>
        <v>0</v>
      </c>
      <c r="BN46" s="122" t="n">
        <f aca="false">IF(ISNA(VLOOKUP(A46,'Données projet'!$A$87:$I$107,6,0)),0%,VLOOKUP(A46,'Données projet'!$A$87:$I$107,6,0)*VLOOKUP('Données projet'!$B$11,Paramètres!$A$1:$I$89,7,0))</f>
        <v>0</v>
      </c>
      <c r="BO46" s="122" t="n">
        <f aca="false">IF(ISNA(VLOOKUP(A46,'Données projet'!$A$87:$I$107,7,0)),0%,VLOOKUP(A46,'Données projet'!$A$87:$I$107,7,0))</f>
        <v>0</v>
      </c>
      <c r="BP46" s="129" t="n">
        <f aca="false">EXP(-LN(2)/35)*BP45+(1-EXP(-LN(2)/35))/(LN(2)/35)*BL46*BM46*VLOOKUP('Données projet'!$B$11,Paramètres!$A$1:$I$89,3,0)*0.475*44/12</f>
        <v>6.64893698033837</v>
      </c>
      <c r="BQ46" s="129" t="n">
        <f aca="false">EXP(-LN(2)/25)*BQ45+(1-EXP(-LN(2)/25))/(LN(2)/25)*Calculateur!BL46*Calculateur!BN46*VLOOKUP('Données projet'!$B$11,Paramètres!$A$1:$I$89,3,0)*0.475*44/12</f>
        <v>9.40202323304578</v>
      </c>
      <c r="BR46" s="129" t="n">
        <f aca="false">EXP(-LN(2)/2)*BR45+(1-EXP(-LN(2)/2))/(LN(2)/2)*BL46*BO46*VLOOKUP('Données projet'!$B$11,Paramètres!$A$1:$I$89,3,0)*0.475*44/12</f>
        <v>0.0667442925305706</v>
      </c>
      <c r="BS46" s="130" t="n">
        <f aca="false">SUM(BP46:BR46)</f>
        <v>16.1177045059147</v>
      </c>
      <c r="BT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8" t="e">
        <f aca="false">VLOOKUP(A46,'Données projet'!$A$113:$I$133,2,0)</f>
        <v>#N/A</v>
      </c>
      <c r="BW46" s="118" t="e">
        <f aca="false">VLOOKUP(A46,'Données projet'!$A$113:$I$133,9,0)</f>
        <v>#N/A</v>
      </c>
      <c r="BX46" s="118" t="n">
        <f aca="false" t="array" ref="BX46:BX46">INDEX(BW:BW,MIN(IF(ISNUMBER(BW46:BW242),ROW(BW46:BW242),"")))</f>
        <v>10.6666666666667</v>
      </c>
      <c r="BY46" s="118" t="n">
        <f aca="false">IF('Données projet'!$A$114&gt;35,BY45+BX46-CG45,IF(A46&lt;'Données projet'!$A$114,$BV$205^A46,IF(A46='Données projet'!$A$114,'Données projet'!$B$114,BY45+BX46-CG45)))</f>
        <v>198.666666666667</v>
      </c>
      <c r="BZ46" s="117" t="n">
        <f aca="false">BY46*VLOOKUP('Données projet'!$B$12,Paramètres!$A$1:$I$89,3,0)*VLOOKUP('Données projet'!$B$12,Paramètres!$A$1:$I$89,5,0)</f>
        <v>123.968</v>
      </c>
      <c r="CA46" s="117" t="n">
        <f aca="false">EXP(-1.0587+0.8836*LN(BZ46)+0.284)</f>
        <v>32.5987106225321</v>
      </c>
      <c r="CB46" s="128" t="n">
        <f aca="false">(BZ46+CA46)*0.475*44/12</f>
        <v>272.68702100091</v>
      </c>
      <c r="CC46" s="120" t="n">
        <f aca="false">CB46+(BT46+BU46)*44/12</f>
        <v>566.020354334243</v>
      </c>
      <c r="CD46" s="120" t="n">
        <f aca="true">AVERAGE(OFFSET($CC$3,0,0,'Données projet'!$E$12+1,1))-AVERAGE(OFFSET($H$3,0,0,'Données projet'!$E$12+1,1))</f>
        <v>240.228848647662</v>
      </c>
      <c r="CE46" s="120" t="n">
        <f aca="false">$CE$3</f>
        <v>343.237768841432</v>
      </c>
      <c r="CF46" s="121" t="n">
        <f aca="false">IF(ISNA(VLOOKUP(A46,'Données projet'!$A$113:$I$133,3,0)),0,VLOOKUP(A46,'Données projet'!$A$113:$I$133,3,0))</f>
        <v>0</v>
      </c>
      <c r="CG46" s="121" t="n">
        <f aca="false">IF(ISNA(VLOOKUP(A46,'Données projet'!$A$113:$I$133,4,0)),0,VLOOKUP(A46,'Données projet'!$A$113:$I$133,4,0))</f>
        <v>0</v>
      </c>
      <c r="CH46" s="122" t="n">
        <f aca="false">IF(ISNA(VLOOKUP(A46,'Données projet'!$A$113:$I$133,5,0)),0%,VLOOKUP(A46,'Données projet'!$A$113:$I$133,5,0)*VLOOKUP('Données projet'!$B$12,Paramètres!$A$1:$I$89,7,0))</f>
        <v>0</v>
      </c>
      <c r="CI46" s="122" t="n">
        <f aca="false">IF(ISNA(VLOOKUP(A46,'Données projet'!$A$113:$I$133,6,0)),0%,VLOOKUP(A46,'Données projet'!$A$113:$I$133,6,0)*VLOOKUP('Données projet'!$B$12,Paramètres!$A$1:$I$89,7,0))</f>
        <v>0</v>
      </c>
      <c r="CJ46" s="122" t="n">
        <f aca="false">IF(ISNA(VLOOKUP(A46,'Données projet'!$A$113:$I$133,7,0)),0%,VLOOKUP(A46,'Données projet'!$A$113:$I$133,7,0))</f>
        <v>0</v>
      </c>
      <c r="CK46" s="129" t="n">
        <f aca="false">EXP(-LN(2)/35)*CK45+(1-EXP(-LN(2)/35))/(LN(2)/35)*CG46*CH46*VLOOKUP('Données projet'!$B$12,Paramètres!$A$1:$I$89,3,0)*0.475*44/12</f>
        <v>4.06966743045069</v>
      </c>
      <c r="CL46" s="129" t="n">
        <f aca="false">EXP(-LN(2)/25)*CL45+(1-EXP(-LN(2)/25))/(LN(2)/25)*Calculateur!CG46*Calculateur!CI46*VLOOKUP('Données projet'!$B$12,Paramètres!$A$1:$I$89,3,0)*0.475*44/12</f>
        <v>16.6045173116184</v>
      </c>
      <c r="CM46" s="129" t="n">
        <f aca="false">EXP(-LN(2)/2)*CM45+(1-EXP(-LN(2)/2))/(LN(2)/2)*CG46*CJ46*VLOOKUP('Données projet'!$B$12,Paramètres!$A$1:$I$89,3,0)*0.475*44/12</f>
        <v>0.106506096860601</v>
      </c>
      <c r="CN46" s="130" t="n">
        <f aca="false">SUM(CK46:CM46)</f>
        <v>20.7806908389297</v>
      </c>
      <c r="CO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8" t="e">
        <f aca="false">VLOOKUP(A46,'Données projet'!$A$139:$I$159,2,0)</f>
        <v>#N/A</v>
      </c>
      <c r="CR46" s="118" t="e">
        <f aca="false">VLOOKUP(A46,'Données projet'!$A$139:$I$159,9,0)</f>
        <v>#N/A</v>
      </c>
      <c r="CS46" s="118" t="n">
        <f aca="false" t="array" ref="CS46:CS46">INDEX(CR:CR,MIN(IF(ISNUMBER(CR46:CR242),ROW(CR46:CR242),"")))</f>
        <v>0</v>
      </c>
      <c r="CT46" s="118" t="n">
        <f aca="false">IF('Données projet'!$A$140&gt;35,CT45+CS46-DB45,IF(A46&lt;'Données projet'!$A$140,$CQ$205^A46,IF(A46='Données projet'!$A$140,'Données projet'!$B$140,CT45+CS46-DB45)))</f>
        <v>-5.6843418860808E-014</v>
      </c>
      <c r="CU46" s="125" t="n">
        <f aca="false">CT46*VLOOKUP('Données projet'!$B$13,Paramètres!$A$1:$I$89,3,0)*VLOOKUP('Données projet'!$B$13,Paramètres!$A$1:$I$89,5,0)</f>
        <v>-3.10365066980012E-014</v>
      </c>
      <c r="CV46" s="117" t="e">
        <f aca="false">EXP(-1.0587+0.8836*LN(CU46)+0.284)</f>
        <v>#VALUE!</v>
      </c>
      <c r="CW46" s="128" t="e">
        <f aca="false">(CU46+CV46)*0.475*44/12</f>
        <v>#VALUE!</v>
      </c>
      <c r="CX46" s="120" t="e">
        <f aca="false">CW46+(CO46+CP46)*44/12</f>
        <v>#VALUE!</v>
      </c>
      <c r="CY46" s="120" t="n">
        <f aca="true">AVERAGE(OFFSET($CX$3,0,0,'Données projet'!$E$13+1,1))-AVERAGE(OFFSET($H$3,0,0,'Données projet'!$E$13+1,1))</f>
        <v>207.023069645676</v>
      </c>
      <c r="CZ46" s="120" t="n">
        <f aca="false">$CZ$3</f>
        <v>342.068879333518</v>
      </c>
      <c r="DA46" s="121" t="n">
        <f aca="false">IF(ISNA(VLOOKUP(A46,'Données projet'!$A$139:$I$159,3,0)),0,VLOOKUP(A46,'Données projet'!$A$139:$I$159,3,0))</f>
        <v>0</v>
      </c>
      <c r="DB46" s="121" t="n">
        <f aca="false">IF(ISNA(VLOOKUP(A46,'Données projet'!$A$139:$I$159,4,0)),0,VLOOKUP(A46,'Données projet'!$A$139:$I$159,4,0))</f>
        <v>0</v>
      </c>
      <c r="DC46" s="122" t="n">
        <f aca="false">IF(ISNA(VLOOKUP(A46,'Données projet'!$A$139:$I$159,5,0)),0%,VLOOKUP(A46,'Données projet'!$A$139:$I$159,5,0)*VLOOKUP('Données projet'!$B$13,Paramètres!$A$1:$I$89,7,0))</f>
        <v>0</v>
      </c>
      <c r="DD46" s="122" t="n">
        <f aca="false">IF(ISNA(VLOOKUP(A46,'Données projet'!$A$139:$I$159,6,0)),0%,VLOOKUP(A46,'Données projet'!$A$139:$I$159,6,0)*VLOOKUP('Données projet'!$B$13,Paramètres!$A$1:$I$89,7,0))</f>
        <v>0</v>
      </c>
      <c r="DE46" s="122" t="n">
        <f aca="false">IF(ISNA(VLOOKUP(A46,'Données projet'!$A$139:$I$159,7,0)),0%,VLOOKUP(A46,'Données projet'!$A$139:$I$159,7,0))</f>
        <v>0</v>
      </c>
      <c r="DF46" s="129" t="n">
        <f aca="false">EXP(-LN(2)/35)*DF45+(1-EXP(-LN(2)/35))/(LN(2)/35)*DB46*DC46*VLOOKUP('Données projet'!$B$13,Paramètres!$A$1:$I$89,3,0)*0.475*44/12</f>
        <v>5.10628083254662</v>
      </c>
      <c r="DG46" s="129" t="n">
        <f aca="false">EXP(-LN(2)/25)*DG45+(1-EXP(-LN(2)/25))/(LN(2)/25)*Calculateur!DB46*Calculateur!DD46*VLOOKUP('Données projet'!$B$13,Paramètres!$A$1:$I$89,3,0)*0.475*44/12</f>
        <v>27.141470208566</v>
      </c>
      <c r="DH46" s="129" t="n">
        <f aca="false">EXP(-LN(2)/2)*DH45+(1-EXP(-LN(2)/2))/(LN(2)/2)*DB46*DE46*VLOOKUP('Données projet'!$B$13,Paramètres!$A$1:$I$89,3,0)*0.475*44/12</f>
        <v>0.146658944755957</v>
      </c>
      <c r="DI46" s="130" t="n">
        <f aca="false">SUM(DF46:DH46)</f>
        <v>32.3944099858686</v>
      </c>
      <c r="DJ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8" t="e">
        <f aca="false">VLOOKUP(A46,'Données projet'!$A$165:$I$185,2,0)</f>
        <v>#N/A</v>
      </c>
      <c r="DM46" s="118" t="e">
        <f aca="false">VLOOKUP(A46,'Données projet'!$A$165:$I$185,9,0)</f>
        <v>#N/A</v>
      </c>
      <c r="DN46" s="118" t="n">
        <f aca="false" t="array" ref="DN46:DN46">INDEX(DM:DM,MIN(IF(ISNUMBER(DM46:DM242),ROW(DM46:DM242),"")))</f>
        <v>359.833333333333</v>
      </c>
      <c r="DO46" s="118" t="n">
        <f aca="false">IF('Données projet'!$A$166&gt;35,DO45+DN46-DW45,IF(A46&lt;'Données projet'!$A$166,$DL$205^A46,IF(A46='Données projet'!$A$166,'Données projet'!$B$166,DO45+DN46-DW45)))</f>
        <v>1313.5</v>
      </c>
      <c r="DP46" s="125" t="n">
        <f aca="false">DO46*VLOOKUP('Données projet'!$B$14,Paramètres!$A$1:$I$89,3,0)*VLOOKUP('Données projet'!$B$14,Paramètres!$A$1:$I$89,5,0)</f>
        <v>785.473</v>
      </c>
      <c r="DQ46" s="117" t="n">
        <f aca="false">EXP(-1.0587+0.8836*LN(DP46)+0.284)</f>
        <v>166.605773485225</v>
      </c>
      <c r="DR46" s="128" t="n">
        <f aca="false">(DP46+DQ46)*0.475*44/12</f>
        <v>1658.2038638201</v>
      </c>
      <c r="DS46" s="120" t="n">
        <f aca="false">DR46+(DJ46+DK46)*44/12</f>
        <v>1951.53719715343</v>
      </c>
      <c r="DT46" s="120" t="n">
        <f aca="true">AVERAGE(OFFSET($DS$3,0,0,'Données projet'!$E$14+1,1))-AVERAGE(OFFSET($H$3,0,0,'Données projet'!$E$14+1,1))</f>
        <v>549.432320957297</v>
      </c>
      <c r="DU46" s="120" t="n">
        <f aca="false">$DU$3</f>
        <v>280.26155987301</v>
      </c>
      <c r="DV46" s="121" t="n">
        <f aca="false">IF(ISNA(VLOOKUP(A46,'Données projet'!$A$165:$I$185,3,0)),0,VLOOKUP(A46,'Données projet'!$A$165:$I$185,3,0))</f>
        <v>0</v>
      </c>
      <c r="DW46" s="121" t="n">
        <f aca="false">IF(ISNA(VLOOKUP(A46,'Données projet'!$A$165:$I$185,4,0)),0,VLOOKUP(A46,'Données projet'!$A$165:$I$185,4,0))</f>
        <v>0</v>
      </c>
      <c r="DX46" s="122" t="n">
        <f aca="false">IF(ISNA(VLOOKUP(A46,'Données projet'!$A$165:$I$185,5,0)),0%,VLOOKUP(A46,'Données projet'!$A$165:$I$185,5,0)*VLOOKUP('Données projet'!$B$14,Paramètres!$A$1:$I$89,7,0))</f>
        <v>0</v>
      </c>
      <c r="DY46" s="122" t="n">
        <f aca="false">IF(ISNA(VLOOKUP(A46,'Données projet'!$A$165:$I$185,6,0)),0%,VLOOKUP(A46,'Données projet'!$A$165:$I$185,6,0)*VLOOKUP('Données projet'!$B$14,Paramètres!$A$1:$I$89,7,0))</f>
        <v>0</v>
      </c>
      <c r="DZ46" s="122" t="n">
        <f aca="false">IF(ISNA(VLOOKUP(A46,'Données projet'!$A$165:$I$185,7,0)),0%,VLOOKUP(A46,'Données projet'!$A$165:$I$185,7,0))</f>
        <v>0</v>
      </c>
      <c r="EA46" s="129" t="n">
        <f aca="false">EXP(-LN(2)/35)*EA45+(1-EXP(-LN(2)/35))/(LN(2)/35)*DW46*DX46*VLOOKUP('Données projet'!$B$14,Paramètres!$A$1:$I$89,3,0)*0.475*44/12</f>
        <v>1.85663801698708</v>
      </c>
      <c r="EB46" s="129" t="n">
        <f aca="false">EXP(-LN(2)/25)*EB45+(1-EXP(-LN(2)/25))/(LN(2)/25)*Calculateur!DW46*Calculateur!DY46*VLOOKUP('Données projet'!$B$14,Paramètres!$A$1:$I$89,3,0)*0.475*44/12</f>
        <v>5.4071163573416</v>
      </c>
      <c r="EC46" s="129" t="n">
        <f aca="false">EXP(-LN(2)/2)*EC45+(1-EXP(-LN(2)/2))/(LN(2)/2)*DW46*DZ46*VLOOKUP('Données projet'!$B$14,Paramètres!$A$1:$I$89,3,0)*0.475*44/12</f>
        <v>0.0676067504203923</v>
      </c>
      <c r="ED46" s="130" t="n">
        <f aca="false">SUM(EA46:EC46)</f>
        <v>7.33136112474907</v>
      </c>
      <c r="EE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8" t="e">
        <f aca="false">VLOOKUP(A46,'Données projet'!$A$191:$I$211,2,0)</f>
        <v>#N/A</v>
      </c>
      <c r="EH46" s="118" t="e">
        <f aca="false">VLOOKUP(A46,'Données projet'!$A$191:$I$211,9,0)</f>
        <v>#N/A</v>
      </c>
      <c r="EI46" s="118" t="n">
        <f aca="false" t="array" ref="EI46:EI46">INDEX(EH:EH,MIN(IF(ISNUMBER(EH46:EH242),ROW(EH46:EH242),"")))</f>
        <v>0</v>
      </c>
      <c r="EJ46" s="118" t="n">
        <f aca="false">IF('Données projet'!$A$192&gt;35,EJ45+EI46-ER45,IF(A46&lt;'Données projet'!$A$192,$EG$205^A46,IF(A46='Données projet'!$A$192,'Données projet'!$B$192,EJ45+EI46-ER45)))</f>
        <v>0</v>
      </c>
      <c r="EK46" s="125" t="e">
        <f aca="false">EJ46*VLOOKUP('Données projet'!$B$15,Paramètres!$A$1:$I$89,3,0)*VLOOKUP('Données projet'!$B$15,Paramètres!$A$1:$I$89,5,0)</f>
        <v>#N/A</v>
      </c>
      <c r="EL46" s="117" t="e">
        <f aca="false">EXP(-1.0587+0.8836*LN(EK46)+0.284)</f>
        <v>#N/A</v>
      </c>
      <c r="EM46" s="128" t="e">
        <f aca="false">(EK46+EL46)*0.475*44/12</f>
        <v>#N/A</v>
      </c>
      <c r="EN46" s="120" t="e">
        <f aca="false">EM46+(EE46+EF46)*44/12</f>
        <v>#N/A</v>
      </c>
      <c r="EO46" s="120" t="e">
        <f aca="true">AVERAGE(OFFSET($EN$3,0,0,'Données projet'!$E$15+1,1))-AVERAGE(OFFSET($H$3,0,0,'Données projet'!$E$15+1,1))</f>
        <v>#N/A</v>
      </c>
      <c r="EP46" s="120" t="e">
        <f aca="false">$EP$3</f>
        <v>#N/A</v>
      </c>
      <c r="EQ46" s="121" t="n">
        <f aca="false">IF(ISNA(VLOOKUP(A46,'Données projet'!$A$191:$I$211,3,0)),0,VLOOKUP(A46,'Données projet'!$A$191:$I$211,3,0))</f>
        <v>0</v>
      </c>
      <c r="ER46" s="121" t="n">
        <f aca="false">IF(ISNA(VLOOKUP(A46,'Données projet'!$A$191:$I$211,4,0)),0,VLOOKUP(A46,'Données projet'!$A$191:$I$211,4,0))</f>
        <v>0</v>
      </c>
      <c r="ES46" s="122" t="n">
        <f aca="false">IF(ISNA(VLOOKUP(A46,'Données projet'!$A$191:$I$211,5,0)),0%,VLOOKUP(A46,'Données projet'!$A$191:$I$211,5,0)*VLOOKUP('Données projet'!$B$15,Paramètres!$A$1:$I$89,7,0))</f>
        <v>0</v>
      </c>
      <c r="ET46" s="122" t="n">
        <f aca="false">IF(ISNA(VLOOKUP(A46,'Données projet'!$A$191:$I$211,6,0)),0%,VLOOKUP(A46,'Données projet'!$A$191:$I$211,6,0)*VLOOKUP('Données projet'!$B$15,Paramètres!$A$1:$I$89,7,0))</f>
        <v>0</v>
      </c>
      <c r="EU46" s="122" t="n">
        <f aca="false">IF(ISNA(VLOOKUP(A46,'Données projet'!$A$191:$I$211,7,0)),0%,VLOOKUP(A46,'Données projet'!$A$191:$I$211,7,0))</f>
        <v>0</v>
      </c>
      <c r="EV46" s="129" t="e">
        <f aca="false">EXP(-LN(2)/35)*EV45+(1-EXP(-LN(2)/35))/(LN(2)/35)*ER46*ES46*VLOOKUP('Données projet'!$B$15,Paramètres!$A$1:$I$89,3,0)*0.475*44/12</f>
        <v>#N/A</v>
      </c>
      <c r="EW46" s="129" t="e">
        <f aca="false">EXP(-LN(2)/25)*EW45+(1-EXP(-LN(2)/25))/(LN(2)/25)*Calculateur!ER46*Calculateur!ET46*VLOOKUP('Données projet'!$B$15,Paramètres!$A$1:$I$89,3,0)*0.475*44/12</f>
        <v>#N/A</v>
      </c>
      <c r="EX46" s="129" t="e">
        <f aca="false">EXP(-LN(2)/2)*EX45+(1-EXP(-LN(2)/2))/(LN(2)/2)*ER46*EU46*VLOOKUP('Données projet'!$B$15,Paramètres!$A$1:$I$89,3,0)*0.475*44/12</f>
        <v>#N/A</v>
      </c>
      <c r="EY46" s="130" t="e">
        <f aca="false">SUM(EV46:EX46)</f>
        <v>#N/A</v>
      </c>
      <c r="EZ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8" t="e">
        <f aca="false">VLOOKUP(A46,'Données projet'!$A$217:$I$237,2,0)</f>
        <v>#N/A</v>
      </c>
      <c r="FC46" s="118" t="e">
        <f aca="false">VLOOKUP(A46,'Données projet'!$A$217:$I$237,9,0)</f>
        <v>#N/A</v>
      </c>
      <c r="FD46" s="118" t="n">
        <f aca="false" t="array" ref="FD46:FD46">INDEX(FC:FC,MIN(IF(ISNUMBER(FC46:FC242),ROW(FC46:FC242),"")))</f>
        <v>0</v>
      </c>
      <c r="FE46" s="118" t="n">
        <f aca="false">IF('Données projet'!$A$218&gt;35,FE45+FD46-FM45,IF(A46&lt;'Données projet'!$A$218,$FB$205^A46,IF(A46='Données projet'!$A$218,'Données projet'!$B$218,FE45+FD46-FM45)))</f>
        <v>0</v>
      </c>
      <c r="FF46" s="125" t="e">
        <f aca="false">FE46*VLOOKUP('Données projet'!$B$16,Paramètres!$A$1:$I$89,3,0)*VLOOKUP('Données projet'!$B$16,Paramètres!$A$1:$I$89,5,0)</f>
        <v>#N/A</v>
      </c>
      <c r="FG46" s="117" t="e">
        <f aca="false">EXP(-1.0587+0.8836*LN(FF46)+0.284)</f>
        <v>#N/A</v>
      </c>
      <c r="FH46" s="128" t="e">
        <f aca="false">(FF46+FG46)*0.475*44/12</f>
        <v>#N/A</v>
      </c>
      <c r="FI46" s="120" t="e">
        <f aca="false">FH46+(EZ46+FA46)*44/12</f>
        <v>#N/A</v>
      </c>
      <c r="FJ46" s="120" t="e">
        <f aca="true">AVERAGE(OFFSET($FI$3,0,0,'Données projet'!$E$16+1,1))-AVERAGE(OFFSET($H$3,0,0,'Données projet'!$E$16+1,1))</f>
        <v>#N/A</v>
      </c>
      <c r="FK46" s="120" t="e">
        <f aca="false">$FK$3</f>
        <v>#N/A</v>
      </c>
      <c r="FL46" s="121" t="n">
        <f aca="false">IF(ISNA(VLOOKUP(A46,'Données projet'!$A$217:$I$237,3,0)),0,VLOOKUP(A46,'Données projet'!$A$217:$I$237,3,0))</f>
        <v>0</v>
      </c>
      <c r="FM46" s="121" t="n">
        <f aca="false">IF(ISNA(VLOOKUP(A46,'Données projet'!$A$217:$I$237,4,0)),0,VLOOKUP(A46,'Données projet'!$A$217:$I$237,4,0))</f>
        <v>0</v>
      </c>
      <c r="FN46" s="122" t="n">
        <f aca="false">IF(ISNA(VLOOKUP(A46,'Données projet'!$A$217:$I$237,5,0)),0%,VLOOKUP(A46,'Données projet'!$A$217:$I$237,5,0)*VLOOKUP('Données projet'!$B$16,Paramètres!$A$1:$I$89,7,0))</f>
        <v>0</v>
      </c>
      <c r="FO46" s="122" t="n">
        <f aca="false">IF(ISNA(VLOOKUP(A46,'Données projet'!$A$217:$I$237,6,0)),0%,VLOOKUP(A46,'Données projet'!$A$217:$I$237,6,0)*VLOOKUP('Données projet'!$B$16,Paramètres!$A$1:$I$89,7,0))</f>
        <v>0</v>
      </c>
      <c r="FP46" s="122" t="n">
        <f aca="false">IF(ISNA(VLOOKUP(A46,'Données projet'!$A$217:$I$237,7,0)),0%,VLOOKUP(A46,'Données projet'!$A$217:$I$237,7,0))</f>
        <v>0</v>
      </c>
      <c r="FQ46" s="129" t="e">
        <f aca="false">EXP(-LN(2)/35)*FQ45+(1-EXP(-LN(2)/35))/(LN(2)/35)*FM46*FN46*VLOOKUP('Données projet'!$B$16,Paramètres!$A$1:$I$89,3,0)*0.475*44/12</f>
        <v>#N/A</v>
      </c>
      <c r="FR46" s="129" t="e">
        <f aca="false">EXP(-LN(2)/25)*FR45+(1-EXP(-LN(2)/25))/(LN(2)/25)*Calculateur!FM46*Calculateur!FO46*VLOOKUP('Données projet'!$B$16,Paramètres!$A$1:$I$89,3,0)*0.475*44/12</f>
        <v>#N/A</v>
      </c>
      <c r="FS46" s="129" t="e">
        <f aca="false">EXP(-LN(2)/2)*FS45+(1-EXP(-LN(2)/2))/(LN(2)/2)*FM46*FP46*VLOOKUP('Données projet'!$B$16,Paramètres!$A$1:$I$89,3,0)*0.475*44/12</f>
        <v>#N/A</v>
      </c>
      <c r="FT46" s="130" t="e">
        <f aca="false">SUM(FQ46:FS46)</f>
        <v>#N/A</v>
      </c>
      <c r="FU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8" t="e">
        <f aca="false">VLOOKUP(A46,'Données projet'!$A$243:$I$263,2,0)</f>
        <v>#N/A</v>
      </c>
      <c r="FX46" s="118" t="e">
        <f aca="false">VLOOKUP(A46,'Données projet'!$A$243:$I$263,9,0)</f>
        <v>#N/A</v>
      </c>
      <c r="FY46" s="118" t="n">
        <f aca="false" t="array" ref="FY46:FY46">INDEX(FX:FX,MIN(IF(ISNUMBER(FX46:FX242),ROW(FX46:FX242),"")))</f>
        <v>0</v>
      </c>
      <c r="FZ46" s="118" t="n">
        <f aca="false">IF('Données projet'!$A$244&gt;35,FZ45+FY46-GH45,IF(A46&lt;'Données projet'!$A$244,$FW$205^A46,IF(A46='Données projet'!$A$244,'Données projet'!$B$244,FZ45+FY46-GH45)))</f>
        <v>0</v>
      </c>
      <c r="GA46" s="125" t="e">
        <f aca="false">FZ46*VLOOKUP('Données projet'!$B$17,Paramètres!$A$1:$I$89,3,0)*VLOOKUP('Données projet'!$B$17,Paramètres!$A$1:$I$89,5,0)</f>
        <v>#N/A</v>
      </c>
      <c r="GB46" s="117" t="e">
        <f aca="false">EXP(-1.0587+0.8836*LN(GA46)+0.284)</f>
        <v>#N/A</v>
      </c>
      <c r="GC46" s="128" t="e">
        <f aca="false">(GA46+GB46)*0.475*44/12</f>
        <v>#N/A</v>
      </c>
      <c r="GD46" s="120" t="e">
        <f aca="false">GC46+(FU46+FV46)*44/12</f>
        <v>#N/A</v>
      </c>
      <c r="GE46" s="120" t="e">
        <f aca="true">AVERAGE(OFFSET($GD$3,0,0,'Données projet'!$E$17+1,1))-AVERAGE(OFFSET($H$3,0,0,'Données projet'!$E$17+1,1))</f>
        <v>#N/A</v>
      </c>
      <c r="GF46" s="120" t="e">
        <f aca="false">$GF$3</f>
        <v>#N/A</v>
      </c>
      <c r="GG46" s="121" t="n">
        <f aca="false">IF(ISNA(VLOOKUP(A46,'Données projet'!$A$243:$I$263,3,0)),0,VLOOKUP(A46,'Données projet'!$A$243:$I$263,3,0))</f>
        <v>0</v>
      </c>
      <c r="GH46" s="121" t="n">
        <f aca="false">IF(ISNA(VLOOKUP(A46,'Données projet'!$A$243:$I$263,4,0)),0,VLOOKUP(A46,'Données projet'!$A$243:$I$263,4,0))</f>
        <v>0</v>
      </c>
      <c r="GI46" s="122" t="n">
        <f aca="false">IF(ISNA(VLOOKUP(A46,'Données projet'!$A$243:$I$263,5,0)),0%,VLOOKUP(A46,'Données projet'!$A$243:$I$263,5,0)*VLOOKUP('Données projet'!$B$17,Paramètres!$A$1:$I$89,7,0))</f>
        <v>0</v>
      </c>
      <c r="GJ46" s="122" t="n">
        <f aca="false">IF(ISNA(VLOOKUP(A46,'Données projet'!$A$243:$I$263,6,0)),0%,VLOOKUP(A46,'Données projet'!$A$243:$I$263,6,0)*VLOOKUP('Données projet'!$B$17,Paramètres!$A$1:$I$89,7,0))</f>
        <v>0</v>
      </c>
      <c r="GK46" s="122" t="n">
        <f aca="false">IF(ISNA(VLOOKUP(A46,'Données projet'!$A$243:$I$263,7,0)),0%,VLOOKUP(A46,'Données projet'!$A$243:$I$263,7,0))</f>
        <v>0</v>
      </c>
      <c r="GL46" s="129" t="e">
        <f aca="false">EXP(-LN(2)/35)*GL45+(1-EXP(-LN(2)/35))/(LN(2)/35)*GH46*GI46*VLOOKUP('Données projet'!$B$17,Paramètres!$A$1:$I$89,3,0)*0.475*44/12</f>
        <v>#N/A</v>
      </c>
      <c r="GM46" s="129" t="e">
        <f aca="false">EXP(-LN(2)/25)*GM45+(1-EXP(-LN(2)/25))/(LN(2)/25)*Calculateur!GH46*Calculateur!GJ46*VLOOKUP('Données projet'!$B$17,Paramètres!$A$1:$I$89,3,0)*0.475*44/12</f>
        <v>#N/A</v>
      </c>
      <c r="GN46" s="129" t="e">
        <f aca="false">EXP(-LN(2)/2)*GN45+(1-EXP(-LN(2)/2))/(LN(2)/2)*GH46*GK46*VLOOKUP('Données projet'!$B$17,Paramètres!$A$1:$I$89,3,0)*0.475*44/12</f>
        <v>#N/A</v>
      </c>
      <c r="GO46" s="129" t="e">
        <f aca="false">SUM(GL46:GN46)</f>
        <v>#N/A</v>
      </c>
      <c r="GP46" s="126" t="n">
        <f aca="false"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8" t="n">
        <f aca="false"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8" t="e">
        <f aca="false">VLOOKUP(A46,'Données projet'!$A$269:$I$289,2,0)</f>
        <v>#N/A</v>
      </c>
      <c r="GS46" s="118" t="e">
        <f aca="false">VLOOKUP(A46,'Données projet'!$A$269:$I$289,9,0)</f>
        <v>#N/A</v>
      </c>
      <c r="GT46" s="118" t="n">
        <f aca="false" t="array" ref="GT46:GT46">INDEX(GS:GS,MIN(IF(ISNUMBER(GS46:GS242),ROW(GS46:GS242),"")))</f>
        <v>0</v>
      </c>
      <c r="GU46" s="118" t="n">
        <f aca="false">IF('Données projet'!$A$270&gt;35,GU45+GT46-HC45,IF(A46&lt;'Données projet'!$A$270,$GR$205^A46,IF(A46='Données projet'!$A$270,'Données projet'!$B$270,GU45+GT46-HC45)))</f>
        <v>0</v>
      </c>
      <c r="GV46" s="125" t="e">
        <f aca="false">GU46*VLOOKUP('Données projet'!$B$18,Paramètres!$A$1:$I$89,3,0)*VLOOKUP('Données projet'!$B$18,Paramètres!$A$1:$I$89,5,0)</f>
        <v>#N/A</v>
      </c>
      <c r="GW46" s="117" t="e">
        <f aca="false">EXP(-1.0587+0.8836*LN(GV46)+0.284)</f>
        <v>#N/A</v>
      </c>
      <c r="GX46" s="128" t="e">
        <f aca="false">(GV46+GW46)*0.475*44/12</f>
        <v>#N/A</v>
      </c>
      <c r="GY46" s="120" t="e">
        <f aca="false">GX46+(GP46+GQ46)*44/12</f>
        <v>#N/A</v>
      </c>
      <c r="GZ46" s="120" t="e">
        <f aca="true">AVERAGE(OFFSET($GY$3,0,0,'Données projet'!$E$18+1,1))-AVERAGE(OFFSET($H$3,0,0,'Données projet'!$E$18+1,1))</f>
        <v>#N/A</v>
      </c>
      <c r="HA46" s="120" t="e">
        <f aca="false">$HA$3</f>
        <v>#N/A</v>
      </c>
      <c r="HB46" s="121" t="n">
        <f aca="false">IF(ISNA(VLOOKUP(A46,'Données projet'!$A$269:$I$289,3,0)),0,VLOOKUP(A46,'Données projet'!$A$269:$I$289,3,0))</f>
        <v>0</v>
      </c>
      <c r="HC46" s="121" t="n">
        <f aca="false">IF(ISNA(VLOOKUP(A46,'Données projet'!$A$269:$I$289,4,0)),0,VLOOKUP(A46,'Données projet'!$A$269:$I$289,4,0))</f>
        <v>0</v>
      </c>
      <c r="HD46" s="122" t="n">
        <f aca="false">IF(ISNA(VLOOKUP(A46,'Données projet'!$A$269:$I$289,5,0)),0%,VLOOKUP(A46,'Données projet'!$A$269:$I$289,5,0)*VLOOKUP('Données projet'!$B$18,Paramètres!$A$1:$I$89,7,0))</f>
        <v>0</v>
      </c>
      <c r="HE46" s="122" t="n">
        <f aca="false">IF(ISNA(VLOOKUP(A46,'Données projet'!$A$269:$I$289,6,0)),0%,VLOOKUP(A46,'Données projet'!$A$269:$I$289,6,0)*VLOOKUP('Données projet'!$B$18,Paramètres!$A$1:$I$89,7,0))</f>
        <v>0</v>
      </c>
      <c r="HF46" s="122" t="n">
        <f aca="false">IF(ISNA(VLOOKUP(A46,'Données projet'!$A$269:$I$289,7,0)),0%,VLOOKUP(A46,'Données projet'!$A$269:$I$289,7,0))</f>
        <v>0</v>
      </c>
      <c r="HG46" s="129" t="e">
        <f aca="false">EXP(-LN(2)/35)*HG45+(1-EXP(-LN(2)/35))/(LN(2)/35)*HC46*HD46*VLOOKUP('Données projet'!$B$18,Paramètres!$A$1:$I$89,3,0)*0.475*44/12</f>
        <v>#N/A</v>
      </c>
      <c r="HH46" s="129" t="e">
        <f aca="false">EXP(-LN(2)/25)*HH45+(1-EXP(-LN(2)/25))/(LN(2)/25)*Calculateur!HC46*Calculateur!HE46*VLOOKUP('Données projet'!$B$18,Paramètres!$A$1:$I$89,3,0)*0.475*44/12</f>
        <v>#N/A</v>
      </c>
      <c r="HI46" s="129" t="e">
        <f aca="false">EXP(-LN(2)/2)*HI45+(1-EXP(-LN(2)/2))/(LN(2)/2)*HC46*HF46*VLOOKUP('Données projet'!$B$18,Paramètres!$A$1:$I$89,3,0)*0.475*44/12</f>
        <v>#N/A</v>
      </c>
      <c r="HJ46" s="130" t="e">
        <f aca="false">SUM(HG46:HI46)</f>
        <v>#N/A</v>
      </c>
    </row>
    <row r="47" customFormat="false" ht="14.25" hidden="false" customHeight="false" outlineLevel="0" collapsed="false">
      <c r="A47" s="112" t="n">
        <f aca="false">A46+1</f>
        <v>44</v>
      </c>
      <c r="B47" s="113" t="n">
        <f aca="false">'Scénario référence'!$B$16*5+'Scénario référence'!$B$17*0+'Scénario référence'!$B$18*5</f>
        <v>0</v>
      </c>
      <c r="C47" s="127" t="n">
        <f aca="false"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4" t="n">
        <f aca="false">IFERROR(EXP(-1.0587+0.8836*LN(C47)+0.284),0)</f>
        <v>0</v>
      </c>
      <c r="E4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7" s="114" t="n">
        <f aca="false">IF(OR('Scénario référence'!$F$8&gt;0,'Scénario référence'!$F$9&gt;0),('Scénario référence'!$F$8+'Scénario référence'!$F$9)*10,0)</f>
        <v>0</v>
      </c>
      <c r="G47" s="114" t="n">
        <f aca="false"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15" t="n">
        <f aca="false">(B47+E47+F47)*44/12+(C47+D47)*0.475*44/12</f>
        <v>256.666666666667</v>
      </c>
      <c r="I47" s="11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7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8" t="e">
        <f aca="false">VLOOKUP(A47,'Données projet'!$A$35:$I$55,2,0)</f>
        <v>#N/A</v>
      </c>
      <c r="L47" s="118" t="e">
        <f aca="false">VLOOKUP(A47,'Données projet'!$A$35:$I$55,9,0)</f>
        <v>#N/A</v>
      </c>
      <c r="M47" s="118" t="n">
        <f aca="false" t="array" ref="M47:M47">INDEX(L:L,MIN(IF(ISNUMBER(L47:L243),ROW(L47:L243),"")))</f>
        <v>11.5</v>
      </c>
      <c r="N47" s="117" t="n">
        <f aca="false">IF('Données projet'!$A$36&gt;35,N46+M47-V46,IF(A47&lt;'Données projet'!$A$36,$K$205^A47,IF(A47='Données projet'!$A$36,'Données projet'!$B$36,N46+M47-V46)))</f>
        <v>219.5</v>
      </c>
      <c r="O47" s="117" t="n">
        <f aca="false">N47*VLOOKUP('Données projet'!$B$9,Paramètres!$A$1:$I$89,3,0)*VLOOKUP('Données projet'!$B$9,Paramètres!$A$1:$I$89,5,0)</f>
        <v>102.726</v>
      </c>
      <c r="P47" s="117" t="n">
        <f aca="false">EXP(-1.0587+0.8836*LN(O47)+0.284)</f>
        <v>27.6104094171642</v>
      </c>
      <c r="Q47" s="128" t="n">
        <f aca="false">(O47+P47)*0.475*44/12</f>
        <v>227.002579734894</v>
      </c>
      <c r="R47" s="120" t="n">
        <f aca="false">Q47+(I47+J47)*44/12</f>
        <v>520.335913068227</v>
      </c>
      <c r="S47" s="120" t="n">
        <f aca="true">AVERAGE(OFFSET($R$3,0,0,'Données projet'!$E$9+1,1))-AVERAGE(OFFSET($H$3,0,0,'Données projet'!$E$9+1,1))</f>
        <v>319.229030946746</v>
      </c>
      <c r="T47" s="120" t="n">
        <f aca="false">$T$3</f>
        <v>254.586909731428</v>
      </c>
      <c r="U47" s="121" t="n">
        <f aca="false">IF(ISNA(VLOOKUP(A47,'Données projet'!$A$35:$I$55,3,0)),0,VLOOKUP(A47,'Données projet'!$A$35:$I$55,3,0))</f>
        <v>0</v>
      </c>
      <c r="V47" s="121" t="n">
        <f aca="false">IF(ISNA(VLOOKUP(A47,'Données projet'!$A$35:$I$55,4,0)),0,VLOOKUP(A47,'Données projet'!$A$35:$I$55,4,0))</f>
        <v>0</v>
      </c>
      <c r="W47" s="122" t="n">
        <f aca="false">IF(ISNA(VLOOKUP(A47,'Données projet'!$A$35:$I$55,5,0)),0%,VLOOKUP(A47,'Données projet'!$A$35:$I$55,5,0)*VLOOKUP('Données projet'!$B$9,Paramètres!$A$1:$I$89,7,0))</f>
        <v>0</v>
      </c>
      <c r="X47" s="122" t="n">
        <f aca="false">IF(ISNA(VLOOKUP(A47,'Données projet'!$A$35:$I$55,6,0)),0%,VLOOKUP(A47,'Données projet'!$A$35:$I$55,6,0)*VLOOKUP('Données projet'!$B$9,Paramètres!$A$1:$I$89,7,0))</f>
        <v>0</v>
      </c>
      <c r="Y47" s="122" t="n">
        <f aca="false">IF(ISNA(VLOOKUP(A47,'Données projet'!$A$35:$I$55,7,0)),0%,VLOOKUP(A47,'Données projet'!$A$35:$I$55,7,0))</f>
        <v>0</v>
      </c>
      <c r="Z47" s="129" t="n">
        <f aca="false">EXP(-LN(2)/35)*Z46+(1-EXP(-LN(2)/35))/(LN(2)/35)*V47*W47*VLOOKUP('Données projet'!$B$9,Paramètres!$A$1:$I$89,3,0)*0.475*44/12</f>
        <v>6.87844844346714</v>
      </c>
      <c r="AA47" s="129" t="n">
        <f aca="false">EXP(-LN(2)/25)*AA46+(1-EXP(-LN(2)/25))/(LN(2)/25)*Calculateur!V47*Calculateur!X47*VLOOKUP('Données projet'!$B$9,Paramètres!$A$1:$I$89,3,0)*0.475*44/12</f>
        <v>7.56396463135814</v>
      </c>
      <c r="AB47" s="129" t="n">
        <f aca="false">EXP(-LN(2)/2)*AB46+(1-EXP(-LN(2)/2))/(LN(2)/2)*V47*Y47*VLOOKUP('Données projet'!$B$9,Paramètres!$A$1:$I$89,3,0)*0.475*44/12</f>
        <v>0.0862744425281122</v>
      </c>
      <c r="AC47" s="130" t="n">
        <f aca="false">SUM(Z47:AB47)</f>
        <v>14.5286875173534</v>
      </c>
      <c r="AD47" s="117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7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8" t="e">
        <f aca="false">VLOOKUP(A47,'Données projet'!$A$61:$I$81,2,0)</f>
        <v>#N/A</v>
      </c>
      <c r="AG47" s="118" t="e">
        <f aca="false">VLOOKUP(A47,'Données projet'!$A$61:$I$81,9,0)</f>
        <v>#N/A</v>
      </c>
      <c r="AH47" s="118" t="n">
        <f aca="false" t="array" ref="AH47:AH47">INDEX(AG:AG,MIN(IF(ISNUMBER(AG47:AG243),ROW(AG47:AG243),"")))</f>
        <v>20.6</v>
      </c>
      <c r="AI47" s="117" t="n">
        <f aca="false">IF('Données projet'!$A$62&gt;35,AI46+AH47-AQ46,IF(A47&lt;'Données projet'!$A$62,$AF$205^A47,IF(A47='Données projet'!$A$62,'Données projet'!$B$62,AI46+AH47-AQ46)))</f>
        <v>505.4</v>
      </c>
      <c r="AJ47" s="117" t="n">
        <f aca="false">AI47*VLOOKUP('Données projet'!$B$10,Paramètres!$A$1:$I$89,3,0)*VLOOKUP('Données projet'!$B$10,Paramètres!$A$1:$I$89,5,0)</f>
        <v>282.5186</v>
      </c>
      <c r="AK47" s="117" t="n">
        <f aca="false">EXP(-1.0587+0.8836*LN(AJ47)+0.284)</f>
        <v>67.4989837515575</v>
      </c>
      <c r="AL47" s="128" t="n">
        <f aca="false">(AJ47+AK47)*0.475*44/12</f>
        <v>609.613958367296</v>
      </c>
      <c r="AM47" s="120" t="n">
        <f aca="false">AL47+(AD47+AE47)*44/12</f>
        <v>902.94729170063</v>
      </c>
      <c r="AN47" s="120" t="n">
        <f aca="true">AVERAGE(OFFSET($AM$3,0,0,'Données projet'!$E$10+1,1))-AVERAGE(OFFSET($H$3,0,0,'Données projet'!$E$10+1,1))</f>
        <v>365.705101827279</v>
      </c>
      <c r="AO47" s="120" t="n">
        <f aca="false">$AO$3</f>
        <v>436.238338449625</v>
      </c>
      <c r="AP47" s="121" t="n">
        <f aca="false">IF(ISNA(VLOOKUP(A47,'Données projet'!$A$61:$I$81,3,0)),0,VLOOKUP(A47,'Données projet'!$A$61:$I$81,3,0))</f>
        <v>0</v>
      </c>
      <c r="AQ47" s="121" t="n">
        <f aca="false">IF(ISNA(VLOOKUP(A47,'Données projet'!$A$61:$I$81,4,0)),0,VLOOKUP(A47,'Données projet'!$A$61:$I$81,4,0))</f>
        <v>0</v>
      </c>
      <c r="AR47" s="122" t="n">
        <f aca="false">IF(ISNA(VLOOKUP(A47,'Données projet'!$A$61:$I$81,5,0)),0%,VLOOKUP(A47,'Données projet'!$A$61:$I$81,5,0)*VLOOKUP('Données projet'!$B$10,Paramètres!$A$1:$I$89,7,0))</f>
        <v>0</v>
      </c>
      <c r="AS47" s="122" t="n">
        <f aca="false">IF(ISNA(VLOOKUP(A47,'Données projet'!$A$61:$I$81,6,0)),0%,VLOOKUP(A47,'Données projet'!$A$61:$I$81,6,0)*VLOOKUP('Données projet'!$B$10,Paramètres!$A$1:$I$89,7,0))</f>
        <v>0</v>
      </c>
      <c r="AT47" s="122" t="n">
        <f aca="false">IF(ISNA(VLOOKUP(A47,'Données projet'!$A$61:$I$81,7,0)),0%,VLOOKUP(A47,'Données projet'!$A$61:$I$81,7,0))</f>
        <v>0</v>
      </c>
      <c r="AU47" s="129" t="n">
        <f aca="false">EXP(-LN(2)/35)*AU46+(1-EXP(-LN(2)/35))/(LN(2)/35)*AQ47*AR47*VLOOKUP('Données projet'!$B$10,Paramètres!$A$1:$I$89,3,0)*0.475*44/12</f>
        <v>2.59639127841402</v>
      </c>
      <c r="AV47" s="129" t="n">
        <f aca="false">EXP(-LN(2)/25)*AV46+(1-EXP(-LN(2)/25))/(LN(2)/25)*Calculateur!AQ47*Calculateur!AS47*VLOOKUP('Données projet'!$B$10,Paramètres!$A$1:$I$89,3,0)*0.475*44/12</f>
        <v>8.95910712320713</v>
      </c>
      <c r="AW47" s="129" t="n">
        <f aca="false">EXP(-LN(2)/2)*AW46+(1-EXP(-LN(2)/2))/(LN(2)/2)*AQ47*AT47*VLOOKUP('Données projet'!$B$10,Paramètres!$A$1:$I$89,3,0)*0.475*44/12</f>
        <v>0.0464302084818421</v>
      </c>
      <c r="AX47" s="129" t="n">
        <f aca="false">SUM(AU47:AW47)</f>
        <v>11.601928610103</v>
      </c>
      <c r="AY47" s="124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8" t="e">
        <f aca="false">VLOOKUP(A47,'Données projet'!$A$87:$I$107,2,0)</f>
        <v>#N/A</v>
      </c>
      <c r="BB47" s="118" t="e">
        <f aca="false">VLOOKUP(A47,'Données projet'!$A$87:$I$107,9,0)</f>
        <v>#N/A</v>
      </c>
      <c r="BC47" s="118" t="n">
        <f aca="false" t="array" ref="BC47:BC47">INDEX(BB:BB,MIN(IF(ISNUMBER(BB47:BB243),ROW(BB47:BB243),"")))</f>
        <v>9.8</v>
      </c>
      <c r="BD47" s="118" t="n">
        <f aca="false">IF('Données projet'!$A$88&gt;35,BD46+BC47-BL46,IF(A47&lt;'Données projet'!$A$88,$BA$205^A47,IF(A47='Données projet'!$A$88,'Données projet'!$B$88,BD46+BC47-BL46)))</f>
        <v>213.2</v>
      </c>
      <c r="BE47" s="117" t="n">
        <f aca="false">BD47*VLOOKUP('Données projet'!$B$11,Paramètres!$A$1:$I$89,3,0)*VLOOKUP('Données projet'!$B$11,Paramètres!$A$1:$I$89,5,0)</f>
        <v>186.25152</v>
      </c>
      <c r="BF47" s="117" t="n">
        <f aca="false">EXP(-1.0587+0.8836*LN(BE47)+0.284)</f>
        <v>46.7102585151567</v>
      </c>
      <c r="BG47" s="128" t="n">
        <f aca="false">(BE47+BF47)*0.475*44/12</f>
        <v>405.741764247231</v>
      </c>
      <c r="BH47" s="120" t="n">
        <f aca="false">BG47+(AY47+AZ47)*44/12</f>
        <v>699.075097580565</v>
      </c>
      <c r="BI47" s="120" t="n">
        <f aca="true">AVERAGE(OFFSET($BH$3,0,0,'Données projet'!$E$11+1,1))-AVERAGE(OFFSET($H$3,0,0,'Données projet'!$E$11+1,1))</f>
        <v>321.235999689929</v>
      </c>
      <c r="BJ47" s="120" t="n">
        <f aca="false">$BJ$3</f>
        <v>388.051958478005</v>
      </c>
      <c r="BK47" s="121" t="n">
        <f aca="false">IF(ISNA(VLOOKUP(A47,'Données projet'!$A$87:$I$107,3,0)),0,VLOOKUP(A47,'Données projet'!$A$87:$I$107,3,0))</f>
        <v>0</v>
      </c>
      <c r="BL47" s="121" t="n">
        <f aca="false">IF(ISNA(VLOOKUP(A47,'Données projet'!$A$87:$I$107,4,0)),0,VLOOKUP(A47,'Données projet'!$A$87:$I$107,4,0))</f>
        <v>0</v>
      </c>
      <c r="BM47" s="122" t="n">
        <f aca="false">IF(ISNA(VLOOKUP(A47,'Données projet'!$A$87:$I$107,5,0)),0%,VLOOKUP(A47,'Données projet'!$A$87:$I$107,5,0)*VLOOKUP('Données projet'!$B$11,Paramètres!$A$1:$I$89,7,0))</f>
        <v>0</v>
      </c>
      <c r="BN47" s="122" t="n">
        <f aca="false">IF(ISNA(VLOOKUP(A47,'Données projet'!$A$87:$I$107,6,0)),0%,VLOOKUP(A47,'Données projet'!$A$87:$I$107,6,0)*VLOOKUP('Données projet'!$B$11,Paramètres!$A$1:$I$89,7,0))</f>
        <v>0</v>
      </c>
      <c r="BO47" s="122" t="n">
        <f aca="false">IF(ISNA(VLOOKUP(A47,'Données projet'!$A$87:$I$107,7,0)),0%,VLOOKUP(A47,'Données projet'!$A$87:$I$107,7,0))</f>
        <v>0</v>
      </c>
      <c r="BP47" s="129" t="n">
        <f aca="false">EXP(-LN(2)/35)*BP46+(1-EXP(-LN(2)/35))/(LN(2)/35)*BL47*BM47*VLOOKUP('Données projet'!$B$11,Paramètres!$A$1:$I$89,3,0)*0.475*44/12</f>
        <v>6.51855538160505</v>
      </c>
      <c r="BQ47" s="129" t="n">
        <f aca="false">EXP(-LN(2)/25)*BQ46+(1-EXP(-LN(2)/25))/(LN(2)/25)*Calculateur!BL47*Calculateur!BN47*VLOOKUP('Données projet'!$B$11,Paramètres!$A$1:$I$89,3,0)*0.475*44/12</f>
        <v>9.14492441330723</v>
      </c>
      <c r="BR47" s="129" t="n">
        <f aca="false">EXP(-LN(2)/2)*BR46+(1-EXP(-LN(2)/2))/(LN(2)/2)*BL47*BO47*VLOOKUP('Données projet'!$B$11,Paramètres!$A$1:$I$89,3,0)*0.475*44/12</f>
        <v>0.0471953418538651</v>
      </c>
      <c r="BS47" s="130" t="n">
        <f aca="false">SUM(BP47:BR47)</f>
        <v>15.7106751367661</v>
      </c>
      <c r="BT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8" t="e">
        <f aca="false">VLOOKUP(A47,'Données projet'!$A$113:$I$133,2,0)</f>
        <v>#N/A</v>
      </c>
      <c r="BW47" s="118" t="e">
        <f aca="false">VLOOKUP(A47,'Données projet'!$A$113:$I$133,9,0)</f>
        <v>#N/A</v>
      </c>
      <c r="BX47" s="118" t="n">
        <f aca="false" t="array" ref="BX47:BX47">INDEX(BW:BW,MIN(IF(ISNUMBER(BW47:BW243),ROW(BW47:BW243),"")))</f>
        <v>10.6666666666667</v>
      </c>
      <c r="BY47" s="118" t="n">
        <f aca="false">IF('Données projet'!$A$114&gt;35,BY46+BX47-CG46,IF(A47&lt;'Données projet'!$A$114,$BV$205^A47,IF(A47='Données projet'!$A$114,'Données projet'!$B$114,BY46+BX47-CG46)))</f>
        <v>209.333333333333</v>
      </c>
      <c r="BZ47" s="117" t="n">
        <f aca="false">BY47*VLOOKUP('Données projet'!$B$12,Paramètres!$A$1:$I$89,3,0)*VLOOKUP('Données projet'!$B$12,Paramètres!$A$1:$I$89,5,0)</f>
        <v>130.624</v>
      </c>
      <c r="CA47" s="117" t="n">
        <f aca="false">EXP(-1.0587+0.8836*LN(BZ47)+0.284)</f>
        <v>34.1405072026454</v>
      </c>
      <c r="CB47" s="128" t="n">
        <f aca="false">(BZ47+CA47)*0.475*44/12</f>
        <v>286.964850044607</v>
      </c>
      <c r="CC47" s="120" t="n">
        <f aca="false">CB47+(BT47+BU47)*44/12</f>
        <v>580.298183377941</v>
      </c>
      <c r="CD47" s="120" t="n">
        <f aca="true">AVERAGE(OFFSET($CC$3,0,0,'Données projet'!$E$12+1,1))-AVERAGE(OFFSET($H$3,0,0,'Données projet'!$E$12+1,1))</f>
        <v>240.228848647662</v>
      </c>
      <c r="CE47" s="120" t="n">
        <f aca="false">$CE$3</f>
        <v>343.237768841432</v>
      </c>
      <c r="CF47" s="121" t="n">
        <f aca="false">IF(ISNA(VLOOKUP(A47,'Données projet'!$A$113:$I$133,3,0)),0,VLOOKUP(A47,'Données projet'!$A$113:$I$133,3,0))</f>
        <v>0</v>
      </c>
      <c r="CG47" s="121" t="n">
        <f aca="false">IF(ISNA(VLOOKUP(A47,'Données projet'!$A$113:$I$133,4,0)),0,VLOOKUP(A47,'Données projet'!$A$113:$I$133,4,0))</f>
        <v>0</v>
      </c>
      <c r="CH47" s="122" t="n">
        <f aca="false">IF(ISNA(VLOOKUP(A47,'Données projet'!$A$113:$I$133,5,0)),0%,VLOOKUP(A47,'Données projet'!$A$113:$I$133,5,0)*VLOOKUP('Données projet'!$B$12,Paramètres!$A$1:$I$89,7,0))</f>
        <v>0</v>
      </c>
      <c r="CI47" s="122" t="n">
        <f aca="false">IF(ISNA(VLOOKUP(A47,'Données projet'!$A$113:$I$133,6,0)),0%,VLOOKUP(A47,'Données projet'!$A$113:$I$133,6,0)*VLOOKUP('Données projet'!$B$12,Paramètres!$A$1:$I$89,7,0))</f>
        <v>0</v>
      </c>
      <c r="CJ47" s="122" t="n">
        <f aca="false">IF(ISNA(VLOOKUP(A47,'Données projet'!$A$113:$I$133,7,0)),0%,VLOOKUP(A47,'Données projet'!$A$113:$I$133,7,0))</f>
        <v>0</v>
      </c>
      <c r="CK47" s="129" t="n">
        <f aca="false">EXP(-LN(2)/35)*CK46+(1-EXP(-LN(2)/35))/(LN(2)/35)*CG47*CH47*VLOOKUP('Données projet'!$B$12,Paramètres!$A$1:$I$89,3,0)*0.475*44/12</f>
        <v>3.98986373439158</v>
      </c>
      <c r="CL47" s="129" t="n">
        <f aca="false">EXP(-LN(2)/25)*CL46+(1-EXP(-LN(2)/25))/(LN(2)/25)*Calculateur!CG47*Calculateur!CI47*VLOOKUP('Données projet'!$B$12,Paramètres!$A$1:$I$89,3,0)*0.475*44/12</f>
        <v>16.1504659125386</v>
      </c>
      <c r="CM47" s="129" t="n">
        <f aca="false">EXP(-LN(2)/2)*CM46+(1-EXP(-LN(2)/2))/(LN(2)/2)*CG47*CJ47*VLOOKUP('Données projet'!$B$12,Paramètres!$A$1:$I$89,3,0)*0.475*44/12</f>
        <v>0.0753111833278423</v>
      </c>
      <c r="CN47" s="130" t="n">
        <f aca="false">SUM(CK47:CM47)</f>
        <v>20.215640830258</v>
      </c>
      <c r="CO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8" t="e">
        <f aca="false">VLOOKUP(A47,'Données projet'!$A$139:$I$159,2,0)</f>
        <v>#N/A</v>
      </c>
      <c r="CR47" s="118" t="e">
        <f aca="false">VLOOKUP(A47,'Données projet'!$A$139:$I$159,9,0)</f>
        <v>#N/A</v>
      </c>
      <c r="CS47" s="118" t="n">
        <f aca="false" t="array" ref="CS47:CS47">INDEX(CR:CR,MIN(IF(ISNUMBER(CR47:CR243),ROW(CR47:CR243),"")))</f>
        <v>0</v>
      </c>
      <c r="CT47" s="118" t="n">
        <f aca="false">IF('Données projet'!$A$140&gt;35,CT46+CS47-DB46,IF(A47&lt;'Données projet'!$A$140,$CQ$205^A47,IF(A47='Données projet'!$A$140,'Données projet'!$B$140,CT46+CS47-DB46)))</f>
        <v>-5.6843418860808E-014</v>
      </c>
      <c r="CU47" s="125" t="n">
        <f aca="false">CT47*VLOOKUP('Données projet'!$B$13,Paramètres!$A$1:$I$89,3,0)*VLOOKUP('Données projet'!$B$13,Paramètres!$A$1:$I$89,5,0)</f>
        <v>-3.10365066980012E-014</v>
      </c>
      <c r="CV47" s="117" t="e">
        <f aca="false">EXP(-1.0587+0.8836*LN(CU47)+0.284)</f>
        <v>#VALUE!</v>
      </c>
      <c r="CW47" s="128" t="e">
        <f aca="false">(CU47+CV47)*0.475*44/12</f>
        <v>#VALUE!</v>
      </c>
      <c r="CX47" s="120" t="e">
        <f aca="false">CW47+(CO47+CP47)*44/12</f>
        <v>#VALUE!</v>
      </c>
      <c r="CY47" s="120" t="n">
        <f aca="true">AVERAGE(OFFSET($CX$3,0,0,'Données projet'!$E$13+1,1))-AVERAGE(OFFSET($H$3,0,0,'Données projet'!$E$13+1,1))</f>
        <v>207.023069645676</v>
      </c>
      <c r="CZ47" s="120" t="n">
        <f aca="false">$CZ$3</f>
        <v>342.068879333518</v>
      </c>
      <c r="DA47" s="121" t="n">
        <f aca="false">IF(ISNA(VLOOKUP(A47,'Données projet'!$A$139:$I$159,3,0)),0,VLOOKUP(A47,'Données projet'!$A$139:$I$159,3,0))</f>
        <v>0</v>
      </c>
      <c r="DB47" s="121" t="n">
        <f aca="false">IF(ISNA(VLOOKUP(A47,'Données projet'!$A$139:$I$159,4,0)),0,VLOOKUP(A47,'Données projet'!$A$139:$I$159,4,0))</f>
        <v>0</v>
      </c>
      <c r="DC47" s="122" t="n">
        <f aca="false">IF(ISNA(VLOOKUP(A47,'Données projet'!$A$139:$I$159,5,0)),0%,VLOOKUP(A47,'Données projet'!$A$139:$I$159,5,0)*VLOOKUP('Données projet'!$B$13,Paramètres!$A$1:$I$89,7,0))</f>
        <v>0</v>
      </c>
      <c r="DD47" s="122" t="n">
        <f aca="false">IF(ISNA(VLOOKUP(A47,'Données projet'!$A$139:$I$159,6,0)),0%,VLOOKUP(A47,'Données projet'!$A$139:$I$159,6,0)*VLOOKUP('Données projet'!$B$13,Paramètres!$A$1:$I$89,7,0))</f>
        <v>0</v>
      </c>
      <c r="DE47" s="122" t="n">
        <f aca="false">IF(ISNA(VLOOKUP(A47,'Données projet'!$A$139:$I$159,7,0)),0%,VLOOKUP(A47,'Données projet'!$A$139:$I$159,7,0))</f>
        <v>0</v>
      </c>
      <c r="DF47" s="129" t="n">
        <f aca="false">EXP(-LN(2)/35)*DF46+(1-EXP(-LN(2)/35))/(LN(2)/35)*DB47*DC47*VLOOKUP('Données projet'!$B$13,Paramètres!$A$1:$I$89,3,0)*0.475*44/12</f>
        <v>5.00614977994415</v>
      </c>
      <c r="DG47" s="129" t="n">
        <f aca="false">EXP(-LN(2)/25)*DG46+(1-EXP(-LN(2)/25))/(LN(2)/25)*Calculateur!DB47*Calculateur!DD47*VLOOKUP('Données projet'!$B$13,Paramètres!$A$1:$I$89,3,0)*0.475*44/12</f>
        <v>26.3992852784049</v>
      </c>
      <c r="DH47" s="129" t="n">
        <f aca="false">EXP(-LN(2)/2)*DH46+(1-EXP(-LN(2)/2))/(LN(2)/2)*DB47*DE47*VLOOKUP('Données projet'!$B$13,Paramètres!$A$1:$I$89,3,0)*0.475*44/12</f>
        <v>0.1037035343586</v>
      </c>
      <c r="DI47" s="130" t="n">
        <f aca="false">SUM(DF47:DH47)</f>
        <v>31.5091385927076</v>
      </c>
      <c r="DJ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8" t="e">
        <f aca="false">VLOOKUP(A47,'Données projet'!$A$165:$I$185,2,0)</f>
        <v>#N/A</v>
      </c>
      <c r="DM47" s="118" t="e">
        <f aca="false">VLOOKUP(A47,'Données projet'!$A$165:$I$185,9,0)</f>
        <v>#N/A</v>
      </c>
      <c r="DN47" s="118" t="n">
        <f aca="false" t="array" ref="DN47:DN47">INDEX(DM:DM,MIN(IF(ISNUMBER(DM47:DM243),ROW(DM47:DM243),"")))</f>
        <v>359.833333333333</v>
      </c>
      <c r="DO47" s="118" t="n">
        <f aca="false">IF('Données projet'!$A$166&gt;35,DO46+DN47-DW46,IF(A47&lt;'Données projet'!$A$166,$DL$205^A47,IF(A47='Données projet'!$A$166,'Données projet'!$B$166,DO46+DN47-DW46)))</f>
        <v>1673.33333333333</v>
      </c>
      <c r="DP47" s="125" t="n">
        <f aca="false">DO47*VLOOKUP('Données projet'!$B$14,Paramètres!$A$1:$I$89,3,0)*VLOOKUP('Données projet'!$B$14,Paramètres!$A$1:$I$89,5,0)</f>
        <v>1000.65333333333</v>
      </c>
      <c r="DQ47" s="117" t="n">
        <f aca="false">EXP(-1.0587+0.8836*LN(DP47)+0.284)</f>
        <v>206.349155028521</v>
      </c>
      <c r="DR47" s="128" t="n">
        <f aca="false">(DP47+DQ47)*0.475*44/12</f>
        <v>2102.19600056356</v>
      </c>
      <c r="DS47" s="120" t="n">
        <f aca="false">DR47+(DJ47+DK47)*44/12</f>
        <v>2395.5293338969</v>
      </c>
      <c r="DT47" s="120" t="n">
        <f aca="true">AVERAGE(OFFSET($DS$3,0,0,'Données projet'!$E$14+1,1))-AVERAGE(OFFSET($H$3,0,0,'Données projet'!$E$14+1,1))</f>
        <v>549.432320957297</v>
      </c>
      <c r="DU47" s="120" t="n">
        <f aca="false">$DU$3</f>
        <v>280.26155987301</v>
      </c>
      <c r="DV47" s="121" t="n">
        <f aca="false">IF(ISNA(VLOOKUP(A47,'Données projet'!$A$165:$I$185,3,0)),0,VLOOKUP(A47,'Données projet'!$A$165:$I$185,3,0))</f>
        <v>0</v>
      </c>
      <c r="DW47" s="121" t="n">
        <f aca="false">IF(ISNA(VLOOKUP(A47,'Données projet'!$A$165:$I$185,4,0)),0,VLOOKUP(A47,'Données projet'!$A$165:$I$185,4,0))</f>
        <v>0</v>
      </c>
      <c r="DX47" s="122" t="n">
        <f aca="false">IF(ISNA(VLOOKUP(A47,'Données projet'!$A$165:$I$185,5,0)),0%,VLOOKUP(A47,'Données projet'!$A$165:$I$185,5,0)*VLOOKUP('Données projet'!$B$14,Paramètres!$A$1:$I$89,7,0))</f>
        <v>0</v>
      </c>
      <c r="DY47" s="122" t="n">
        <f aca="false">IF(ISNA(VLOOKUP(A47,'Données projet'!$A$165:$I$185,6,0)),0%,VLOOKUP(A47,'Données projet'!$A$165:$I$185,6,0)*VLOOKUP('Données projet'!$B$14,Paramètres!$A$1:$I$89,7,0))</f>
        <v>0</v>
      </c>
      <c r="DZ47" s="122" t="n">
        <f aca="false">IF(ISNA(VLOOKUP(A47,'Données projet'!$A$165:$I$185,7,0)),0%,VLOOKUP(A47,'Données projet'!$A$165:$I$185,7,0))</f>
        <v>0</v>
      </c>
      <c r="EA47" s="129" t="n">
        <f aca="false">EXP(-LN(2)/35)*EA46+(1-EXP(-LN(2)/35))/(LN(2)/35)*DW47*DX47*VLOOKUP('Données projet'!$B$14,Paramètres!$A$1:$I$89,3,0)*0.475*44/12</f>
        <v>1.82023047791133</v>
      </c>
      <c r="EB47" s="129" t="n">
        <f aca="false">EXP(-LN(2)/25)*EB46+(1-EXP(-LN(2)/25))/(LN(2)/25)*Calculateur!DW47*Calculateur!DY47*VLOOKUP('Données projet'!$B$14,Paramètres!$A$1:$I$89,3,0)*0.475*44/12</f>
        <v>5.25925847620221</v>
      </c>
      <c r="EC47" s="129" t="n">
        <f aca="false">EXP(-LN(2)/2)*EC46+(1-EXP(-LN(2)/2))/(LN(2)/2)*DW47*DZ47*VLOOKUP('Données projet'!$B$14,Paramètres!$A$1:$I$89,3,0)*0.475*44/12</f>
        <v>0.0478051916762459</v>
      </c>
      <c r="ED47" s="130" t="n">
        <f aca="false">SUM(EA47:EC47)</f>
        <v>7.12729414578978</v>
      </c>
      <c r="EE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8" t="e">
        <f aca="false">VLOOKUP(A47,'Données projet'!$A$191:$I$211,2,0)</f>
        <v>#N/A</v>
      </c>
      <c r="EH47" s="118" t="e">
        <f aca="false">VLOOKUP(A47,'Données projet'!$A$191:$I$211,9,0)</f>
        <v>#N/A</v>
      </c>
      <c r="EI47" s="118" t="n">
        <f aca="false" t="array" ref="EI47:EI47">INDEX(EH:EH,MIN(IF(ISNUMBER(EH47:EH243),ROW(EH47:EH243),"")))</f>
        <v>0</v>
      </c>
      <c r="EJ47" s="118" t="n">
        <f aca="false">IF('Données projet'!$A$192&gt;35,EJ46+EI47-ER46,IF(A47&lt;'Données projet'!$A$192,$EG$205^A47,IF(A47='Données projet'!$A$192,'Données projet'!$B$192,EJ46+EI47-ER46)))</f>
        <v>0</v>
      </c>
      <c r="EK47" s="125" t="e">
        <f aca="false">EJ47*VLOOKUP('Données projet'!$B$15,Paramètres!$A$1:$I$89,3,0)*VLOOKUP('Données projet'!$B$15,Paramètres!$A$1:$I$89,5,0)</f>
        <v>#N/A</v>
      </c>
      <c r="EL47" s="117" t="e">
        <f aca="false">EXP(-1.0587+0.8836*LN(EK47)+0.284)</f>
        <v>#N/A</v>
      </c>
      <c r="EM47" s="128" t="e">
        <f aca="false">(EK47+EL47)*0.475*44/12</f>
        <v>#N/A</v>
      </c>
      <c r="EN47" s="120" t="e">
        <f aca="false">EM47+(EE47+EF47)*44/12</f>
        <v>#N/A</v>
      </c>
      <c r="EO47" s="120" t="e">
        <f aca="true">AVERAGE(OFFSET($EN$3,0,0,'Données projet'!$E$15+1,1))-AVERAGE(OFFSET($H$3,0,0,'Données projet'!$E$15+1,1))</f>
        <v>#N/A</v>
      </c>
      <c r="EP47" s="120" t="e">
        <f aca="false">$EP$3</f>
        <v>#N/A</v>
      </c>
      <c r="EQ47" s="121" t="n">
        <f aca="false">IF(ISNA(VLOOKUP(A47,'Données projet'!$A$191:$I$211,3,0)),0,VLOOKUP(A47,'Données projet'!$A$191:$I$211,3,0))</f>
        <v>0</v>
      </c>
      <c r="ER47" s="121" t="n">
        <f aca="false">IF(ISNA(VLOOKUP(A47,'Données projet'!$A$191:$I$211,4,0)),0,VLOOKUP(A47,'Données projet'!$A$191:$I$211,4,0))</f>
        <v>0</v>
      </c>
      <c r="ES47" s="122" t="n">
        <f aca="false">IF(ISNA(VLOOKUP(A47,'Données projet'!$A$191:$I$211,5,0)),0%,VLOOKUP(A47,'Données projet'!$A$191:$I$211,5,0)*VLOOKUP('Données projet'!$B$15,Paramètres!$A$1:$I$89,7,0))</f>
        <v>0</v>
      </c>
      <c r="ET47" s="122" t="n">
        <f aca="false">IF(ISNA(VLOOKUP(A47,'Données projet'!$A$191:$I$211,6,0)),0%,VLOOKUP(A47,'Données projet'!$A$191:$I$211,6,0)*VLOOKUP('Données projet'!$B$15,Paramètres!$A$1:$I$89,7,0))</f>
        <v>0</v>
      </c>
      <c r="EU47" s="122" t="n">
        <f aca="false">IF(ISNA(VLOOKUP(A47,'Données projet'!$A$191:$I$211,7,0)),0%,VLOOKUP(A47,'Données projet'!$A$191:$I$211,7,0))</f>
        <v>0</v>
      </c>
      <c r="EV47" s="129" t="e">
        <f aca="false">EXP(-LN(2)/35)*EV46+(1-EXP(-LN(2)/35))/(LN(2)/35)*ER47*ES47*VLOOKUP('Données projet'!$B$15,Paramètres!$A$1:$I$89,3,0)*0.475*44/12</f>
        <v>#N/A</v>
      </c>
      <c r="EW47" s="129" t="e">
        <f aca="false">EXP(-LN(2)/25)*EW46+(1-EXP(-LN(2)/25))/(LN(2)/25)*Calculateur!ER47*Calculateur!ET47*VLOOKUP('Données projet'!$B$15,Paramètres!$A$1:$I$89,3,0)*0.475*44/12</f>
        <v>#N/A</v>
      </c>
      <c r="EX47" s="129" t="e">
        <f aca="false">EXP(-LN(2)/2)*EX46+(1-EXP(-LN(2)/2))/(LN(2)/2)*ER47*EU47*VLOOKUP('Données projet'!$B$15,Paramètres!$A$1:$I$89,3,0)*0.475*44/12</f>
        <v>#N/A</v>
      </c>
      <c r="EY47" s="130" t="e">
        <f aca="false">SUM(EV47:EX47)</f>
        <v>#N/A</v>
      </c>
      <c r="EZ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8" t="e">
        <f aca="false">VLOOKUP(A47,'Données projet'!$A$217:$I$237,2,0)</f>
        <v>#N/A</v>
      </c>
      <c r="FC47" s="118" t="e">
        <f aca="false">VLOOKUP(A47,'Données projet'!$A$217:$I$237,9,0)</f>
        <v>#N/A</v>
      </c>
      <c r="FD47" s="118" t="n">
        <f aca="false" t="array" ref="FD47:FD47">INDEX(FC:FC,MIN(IF(ISNUMBER(FC47:FC243),ROW(FC47:FC243),"")))</f>
        <v>0</v>
      </c>
      <c r="FE47" s="118" t="n">
        <f aca="false">IF('Données projet'!$A$218&gt;35,FE46+FD47-FM46,IF(A47&lt;'Données projet'!$A$218,$FB$205^A47,IF(A47='Données projet'!$A$218,'Données projet'!$B$218,FE46+FD47-FM46)))</f>
        <v>0</v>
      </c>
      <c r="FF47" s="125" t="e">
        <f aca="false">FE47*VLOOKUP('Données projet'!$B$16,Paramètres!$A$1:$I$89,3,0)*VLOOKUP('Données projet'!$B$16,Paramètres!$A$1:$I$89,5,0)</f>
        <v>#N/A</v>
      </c>
      <c r="FG47" s="117" t="e">
        <f aca="false">EXP(-1.0587+0.8836*LN(FF47)+0.284)</f>
        <v>#N/A</v>
      </c>
      <c r="FH47" s="128" t="e">
        <f aca="false">(FF47+FG47)*0.475*44/12</f>
        <v>#N/A</v>
      </c>
      <c r="FI47" s="120" t="e">
        <f aca="false">FH47+(EZ47+FA47)*44/12</f>
        <v>#N/A</v>
      </c>
      <c r="FJ47" s="120" t="e">
        <f aca="true">AVERAGE(OFFSET($FI$3,0,0,'Données projet'!$E$16+1,1))-AVERAGE(OFFSET($H$3,0,0,'Données projet'!$E$16+1,1))</f>
        <v>#N/A</v>
      </c>
      <c r="FK47" s="120" t="e">
        <f aca="false">$FK$3</f>
        <v>#N/A</v>
      </c>
      <c r="FL47" s="121" t="n">
        <f aca="false">IF(ISNA(VLOOKUP(A47,'Données projet'!$A$217:$I$237,3,0)),0,VLOOKUP(A47,'Données projet'!$A$217:$I$237,3,0))</f>
        <v>0</v>
      </c>
      <c r="FM47" s="121" t="n">
        <f aca="false">IF(ISNA(VLOOKUP(A47,'Données projet'!$A$217:$I$237,4,0)),0,VLOOKUP(A47,'Données projet'!$A$217:$I$237,4,0))</f>
        <v>0</v>
      </c>
      <c r="FN47" s="122" t="n">
        <f aca="false">IF(ISNA(VLOOKUP(A47,'Données projet'!$A$217:$I$237,5,0)),0%,VLOOKUP(A47,'Données projet'!$A$217:$I$237,5,0)*VLOOKUP('Données projet'!$B$16,Paramètres!$A$1:$I$89,7,0))</f>
        <v>0</v>
      </c>
      <c r="FO47" s="122" t="n">
        <f aca="false">IF(ISNA(VLOOKUP(A47,'Données projet'!$A$217:$I$237,6,0)),0%,VLOOKUP(A47,'Données projet'!$A$217:$I$237,6,0)*VLOOKUP('Données projet'!$B$16,Paramètres!$A$1:$I$89,7,0))</f>
        <v>0</v>
      </c>
      <c r="FP47" s="122" t="n">
        <f aca="false">IF(ISNA(VLOOKUP(A47,'Données projet'!$A$217:$I$237,7,0)),0%,VLOOKUP(A47,'Données projet'!$A$217:$I$237,7,0))</f>
        <v>0</v>
      </c>
      <c r="FQ47" s="129" t="e">
        <f aca="false">EXP(-LN(2)/35)*FQ46+(1-EXP(-LN(2)/35))/(LN(2)/35)*FM47*FN47*VLOOKUP('Données projet'!$B$16,Paramètres!$A$1:$I$89,3,0)*0.475*44/12</f>
        <v>#N/A</v>
      </c>
      <c r="FR47" s="129" t="e">
        <f aca="false">EXP(-LN(2)/25)*FR46+(1-EXP(-LN(2)/25))/(LN(2)/25)*Calculateur!FM47*Calculateur!FO47*VLOOKUP('Données projet'!$B$16,Paramètres!$A$1:$I$89,3,0)*0.475*44/12</f>
        <v>#N/A</v>
      </c>
      <c r="FS47" s="129" t="e">
        <f aca="false">EXP(-LN(2)/2)*FS46+(1-EXP(-LN(2)/2))/(LN(2)/2)*FM47*FP47*VLOOKUP('Données projet'!$B$16,Paramètres!$A$1:$I$89,3,0)*0.475*44/12</f>
        <v>#N/A</v>
      </c>
      <c r="FT47" s="130" t="e">
        <f aca="false">SUM(FQ47:FS47)</f>
        <v>#N/A</v>
      </c>
      <c r="FU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8" t="e">
        <f aca="false">VLOOKUP(A47,'Données projet'!$A$243:$I$263,2,0)</f>
        <v>#N/A</v>
      </c>
      <c r="FX47" s="118" t="e">
        <f aca="false">VLOOKUP(A47,'Données projet'!$A$243:$I$263,9,0)</f>
        <v>#N/A</v>
      </c>
      <c r="FY47" s="118" t="n">
        <f aca="false" t="array" ref="FY47:FY47">INDEX(FX:FX,MIN(IF(ISNUMBER(FX47:FX243),ROW(FX47:FX243),"")))</f>
        <v>0</v>
      </c>
      <c r="FZ47" s="118" t="n">
        <f aca="false">IF('Données projet'!$A$244&gt;35,FZ46+FY47-GH46,IF(A47&lt;'Données projet'!$A$244,$FW$205^A47,IF(A47='Données projet'!$A$244,'Données projet'!$B$244,FZ46+FY47-GH46)))</f>
        <v>0</v>
      </c>
      <c r="GA47" s="125" t="e">
        <f aca="false">FZ47*VLOOKUP('Données projet'!$B$17,Paramètres!$A$1:$I$89,3,0)*VLOOKUP('Données projet'!$B$17,Paramètres!$A$1:$I$89,5,0)</f>
        <v>#N/A</v>
      </c>
      <c r="GB47" s="117" t="e">
        <f aca="false">EXP(-1.0587+0.8836*LN(GA47)+0.284)</f>
        <v>#N/A</v>
      </c>
      <c r="GC47" s="128" t="e">
        <f aca="false">(GA47+GB47)*0.475*44/12</f>
        <v>#N/A</v>
      </c>
      <c r="GD47" s="120" t="e">
        <f aca="false">GC47+(FU47+FV47)*44/12</f>
        <v>#N/A</v>
      </c>
      <c r="GE47" s="120" t="e">
        <f aca="true">AVERAGE(OFFSET($GD$3,0,0,'Données projet'!$E$17+1,1))-AVERAGE(OFFSET($H$3,0,0,'Données projet'!$E$17+1,1))</f>
        <v>#N/A</v>
      </c>
      <c r="GF47" s="120" t="e">
        <f aca="false">$GF$3</f>
        <v>#N/A</v>
      </c>
      <c r="GG47" s="121" t="n">
        <f aca="false">IF(ISNA(VLOOKUP(A47,'Données projet'!$A$243:$I$263,3,0)),0,VLOOKUP(A47,'Données projet'!$A$243:$I$263,3,0))</f>
        <v>0</v>
      </c>
      <c r="GH47" s="121" t="n">
        <f aca="false">IF(ISNA(VLOOKUP(A47,'Données projet'!$A$243:$I$263,4,0)),0,VLOOKUP(A47,'Données projet'!$A$243:$I$263,4,0))</f>
        <v>0</v>
      </c>
      <c r="GI47" s="122" t="n">
        <f aca="false">IF(ISNA(VLOOKUP(A47,'Données projet'!$A$243:$I$263,5,0)),0%,VLOOKUP(A47,'Données projet'!$A$243:$I$263,5,0)*VLOOKUP('Données projet'!$B$17,Paramètres!$A$1:$I$89,7,0))</f>
        <v>0</v>
      </c>
      <c r="GJ47" s="122" t="n">
        <f aca="false">IF(ISNA(VLOOKUP(A47,'Données projet'!$A$243:$I$263,6,0)),0%,VLOOKUP(A47,'Données projet'!$A$243:$I$263,6,0)*VLOOKUP('Données projet'!$B$17,Paramètres!$A$1:$I$89,7,0))</f>
        <v>0</v>
      </c>
      <c r="GK47" s="122" t="n">
        <f aca="false">IF(ISNA(VLOOKUP(A47,'Données projet'!$A$243:$I$263,7,0)),0%,VLOOKUP(A47,'Données projet'!$A$243:$I$263,7,0))</f>
        <v>0</v>
      </c>
      <c r="GL47" s="129" t="e">
        <f aca="false">EXP(-LN(2)/35)*GL46+(1-EXP(-LN(2)/35))/(LN(2)/35)*GH47*GI47*VLOOKUP('Données projet'!$B$17,Paramètres!$A$1:$I$89,3,0)*0.475*44/12</f>
        <v>#N/A</v>
      </c>
      <c r="GM47" s="129" t="e">
        <f aca="false">EXP(-LN(2)/25)*GM46+(1-EXP(-LN(2)/25))/(LN(2)/25)*Calculateur!GH47*Calculateur!GJ47*VLOOKUP('Données projet'!$B$17,Paramètres!$A$1:$I$89,3,0)*0.475*44/12</f>
        <v>#N/A</v>
      </c>
      <c r="GN47" s="129" t="e">
        <f aca="false">EXP(-LN(2)/2)*GN46+(1-EXP(-LN(2)/2))/(LN(2)/2)*GH47*GK47*VLOOKUP('Données projet'!$B$17,Paramètres!$A$1:$I$89,3,0)*0.475*44/12</f>
        <v>#N/A</v>
      </c>
      <c r="GO47" s="129" t="e">
        <f aca="false">SUM(GL47:GN47)</f>
        <v>#N/A</v>
      </c>
      <c r="GP47" s="126" t="n">
        <f aca="false"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8" t="n">
        <f aca="false"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8" t="e">
        <f aca="false">VLOOKUP(A47,'Données projet'!$A$269:$I$289,2,0)</f>
        <v>#N/A</v>
      </c>
      <c r="GS47" s="118" t="e">
        <f aca="false">VLOOKUP(A47,'Données projet'!$A$269:$I$289,9,0)</f>
        <v>#N/A</v>
      </c>
      <c r="GT47" s="118" t="n">
        <f aca="false" t="array" ref="GT47:GT47">INDEX(GS:GS,MIN(IF(ISNUMBER(GS47:GS243),ROW(GS47:GS243),"")))</f>
        <v>0</v>
      </c>
      <c r="GU47" s="118" t="n">
        <f aca="false">IF('Données projet'!$A$270&gt;35,GU46+GT47-HC46,IF(A47&lt;'Données projet'!$A$270,$GR$205^A47,IF(A47='Données projet'!$A$270,'Données projet'!$B$270,GU46+GT47-HC46)))</f>
        <v>0</v>
      </c>
      <c r="GV47" s="125" t="e">
        <f aca="false">GU47*VLOOKUP('Données projet'!$B$18,Paramètres!$A$1:$I$89,3,0)*VLOOKUP('Données projet'!$B$18,Paramètres!$A$1:$I$89,5,0)</f>
        <v>#N/A</v>
      </c>
      <c r="GW47" s="117" t="e">
        <f aca="false">EXP(-1.0587+0.8836*LN(GV47)+0.284)</f>
        <v>#N/A</v>
      </c>
      <c r="GX47" s="128" t="e">
        <f aca="false">(GV47+GW47)*0.475*44/12</f>
        <v>#N/A</v>
      </c>
      <c r="GY47" s="120" t="e">
        <f aca="false">GX47+(GP47+GQ47)*44/12</f>
        <v>#N/A</v>
      </c>
      <c r="GZ47" s="120" t="e">
        <f aca="true">AVERAGE(OFFSET($GY$3,0,0,'Données projet'!$E$18+1,1))-AVERAGE(OFFSET($H$3,0,0,'Données projet'!$E$18+1,1))</f>
        <v>#N/A</v>
      </c>
      <c r="HA47" s="120" t="e">
        <f aca="false">$HA$3</f>
        <v>#N/A</v>
      </c>
      <c r="HB47" s="121" t="n">
        <f aca="false">IF(ISNA(VLOOKUP(A47,'Données projet'!$A$269:$I$289,3,0)),0,VLOOKUP(A47,'Données projet'!$A$269:$I$289,3,0))</f>
        <v>0</v>
      </c>
      <c r="HC47" s="121" t="n">
        <f aca="false">IF(ISNA(VLOOKUP(A47,'Données projet'!$A$269:$I$289,4,0)),0,VLOOKUP(A47,'Données projet'!$A$269:$I$289,4,0))</f>
        <v>0</v>
      </c>
      <c r="HD47" s="122" t="n">
        <f aca="false">IF(ISNA(VLOOKUP(A47,'Données projet'!$A$269:$I$289,5,0)),0%,VLOOKUP(A47,'Données projet'!$A$269:$I$289,5,0)*VLOOKUP('Données projet'!$B$18,Paramètres!$A$1:$I$89,7,0))</f>
        <v>0</v>
      </c>
      <c r="HE47" s="122" t="n">
        <f aca="false">IF(ISNA(VLOOKUP(A47,'Données projet'!$A$269:$I$289,6,0)),0%,VLOOKUP(A47,'Données projet'!$A$269:$I$289,6,0)*VLOOKUP('Données projet'!$B$18,Paramètres!$A$1:$I$89,7,0))</f>
        <v>0</v>
      </c>
      <c r="HF47" s="122" t="n">
        <f aca="false">IF(ISNA(VLOOKUP(A47,'Données projet'!$A$269:$I$289,7,0)),0%,VLOOKUP(A47,'Données projet'!$A$269:$I$289,7,0))</f>
        <v>0</v>
      </c>
      <c r="HG47" s="129" t="e">
        <f aca="false">EXP(-LN(2)/35)*HG46+(1-EXP(-LN(2)/35))/(LN(2)/35)*HC47*HD47*VLOOKUP('Données projet'!$B$18,Paramètres!$A$1:$I$89,3,0)*0.475*44/12</f>
        <v>#N/A</v>
      </c>
      <c r="HH47" s="129" t="e">
        <f aca="false">EXP(-LN(2)/25)*HH46+(1-EXP(-LN(2)/25))/(LN(2)/25)*Calculateur!HC47*Calculateur!HE47*VLOOKUP('Données projet'!$B$18,Paramètres!$A$1:$I$89,3,0)*0.475*44/12</f>
        <v>#N/A</v>
      </c>
      <c r="HI47" s="129" t="e">
        <f aca="false">EXP(-LN(2)/2)*HI46+(1-EXP(-LN(2)/2))/(LN(2)/2)*HC47*HF47*VLOOKUP('Données projet'!$B$18,Paramètres!$A$1:$I$89,3,0)*0.475*44/12</f>
        <v>#N/A</v>
      </c>
      <c r="HJ47" s="130" t="e">
        <f aca="false">SUM(HG47:HI47)</f>
        <v>#N/A</v>
      </c>
    </row>
    <row r="48" customFormat="false" ht="14.25" hidden="false" customHeight="false" outlineLevel="0" collapsed="false">
      <c r="A48" s="112" t="n">
        <f aca="false">A47+1</f>
        <v>45</v>
      </c>
      <c r="B48" s="113" t="n">
        <f aca="false">'Scénario référence'!$B$16*5+'Scénario référence'!$B$17*0+'Scénario référence'!$B$18*5</f>
        <v>0</v>
      </c>
      <c r="C48" s="127" t="n">
        <f aca="false"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4" t="n">
        <f aca="false">IFERROR(EXP(-1.0587+0.8836*LN(C48)+0.284),0)</f>
        <v>0</v>
      </c>
      <c r="E4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8" s="114" t="n">
        <f aca="false">IF(OR('Scénario référence'!$F$8&gt;0,'Scénario référence'!$F$9&gt;0),('Scénario référence'!$F$8+'Scénario référence'!$F$9)*10,0)</f>
        <v>0</v>
      </c>
      <c r="G48" s="114" t="n">
        <f aca="false"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15" t="n">
        <f aca="false">(B48+E48+F48)*44/12+(C48+D48)*0.475*44/12</f>
        <v>256.666666666667</v>
      </c>
      <c r="I48" s="11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7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8" t="e">
        <f aca="false">VLOOKUP(A48,'Données projet'!$A$35:$I$55,2,0)</f>
        <v>#N/A</v>
      </c>
      <c r="L48" s="118" t="e">
        <f aca="false">VLOOKUP(A48,'Données projet'!$A$35:$I$55,9,0)</f>
        <v>#N/A</v>
      </c>
      <c r="M48" s="118" t="n">
        <f aca="false" t="array" ref="M48:M48">INDEX(L:L,MIN(IF(ISNUMBER(L48:L244),ROW(L48:L244),"")))</f>
        <v>11.5</v>
      </c>
      <c r="N48" s="117" t="n">
        <f aca="false">IF('Données projet'!$A$36&gt;35,N47+M48-V47,IF(A48&lt;'Données projet'!$A$36,$K$205^A48,IF(A48='Données projet'!$A$36,'Données projet'!$B$36,N47+M48-V47)))</f>
        <v>231</v>
      </c>
      <c r="O48" s="117" t="n">
        <f aca="false">N48*VLOOKUP('Données projet'!$B$9,Paramètres!$A$1:$I$89,3,0)*VLOOKUP('Données projet'!$B$9,Paramètres!$A$1:$I$89,5,0)</f>
        <v>108.108</v>
      </c>
      <c r="P48" s="117" t="n">
        <f aca="false">EXP(-1.0587+0.8836*LN(O48)+0.284)</f>
        <v>28.8847654994671</v>
      </c>
      <c r="Q48" s="128" t="n">
        <f aca="false">(O48+P48)*0.475*44/12</f>
        <v>238.595733244905</v>
      </c>
      <c r="R48" s="120" t="n">
        <f aca="false">Q48+(I48+J48)*44/12</f>
        <v>531.929066578238</v>
      </c>
      <c r="S48" s="120" t="n">
        <f aca="true">AVERAGE(OFFSET($R$3,0,0,'Données projet'!$E$9+1,1))-AVERAGE(OFFSET($H$3,0,0,'Données projet'!$E$9+1,1))</f>
        <v>319.229030946746</v>
      </c>
      <c r="T48" s="120" t="n">
        <f aca="false">$T$3</f>
        <v>254.586909731428</v>
      </c>
      <c r="U48" s="121" t="n">
        <f aca="false">IF(ISNA(VLOOKUP(A48,'Données projet'!$A$35:$I$55,3,0)),0,VLOOKUP(A48,'Données projet'!$A$35:$I$55,3,0))</f>
        <v>0</v>
      </c>
      <c r="V48" s="121" t="n">
        <f aca="false">IF(ISNA(VLOOKUP(A48,'Données projet'!$A$35:$I$55,4,0)),0,VLOOKUP(A48,'Données projet'!$A$35:$I$55,4,0))</f>
        <v>0</v>
      </c>
      <c r="W48" s="122" t="n">
        <f aca="false">IF(ISNA(VLOOKUP(A48,'Données projet'!$A$35:$I$55,5,0)),0%,VLOOKUP(A48,'Données projet'!$A$35:$I$55,5,0)*VLOOKUP('Données projet'!$B$9,Paramètres!$A$1:$I$89,7,0))</f>
        <v>0</v>
      </c>
      <c r="X48" s="122" t="n">
        <f aca="false">IF(ISNA(VLOOKUP(A48,'Données projet'!$A$35:$I$55,6,0)),0%,VLOOKUP(A48,'Données projet'!$A$35:$I$55,6,0)*VLOOKUP('Données projet'!$B$9,Paramètres!$A$1:$I$89,7,0))</f>
        <v>0</v>
      </c>
      <c r="Y48" s="122" t="n">
        <f aca="false">IF(ISNA(VLOOKUP(A48,'Données projet'!$A$35:$I$55,7,0)),0%,VLOOKUP(A48,'Données projet'!$A$35:$I$55,7,0))</f>
        <v>0</v>
      </c>
      <c r="Z48" s="129" t="n">
        <f aca="false">EXP(-LN(2)/35)*Z47+(1-EXP(-LN(2)/35))/(LN(2)/35)*V48*W48*VLOOKUP('Données projet'!$B$9,Paramètres!$A$1:$I$89,3,0)*0.475*44/12</f>
        <v>6.74356626493003</v>
      </c>
      <c r="AA48" s="129" t="n">
        <f aca="false">EXP(-LN(2)/25)*AA47+(1-EXP(-LN(2)/25))/(LN(2)/25)*Calculateur!V48*Calculateur!X48*VLOOKUP('Données projet'!$B$9,Paramètres!$A$1:$I$89,3,0)*0.475*44/12</f>
        <v>7.35712762074204</v>
      </c>
      <c r="AB48" s="129" t="n">
        <f aca="false">EXP(-LN(2)/2)*AB47+(1-EXP(-LN(2)/2))/(LN(2)/2)*V48*Y48*VLOOKUP('Données projet'!$B$9,Paramètres!$A$1:$I$89,3,0)*0.475*44/12</f>
        <v>0.0610052433547172</v>
      </c>
      <c r="AC48" s="130" t="n">
        <f aca="false">SUM(Z48:AB48)</f>
        <v>14.1616991290268</v>
      </c>
      <c r="AD48" s="117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7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8" t="n">
        <f aca="false">VLOOKUP(A48,'Données projet'!$A$61:$I$81,2,0)</f>
        <v>526</v>
      </c>
      <c r="AG48" s="118" t="n">
        <f aca="false">VLOOKUP(A48,'Données projet'!$A$61:$I$81,9,0)</f>
        <v>20.6</v>
      </c>
      <c r="AH48" s="118" t="n">
        <f aca="false" t="array" ref="AH48:AH48">INDEX(AG:AG,MIN(IF(ISNUMBER(AG48:AG244),ROW(AG48:AG244),"")))</f>
        <v>20.6</v>
      </c>
      <c r="AI48" s="117" t="n">
        <f aca="false">IF('Données projet'!$A$62&gt;35,AI47+AH48-AQ47,IF(A48&lt;'Données projet'!$A$62,$AF$205^A48,IF(A48='Données projet'!$A$62,'Données projet'!$B$62,AI47+AH48-AQ47)))</f>
        <v>526</v>
      </c>
      <c r="AJ48" s="117" t="n">
        <f aca="false">AI48*VLOOKUP('Données projet'!$B$10,Paramètres!$A$1:$I$89,3,0)*VLOOKUP('Données projet'!$B$10,Paramètres!$A$1:$I$89,5,0)</f>
        <v>294.034</v>
      </c>
      <c r="AK48" s="117" t="n">
        <f aca="false">EXP(-1.0587+0.8836*LN(AJ48)+0.284)</f>
        <v>69.9243023238734</v>
      </c>
      <c r="AL48" s="128" t="n">
        <f aca="false">(AJ48+AK48)*0.475*44/12</f>
        <v>633.89404321408</v>
      </c>
      <c r="AM48" s="120" t="n">
        <f aca="false">AL48+(AD48+AE48)*44/12</f>
        <v>927.227376547413</v>
      </c>
      <c r="AN48" s="120" t="n">
        <f aca="true">AVERAGE(OFFSET($AM$3,0,0,'Données projet'!$E$10+1,1))-AVERAGE(OFFSET($H$3,0,0,'Données projet'!$E$10+1,1))</f>
        <v>365.705101827279</v>
      </c>
      <c r="AO48" s="120" t="n">
        <f aca="false">$AO$3</f>
        <v>436.238338449625</v>
      </c>
      <c r="AP48" s="121" t="n">
        <f aca="false">IF(ISNA(VLOOKUP(A48,'Données projet'!$A$61:$I$81,3,0)),0,VLOOKUP(A48,'Données projet'!$A$61:$I$81,3,0))</f>
        <v>6</v>
      </c>
      <c r="AQ48" s="121" t="n">
        <f aca="false">IF(ISNA(VLOOKUP(A48,'Données projet'!$A$61:$I$81,4,0)),0,VLOOKUP(A48,'Données projet'!$A$61:$I$81,4,0))</f>
        <v>57</v>
      </c>
      <c r="AR48" s="122" t="n">
        <f aca="false">IF(ISNA(VLOOKUP(A48,'Données projet'!$A$61:$I$81,5,0)),0%,VLOOKUP(A48,'Données projet'!$A$61:$I$81,5,0)*VLOOKUP('Données projet'!$B$10,Paramètres!$A$1:$I$89,7,0))</f>
        <v>0</v>
      </c>
      <c r="AS48" s="122" t="n">
        <f aca="false">IF(ISNA(VLOOKUP(A48,'Données projet'!$A$61:$I$81,6,0)),0%,VLOOKUP(A48,'Données projet'!$A$61:$I$81,6,0)*VLOOKUP('Données projet'!$B$10,Paramètres!$A$1:$I$89,7,0))</f>
        <v>0</v>
      </c>
      <c r="AT48" s="122" t="n">
        <f aca="false">IF(ISNA(VLOOKUP(A48,'Données projet'!$A$61:$I$81,7,0)),0%,VLOOKUP(A48,'Données projet'!$A$61:$I$81,7,0))</f>
        <v>0</v>
      </c>
      <c r="AU48" s="129" t="n">
        <f aca="false">EXP(-LN(2)/35)*AU47+(1-EXP(-LN(2)/35))/(LN(2)/35)*AQ48*AR48*VLOOKUP('Données projet'!$B$10,Paramètres!$A$1:$I$89,3,0)*0.475*44/12</f>
        <v>2.54547762908663</v>
      </c>
      <c r="AV48" s="129" t="n">
        <f aca="false">EXP(-LN(2)/25)*AV47+(1-EXP(-LN(2)/25))/(LN(2)/25)*Calculateur!AQ48*Calculateur!AS48*VLOOKUP('Données projet'!$B$10,Paramètres!$A$1:$I$89,3,0)*0.475*44/12</f>
        <v>8.71411986778406</v>
      </c>
      <c r="AW48" s="129" t="n">
        <f aca="false">EXP(-LN(2)/2)*AW47+(1-EXP(-LN(2)/2))/(LN(2)/2)*AQ48*AT48*VLOOKUP('Données projet'!$B$10,Paramètres!$A$1:$I$89,3,0)*0.475*44/12</f>
        <v>0.0328311152694157</v>
      </c>
      <c r="AX48" s="129" t="n">
        <f aca="false">SUM(AU48:AW48)</f>
        <v>11.2924286121401</v>
      </c>
      <c r="AY48" s="124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8" t="n">
        <f aca="false">VLOOKUP(A48,'Données projet'!$A$87:$I$107,2,0)</f>
        <v>223</v>
      </c>
      <c r="BB48" s="118" t="n">
        <f aca="false">VLOOKUP(A48,'Données projet'!$A$87:$I$107,9,0)</f>
        <v>9.8</v>
      </c>
      <c r="BC48" s="118" t="n">
        <f aca="false" t="array" ref="BC48:BC48">INDEX(BB:BB,MIN(IF(ISNUMBER(BB48:BB244),ROW(BB48:BB244),"")))</f>
        <v>9.8</v>
      </c>
      <c r="BD48" s="118" t="n">
        <f aca="false">IF('Données projet'!$A$88&gt;35,BD47+BC48-BL47,IF(A48&lt;'Données projet'!$A$88,$BA$205^A48,IF(A48='Données projet'!$A$88,'Données projet'!$B$88,BD47+BC48-BL47)))</f>
        <v>223</v>
      </c>
      <c r="BE48" s="117" t="n">
        <f aca="false">BD48*VLOOKUP('Données projet'!$B$11,Paramètres!$A$1:$I$89,3,0)*VLOOKUP('Données projet'!$B$11,Paramètres!$A$1:$I$89,5,0)</f>
        <v>194.8128</v>
      </c>
      <c r="BF48" s="117" t="n">
        <f aca="false">EXP(-1.0587+0.8836*LN(BE48)+0.284)</f>
        <v>48.6024405402539</v>
      </c>
      <c r="BG48" s="128" t="n">
        <f aca="false">(BE48+BF48)*0.475*44/12</f>
        <v>423.948210607609</v>
      </c>
      <c r="BH48" s="120" t="n">
        <f aca="false">BG48+(AY48+AZ48)*44/12</f>
        <v>717.281543940942</v>
      </c>
      <c r="BI48" s="120" t="n">
        <f aca="true">AVERAGE(OFFSET($BH$3,0,0,'Données projet'!$E$11+1,1))-AVERAGE(OFFSET($H$3,0,0,'Données projet'!$E$11+1,1))</f>
        <v>321.235999689929</v>
      </c>
      <c r="BJ48" s="120" t="n">
        <f aca="false">$BJ$3</f>
        <v>388.051958478005</v>
      </c>
      <c r="BK48" s="121" t="n">
        <f aca="false">IF(ISNA(VLOOKUP(A48,'Données projet'!$A$87:$I$107,3,0)),0,VLOOKUP(A48,'Données projet'!$A$87:$I$107,3,0))</f>
        <v>7</v>
      </c>
      <c r="BL48" s="121" t="n">
        <f aca="false">IF(ISNA(VLOOKUP(A48,'Données projet'!$A$87:$I$107,4,0)),0,VLOOKUP(A48,'Données projet'!$A$87:$I$107,4,0))</f>
        <v>36</v>
      </c>
      <c r="BM48" s="122" t="n">
        <f aca="false">IF(ISNA(VLOOKUP(A48,'Données projet'!$A$87:$I$107,5,0)),0%,VLOOKUP(A48,'Données projet'!$A$87:$I$107,5,0)*VLOOKUP('Données projet'!$B$11,Paramètres!$A$1:$I$89,7,0))</f>
        <v>0</v>
      </c>
      <c r="BN48" s="122" t="n">
        <f aca="false">IF(ISNA(VLOOKUP(A48,'Données projet'!$A$87:$I$107,6,0)),0%,VLOOKUP(A48,'Données projet'!$A$87:$I$107,6,0)*VLOOKUP('Données projet'!$B$11,Paramètres!$A$1:$I$89,7,0))</f>
        <v>0</v>
      </c>
      <c r="BO48" s="122" t="n">
        <f aca="false">IF(ISNA(VLOOKUP(A48,'Données projet'!$A$87:$I$107,7,0)),0%,VLOOKUP(A48,'Données projet'!$A$87:$I$107,7,0))</f>
        <v>0</v>
      </c>
      <c r="BP48" s="129" t="n">
        <f aca="false">EXP(-LN(2)/35)*BP47+(1-EXP(-LN(2)/35))/(LN(2)/35)*BL48*BM48*VLOOKUP('Données projet'!$B$11,Paramètres!$A$1:$I$89,3,0)*0.475*44/12</f>
        <v>6.39073048649797</v>
      </c>
      <c r="BQ48" s="129" t="n">
        <f aca="false">EXP(-LN(2)/25)*BQ47+(1-EXP(-LN(2)/25))/(LN(2)/25)*Calculateur!BL48*Calculateur!BN48*VLOOKUP('Données projet'!$B$11,Paramètres!$A$1:$I$89,3,0)*0.475*44/12</f>
        <v>8.89485597431467</v>
      </c>
      <c r="BR48" s="129" t="n">
        <f aca="false">EXP(-LN(2)/2)*BR47+(1-EXP(-LN(2)/2))/(LN(2)/2)*BL48*BO48*VLOOKUP('Données projet'!$B$11,Paramètres!$A$1:$I$89,3,0)*0.475*44/12</f>
        <v>0.0333721462652853</v>
      </c>
      <c r="BS48" s="130" t="n">
        <f aca="false">SUM(BP48:BR48)</f>
        <v>15.3189586070779</v>
      </c>
      <c r="BT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8" t="e">
        <f aca="false">VLOOKUP(A48,'Données projet'!$A$113:$I$133,2,0)</f>
        <v>#N/A</v>
      </c>
      <c r="BW48" s="118" t="e">
        <f aca="false">VLOOKUP(A48,'Données projet'!$A$113:$I$133,9,0)</f>
        <v>#N/A</v>
      </c>
      <c r="BX48" s="118" t="n">
        <f aca="false" t="array" ref="BX48:BX48">INDEX(BW:BW,MIN(IF(ISNUMBER(BW48:BW244),ROW(BW48:BW244),"")))</f>
        <v>10.6666666666667</v>
      </c>
      <c r="BY48" s="118" t="n">
        <f aca="false">IF('Données projet'!$A$114&gt;35,BY47+BX48-CG47,IF(A48&lt;'Données projet'!$A$114,$BV$205^A48,IF(A48='Données projet'!$A$114,'Données projet'!$B$114,BY47+BX48-CG47)))</f>
        <v>220</v>
      </c>
      <c r="BZ48" s="117" t="n">
        <f aca="false">BY48*VLOOKUP('Données projet'!$B$12,Paramètres!$A$1:$I$89,3,0)*VLOOKUP('Données projet'!$B$12,Paramètres!$A$1:$I$89,5,0)</f>
        <v>137.28</v>
      </c>
      <c r="CA48" s="117" t="n">
        <f aca="false">EXP(-1.0587+0.8836*LN(BZ48)+0.284)</f>
        <v>35.6731819618734</v>
      </c>
      <c r="CB48" s="128" t="n">
        <f aca="false">(BZ48+CA48)*0.475*44/12</f>
        <v>301.22679191693</v>
      </c>
      <c r="CC48" s="120" t="n">
        <f aca="false">CB48+(BT48+BU48)*44/12</f>
        <v>594.560125250263</v>
      </c>
      <c r="CD48" s="120" t="n">
        <f aca="true">AVERAGE(OFFSET($CC$3,0,0,'Données projet'!$E$12+1,1))-AVERAGE(OFFSET($H$3,0,0,'Données projet'!$E$12+1,1))</f>
        <v>240.228848647662</v>
      </c>
      <c r="CE48" s="120" t="n">
        <f aca="false">$CE$3</f>
        <v>343.237768841432</v>
      </c>
      <c r="CF48" s="121" t="n">
        <f aca="false">IF(ISNA(VLOOKUP(A48,'Données projet'!$A$113:$I$133,3,0)),0,VLOOKUP(A48,'Données projet'!$A$113:$I$133,3,0))</f>
        <v>0</v>
      </c>
      <c r="CG48" s="121" t="n">
        <f aca="false">IF(ISNA(VLOOKUP(A48,'Données projet'!$A$113:$I$133,4,0)),0,VLOOKUP(A48,'Données projet'!$A$113:$I$133,4,0))</f>
        <v>0</v>
      </c>
      <c r="CH48" s="122" t="n">
        <f aca="false">IF(ISNA(VLOOKUP(A48,'Données projet'!$A$113:$I$133,5,0)),0%,VLOOKUP(A48,'Données projet'!$A$113:$I$133,5,0)*VLOOKUP('Données projet'!$B$12,Paramètres!$A$1:$I$89,7,0))</f>
        <v>0</v>
      </c>
      <c r="CI48" s="122" t="n">
        <f aca="false">IF(ISNA(VLOOKUP(A48,'Données projet'!$A$113:$I$133,6,0)),0%,VLOOKUP(A48,'Données projet'!$A$113:$I$133,6,0)*VLOOKUP('Données projet'!$B$12,Paramètres!$A$1:$I$89,7,0))</f>
        <v>0</v>
      </c>
      <c r="CJ48" s="122" t="n">
        <f aca="false">IF(ISNA(VLOOKUP(A48,'Données projet'!$A$113:$I$133,7,0)),0%,VLOOKUP(A48,'Données projet'!$A$113:$I$133,7,0))</f>
        <v>0</v>
      </c>
      <c r="CK48" s="129" t="n">
        <f aca="false">EXP(-LN(2)/35)*CK47+(1-EXP(-LN(2)/35))/(LN(2)/35)*CG48*CH48*VLOOKUP('Données projet'!$B$12,Paramètres!$A$1:$I$89,3,0)*0.475*44/12</f>
        <v>3.91162494013675</v>
      </c>
      <c r="CL48" s="129" t="n">
        <f aca="false">EXP(-LN(2)/25)*CL47+(1-EXP(-LN(2)/25))/(LN(2)/25)*Calculateur!CG48*Calculateur!CI48*VLOOKUP('Données projet'!$B$12,Paramètres!$A$1:$I$89,3,0)*0.475*44/12</f>
        <v>15.7088305728441</v>
      </c>
      <c r="CM48" s="129" t="n">
        <f aca="false">EXP(-LN(2)/2)*CM47+(1-EXP(-LN(2)/2))/(LN(2)/2)*CG48*CJ48*VLOOKUP('Données projet'!$B$12,Paramètres!$A$1:$I$89,3,0)*0.475*44/12</f>
        <v>0.0532530484303005</v>
      </c>
      <c r="CN48" s="130" t="n">
        <f aca="false">SUM(CK48:CM48)</f>
        <v>19.6737085614112</v>
      </c>
      <c r="CO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8" t="e">
        <f aca="false">VLOOKUP(A48,'Données projet'!$A$139:$I$159,2,0)</f>
        <v>#N/A</v>
      </c>
      <c r="CR48" s="118" t="e">
        <f aca="false">VLOOKUP(A48,'Données projet'!$A$139:$I$159,9,0)</f>
        <v>#N/A</v>
      </c>
      <c r="CS48" s="118" t="n">
        <f aca="false" t="array" ref="CS48:CS48">INDEX(CR:CR,MIN(IF(ISNUMBER(CR48:CR244),ROW(CR48:CR244),"")))</f>
        <v>0</v>
      </c>
      <c r="CT48" s="118" t="n">
        <f aca="false">IF('Données projet'!$A$140&gt;35,CT47+CS48-DB47,IF(A48&lt;'Données projet'!$A$140,$CQ$205^A48,IF(A48='Données projet'!$A$140,'Données projet'!$B$140,CT47+CS48-DB47)))</f>
        <v>-5.6843418860808E-014</v>
      </c>
      <c r="CU48" s="125" t="n">
        <f aca="false">CT48*VLOOKUP('Données projet'!$B$13,Paramètres!$A$1:$I$89,3,0)*VLOOKUP('Données projet'!$B$13,Paramètres!$A$1:$I$89,5,0)</f>
        <v>-3.10365066980012E-014</v>
      </c>
      <c r="CV48" s="117" t="e">
        <f aca="false">EXP(-1.0587+0.8836*LN(CU48)+0.284)</f>
        <v>#VALUE!</v>
      </c>
      <c r="CW48" s="128" t="e">
        <f aca="false">(CU48+CV48)*0.475*44/12</f>
        <v>#VALUE!</v>
      </c>
      <c r="CX48" s="120" t="e">
        <f aca="false">CW48+(CO48+CP48)*44/12</f>
        <v>#VALUE!</v>
      </c>
      <c r="CY48" s="120" t="n">
        <f aca="true">AVERAGE(OFFSET($CX$3,0,0,'Données projet'!$E$13+1,1))-AVERAGE(OFFSET($H$3,0,0,'Données projet'!$E$13+1,1))</f>
        <v>207.023069645676</v>
      </c>
      <c r="CZ48" s="120" t="n">
        <f aca="false">$CZ$3</f>
        <v>342.068879333518</v>
      </c>
      <c r="DA48" s="121" t="n">
        <f aca="false">IF(ISNA(VLOOKUP(A48,'Données projet'!$A$139:$I$159,3,0)),0,VLOOKUP(A48,'Données projet'!$A$139:$I$159,3,0))</f>
        <v>0</v>
      </c>
      <c r="DB48" s="121" t="n">
        <f aca="false">IF(ISNA(VLOOKUP(A48,'Données projet'!$A$139:$I$159,4,0)),0,VLOOKUP(A48,'Données projet'!$A$139:$I$159,4,0))</f>
        <v>0</v>
      </c>
      <c r="DC48" s="122" t="n">
        <f aca="false">IF(ISNA(VLOOKUP(A48,'Données projet'!$A$139:$I$159,5,0)),0%,VLOOKUP(A48,'Données projet'!$A$139:$I$159,5,0)*VLOOKUP('Données projet'!$B$13,Paramètres!$A$1:$I$89,7,0))</f>
        <v>0</v>
      </c>
      <c r="DD48" s="122" t="n">
        <f aca="false">IF(ISNA(VLOOKUP(A48,'Données projet'!$A$139:$I$159,6,0)),0%,VLOOKUP(A48,'Données projet'!$A$139:$I$159,6,0)*VLOOKUP('Données projet'!$B$13,Paramètres!$A$1:$I$89,7,0))</f>
        <v>0</v>
      </c>
      <c r="DE48" s="122" t="n">
        <f aca="false">IF(ISNA(VLOOKUP(A48,'Données projet'!$A$139:$I$159,7,0)),0%,VLOOKUP(A48,'Données projet'!$A$139:$I$159,7,0))</f>
        <v>0</v>
      </c>
      <c r="DF48" s="129" t="n">
        <f aca="false">EXP(-LN(2)/35)*DF47+(1-EXP(-LN(2)/35))/(LN(2)/35)*DB48*DC48*VLOOKUP('Données projet'!$B$13,Paramètres!$A$1:$I$89,3,0)*0.475*44/12</f>
        <v>4.90798223620931</v>
      </c>
      <c r="DG48" s="129" t="n">
        <f aca="false">EXP(-LN(2)/25)*DG47+(1-EXP(-LN(2)/25))/(LN(2)/25)*Calculateur!DB48*Calculateur!DD48*VLOOKUP('Données projet'!$B$13,Paramètres!$A$1:$I$89,3,0)*0.475*44/12</f>
        <v>25.6773954341888</v>
      </c>
      <c r="DH48" s="129" t="n">
        <f aca="false">EXP(-LN(2)/2)*DH47+(1-EXP(-LN(2)/2))/(LN(2)/2)*DB48*DE48*VLOOKUP('Données projet'!$B$13,Paramètres!$A$1:$I$89,3,0)*0.475*44/12</f>
        <v>0.0733294723779784</v>
      </c>
      <c r="DI48" s="130" t="n">
        <f aca="false">SUM(DF48:DH48)</f>
        <v>30.6587071427761</v>
      </c>
      <c r="DJ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8" t="e">
        <f aca="false">VLOOKUP(A48,'Données projet'!$A$165:$I$185,2,0)</f>
        <v>#N/A</v>
      </c>
      <c r="DM48" s="118" t="e">
        <f aca="false">VLOOKUP(A48,'Données projet'!$A$165:$I$185,9,0)</f>
        <v>#N/A</v>
      </c>
      <c r="DN48" s="118" t="n">
        <f aca="false" t="array" ref="DN48:DN48">INDEX(DM:DM,MIN(IF(ISNUMBER(DM48:DM244),ROW(DM48:DM244),"")))</f>
        <v>359.833333333333</v>
      </c>
      <c r="DO48" s="118" t="n">
        <f aca="false">IF('Données projet'!$A$166&gt;35,DO47+DN48-DW47,IF(A48&lt;'Données projet'!$A$166,$DL$205^A48,IF(A48='Données projet'!$A$166,'Données projet'!$B$166,DO47+DN48-DW47)))</f>
        <v>2033.16666666667</v>
      </c>
      <c r="DP48" s="125" t="n">
        <f aca="false">DO48*VLOOKUP('Données projet'!$B$14,Paramètres!$A$1:$I$89,3,0)*VLOOKUP('Données projet'!$B$14,Paramètres!$A$1:$I$89,5,0)</f>
        <v>1215.83366666667</v>
      </c>
      <c r="DQ48" s="117" t="n">
        <f aca="false">EXP(-1.0587+0.8836*LN(DP48)+0.284)</f>
        <v>245.102012378676</v>
      </c>
      <c r="DR48" s="128" t="n">
        <f aca="false">(DP48+DQ48)*0.475*44/12</f>
        <v>2544.46297433731</v>
      </c>
      <c r="DS48" s="120" t="n">
        <f aca="false">DR48+(DJ48+DK48)*44/12</f>
        <v>2837.79630767064</v>
      </c>
      <c r="DT48" s="120" t="n">
        <f aca="true">AVERAGE(OFFSET($DS$3,0,0,'Données projet'!$E$14+1,1))-AVERAGE(OFFSET($H$3,0,0,'Données projet'!$E$14+1,1))</f>
        <v>549.432320957297</v>
      </c>
      <c r="DU48" s="120" t="n">
        <f aca="false">$DU$3</f>
        <v>280.26155987301</v>
      </c>
      <c r="DV48" s="121" t="n">
        <f aca="false">IF(ISNA(VLOOKUP(A48,'Données projet'!$A$165:$I$185,3,0)),0,VLOOKUP(A48,'Données projet'!$A$165:$I$185,3,0))</f>
        <v>0</v>
      </c>
      <c r="DW48" s="121" t="n">
        <f aca="false">IF(ISNA(VLOOKUP(A48,'Données projet'!$A$165:$I$185,4,0)),0,VLOOKUP(A48,'Données projet'!$A$165:$I$185,4,0))</f>
        <v>0</v>
      </c>
      <c r="DX48" s="122" t="n">
        <f aca="false">IF(ISNA(VLOOKUP(A48,'Données projet'!$A$165:$I$185,5,0)),0%,VLOOKUP(A48,'Données projet'!$A$165:$I$185,5,0)*VLOOKUP('Données projet'!$B$14,Paramètres!$A$1:$I$89,7,0))</f>
        <v>0</v>
      </c>
      <c r="DY48" s="122" t="n">
        <f aca="false">IF(ISNA(VLOOKUP(A48,'Données projet'!$A$165:$I$185,6,0)),0%,VLOOKUP(A48,'Données projet'!$A$165:$I$185,6,0)*VLOOKUP('Données projet'!$B$14,Paramètres!$A$1:$I$89,7,0))</f>
        <v>0</v>
      </c>
      <c r="DZ48" s="122" t="n">
        <f aca="false">IF(ISNA(VLOOKUP(A48,'Données projet'!$A$165:$I$185,7,0)),0%,VLOOKUP(A48,'Données projet'!$A$165:$I$185,7,0))</f>
        <v>0</v>
      </c>
      <c r="EA48" s="129" t="n">
        <f aca="false">EXP(-LN(2)/35)*EA47+(1-EXP(-LN(2)/35))/(LN(2)/35)*DW48*DX48*VLOOKUP('Données projet'!$B$14,Paramètres!$A$1:$I$89,3,0)*0.475*44/12</f>
        <v>1.78453686847046</v>
      </c>
      <c r="EB48" s="129" t="n">
        <f aca="false">EXP(-LN(2)/25)*EB47+(1-EXP(-LN(2)/25))/(LN(2)/25)*Calculateur!DW48*Calculateur!DY48*VLOOKUP('Données projet'!$B$14,Paramètres!$A$1:$I$89,3,0)*0.475*44/12</f>
        <v>5.11544377659807</v>
      </c>
      <c r="EC48" s="129" t="n">
        <f aca="false">EXP(-LN(2)/2)*EC47+(1-EXP(-LN(2)/2))/(LN(2)/2)*DW48*DZ48*VLOOKUP('Données projet'!$B$14,Paramètres!$A$1:$I$89,3,0)*0.475*44/12</f>
        <v>0.0338033752101962</v>
      </c>
      <c r="ED48" s="130" t="n">
        <f aca="false">SUM(EA48:EC48)</f>
        <v>6.93378402027873</v>
      </c>
      <c r="EE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8" t="e">
        <f aca="false">VLOOKUP(A48,'Données projet'!$A$191:$I$211,2,0)</f>
        <v>#N/A</v>
      </c>
      <c r="EH48" s="118" t="e">
        <f aca="false">VLOOKUP(A48,'Données projet'!$A$191:$I$211,9,0)</f>
        <v>#N/A</v>
      </c>
      <c r="EI48" s="118" t="n">
        <f aca="false" t="array" ref="EI48:EI48">INDEX(EH:EH,MIN(IF(ISNUMBER(EH48:EH244),ROW(EH48:EH244),"")))</f>
        <v>0</v>
      </c>
      <c r="EJ48" s="118" t="n">
        <f aca="false">IF('Données projet'!$A$192&gt;35,EJ47+EI48-ER47,IF(A48&lt;'Données projet'!$A$192,$EG$205^A48,IF(A48='Données projet'!$A$192,'Données projet'!$B$192,EJ47+EI48-ER47)))</f>
        <v>0</v>
      </c>
      <c r="EK48" s="125" t="e">
        <f aca="false">EJ48*VLOOKUP('Données projet'!$B$15,Paramètres!$A$1:$I$89,3,0)*VLOOKUP('Données projet'!$B$15,Paramètres!$A$1:$I$89,5,0)</f>
        <v>#N/A</v>
      </c>
      <c r="EL48" s="117" t="e">
        <f aca="false">EXP(-1.0587+0.8836*LN(EK48)+0.284)</f>
        <v>#N/A</v>
      </c>
      <c r="EM48" s="128" t="e">
        <f aca="false">(EK48+EL48)*0.475*44/12</f>
        <v>#N/A</v>
      </c>
      <c r="EN48" s="120" t="e">
        <f aca="false">EM48+(EE48+EF48)*44/12</f>
        <v>#N/A</v>
      </c>
      <c r="EO48" s="120" t="e">
        <f aca="true">AVERAGE(OFFSET($EN$3,0,0,'Données projet'!$E$15+1,1))-AVERAGE(OFFSET($H$3,0,0,'Données projet'!$E$15+1,1))</f>
        <v>#N/A</v>
      </c>
      <c r="EP48" s="120" t="e">
        <f aca="false">$EP$3</f>
        <v>#N/A</v>
      </c>
      <c r="EQ48" s="121" t="n">
        <f aca="false">IF(ISNA(VLOOKUP(A48,'Données projet'!$A$191:$I$211,3,0)),0,VLOOKUP(A48,'Données projet'!$A$191:$I$211,3,0))</f>
        <v>0</v>
      </c>
      <c r="ER48" s="121" t="n">
        <f aca="false">IF(ISNA(VLOOKUP(A48,'Données projet'!$A$191:$I$211,4,0)),0,VLOOKUP(A48,'Données projet'!$A$191:$I$211,4,0))</f>
        <v>0</v>
      </c>
      <c r="ES48" s="122" t="n">
        <f aca="false">IF(ISNA(VLOOKUP(A48,'Données projet'!$A$191:$I$211,5,0)),0%,VLOOKUP(A48,'Données projet'!$A$191:$I$211,5,0)*VLOOKUP('Données projet'!$B$15,Paramètres!$A$1:$I$89,7,0))</f>
        <v>0</v>
      </c>
      <c r="ET48" s="122" t="n">
        <f aca="false">IF(ISNA(VLOOKUP(A48,'Données projet'!$A$191:$I$211,6,0)),0%,VLOOKUP(A48,'Données projet'!$A$191:$I$211,6,0)*VLOOKUP('Données projet'!$B$15,Paramètres!$A$1:$I$89,7,0))</f>
        <v>0</v>
      </c>
      <c r="EU48" s="122" t="n">
        <f aca="false">IF(ISNA(VLOOKUP(A48,'Données projet'!$A$191:$I$211,7,0)),0%,VLOOKUP(A48,'Données projet'!$A$191:$I$211,7,0))</f>
        <v>0</v>
      </c>
      <c r="EV48" s="129" t="e">
        <f aca="false">EXP(-LN(2)/35)*EV47+(1-EXP(-LN(2)/35))/(LN(2)/35)*ER48*ES48*VLOOKUP('Données projet'!$B$15,Paramètres!$A$1:$I$89,3,0)*0.475*44/12</f>
        <v>#N/A</v>
      </c>
      <c r="EW48" s="129" t="e">
        <f aca="false">EXP(-LN(2)/25)*EW47+(1-EXP(-LN(2)/25))/(LN(2)/25)*Calculateur!ER48*Calculateur!ET48*VLOOKUP('Données projet'!$B$15,Paramètres!$A$1:$I$89,3,0)*0.475*44/12</f>
        <v>#N/A</v>
      </c>
      <c r="EX48" s="129" t="e">
        <f aca="false">EXP(-LN(2)/2)*EX47+(1-EXP(-LN(2)/2))/(LN(2)/2)*ER48*EU48*VLOOKUP('Données projet'!$B$15,Paramètres!$A$1:$I$89,3,0)*0.475*44/12</f>
        <v>#N/A</v>
      </c>
      <c r="EY48" s="130" t="e">
        <f aca="false">SUM(EV48:EX48)</f>
        <v>#N/A</v>
      </c>
      <c r="EZ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8" t="e">
        <f aca="false">VLOOKUP(A48,'Données projet'!$A$217:$I$237,2,0)</f>
        <v>#N/A</v>
      </c>
      <c r="FC48" s="118" t="e">
        <f aca="false">VLOOKUP(A48,'Données projet'!$A$217:$I$237,9,0)</f>
        <v>#N/A</v>
      </c>
      <c r="FD48" s="118" t="n">
        <f aca="false" t="array" ref="FD48:FD48">INDEX(FC:FC,MIN(IF(ISNUMBER(FC48:FC244),ROW(FC48:FC244),"")))</f>
        <v>0</v>
      </c>
      <c r="FE48" s="118" t="n">
        <f aca="false">IF('Données projet'!$A$218&gt;35,FE47+FD48-FM47,IF(A48&lt;'Données projet'!$A$218,$FB$205^A48,IF(A48='Données projet'!$A$218,'Données projet'!$B$218,FE47+FD48-FM47)))</f>
        <v>0</v>
      </c>
      <c r="FF48" s="125" t="e">
        <f aca="false">FE48*VLOOKUP('Données projet'!$B$16,Paramètres!$A$1:$I$89,3,0)*VLOOKUP('Données projet'!$B$16,Paramètres!$A$1:$I$89,5,0)</f>
        <v>#N/A</v>
      </c>
      <c r="FG48" s="117" t="e">
        <f aca="false">EXP(-1.0587+0.8836*LN(FF48)+0.284)</f>
        <v>#N/A</v>
      </c>
      <c r="FH48" s="128" t="e">
        <f aca="false">(FF48+FG48)*0.475*44/12</f>
        <v>#N/A</v>
      </c>
      <c r="FI48" s="120" t="e">
        <f aca="false">FH48+(EZ48+FA48)*44/12</f>
        <v>#N/A</v>
      </c>
      <c r="FJ48" s="120" t="e">
        <f aca="true">AVERAGE(OFFSET($FI$3,0,0,'Données projet'!$E$16+1,1))-AVERAGE(OFFSET($H$3,0,0,'Données projet'!$E$16+1,1))</f>
        <v>#N/A</v>
      </c>
      <c r="FK48" s="120" t="e">
        <f aca="false">$FK$3</f>
        <v>#N/A</v>
      </c>
      <c r="FL48" s="121" t="n">
        <f aca="false">IF(ISNA(VLOOKUP(A48,'Données projet'!$A$217:$I$237,3,0)),0,VLOOKUP(A48,'Données projet'!$A$217:$I$237,3,0))</f>
        <v>0</v>
      </c>
      <c r="FM48" s="121" t="n">
        <f aca="false">IF(ISNA(VLOOKUP(A48,'Données projet'!$A$217:$I$237,4,0)),0,VLOOKUP(A48,'Données projet'!$A$217:$I$237,4,0))</f>
        <v>0</v>
      </c>
      <c r="FN48" s="122" t="n">
        <f aca="false">IF(ISNA(VLOOKUP(A48,'Données projet'!$A$217:$I$237,5,0)),0%,VLOOKUP(A48,'Données projet'!$A$217:$I$237,5,0)*VLOOKUP('Données projet'!$B$16,Paramètres!$A$1:$I$89,7,0))</f>
        <v>0</v>
      </c>
      <c r="FO48" s="122" t="n">
        <f aca="false">IF(ISNA(VLOOKUP(A48,'Données projet'!$A$217:$I$237,6,0)),0%,VLOOKUP(A48,'Données projet'!$A$217:$I$237,6,0)*VLOOKUP('Données projet'!$B$16,Paramètres!$A$1:$I$89,7,0))</f>
        <v>0</v>
      </c>
      <c r="FP48" s="122" t="n">
        <f aca="false">IF(ISNA(VLOOKUP(A48,'Données projet'!$A$217:$I$237,7,0)),0%,VLOOKUP(A48,'Données projet'!$A$217:$I$237,7,0))</f>
        <v>0</v>
      </c>
      <c r="FQ48" s="129" t="e">
        <f aca="false">EXP(-LN(2)/35)*FQ47+(1-EXP(-LN(2)/35))/(LN(2)/35)*FM48*FN48*VLOOKUP('Données projet'!$B$16,Paramètres!$A$1:$I$89,3,0)*0.475*44/12</f>
        <v>#N/A</v>
      </c>
      <c r="FR48" s="129" t="e">
        <f aca="false">EXP(-LN(2)/25)*FR47+(1-EXP(-LN(2)/25))/(LN(2)/25)*Calculateur!FM48*Calculateur!FO48*VLOOKUP('Données projet'!$B$16,Paramètres!$A$1:$I$89,3,0)*0.475*44/12</f>
        <v>#N/A</v>
      </c>
      <c r="FS48" s="129" t="e">
        <f aca="false">EXP(-LN(2)/2)*FS47+(1-EXP(-LN(2)/2))/(LN(2)/2)*FM48*FP48*VLOOKUP('Données projet'!$B$16,Paramètres!$A$1:$I$89,3,0)*0.475*44/12</f>
        <v>#N/A</v>
      </c>
      <c r="FT48" s="130" t="e">
        <f aca="false">SUM(FQ48:FS48)</f>
        <v>#N/A</v>
      </c>
      <c r="FU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8" t="e">
        <f aca="false">VLOOKUP(A48,'Données projet'!$A$243:$I$263,2,0)</f>
        <v>#N/A</v>
      </c>
      <c r="FX48" s="118" t="e">
        <f aca="false">VLOOKUP(A48,'Données projet'!$A$243:$I$263,9,0)</f>
        <v>#N/A</v>
      </c>
      <c r="FY48" s="118" t="n">
        <f aca="false" t="array" ref="FY48:FY48">INDEX(FX:FX,MIN(IF(ISNUMBER(FX48:FX244),ROW(FX48:FX244),"")))</f>
        <v>0</v>
      </c>
      <c r="FZ48" s="118" t="n">
        <f aca="false">IF('Données projet'!$A$244&gt;35,FZ47+FY48-GH47,IF(A48&lt;'Données projet'!$A$244,$FW$205^A48,IF(A48='Données projet'!$A$244,'Données projet'!$B$244,FZ47+FY48-GH47)))</f>
        <v>0</v>
      </c>
      <c r="GA48" s="125" t="e">
        <f aca="false">FZ48*VLOOKUP('Données projet'!$B$17,Paramètres!$A$1:$I$89,3,0)*VLOOKUP('Données projet'!$B$17,Paramètres!$A$1:$I$89,5,0)</f>
        <v>#N/A</v>
      </c>
      <c r="GB48" s="117" t="e">
        <f aca="false">EXP(-1.0587+0.8836*LN(GA48)+0.284)</f>
        <v>#N/A</v>
      </c>
      <c r="GC48" s="128" t="e">
        <f aca="false">(GA48+GB48)*0.475*44/12</f>
        <v>#N/A</v>
      </c>
      <c r="GD48" s="120" t="e">
        <f aca="false">GC48+(FU48+FV48)*44/12</f>
        <v>#N/A</v>
      </c>
      <c r="GE48" s="120" t="e">
        <f aca="true">AVERAGE(OFFSET($GD$3,0,0,'Données projet'!$E$17+1,1))-AVERAGE(OFFSET($H$3,0,0,'Données projet'!$E$17+1,1))</f>
        <v>#N/A</v>
      </c>
      <c r="GF48" s="120" t="e">
        <f aca="false">$GF$3</f>
        <v>#N/A</v>
      </c>
      <c r="GG48" s="121" t="n">
        <f aca="false">IF(ISNA(VLOOKUP(A48,'Données projet'!$A$243:$I$263,3,0)),0,VLOOKUP(A48,'Données projet'!$A$243:$I$263,3,0))</f>
        <v>0</v>
      </c>
      <c r="GH48" s="121" t="n">
        <f aca="false">IF(ISNA(VLOOKUP(A48,'Données projet'!$A$243:$I$263,4,0)),0,VLOOKUP(A48,'Données projet'!$A$243:$I$263,4,0))</f>
        <v>0</v>
      </c>
      <c r="GI48" s="122" t="n">
        <f aca="false">IF(ISNA(VLOOKUP(A48,'Données projet'!$A$243:$I$263,5,0)),0%,VLOOKUP(A48,'Données projet'!$A$243:$I$263,5,0)*VLOOKUP('Données projet'!$B$17,Paramètres!$A$1:$I$89,7,0))</f>
        <v>0</v>
      </c>
      <c r="GJ48" s="122" t="n">
        <f aca="false">IF(ISNA(VLOOKUP(A48,'Données projet'!$A$243:$I$263,6,0)),0%,VLOOKUP(A48,'Données projet'!$A$243:$I$263,6,0)*VLOOKUP('Données projet'!$B$17,Paramètres!$A$1:$I$89,7,0))</f>
        <v>0</v>
      </c>
      <c r="GK48" s="122" t="n">
        <f aca="false">IF(ISNA(VLOOKUP(A48,'Données projet'!$A$243:$I$263,7,0)),0%,VLOOKUP(A48,'Données projet'!$A$243:$I$263,7,0))</f>
        <v>0</v>
      </c>
      <c r="GL48" s="129" t="e">
        <f aca="false">EXP(-LN(2)/35)*GL47+(1-EXP(-LN(2)/35))/(LN(2)/35)*GH48*GI48*VLOOKUP('Données projet'!$B$17,Paramètres!$A$1:$I$89,3,0)*0.475*44/12</f>
        <v>#N/A</v>
      </c>
      <c r="GM48" s="129" t="e">
        <f aca="false">EXP(-LN(2)/25)*GM47+(1-EXP(-LN(2)/25))/(LN(2)/25)*Calculateur!GH48*Calculateur!GJ48*VLOOKUP('Données projet'!$B$17,Paramètres!$A$1:$I$89,3,0)*0.475*44/12</f>
        <v>#N/A</v>
      </c>
      <c r="GN48" s="129" t="e">
        <f aca="false">EXP(-LN(2)/2)*GN47+(1-EXP(-LN(2)/2))/(LN(2)/2)*GH48*GK48*VLOOKUP('Données projet'!$B$17,Paramètres!$A$1:$I$89,3,0)*0.475*44/12</f>
        <v>#N/A</v>
      </c>
      <c r="GO48" s="129" t="e">
        <f aca="false">SUM(GL48:GN48)</f>
        <v>#N/A</v>
      </c>
      <c r="GP48" s="126" t="n">
        <f aca="false"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8" t="n">
        <f aca="false"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8" t="e">
        <f aca="false">VLOOKUP(A48,'Données projet'!$A$269:$I$289,2,0)</f>
        <v>#N/A</v>
      </c>
      <c r="GS48" s="118" t="e">
        <f aca="false">VLOOKUP(A48,'Données projet'!$A$269:$I$289,9,0)</f>
        <v>#N/A</v>
      </c>
      <c r="GT48" s="118" t="n">
        <f aca="false" t="array" ref="GT48:GT48">INDEX(GS:GS,MIN(IF(ISNUMBER(GS48:GS244),ROW(GS48:GS244),"")))</f>
        <v>0</v>
      </c>
      <c r="GU48" s="118" t="n">
        <f aca="false">IF('Données projet'!$A$270&gt;35,GU47+GT48-HC47,IF(A48&lt;'Données projet'!$A$270,$GR$205^A48,IF(A48='Données projet'!$A$270,'Données projet'!$B$270,GU47+GT48-HC47)))</f>
        <v>0</v>
      </c>
      <c r="GV48" s="125" t="e">
        <f aca="false">GU48*VLOOKUP('Données projet'!$B$18,Paramètres!$A$1:$I$89,3,0)*VLOOKUP('Données projet'!$B$18,Paramètres!$A$1:$I$89,5,0)</f>
        <v>#N/A</v>
      </c>
      <c r="GW48" s="117" t="e">
        <f aca="false">EXP(-1.0587+0.8836*LN(GV48)+0.284)</f>
        <v>#N/A</v>
      </c>
      <c r="GX48" s="128" t="e">
        <f aca="false">(GV48+GW48)*0.475*44/12</f>
        <v>#N/A</v>
      </c>
      <c r="GY48" s="120" t="e">
        <f aca="false">GX48+(GP48+GQ48)*44/12</f>
        <v>#N/A</v>
      </c>
      <c r="GZ48" s="120" t="e">
        <f aca="true">AVERAGE(OFFSET($GY$3,0,0,'Données projet'!$E$18+1,1))-AVERAGE(OFFSET($H$3,0,0,'Données projet'!$E$18+1,1))</f>
        <v>#N/A</v>
      </c>
      <c r="HA48" s="120" t="e">
        <f aca="false">$HA$3</f>
        <v>#N/A</v>
      </c>
      <c r="HB48" s="121" t="n">
        <f aca="false">IF(ISNA(VLOOKUP(A48,'Données projet'!$A$269:$I$289,3,0)),0,VLOOKUP(A48,'Données projet'!$A$269:$I$289,3,0))</f>
        <v>0</v>
      </c>
      <c r="HC48" s="121" t="n">
        <f aca="false">IF(ISNA(VLOOKUP(A48,'Données projet'!$A$269:$I$289,4,0)),0,VLOOKUP(A48,'Données projet'!$A$269:$I$289,4,0))</f>
        <v>0</v>
      </c>
      <c r="HD48" s="122" t="n">
        <f aca="false">IF(ISNA(VLOOKUP(A48,'Données projet'!$A$269:$I$289,5,0)),0%,VLOOKUP(A48,'Données projet'!$A$269:$I$289,5,0)*VLOOKUP('Données projet'!$B$18,Paramètres!$A$1:$I$89,7,0))</f>
        <v>0</v>
      </c>
      <c r="HE48" s="122" t="n">
        <f aca="false">IF(ISNA(VLOOKUP(A48,'Données projet'!$A$269:$I$289,6,0)),0%,VLOOKUP(A48,'Données projet'!$A$269:$I$289,6,0)*VLOOKUP('Données projet'!$B$18,Paramètres!$A$1:$I$89,7,0))</f>
        <v>0</v>
      </c>
      <c r="HF48" s="122" t="n">
        <f aca="false">IF(ISNA(VLOOKUP(A48,'Données projet'!$A$269:$I$289,7,0)),0%,VLOOKUP(A48,'Données projet'!$A$269:$I$289,7,0))</f>
        <v>0</v>
      </c>
      <c r="HG48" s="129" t="e">
        <f aca="false">EXP(-LN(2)/35)*HG47+(1-EXP(-LN(2)/35))/(LN(2)/35)*HC48*HD48*VLOOKUP('Données projet'!$B$18,Paramètres!$A$1:$I$89,3,0)*0.475*44/12</f>
        <v>#N/A</v>
      </c>
      <c r="HH48" s="129" t="e">
        <f aca="false">EXP(-LN(2)/25)*HH47+(1-EXP(-LN(2)/25))/(LN(2)/25)*Calculateur!HC48*Calculateur!HE48*VLOOKUP('Données projet'!$B$18,Paramètres!$A$1:$I$89,3,0)*0.475*44/12</f>
        <v>#N/A</v>
      </c>
      <c r="HI48" s="129" t="e">
        <f aca="false">EXP(-LN(2)/2)*HI47+(1-EXP(-LN(2)/2))/(LN(2)/2)*HC48*HF48*VLOOKUP('Données projet'!$B$18,Paramètres!$A$1:$I$89,3,0)*0.475*44/12</f>
        <v>#N/A</v>
      </c>
      <c r="HJ48" s="130" t="e">
        <f aca="false">SUM(HG48:HI48)</f>
        <v>#N/A</v>
      </c>
    </row>
    <row r="49" customFormat="false" ht="14.25" hidden="false" customHeight="false" outlineLevel="0" collapsed="false">
      <c r="A49" s="112" t="n">
        <f aca="false">A48+1</f>
        <v>46</v>
      </c>
      <c r="B49" s="113" t="n">
        <f aca="false">'Scénario référence'!$B$16*5+'Scénario référence'!$B$17*0+'Scénario référence'!$B$18*5</f>
        <v>0</v>
      </c>
      <c r="C49" s="127" t="n">
        <f aca="false"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4" t="n">
        <f aca="false">IFERROR(EXP(-1.0587+0.8836*LN(C49)+0.284),0)</f>
        <v>0</v>
      </c>
      <c r="E4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49" s="114" t="n">
        <f aca="false">IF(OR('Scénario référence'!$F$8&gt;0,'Scénario référence'!$F$9&gt;0),('Scénario référence'!$F$8+'Scénario référence'!$F$9)*10,0)</f>
        <v>0</v>
      </c>
      <c r="G49" s="114" t="n">
        <f aca="false"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15" t="n">
        <f aca="false">(B49+E49+F49)*44/12+(C49+D49)*0.475*44/12</f>
        <v>256.666666666667</v>
      </c>
      <c r="I49" s="11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7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8" t="e">
        <f aca="false">VLOOKUP(A49,'Données projet'!$A$35:$I$55,2,0)</f>
        <v>#N/A</v>
      </c>
      <c r="L49" s="118" t="e">
        <f aca="false">VLOOKUP(A49,'Données projet'!$A$35:$I$55,9,0)</f>
        <v>#N/A</v>
      </c>
      <c r="M49" s="118" t="n">
        <f aca="false" t="array" ref="M49:M49">INDEX(L:L,MIN(IF(ISNUMBER(L49:L245),ROW(L49:L245),"")))</f>
        <v>11.5</v>
      </c>
      <c r="N49" s="117" t="n">
        <f aca="false">IF('Données projet'!$A$36&gt;35,N48+M49-V48,IF(A49&lt;'Données projet'!$A$36,$K$205^A49,IF(A49='Données projet'!$A$36,'Données projet'!$B$36,N48+M49-V48)))</f>
        <v>242.5</v>
      </c>
      <c r="O49" s="117" t="n">
        <f aca="false">N49*VLOOKUP('Données projet'!$B$9,Paramètres!$A$1:$I$89,3,0)*VLOOKUP('Données projet'!$B$9,Paramètres!$A$1:$I$89,5,0)</f>
        <v>113.49</v>
      </c>
      <c r="P49" s="117" t="n">
        <f aca="false">EXP(-1.0587+0.8836*LN(O49)+0.284)</f>
        <v>30.1517550789815</v>
      </c>
      <c r="Q49" s="128" t="n">
        <f aca="false">(O49+P49)*0.475*44/12</f>
        <v>250.176056762559</v>
      </c>
      <c r="R49" s="120" t="n">
        <f aca="false">Q49+(I49+J49)*44/12</f>
        <v>543.509390095893</v>
      </c>
      <c r="S49" s="120" t="n">
        <f aca="true">AVERAGE(OFFSET($R$3,0,0,'Données projet'!$E$9+1,1))-AVERAGE(OFFSET($H$3,0,0,'Données projet'!$E$9+1,1))</f>
        <v>319.229030946746</v>
      </c>
      <c r="T49" s="120" t="n">
        <f aca="false">$T$3</f>
        <v>254.586909731428</v>
      </c>
      <c r="U49" s="121" t="n">
        <f aca="false">IF(ISNA(VLOOKUP(A49,'Données projet'!$A$35:$I$55,3,0)),0,VLOOKUP(A49,'Données projet'!$A$35:$I$55,3,0))</f>
        <v>0</v>
      </c>
      <c r="V49" s="121" t="n">
        <f aca="false">IF(ISNA(VLOOKUP(A49,'Données projet'!$A$35:$I$55,4,0)),0,VLOOKUP(A49,'Données projet'!$A$35:$I$55,4,0))</f>
        <v>0</v>
      </c>
      <c r="W49" s="122" t="n">
        <f aca="false">IF(ISNA(VLOOKUP(A49,'Données projet'!$A$35:$I$55,5,0)),0%,VLOOKUP(A49,'Données projet'!$A$35:$I$55,5,0)*VLOOKUP('Données projet'!$B$9,Paramètres!$A$1:$I$89,7,0))</f>
        <v>0</v>
      </c>
      <c r="X49" s="122" t="n">
        <f aca="false">IF(ISNA(VLOOKUP(A49,'Données projet'!$A$35:$I$55,6,0)),0%,VLOOKUP(A49,'Données projet'!$A$35:$I$55,6,0)*VLOOKUP('Données projet'!$B$9,Paramètres!$A$1:$I$89,7,0))</f>
        <v>0</v>
      </c>
      <c r="Y49" s="122" t="n">
        <f aca="false">IF(ISNA(VLOOKUP(A49,'Données projet'!$A$35:$I$55,7,0)),0%,VLOOKUP(A49,'Données projet'!$A$35:$I$55,7,0))</f>
        <v>0</v>
      </c>
      <c r="Z49" s="129" t="n">
        <f aca="false">EXP(-LN(2)/35)*Z48+(1-EXP(-LN(2)/35))/(LN(2)/35)*V49*W49*VLOOKUP('Données projet'!$B$9,Paramètres!$A$1:$I$89,3,0)*0.475*44/12</f>
        <v>6.61132904364403</v>
      </c>
      <c r="AA49" s="129" t="n">
        <f aca="false">EXP(-LN(2)/25)*AA48+(1-EXP(-LN(2)/25))/(LN(2)/25)*Calculateur!V49*Calculateur!X49*VLOOKUP('Données projet'!$B$9,Paramètres!$A$1:$I$89,3,0)*0.475*44/12</f>
        <v>7.15594657905832</v>
      </c>
      <c r="AB49" s="129" t="n">
        <f aca="false">EXP(-LN(2)/2)*AB48+(1-EXP(-LN(2)/2))/(LN(2)/2)*V49*Y49*VLOOKUP('Données projet'!$B$9,Paramètres!$A$1:$I$89,3,0)*0.475*44/12</f>
        <v>0.0431372212640561</v>
      </c>
      <c r="AC49" s="130" t="n">
        <f aca="false">SUM(Z49:AB49)</f>
        <v>13.8104128439664</v>
      </c>
      <c r="AD49" s="117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7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8" t="e">
        <f aca="false">VLOOKUP(A49,'Données projet'!$A$61:$I$81,2,0)</f>
        <v>#N/A</v>
      </c>
      <c r="AG49" s="118" t="e">
        <f aca="false">VLOOKUP(A49,'Données projet'!$A$61:$I$81,9,0)</f>
        <v>#N/A</v>
      </c>
      <c r="AH49" s="118" t="n">
        <f aca="false" t="array" ref="AH49:AH49">INDEX(AG:AG,MIN(IF(ISNUMBER(AG49:AG245),ROW(AG49:AG245),"")))</f>
        <v>15</v>
      </c>
      <c r="AI49" s="117" t="n">
        <f aca="false">IF('Données projet'!$A$62&gt;35,AI48+AH49-AQ48,IF(A49&lt;'Données projet'!$A$62,$AF$205^A49,IF(A49='Données projet'!$A$62,'Données projet'!$B$62,AI48+AH49-AQ48)))</f>
        <v>484</v>
      </c>
      <c r="AJ49" s="117" t="n">
        <f aca="false">AI49*VLOOKUP('Données projet'!$B$10,Paramètres!$A$1:$I$89,3,0)*VLOOKUP('Données projet'!$B$10,Paramètres!$A$1:$I$89,5,0)</f>
        <v>270.556</v>
      </c>
      <c r="AK49" s="117" t="n">
        <f aca="false">EXP(-1.0587+0.8836*LN(AJ49)+0.284)</f>
        <v>64.9672523893253</v>
      </c>
      <c r="AL49" s="128" t="n">
        <f aca="false">(AJ49+AK49)*0.475*44/12</f>
        <v>584.369664578075</v>
      </c>
      <c r="AM49" s="120" t="n">
        <f aca="false">AL49+(AD49+AE49)*44/12</f>
        <v>877.702997911408</v>
      </c>
      <c r="AN49" s="120" t="n">
        <f aca="true">AVERAGE(OFFSET($AM$3,0,0,'Données projet'!$E$10+1,1))-AVERAGE(OFFSET($H$3,0,0,'Données projet'!$E$10+1,1))</f>
        <v>365.705101827279</v>
      </c>
      <c r="AO49" s="120" t="n">
        <f aca="false">$AO$3</f>
        <v>436.238338449625</v>
      </c>
      <c r="AP49" s="121" t="n">
        <f aca="false">IF(ISNA(VLOOKUP(A49,'Données projet'!$A$61:$I$81,3,0)),0,VLOOKUP(A49,'Données projet'!$A$61:$I$81,3,0))</f>
        <v>0</v>
      </c>
      <c r="AQ49" s="121" t="n">
        <f aca="false">IF(ISNA(VLOOKUP(A49,'Données projet'!$A$61:$I$81,4,0)),0,VLOOKUP(A49,'Données projet'!$A$61:$I$81,4,0))</f>
        <v>0</v>
      </c>
      <c r="AR49" s="122" t="n">
        <f aca="false">IF(ISNA(VLOOKUP(A49,'Données projet'!$A$61:$I$81,5,0)),0%,VLOOKUP(A49,'Données projet'!$A$61:$I$81,5,0)*VLOOKUP('Données projet'!$B$10,Paramètres!$A$1:$I$89,7,0))</f>
        <v>0</v>
      </c>
      <c r="AS49" s="122" t="n">
        <f aca="false">IF(ISNA(VLOOKUP(A49,'Données projet'!$A$61:$I$81,6,0)),0%,VLOOKUP(A49,'Données projet'!$A$61:$I$81,6,0)*VLOOKUP('Données projet'!$B$10,Paramètres!$A$1:$I$89,7,0))</f>
        <v>0</v>
      </c>
      <c r="AT49" s="122" t="n">
        <f aca="false">IF(ISNA(VLOOKUP(A49,'Données projet'!$A$61:$I$81,7,0)),0%,VLOOKUP(A49,'Données projet'!$A$61:$I$81,7,0))</f>
        <v>0</v>
      </c>
      <c r="AU49" s="129" t="n">
        <f aca="false">EXP(-LN(2)/35)*AU48+(1-EXP(-LN(2)/35))/(LN(2)/35)*AQ49*AR49*VLOOKUP('Données projet'!$B$10,Paramètres!$A$1:$I$89,3,0)*0.475*44/12</f>
        <v>2.49556236536829</v>
      </c>
      <c r="AV49" s="129" t="n">
        <f aca="false">EXP(-LN(2)/25)*AV48+(1-EXP(-LN(2)/25))/(LN(2)/25)*Calculateur!AQ49*Calculateur!AS49*VLOOKUP('Données projet'!$B$10,Paramètres!$A$1:$I$89,3,0)*0.475*44/12</f>
        <v>8.47583180174386</v>
      </c>
      <c r="AW49" s="129" t="n">
        <f aca="false">EXP(-LN(2)/2)*AW48+(1-EXP(-LN(2)/2))/(LN(2)/2)*AQ49*AT49*VLOOKUP('Données projet'!$B$10,Paramètres!$A$1:$I$89,3,0)*0.475*44/12</f>
        <v>0.0232151042409211</v>
      </c>
      <c r="AX49" s="129" t="n">
        <f aca="false">SUM(AU49:AW49)</f>
        <v>10.9946092713531</v>
      </c>
      <c r="AY49" s="124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8" t="e">
        <f aca="false">VLOOKUP(A49,'Données projet'!$A$87:$I$107,2,0)</f>
        <v>#N/A</v>
      </c>
      <c r="BB49" s="118" t="e">
        <f aca="false">VLOOKUP(A49,'Données projet'!$A$87:$I$107,9,0)</f>
        <v>#N/A</v>
      </c>
      <c r="BC49" s="118" t="n">
        <f aca="false" t="array" ref="BC49:BC49">INDEX(BB:BB,MIN(IF(ISNUMBER(BB49:BB245),ROW(BB49:BB245),"")))</f>
        <v>8.8</v>
      </c>
      <c r="BD49" s="118" t="n">
        <f aca="false">IF('Données projet'!$A$88&gt;35,BD48+BC49-BL48,IF(A49&lt;'Données projet'!$A$88,$BA$205^A49,IF(A49='Données projet'!$A$88,'Données projet'!$B$88,BD48+BC49-BL48)))</f>
        <v>195.8</v>
      </c>
      <c r="BE49" s="117" t="n">
        <f aca="false">BD49*VLOOKUP('Données projet'!$B$11,Paramètres!$A$1:$I$89,3,0)*VLOOKUP('Données projet'!$B$11,Paramètres!$A$1:$I$89,5,0)</f>
        <v>171.05088</v>
      </c>
      <c r="BF49" s="117" t="n">
        <f aca="false">EXP(-1.0587+0.8836*LN(BE49)+0.284)</f>
        <v>43.3253012645817</v>
      </c>
      <c r="BG49" s="128" t="n">
        <f aca="false">(BE49+BF49)*0.475*44/12</f>
        <v>373.371849035813</v>
      </c>
      <c r="BH49" s="120" t="n">
        <f aca="false">BG49+(AY49+AZ49)*44/12</f>
        <v>666.705182369147</v>
      </c>
      <c r="BI49" s="120" t="n">
        <f aca="true">AVERAGE(OFFSET($BH$3,0,0,'Données projet'!$E$11+1,1))-AVERAGE(OFFSET($H$3,0,0,'Données projet'!$E$11+1,1))</f>
        <v>321.235999689929</v>
      </c>
      <c r="BJ49" s="120" t="n">
        <f aca="false">$BJ$3</f>
        <v>388.051958478005</v>
      </c>
      <c r="BK49" s="121" t="n">
        <f aca="false">IF(ISNA(VLOOKUP(A49,'Données projet'!$A$87:$I$107,3,0)),0,VLOOKUP(A49,'Données projet'!$A$87:$I$107,3,0))</f>
        <v>0</v>
      </c>
      <c r="BL49" s="121" t="n">
        <f aca="false">IF(ISNA(VLOOKUP(A49,'Données projet'!$A$87:$I$107,4,0)),0,VLOOKUP(A49,'Données projet'!$A$87:$I$107,4,0))</f>
        <v>0</v>
      </c>
      <c r="BM49" s="122" t="n">
        <f aca="false">IF(ISNA(VLOOKUP(A49,'Données projet'!$A$87:$I$107,5,0)),0%,VLOOKUP(A49,'Données projet'!$A$87:$I$107,5,0)*VLOOKUP('Données projet'!$B$11,Paramètres!$A$1:$I$89,7,0))</f>
        <v>0</v>
      </c>
      <c r="BN49" s="122" t="n">
        <f aca="false">IF(ISNA(VLOOKUP(A49,'Données projet'!$A$87:$I$107,6,0)),0%,VLOOKUP(A49,'Données projet'!$A$87:$I$107,6,0)*VLOOKUP('Données projet'!$B$11,Paramètres!$A$1:$I$89,7,0))</f>
        <v>0</v>
      </c>
      <c r="BO49" s="122" t="n">
        <f aca="false">IF(ISNA(VLOOKUP(A49,'Données projet'!$A$87:$I$107,7,0)),0%,VLOOKUP(A49,'Données projet'!$A$87:$I$107,7,0))</f>
        <v>0</v>
      </c>
      <c r="BP49" s="129" t="n">
        <f aca="false">EXP(-LN(2)/35)*BP48+(1-EXP(-LN(2)/35))/(LN(2)/35)*BL49*BM49*VLOOKUP('Données projet'!$B$11,Paramètres!$A$1:$I$89,3,0)*0.475*44/12</f>
        <v>6.26541215961845</v>
      </c>
      <c r="BQ49" s="129" t="n">
        <f aca="false">EXP(-LN(2)/25)*BQ48+(1-EXP(-LN(2)/25))/(LN(2)/25)*Calculateur!BL49*Calculateur!BN49*VLOOKUP('Données projet'!$B$11,Paramètres!$A$1:$I$89,3,0)*0.475*44/12</f>
        <v>8.65162566993689</v>
      </c>
      <c r="BR49" s="129" t="n">
        <f aca="false">EXP(-LN(2)/2)*BR48+(1-EXP(-LN(2)/2))/(LN(2)/2)*BL49*BO49*VLOOKUP('Données projet'!$B$11,Paramètres!$A$1:$I$89,3,0)*0.475*44/12</f>
        <v>0.0235976709269326</v>
      </c>
      <c r="BS49" s="130" t="n">
        <f aca="false">SUM(BP49:BR49)</f>
        <v>14.9406355004823</v>
      </c>
      <c r="BT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8" t="e">
        <f aca="false">VLOOKUP(A49,'Données projet'!$A$113:$I$133,2,0)</f>
        <v>#N/A</v>
      </c>
      <c r="BW49" s="118" t="e">
        <f aca="false">VLOOKUP(A49,'Données projet'!$A$113:$I$133,9,0)</f>
        <v>#N/A</v>
      </c>
      <c r="BX49" s="118" t="n">
        <f aca="false" t="array" ref="BX49:BX49">INDEX(BW:BW,MIN(IF(ISNUMBER(BW49:BW245),ROW(BW49:BW245),"")))</f>
        <v>10.6666666666667</v>
      </c>
      <c r="BY49" s="118" t="n">
        <f aca="false">IF('Données projet'!$A$114&gt;35,BY48+BX49-CG48,IF(A49&lt;'Données projet'!$A$114,$BV$205^A49,IF(A49='Données projet'!$A$114,'Données projet'!$B$114,BY48+BX49-CG48)))</f>
        <v>230.666666666667</v>
      </c>
      <c r="BZ49" s="117" t="n">
        <f aca="false">BY49*VLOOKUP('Données projet'!$B$12,Paramètres!$A$1:$I$89,3,0)*VLOOKUP('Données projet'!$B$12,Paramètres!$A$1:$I$89,5,0)</f>
        <v>143.936</v>
      </c>
      <c r="CA49" s="117" t="n">
        <f aca="false">EXP(-1.0587+0.8836*LN(BZ49)+0.284)</f>
        <v>37.1972276550194</v>
      </c>
      <c r="CB49" s="128" t="n">
        <f aca="false">(BZ49+CA49)*0.475*44/12</f>
        <v>315.473704832492</v>
      </c>
      <c r="CC49" s="120" t="n">
        <f aca="false">CB49+(BT49+BU49)*44/12</f>
        <v>608.807038165825</v>
      </c>
      <c r="CD49" s="120" t="n">
        <f aca="true">AVERAGE(OFFSET($CC$3,0,0,'Données projet'!$E$12+1,1))-AVERAGE(OFFSET($H$3,0,0,'Données projet'!$E$12+1,1))</f>
        <v>240.228848647662</v>
      </c>
      <c r="CE49" s="120" t="n">
        <f aca="false">$CE$3</f>
        <v>343.237768841432</v>
      </c>
      <c r="CF49" s="121" t="n">
        <f aca="false">IF(ISNA(VLOOKUP(A49,'Données projet'!$A$113:$I$133,3,0)),0,VLOOKUP(A49,'Données projet'!$A$113:$I$133,3,0))</f>
        <v>0</v>
      </c>
      <c r="CG49" s="121" t="n">
        <f aca="false">IF(ISNA(VLOOKUP(A49,'Données projet'!$A$113:$I$133,4,0)),0,VLOOKUP(A49,'Données projet'!$A$113:$I$133,4,0))</f>
        <v>0</v>
      </c>
      <c r="CH49" s="122" t="n">
        <f aca="false">IF(ISNA(VLOOKUP(A49,'Données projet'!$A$113:$I$133,5,0)),0%,VLOOKUP(A49,'Données projet'!$A$113:$I$133,5,0)*VLOOKUP('Données projet'!$B$12,Paramètres!$A$1:$I$89,7,0))</f>
        <v>0</v>
      </c>
      <c r="CI49" s="122" t="n">
        <f aca="false">IF(ISNA(VLOOKUP(A49,'Données projet'!$A$113:$I$133,6,0)),0%,VLOOKUP(A49,'Données projet'!$A$113:$I$133,6,0)*VLOOKUP('Données projet'!$B$12,Paramètres!$A$1:$I$89,7,0))</f>
        <v>0</v>
      </c>
      <c r="CJ49" s="122" t="n">
        <f aca="false">IF(ISNA(VLOOKUP(A49,'Données projet'!$A$113:$I$133,7,0)),0%,VLOOKUP(A49,'Données projet'!$A$113:$I$133,7,0))</f>
        <v>0</v>
      </c>
      <c r="CK49" s="129" t="n">
        <f aca="false">EXP(-LN(2)/35)*CK48+(1-EXP(-LN(2)/35))/(LN(2)/35)*CG49*CH49*VLOOKUP('Données projet'!$B$12,Paramètres!$A$1:$I$89,3,0)*0.475*44/12</f>
        <v>3.83492036091629</v>
      </c>
      <c r="CL49" s="129" t="n">
        <f aca="false">EXP(-LN(2)/25)*CL48+(1-EXP(-LN(2)/25))/(LN(2)/25)*Calculateur!CG49*Calculateur!CI49*VLOOKUP('Données projet'!$B$12,Paramètres!$A$1:$I$89,3,0)*0.475*44/12</f>
        <v>15.2792717747382</v>
      </c>
      <c r="CM49" s="129" t="n">
        <f aca="false">EXP(-LN(2)/2)*CM48+(1-EXP(-LN(2)/2))/(LN(2)/2)*CG49*CJ49*VLOOKUP('Données projet'!$B$12,Paramètres!$A$1:$I$89,3,0)*0.475*44/12</f>
        <v>0.0376555916639211</v>
      </c>
      <c r="CN49" s="130" t="n">
        <f aca="false">SUM(CK49:CM49)</f>
        <v>19.1518477273184</v>
      </c>
      <c r="CO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8" t="e">
        <f aca="false">VLOOKUP(A49,'Données projet'!$A$139:$I$159,2,0)</f>
        <v>#N/A</v>
      </c>
      <c r="CR49" s="118" t="e">
        <f aca="false">VLOOKUP(A49,'Données projet'!$A$139:$I$159,9,0)</f>
        <v>#N/A</v>
      </c>
      <c r="CS49" s="118" t="n">
        <f aca="false" t="array" ref="CS49:CS49">INDEX(CR:CR,MIN(IF(ISNUMBER(CR49:CR245),ROW(CR49:CR245),"")))</f>
        <v>0</v>
      </c>
      <c r="CT49" s="118" t="n">
        <f aca="false">IF('Données projet'!$A$140&gt;35,CT48+CS49-DB48,IF(A49&lt;'Données projet'!$A$140,$CQ$205^A49,IF(A49='Données projet'!$A$140,'Données projet'!$B$140,CT48+CS49-DB48)))</f>
        <v>-5.6843418860808E-014</v>
      </c>
      <c r="CU49" s="125" t="n">
        <f aca="false">CT49*VLOOKUP('Données projet'!$B$13,Paramètres!$A$1:$I$89,3,0)*VLOOKUP('Données projet'!$B$13,Paramètres!$A$1:$I$89,5,0)</f>
        <v>-3.10365066980012E-014</v>
      </c>
      <c r="CV49" s="117" t="e">
        <f aca="false">EXP(-1.0587+0.8836*LN(CU49)+0.284)</f>
        <v>#VALUE!</v>
      </c>
      <c r="CW49" s="128" t="e">
        <f aca="false">(CU49+CV49)*0.475*44/12</f>
        <v>#VALUE!</v>
      </c>
      <c r="CX49" s="120" t="e">
        <f aca="false">CW49+(CO49+CP49)*44/12</f>
        <v>#VALUE!</v>
      </c>
      <c r="CY49" s="120" t="n">
        <f aca="true">AVERAGE(OFFSET($CX$3,0,0,'Données projet'!$E$13+1,1))-AVERAGE(OFFSET($H$3,0,0,'Données projet'!$E$13+1,1))</f>
        <v>207.023069645676</v>
      </c>
      <c r="CZ49" s="120" t="n">
        <f aca="false">$CZ$3</f>
        <v>342.068879333518</v>
      </c>
      <c r="DA49" s="121" t="n">
        <f aca="false">IF(ISNA(VLOOKUP(A49,'Données projet'!$A$139:$I$159,3,0)),0,VLOOKUP(A49,'Données projet'!$A$139:$I$159,3,0))</f>
        <v>0</v>
      </c>
      <c r="DB49" s="121" t="n">
        <f aca="false">IF(ISNA(VLOOKUP(A49,'Données projet'!$A$139:$I$159,4,0)),0,VLOOKUP(A49,'Données projet'!$A$139:$I$159,4,0))</f>
        <v>0</v>
      </c>
      <c r="DC49" s="122" t="n">
        <f aca="false">IF(ISNA(VLOOKUP(A49,'Données projet'!$A$139:$I$159,5,0)),0%,VLOOKUP(A49,'Données projet'!$A$139:$I$159,5,0)*VLOOKUP('Données projet'!$B$13,Paramètres!$A$1:$I$89,7,0))</f>
        <v>0</v>
      </c>
      <c r="DD49" s="122" t="n">
        <f aca="false">IF(ISNA(VLOOKUP(A49,'Données projet'!$A$139:$I$159,6,0)),0%,VLOOKUP(A49,'Données projet'!$A$139:$I$159,6,0)*VLOOKUP('Données projet'!$B$13,Paramètres!$A$1:$I$89,7,0))</f>
        <v>0</v>
      </c>
      <c r="DE49" s="122" t="n">
        <f aca="false">IF(ISNA(VLOOKUP(A49,'Données projet'!$A$139:$I$159,7,0)),0%,VLOOKUP(A49,'Données projet'!$A$139:$I$159,7,0))</f>
        <v>0</v>
      </c>
      <c r="DF49" s="129" t="n">
        <f aca="false">EXP(-LN(2)/35)*DF48+(1-EXP(-LN(2)/35))/(LN(2)/35)*DB49*DC49*VLOOKUP('Données projet'!$B$13,Paramètres!$A$1:$I$89,3,0)*0.475*44/12</f>
        <v>4.81173969813082</v>
      </c>
      <c r="DG49" s="129" t="n">
        <f aca="false">EXP(-LN(2)/25)*DG48+(1-EXP(-LN(2)/25))/(LN(2)/25)*Calculateur!DB49*Calculateur!DD49*VLOOKUP('Données projet'!$B$13,Paramètres!$A$1:$I$89,3,0)*0.475*44/12</f>
        <v>24.9752457057254</v>
      </c>
      <c r="DH49" s="129" t="n">
        <f aca="false">EXP(-LN(2)/2)*DH48+(1-EXP(-LN(2)/2))/(LN(2)/2)*DB49*DE49*VLOOKUP('Données projet'!$B$13,Paramètres!$A$1:$I$89,3,0)*0.475*44/12</f>
        <v>0.0518517671793002</v>
      </c>
      <c r="DI49" s="130" t="n">
        <f aca="false">SUM(DF49:DH49)</f>
        <v>29.8388371710355</v>
      </c>
      <c r="DJ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8" t="n">
        <f aca="false">VLOOKUP(A49,'Données projet'!$A$165:$I$185,2,0)</f>
        <v>2393</v>
      </c>
      <c r="DM49" s="118" t="n">
        <f aca="false">VLOOKUP(A49,'Données projet'!$A$165:$I$185,9,0)</f>
        <v>359.833333333333</v>
      </c>
      <c r="DN49" s="118" t="n">
        <f aca="false" t="array" ref="DN49:DN49">INDEX(DM:DM,MIN(IF(ISNUMBER(DM49:DM245),ROW(DM49:DM245),"")))</f>
        <v>359.833333333333</v>
      </c>
      <c r="DO49" s="118" t="n">
        <f aca="false">IF('Données projet'!$A$166&gt;35,DO48+DN49-DW48,IF(A49&lt;'Données projet'!$A$166,$DL$205^A49,IF(A49='Données projet'!$A$166,'Données projet'!$B$166,DO48+DN49-DW48)))</f>
        <v>2393</v>
      </c>
      <c r="DP49" s="125" t="n">
        <f aca="false">DO49*VLOOKUP('Données projet'!$B$14,Paramètres!$A$1:$I$89,3,0)*VLOOKUP('Données projet'!$B$14,Paramètres!$A$1:$I$89,5,0)</f>
        <v>1431.014</v>
      </c>
      <c r="DQ49" s="117" t="n">
        <f aca="false">EXP(-1.0587+0.8836*LN(DP49)+0.284)</f>
        <v>283.06032406208</v>
      </c>
      <c r="DR49" s="128" t="n">
        <f aca="false">(DP49+DQ49)*0.475*44/12</f>
        <v>2985.34611440812</v>
      </c>
      <c r="DS49" s="120" t="n">
        <f aca="false">DR49+(DJ49+DK49)*44/12</f>
        <v>3278.67944774146</v>
      </c>
      <c r="DT49" s="120" t="n">
        <f aca="true">AVERAGE(OFFSET($DS$3,0,0,'Données projet'!$E$14+1,1))-AVERAGE(OFFSET($H$3,0,0,'Données projet'!$E$14+1,1))</f>
        <v>549.432320957297</v>
      </c>
      <c r="DU49" s="120" t="n">
        <f aca="false">$DU$3</f>
        <v>280.26155987301</v>
      </c>
      <c r="DV49" s="121" t="n">
        <f aca="false">IF(ISNA(VLOOKUP(A49,'Données projet'!$A$165:$I$185,3,0)),0,VLOOKUP(A49,'Données projet'!$A$165:$I$185,3,0))</f>
        <v>8</v>
      </c>
      <c r="DW49" s="121" t="n">
        <f aca="false">IF(ISNA(VLOOKUP(A49,'Données projet'!$A$165:$I$185,4,0)),0,VLOOKUP(A49,'Données projet'!$A$165:$I$185,4,0))</f>
        <v>29</v>
      </c>
      <c r="DX49" s="122" t="n">
        <f aca="false">IF(ISNA(VLOOKUP(A49,'Données projet'!$A$165:$I$185,5,0)),0%,VLOOKUP(A49,'Données projet'!$A$165:$I$185,5,0)*VLOOKUP('Données projet'!$B$14,Paramètres!$A$1:$I$89,7,0))</f>
        <v>0</v>
      </c>
      <c r="DY49" s="122" t="n">
        <f aca="false">IF(ISNA(VLOOKUP(A49,'Données projet'!$A$165:$I$185,6,0)),0%,VLOOKUP(A49,'Données projet'!$A$165:$I$185,6,0)*VLOOKUP('Données projet'!$B$14,Paramètres!$A$1:$I$89,7,0))</f>
        <v>0</v>
      </c>
      <c r="DZ49" s="122" t="n">
        <f aca="false">IF(ISNA(VLOOKUP(A49,'Données projet'!$A$165:$I$185,7,0)),0%,VLOOKUP(A49,'Données projet'!$A$165:$I$185,7,0))</f>
        <v>0</v>
      </c>
      <c r="EA49" s="129" t="n">
        <f aca="false">EXP(-LN(2)/35)*EA48+(1-EXP(-LN(2)/35))/(LN(2)/35)*DW49*DX49*VLOOKUP('Données projet'!$B$14,Paramètres!$A$1:$I$89,3,0)*0.475*44/12</f>
        <v>1.74954318893976</v>
      </c>
      <c r="EB49" s="129" t="n">
        <f aca="false">EXP(-LN(2)/25)*EB48+(1-EXP(-LN(2)/25))/(LN(2)/25)*Calculateur!DW49*Calculateur!DY49*VLOOKUP('Données projet'!$B$14,Paramètres!$A$1:$I$89,3,0)*0.475*44/12</f>
        <v>4.9755616975175</v>
      </c>
      <c r="EC49" s="129" t="n">
        <f aca="false">EXP(-LN(2)/2)*EC48+(1-EXP(-LN(2)/2))/(LN(2)/2)*DW49*DZ49*VLOOKUP('Données projet'!$B$14,Paramètres!$A$1:$I$89,3,0)*0.475*44/12</f>
        <v>0.0239025958381229</v>
      </c>
      <c r="ED49" s="130" t="n">
        <f aca="false">SUM(EA49:EC49)</f>
        <v>6.74900748229539</v>
      </c>
      <c r="EE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8" t="e">
        <f aca="false">VLOOKUP(A49,'Données projet'!$A$191:$I$211,2,0)</f>
        <v>#N/A</v>
      </c>
      <c r="EH49" s="118" t="e">
        <f aca="false">VLOOKUP(A49,'Données projet'!$A$191:$I$211,9,0)</f>
        <v>#N/A</v>
      </c>
      <c r="EI49" s="118" t="n">
        <f aca="false" t="array" ref="EI49:EI49">INDEX(EH:EH,MIN(IF(ISNUMBER(EH49:EH245),ROW(EH49:EH245),"")))</f>
        <v>0</v>
      </c>
      <c r="EJ49" s="118" t="n">
        <f aca="false">IF('Données projet'!$A$192&gt;35,EJ48+EI49-ER48,IF(A49&lt;'Données projet'!$A$192,$EG$205^A49,IF(A49='Données projet'!$A$192,'Données projet'!$B$192,EJ48+EI49-ER48)))</f>
        <v>0</v>
      </c>
      <c r="EK49" s="125" t="e">
        <f aca="false">EJ49*VLOOKUP('Données projet'!$B$15,Paramètres!$A$1:$I$89,3,0)*VLOOKUP('Données projet'!$B$15,Paramètres!$A$1:$I$89,5,0)</f>
        <v>#N/A</v>
      </c>
      <c r="EL49" s="117" t="e">
        <f aca="false">EXP(-1.0587+0.8836*LN(EK49)+0.284)</f>
        <v>#N/A</v>
      </c>
      <c r="EM49" s="128" t="e">
        <f aca="false">(EK49+EL49)*0.475*44/12</f>
        <v>#N/A</v>
      </c>
      <c r="EN49" s="120" t="e">
        <f aca="false">EM49+(EE49+EF49)*44/12</f>
        <v>#N/A</v>
      </c>
      <c r="EO49" s="120" t="e">
        <f aca="true">AVERAGE(OFFSET($EN$3,0,0,'Données projet'!$E$15+1,1))-AVERAGE(OFFSET($H$3,0,0,'Données projet'!$E$15+1,1))</f>
        <v>#N/A</v>
      </c>
      <c r="EP49" s="120" t="e">
        <f aca="false">$EP$3</f>
        <v>#N/A</v>
      </c>
      <c r="EQ49" s="121" t="n">
        <f aca="false">IF(ISNA(VLOOKUP(A49,'Données projet'!$A$191:$I$211,3,0)),0,VLOOKUP(A49,'Données projet'!$A$191:$I$211,3,0))</f>
        <v>0</v>
      </c>
      <c r="ER49" s="121" t="n">
        <f aca="false">IF(ISNA(VLOOKUP(A49,'Données projet'!$A$191:$I$211,4,0)),0,VLOOKUP(A49,'Données projet'!$A$191:$I$211,4,0))</f>
        <v>0</v>
      </c>
      <c r="ES49" s="122" t="n">
        <f aca="false">IF(ISNA(VLOOKUP(A49,'Données projet'!$A$191:$I$211,5,0)),0%,VLOOKUP(A49,'Données projet'!$A$191:$I$211,5,0)*VLOOKUP('Données projet'!$B$15,Paramètres!$A$1:$I$89,7,0))</f>
        <v>0</v>
      </c>
      <c r="ET49" s="122" t="n">
        <f aca="false">IF(ISNA(VLOOKUP(A49,'Données projet'!$A$191:$I$211,6,0)),0%,VLOOKUP(A49,'Données projet'!$A$191:$I$211,6,0)*VLOOKUP('Données projet'!$B$15,Paramètres!$A$1:$I$89,7,0))</f>
        <v>0</v>
      </c>
      <c r="EU49" s="122" t="n">
        <f aca="false">IF(ISNA(VLOOKUP(A49,'Données projet'!$A$191:$I$211,7,0)),0%,VLOOKUP(A49,'Données projet'!$A$191:$I$211,7,0))</f>
        <v>0</v>
      </c>
      <c r="EV49" s="129" t="e">
        <f aca="false">EXP(-LN(2)/35)*EV48+(1-EXP(-LN(2)/35))/(LN(2)/35)*ER49*ES49*VLOOKUP('Données projet'!$B$15,Paramètres!$A$1:$I$89,3,0)*0.475*44/12</f>
        <v>#N/A</v>
      </c>
      <c r="EW49" s="129" t="e">
        <f aca="false">EXP(-LN(2)/25)*EW48+(1-EXP(-LN(2)/25))/(LN(2)/25)*Calculateur!ER49*Calculateur!ET49*VLOOKUP('Données projet'!$B$15,Paramètres!$A$1:$I$89,3,0)*0.475*44/12</f>
        <v>#N/A</v>
      </c>
      <c r="EX49" s="129" t="e">
        <f aca="false">EXP(-LN(2)/2)*EX48+(1-EXP(-LN(2)/2))/(LN(2)/2)*ER49*EU49*VLOOKUP('Données projet'!$B$15,Paramètres!$A$1:$I$89,3,0)*0.475*44/12</f>
        <v>#N/A</v>
      </c>
      <c r="EY49" s="130" t="e">
        <f aca="false">SUM(EV49:EX49)</f>
        <v>#N/A</v>
      </c>
      <c r="EZ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8" t="e">
        <f aca="false">VLOOKUP(A49,'Données projet'!$A$217:$I$237,2,0)</f>
        <v>#N/A</v>
      </c>
      <c r="FC49" s="118" t="e">
        <f aca="false">VLOOKUP(A49,'Données projet'!$A$217:$I$237,9,0)</f>
        <v>#N/A</v>
      </c>
      <c r="FD49" s="118" t="n">
        <f aca="false" t="array" ref="FD49:FD49">INDEX(FC:FC,MIN(IF(ISNUMBER(FC49:FC245),ROW(FC49:FC245),"")))</f>
        <v>0</v>
      </c>
      <c r="FE49" s="118" t="n">
        <f aca="false">IF('Données projet'!$A$218&gt;35,FE48+FD49-FM48,IF(A49&lt;'Données projet'!$A$218,$FB$205^A49,IF(A49='Données projet'!$A$218,'Données projet'!$B$218,FE48+FD49-FM48)))</f>
        <v>0</v>
      </c>
      <c r="FF49" s="125" t="e">
        <f aca="false">FE49*VLOOKUP('Données projet'!$B$16,Paramètres!$A$1:$I$89,3,0)*VLOOKUP('Données projet'!$B$16,Paramètres!$A$1:$I$89,5,0)</f>
        <v>#N/A</v>
      </c>
      <c r="FG49" s="117" t="e">
        <f aca="false">EXP(-1.0587+0.8836*LN(FF49)+0.284)</f>
        <v>#N/A</v>
      </c>
      <c r="FH49" s="128" t="e">
        <f aca="false">(FF49+FG49)*0.475*44/12</f>
        <v>#N/A</v>
      </c>
      <c r="FI49" s="120" t="e">
        <f aca="false">FH49+(EZ49+FA49)*44/12</f>
        <v>#N/A</v>
      </c>
      <c r="FJ49" s="120" t="e">
        <f aca="true">AVERAGE(OFFSET($FI$3,0,0,'Données projet'!$E$16+1,1))-AVERAGE(OFFSET($H$3,0,0,'Données projet'!$E$16+1,1))</f>
        <v>#N/A</v>
      </c>
      <c r="FK49" s="120" t="e">
        <f aca="false">$FK$3</f>
        <v>#N/A</v>
      </c>
      <c r="FL49" s="121" t="n">
        <f aca="false">IF(ISNA(VLOOKUP(A49,'Données projet'!$A$217:$I$237,3,0)),0,VLOOKUP(A49,'Données projet'!$A$217:$I$237,3,0))</f>
        <v>0</v>
      </c>
      <c r="FM49" s="121" t="n">
        <f aca="false">IF(ISNA(VLOOKUP(A49,'Données projet'!$A$217:$I$237,4,0)),0,VLOOKUP(A49,'Données projet'!$A$217:$I$237,4,0))</f>
        <v>0</v>
      </c>
      <c r="FN49" s="122" t="n">
        <f aca="false">IF(ISNA(VLOOKUP(A49,'Données projet'!$A$217:$I$237,5,0)),0%,VLOOKUP(A49,'Données projet'!$A$217:$I$237,5,0)*VLOOKUP('Données projet'!$B$16,Paramètres!$A$1:$I$89,7,0))</f>
        <v>0</v>
      </c>
      <c r="FO49" s="122" t="n">
        <f aca="false">IF(ISNA(VLOOKUP(A49,'Données projet'!$A$217:$I$237,6,0)),0%,VLOOKUP(A49,'Données projet'!$A$217:$I$237,6,0)*VLOOKUP('Données projet'!$B$16,Paramètres!$A$1:$I$89,7,0))</f>
        <v>0</v>
      </c>
      <c r="FP49" s="122" t="n">
        <f aca="false">IF(ISNA(VLOOKUP(A49,'Données projet'!$A$217:$I$237,7,0)),0%,VLOOKUP(A49,'Données projet'!$A$217:$I$237,7,0))</f>
        <v>0</v>
      </c>
      <c r="FQ49" s="129" t="e">
        <f aca="false">EXP(-LN(2)/35)*FQ48+(1-EXP(-LN(2)/35))/(LN(2)/35)*FM49*FN49*VLOOKUP('Données projet'!$B$16,Paramètres!$A$1:$I$89,3,0)*0.475*44/12</f>
        <v>#N/A</v>
      </c>
      <c r="FR49" s="129" t="e">
        <f aca="false">EXP(-LN(2)/25)*FR48+(1-EXP(-LN(2)/25))/(LN(2)/25)*Calculateur!FM49*Calculateur!FO49*VLOOKUP('Données projet'!$B$16,Paramètres!$A$1:$I$89,3,0)*0.475*44/12</f>
        <v>#N/A</v>
      </c>
      <c r="FS49" s="129" t="e">
        <f aca="false">EXP(-LN(2)/2)*FS48+(1-EXP(-LN(2)/2))/(LN(2)/2)*FM49*FP49*VLOOKUP('Données projet'!$B$16,Paramètres!$A$1:$I$89,3,0)*0.475*44/12</f>
        <v>#N/A</v>
      </c>
      <c r="FT49" s="130" t="e">
        <f aca="false">SUM(FQ49:FS49)</f>
        <v>#N/A</v>
      </c>
      <c r="FU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8" t="e">
        <f aca="false">VLOOKUP(A49,'Données projet'!$A$243:$I$263,2,0)</f>
        <v>#N/A</v>
      </c>
      <c r="FX49" s="118" t="e">
        <f aca="false">VLOOKUP(A49,'Données projet'!$A$243:$I$263,9,0)</f>
        <v>#N/A</v>
      </c>
      <c r="FY49" s="118" t="n">
        <f aca="false" t="array" ref="FY49:FY49">INDEX(FX:FX,MIN(IF(ISNUMBER(FX49:FX245),ROW(FX49:FX245),"")))</f>
        <v>0</v>
      </c>
      <c r="FZ49" s="118" t="n">
        <f aca="false">IF('Données projet'!$A$244&gt;35,FZ48+FY49-GH48,IF(A49&lt;'Données projet'!$A$244,$FW$205^A49,IF(A49='Données projet'!$A$244,'Données projet'!$B$244,FZ48+FY49-GH48)))</f>
        <v>0</v>
      </c>
      <c r="GA49" s="125" t="e">
        <f aca="false">FZ49*VLOOKUP('Données projet'!$B$17,Paramètres!$A$1:$I$89,3,0)*VLOOKUP('Données projet'!$B$17,Paramètres!$A$1:$I$89,5,0)</f>
        <v>#N/A</v>
      </c>
      <c r="GB49" s="117" t="e">
        <f aca="false">EXP(-1.0587+0.8836*LN(GA49)+0.284)</f>
        <v>#N/A</v>
      </c>
      <c r="GC49" s="128" t="e">
        <f aca="false">(GA49+GB49)*0.475*44/12</f>
        <v>#N/A</v>
      </c>
      <c r="GD49" s="120" t="e">
        <f aca="false">GC49+(FU49+FV49)*44/12</f>
        <v>#N/A</v>
      </c>
      <c r="GE49" s="120" t="e">
        <f aca="true">AVERAGE(OFFSET($GD$3,0,0,'Données projet'!$E$17+1,1))-AVERAGE(OFFSET($H$3,0,0,'Données projet'!$E$17+1,1))</f>
        <v>#N/A</v>
      </c>
      <c r="GF49" s="120" t="e">
        <f aca="false">$GF$3</f>
        <v>#N/A</v>
      </c>
      <c r="GG49" s="121" t="n">
        <f aca="false">IF(ISNA(VLOOKUP(A49,'Données projet'!$A$243:$I$263,3,0)),0,VLOOKUP(A49,'Données projet'!$A$243:$I$263,3,0))</f>
        <v>0</v>
      </c>
      <c r="GH49" s="121" t="n">
        <f aca="false">IF(ISNA(VLOOKUP(A49,'Données projet'!$A$243:$I$263,4,0)),0,VLOOKUP(A49,'Données projet'!$A$243:$I$263,4,0))</f>
        <v>0</v>
      </c>
      <c r="GI49" s="122" t="n">
        <f aca="false">IF(ISNA(VLOOKUP(A49,'Données projet'!$A$243:$I$263,5,0)),0%,VLOOKUP(A49,'Données projet'!$A$243:$I$263,5,0)*VLOOKUP('Données projet'!$B$17,Paramètres!$A$1:$I$89,7,0))</f>
        <v>0</v>
      </c>
      <c r="GJ49" s="122" t="n">
        <f aca="false">IF(ISNA(VLOOKUP(A49,'Données projet'!$A$243:$I$263,6,0)),0%,VLOOKUP(A49,'Données projet'!$A$243:$I$263,6,0)*VLOOKUP('Données projet'!$B$17,Paramètres!$A$1:$I$89,7,0))</f>
        <v>0</v>
      </c>
      <c r="GK49" s="122" t="n">
        <f aca="false">IF(ISNA(VLOOKUP(A49,'Données projet'!$A$243:$I$263,7,0)),0%,VLOOKUP(A49,'Données projet'!$A$243:$I$263,7,0))</f>
        <v>0</v>
      </c>
      <c r="GL49" s="129" t="e">
        <f aca="false">EXP(-LN(2)/35)*GL48+(1-EXP(-LN(2)/35))/(LN(2)/35)*GH49*GI49*VLOOKUP('Données projet'!$B$17,Paramètres!$A$1:$I$89,3,0)*0.475*44/12</f>
        <v>#N/A</v>
      </c>
      <c r="GM49" s="129" t="e">
        <f aca="false">EXP(-LN(2)/25)*GM48+(1-EXP(-LN(2)/25))/(LN(2)/25)*Calculateur!GH49*Calculateur!GJ49*VLOOKUP('Données projet'!$B$17,Paramètres!$A$1:$I$89,3,0)*0.475*44/12</f>
        <v>#N/A</v>
      </c>
      <c r="GN49" s="129" t="e">
        <f aca="false">EXP(-LN(2)/2)*GN48+(1-EXP(-LN(2)/2))/(LN(2)/2)*GH49*GK49*VLOOKUP('Données projet'!$B$17,Paramètres!$A$1:$I$89,3,0)*0.475*44/12</f>
        <v>#N/A</v>
      </c>
      <c r="GO49" s="129" t="e">
        <f aca="false">SUM(GL49:GN49)</f>
        <v>#N/A</v>
      </c>
      <c r="GP49" s="126" t="n">
        <f aca="false"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8" t="n">
        <f aca="false"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8" t="e">
        <f aca="false">VLOOKUP(A49,'Données projet'!$A$269:$I$289,2,0)</f>
        <v>#N/A</v>
      </c>
      <c r="GS49" s="118" t="e">
        <f aca="false">VLOOKUP(A49,'Données projet'!$A$269:$I$289,9,0)</f>
        <v>#N/A</v>
      </c>
      <c r="GT49" s="118" t="n">
        <f aca="false" t="array" ref="GT49:GT49">INDEX(GS:GS,MIN(IF(ISNUMBER(GS49:GS245),ROW(GS49:GS245),"")))</f>
        <v>0</v>
      </c>
      <c r="GU49" s="118" t="n">
        <f aca="false">IF('Données projet'!$A$270&gt;35,GU48+GT49-HC48,IF(A49&lt;'Données projet'!$A$270,$GR$205^A49,IF(A49='Données projet'!$A$270,'Données projet'!$B$270,GU48+GT49-HC48)))</f>
        <v>0</v>
      </c>
      <c r="GV49" s="125" t="e">
        <f aca="false">GU49*VLOOKUP('Données projet'!$B$18,Paramètres!$A$1:$I$89,3,0)*VLOOKUP('Données projet'!$B$18,Paramètres!$A$1:$I$89,5,0)</f>
        <v>#N/A</v>
      </c>
      <c r="GW49" s="117" t="e">
        <f aca="false">EXP(-1.0587+0.8836*LN(GV49)+0.284)</f>
        <v>#N/A</v>
      </c>
      <c r="GX49" s="128" t="e">
        <f aca="false">(GV49+GW49)*0.475*44/12</f>
        <v>#N/A</v>
      </c>
      <c r="GY49" s="120" t="e">
        <f aca="false">GX49+(GP49+GQ49)*44/12</f>
        <v>#N/A</v>
      </c>
      <c r="GZ49" s="120" t="e">
        <f aca="true">AVERAGE(OFFSET($GY$3,0,0,'Données projet'!$E$18+1,1))-AVERAGE(OFFSET($H$3,0,0,'Données projet'!$E$18+1,1))</f>
        <v>#N/A</v>
      </c>
      <c r="HA49" s="120" t="e">
        <f aca="false">$HA$3</f>
        <v>#N/A</v>
      </c>
      <c r="HB49" s="121" t="n">
        <f aca="false">IF(ISNA(VLOOKUP(A49,'Données projet'!$A$269:$I$289,3,0)),0,VLOOKUP(A49,'Données projet'!$A$269:$I$289,3,0))</f>
        <v>0</v>
      </c>
      <c r="HC49" s="121" t="n">
        <f aca="false">IF(ISNA(VLOOKUP(A49,'Données projet'!$A$269:$I$289,4,0)),0,VLOOKUP(A49,'Données projet'!$A$269:$I$289,4,0))</f>
        <v>0</v>
      </c>
      <c r="HD49" s="122" t="n">
        <f aca="false">IF(ISNA(VLOOKUP(A49,'Données projet'!$A$269:$I$289,5,0)),0%,VLOOKUP(A49,'Données projet'!$A$269:$I$289,5,0)*VLOOKUP('Données projet'!$B$18,Paramètres!$A$1:$I$89,7,0))</f>
        <v>0</v>
      </c>
      <c r="HE49" s="122" t="n">
        <f aca="false">IF(ISNA(VLOOKUP(A49,'Données projet'!$A$269:$I$289,6,0)),0%,VLOOKUP(A49,'Données projet'!$A$269:$I$289,6,0)*VLOOKUP('Données projet'!$B$18,Paramètres!$A$1:$I$89,7,0))</f>
        <v>0</v>
      </c>
      <c r="HF49" s="122" t="n">
        <f aca="false">IF(ISNA(VLOOKUP(A49,'Données projet'!$A$269:$I$289,7,0)),0%,VLOOKUP(A49,'Données projet'!$A$269:$I$289,7,0))</f>
        <v>0</v>
      </c>
      <c r="HG49" s="129" t="e">
        <f aca="false">EXP(-LN(2)/35)*HG48+(1-EXP(-LN(2)/35))/(LN(2)/35)*HC49*HD49*VLOOKUP('Données projet'!$B$18,Paramètres!$A$1:$I$89,3,0)*0.475*44/12</f>
        <v>#N/A</v>
      </c>
      <c r="HH49" s="129" t="e">
        <f aca="false">EXP(-LN(2)/25)*HH48+(1-EXP(-LN(2)/25))/(LN(2)/25)*Calculateur!HC49*Calculateur!HE49*VLOOKUP('Données projet'!$B$18,Paramètres!$A$1:$I$89,3,0)*0.475*44/12</f>
        <v>#N/A</v>
      </c>
      <c r="HI49" s="129" t="e">
        <f aca="false">EXP(-LN(2)/2)*HI48+(1-EXP(-LN(2)/2))/(LN(2)/2)*HC49*HF49*VLOOKUP('Données projet'!$B$18,Paramètres!$A$1:$I$89,3,0)*0.475*44/12</f>
        <v>#N/A</v>
      </c>
      <c r="HJ49" s="130" t="e">
        <f aca="false">SUM(HG49:HI49)</f>
        <v>#N/A</v>
      </c>
    </row>
    <row r="50" customFormat="false" ht="14.25" hidden="false" customHeight="false" outlineLevel="0" collapsed="false">
      <c r="A50" s="112" t="n">
        <f aca="false">A49+1</f>
        <v>47</v>
      </c>
      <c r="B50" s="113" t="n">
        <f aca="false">'Scénario référence'!$B$16*5+'Scénario référence'!$B$17*0+'Scénario référence'!$B$18*5</f>
        <v>0</v>
      </c>
      <c r="C50" s="127" t="n">
        <f aca="false"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4" t="n">
        <f aca="false">IFERROR(EXP(-1.0587+0.8836*LN(C50)+0.284),0)</f>
        <v>0</v>
      </c>
      <c r="E5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0" s="114" t="n">
        <f aca="false">IF(OR('Scénario référence'!$F$8&gt;0,'Scénario référence'!$F$9&gt;0),('Scénario référence'!$F$8+'Scénario référence'!$F$9)*10,0)</f>
        <v>0</v>
      </c>
      <c r="G50" s="114" t="n">
        <f aca="false"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15" t="n">
        <f aca="false">(B50+E50+F50)*44/12+(C50+D50)*0.475*44/12</f>
        <v>256.666666666667</v>
      </c>
      <c r="I50" s="11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7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8" t="e">
        <f aca="false">VLOOKUP(A50,'Données projet'!$A$35:$I$55,2,0)</f>
        <v>#N/A</v>
      </c>
      <c r="L50" s="118" t="e">
        <f aca="false">VLOOKUP(A50,'Données projet'!$A$35:$I$55,9,0)</f>
        <v>#N/A</v>
      </c>
      <c r="M50" s="118" t="n">
        <f aca="false" t="array" ref="M50:M50">INDEX(L:L,MIN(IF(ISNUMBER(L50:L246),ROW(L50:L246),"")))</f>
        <v>11.5</v>
      </c>
      <c r="N50" s="117" t="n">
        <f aca="false">IF('Données projet'!$A$36&gt;35,N49+M50-V49,IF(A50&lt;'Données projet'!$A$36,$K$205^A50,IF(A50='Données projet'!$A$36,'Données projet'!$B$36,N49+M50-V49)))</f>
        <v>254</v>
      </c>
      <c r="O50" s="117" t="n">
        <f aca="false">N50*VLOOKUP('Données projet'!$B$9,Paramètres!$A$1:$I$89,3,0)*VLOOKUP('Données projet'!$B$9,Paramètres!$A$1:$I$89,5,0)</f>
        <v>118.872</v>
      </c>
      <c r="P50" s="117" t="n">
        <f aca="false">EXP(-1.0587+0.8836*LN(O50)+0.284)</f>
        <v>31.4117673820962</v>
      </c>
      <c r="Q50" s="128" t="n">
        <f aca="false">(O50+P50)*0.475*44/12</f>
        <v>261.744228190484</v>
      </c>
      <c r="R50" s="120" t="n">
        <f aca="false">Q50+(I50+J50)*44/12</f>
        <v>555.077561523817</v>
      </c>
      <c r="S50" s="120" t="n">
        <f aca="true">AVERAGE(OFFSET($R$3,0,0,'Données projet'!$E$9+1,1))-AVERAGE(OFFSET($H$3,0,0,'Données projet'!$E$9+1,1))</f>
        <v>319.229030946746</v>
      </c>
      <c r="T50" s="120" t="n">
        <f aca="false">$T$3</f>
        <v>254.586909731428</v>
      </c>
      <c r="U50" s="121" t="n">
        <f aca="false">IF(ISNA(VLOOKUP(A50,'Données projet'!$A$35:$I$55,3,0)),0,VLOOKUP(A50,'Données projet'!$A$35:$I$55,3,0))</f>
        <v>0</v>
      </c>
      <c r="V50" s="121" t="n">
        <f aca="false">IF(ISNA(VLOOKUP(A50,'Données projet'!$A$35:$I$55,4,0)),0,VLOOKUP(A50,'Données projet'!$A$35:$I$55,4,0))</f>
        <v>0</v>
      </c>
      <c r="W50" s="122" t="n">
        <f aca="false">IF(ISNA(VLOOKUP(A50,'Données projet'!$A$35:$I$55,5,0)),0%,VLOOKUP(A50,'Données projet'!$A$35:$I$55,5,0)*VLOOKUP('Données projet'!$B$9,Paramètres!$A$1:$I$89,7,0))</f>
        <v>0</v>
      </c>
      <c r="X50" s="122" t="n">
        <f aca="false">IF(ISNA(VLOOKUP(A50,'Données projet'!$A$35:$I$55,6,0)),0%,VLOOKUP(A50,'Données projet'!$A$35:$I$55,6,0)*VLOOKUP('Données projet'!$B$9,Paramètres!$A$1:$I$89,7,0))</f>
        <v>0</v>
      </c>
      <c r="Y50" s="122" t="n">
        <f aca="false">IF(ISNA(VLOOKUP(A50,'Données projet'!$A$35:$I$55,7,0)),0%,VLOOKUP(A50,'Données projet'!$A$35:$I$55,7,0))</f>
        <v>0</v>
      </c>
      <c r="Z50" s="129" t="n">
        <f aca="false">EXP(-LN(2)/35)*Z49+(1-EXP(-LN(2)/35))/(LN(2)/35)*V50*W50*VLOOKUP('Données projet'!$B$9,Paramètres!$A$1:$I$89,3,0)*0.475*44/12</f>
        <v>6.48168491361071</v>
      </c>
      <c r="AA50" s="129" t="n">
        <f aca="false">EXP(-LN(2)/25)*AA49+(1-EXP(-LN(2)/25))/(LN(2)/25)*Calculateur!V50*Calculateur!X50*VLOOKUP('Données projet'!$B$9,Paramètres!$A$1:$I$89,3,0)*0.475*44/12</f>
        <v>6.9602668435391</v>
      </c>
      <c r="AB50" s="129" t="n">
        <f aca="false">EXP(-LN(2)/2)*AB49+(1-EXP(-LN(2)/2))/(LN(2)/2)*V50*Y50*VLOOKUP('Données projet'!$B$9,Paramètres!$A$1:$I$89,3,0)*0.475*44/12</f>
        <v>0.0305026216773586</v>
      </c>
      <c r="AC50" s="130" t="n">
        <f aca="false">SUM(Z50:AB50)</f>
        <v>13.4724543788272</v>
      </c>
      <c r="AD50" s="117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7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8" t="e">
        <f aca="false">VLOOKUP(A50,'Données projet'!$A$61:$I$81,2,0)</f>
        <v>#N/A</v>
      </c>
      <c r="AG50" s="118" t="e">
        <f aca="false">VLOOKUP(A50,'Données projet'!$A$61:$I$81,9,0)</f>
        <v>#N/A</v>
      </c>
      <c r="AH50" s="118" t="n">
        <f aca="false" t="array" ref="AH50:AH50">INDEX(AG:AG,MIN(IF(ISNUMBER(AG50:AG246),ROW(AG50:AG246),"")))</f>
        <v>15</v>
      </c>
      <c r="AI50" s="117" t="n">
        <f aca="false">IF('Données projet'!$A$62&gt;35,AI49+AH50-AQ49,IF(A50&lt;'Données projet'!$A$62,$AF$205^A50,IF(A50='Données projet'!$A$62,'Données projet'!$B$62,AI49+AH50-AQ49)))</f>
        <v>499</v>
      </c>
      <c r="AJ50" s="117" t="n">
        <f aca="false">AI50*VLOOKUP('Données projet'!$B$10,Paramètres!$A$1:$I$89,3,0)*VLOOKUP('Données projet'!$B$10,Paramètres!$A$1:$I$89,5,0)</f>
        <v>278.941</v>
      </c>
      <c r="AK50" s="117" t="n">
        <f aca="false">EXP(-1.0587+0.8836*LN(AJ50)+0.284)</f>
        <v>66.7431624066002</v>
      </c>
      <c r="AL50" s="128" t="n">
        <f aca="false">(AJ50+AK50)*0.475*44/12</f>
        <v>602.066582858162</v>
      </c>
      <c r="AM50" s="120" t="n">
        <f aca="false">AL50+(AD50+AE50)*44/12</f>
        <v>895.399916191496</v>
      </c>
      <c r="AN50" s="120" t="n">
        <f aca="true">AVERAGE(OFFSET($AM$3,0,0,'Données projet'!$E$10+1,1))-AVERAGE(OFFSET($H$3,0,0,'Données projet'!$E$10+1,1))</f>
        <v>365.705101827279</v>
      </c>
      <c r="AO50" s="120" t="n">
        <f aca="false">$AO$3</f>
        <v>436.238338449625</v>
      </c>
      <c r="AP50" s="121" t="n">
        <f aca="false">IF(ISNA(VLOOKUP(A50,'Données projet'!$A$61:$I$81,3,0)),0,VLOOKUP(A50,'Données projet'!$A$61:$I$81,3,0))</f>
        <v>0</v>
      </c>
      <c r="AQ50" s="121" t="n">
        <f aca="false">IF(ISNA(VLOOKUP(A50,'Données projet'!$A$61:$I$81,4,0)),0,VLOOKUP(A50,'Données projet'!$A$61:$I$81,4,0))</f>
        <v>0</v>
      </c>
      <c r="AR50" s="122" t="n">
        <f aca="false">IF(ISNA(VLOOKUP(A50,'Données projet'!$A$61:$I$81,5,0)),0%,VLOOKUP(A50,'Données projet'!$A$61:$I$81,5,0)*VLOOKUP('Données projet'!$B$10,Paramètres!$A$1:$I$89,7,0))</f>
        <v>0</v>
      </c>
      <c r="AS50" s="122" t="n">
        <f aca="false">IF(ISNA(VLOOKUP(A50,'Données projet'!$A$61:$I$81,6,0)),0%,VLOOKUP(A50,'Données projet'!$A$61:$I$81,6,0)*VLOOKUP('Données projet'!$B$10,Paramètres!$A$1:$I$89,7,0))</f>
        <v>0</v>
      </c>
      <c r="AT50" s="122" t="n">
        <f aca="false">IF(ISNA(VLOOKUP(A50,'Données projet'!$A$61:$I$81,7,0)),0%,VLOOKUP(A50,'Données projet'!$A$61:$I$81,7,0))</f>
        <v>0</v>
      </c>
      <c r="AU50" s="129" t="n">
        <f aca="false">EXP(-LN(2)/35)*AU49+(1-EXP(-LN(2)/35))/(LN(2)/35)*AQ50*AR50*VLOOKUP('Données projet'!$B$10,Paramètres!$A$1:$I$89,3,0)*0.475*44/12</f>
        <v>2.44662590952616</v>
      </c>
      <c r="AV50" s="129" t="n">
        <f aca="false">EXP(-LN(2)/25)*AV49+(1-EXP(-LN(2)/25))/(LN(2)/25)*Calculateur!AQ50*Calculateur!AS50*VLOOKUP('Données projet'!$B$10,Paramètres!$A$1:$I$89,3,0)*0.475*44/12</f>
        <v>8.24405973540055</v>
      </c>
      <c r="AW50" s="129" t="n">
        <f aca="false">EXP(-LN(2)/2)*AW49+(1-EXP(-LN(2)/2))/(LN(2)/2)*AQ50*AT50*VLOOKUP('Données projet'!$B$10,Paramètres!$A$1:$I$89,3,0)*0.475*44/12</f>
        <v>0.0164155576347079</v>
      </c>
      <c r="AX50" s="129" t="n">
        <f aca="false">SUM(AU50:AW50)</f>
        <v>10.7071012025614</v>
      </c>
      <c r="AY50" s="124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8" t="e">
        <f aca="false">VLOOKUP(A50,'Données projet'!$A$87:$I$107,2,0)</f>
        <v>#N/A</v>
      </c>
      <c r="BB50" s="118" t="e">
        <f aca="false">VLOOKUP(A50,'Données projet'!$A$87:$I$107,9,0)</f>
        <v>#N/A</v>
      </c>
      <c r="BC50" s="118" t="n">
        <f aca="false" t="array" ref="BC50:BC50">INDEX(BB:BB,MIN(IF(ISNUMBER(BB50:BB246),ROW(BB50:BB246),"")))</f>
        <v>8.8</v>
      </c>
      <c r="BD50" s="118" t="n">
        <f aca="false">IF('Données projet'!$A$88&gt;35,BD49+BC50-BL49,IF(A50&lt;'Données projet'!$A$88,$BA$205^A50,IF(A50='Données projet'!$A$88,'Données projet'!$B$88,BD49+BC50-BL49)))</f>
        <v>204.6</v>
      </c>
      <c r="BE50" s="117" t="n">
        <f aca="false">BD50*VLOOKUP('Données projet'!$B$11,Paramètres!$A$1:$I$89,3,0)*VLOOKUP('Données projet'!$B$11,Paramètres!$A$1:$I$89,5,0)</f>
        <v>178.73856</v>
      </c>
      <c r="BF50" s="117" t="n">
        <f aca="false">EXP(-1.0587+0.8836*LN(BE50)+0.284)</f>
        <v>45.0414242412654</v>
      </c>
      <c r="BG50" s="128" t="n">
        <f aca="false">(BE50+BF50)*0.475*44/12</f>
        <v>389.750139220204</v>
      </c>
      <c r="BH50" s="120" t="n">
        <f aca="false">BG50+(AY50+AZ50)*44/12</f>
        <v>683.083472553537</v>
      </c>
      <c r="BI50" s="120" t="n">
        <f aca="true">AVERAGE(OFFSET($BH$3,0,0,'Données projet'!$E$11+1,1))-AVERAGE(OFFSET($H$3,0,0,'Données projet'!$E$11+1,1))</f>
        <v>321.235999689929</v>
      </c>
      <c r="BJ50" s="120" t="n">
        <f aca="false">$BJ$3</f>
        <v>388.051958478005</v>
      </c>
      <c r="BK50" s="121" t="n">
        <f aca="false">IF(ISNA(VLOOKUP(A50,'Données projet'!$A$87:$I$107,3,0)),0,VLOOKUP(A50,'Données projet'!$A$87:$I$107,3,0))</f>
        <v>0</v>
      </c>
      <c r="BL50" s="121" t="n">
        <f aca="false">IF(ISNA(VLOOKUP(A50,'Données projet'!$A$87:$I$107,4,0)),0,VLOOKUP(A50,'Données projet'!$A$87:$I$107,4,0))</f>
        <v>0</v>
      </c>
      <c r="BM50" s="122" t="n">
        <f aca="false">IF(ISNA(VLOOKUP(A50,'Données projet'!$A$87:$I$107,5,0)),0%,VLOOKUP(A50,'Données projet'!$A$87:$I$107,5,0)*VLOOKUP('Données projet'!$B$11,Paramètres!$A$1:$I$89,7,0))</f>
        <v>0</v>
      </c>
      <c r="BN50" s="122" t="n">
        <f aca="false">IF(ISNA(VLOOKUP(A50,'Données projet'!$A$87:$I$107,6,0)),0%,VLOOKUP(A50,'Données projet'!$A$87:$I$107,6,0)*VLOOKUP('Données projet'!$B$11,Paramètres!$A$1:$I$89,7,0))</f>
        <v>0</v>
      </c>
      <c r="BO50" s="122" t="n">
        <f aca="false">IF(ISNA(VLOOKUP(A50,'Données projet'!$A$87:$I$107,7,0)),0%,VLOOKUP(A50,'Données projet'!$A$87:$I$107,7,0))</f>
        <v>0</v>
      </c>
      <c r="BP50" s="129" t="n">
        <f aca="false">EXP(-LN(2)/35)*BP49+(1-EXP(-LN(2)/35))/(LN(2)/35)*BL50*BM50*VLOOKUP('Données projet'!$B$11,Paramètres!$A$1:$I$89,3,0)*0.475*44/12</f>
        <v>6.1425512486924</v>
      </c>
      <c r="BQ50" s="129" t="n">
        <f aca="false">EXP(-LN(2)/25)*BQ49+(1-EXP(-LN(2)/25))/(LN(2)/25)*Calculateur!BL50*Calculateur!BN50*VLOOKUP('Données projet'!$B$11,Paramètres!$A$1:$I$89,3,0)*0.475*44/12</f>
        <v>8.41504651102325</v>
      </c>
      <c r="BR50" s="129" t="n">
        <f aca="false">EXP(-LN(2)/2)*BR49+(1-EXP(-LN(2)/2))/(LN(2)/2)*BL50*BO50*VLOOKUP('Données projet'!$B$11,Paramètres!$A$1:$I$89,3,0)*0.475*44/12</f>
        <v>0.0166860731326427</v>
      </c>
      <c r="BS50" s="130" t="n">
        <f aca="false">SUM(BP50:BR50)</f>
        <v>14.5742838328483</v>
      </c>
      <c r="BT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8" t="e">
        <f aca="false">VLOOKUP(A50,'Données projet'!$A$113:$I$133,2,0)</f>
        <v>#N/A</v>
      </c>
      <c r="BW50" s="118" t="e">
        <f aca="false">VLOOKUP(A50,'Données projet'!$A$113:$I$133,9,0)</f>
        <v>#N/A</v>
      </c>
      <c r="BX50" s="118" t="n">
        <f aca="false" t="array" ref="BX50:BX50">INDEX(BW:BW,MIN(IF(ISNUMBER(BW50:BW246),ROW(BW50:BW246),"")))</f>
        <v>10.6666666666667</v>
      </c>
      <c r="BY50" s="118" t="n">
        <f aca="false">IF('Données projet'!$A$114&gt;35,BY49+BX50-CG49,IF(A50&lt;'Données projet'!$A$114,$BV$205^A50,IF(A50='Données projet'!$A$114,'Données projet'!$B$114,BY49+BX50-CG49)))</f>
        <v>241.333333333333</v>
      </c>
      <c r="BZ50" s="117" t="n">
        <f aca="false">BY50*VLOOKUP('Données projet'!$B$12,Paramètres!$A$1:$I$89,3,0)*VLOOKUP('Données projet'!$B$12,Paramètres!$A$1:$I$89,5,0)</f>
        <v>150.592</v>
      </c>
      <c r="CA50" s="117" t="n">
        <f aca="false">EXP(-1.0587+0.8836*LN(BZ50)+0.284)</f>
        <v>38.7130888885056</v>
      </c>
      <c r="CB50" s="128" t="n">
        <f aca="false">(BZ50+CA50)*0.475*44/12</f>
        <v>329.706363147481</v>
      </c>
      <c r="CC50" s="120" t="n">
        <f aca="false">CB50+(BT50+BU50)*44/12</f>
        <v>623.039696480814</v>
      </c>
      <c r="CD50" s="120" t="n">
        <f aca="true">AVERAGE(OFFSET($CC$3,0,0,'Données projet'!$E$12+1,1))-AVERAGE(OFFSET($H$3,0,0,'Données projet'!$E$12+1,1))</f>
        <v>240.228848647662</v>
      </c>
      <c r="CE50" s="120" t="n">
        <f aca="false">$CE$3</f>
        <v>343.237768841432</v>
      </c>
      <c r="CF50" s="121" t="n">
        <f aca="false">IF(ISNA(VLOOKUP(A50,'Données projet'!$A$113:$I$133,3,0)),0,VLOOKUP(A50,'Données projet'!$A$113:$I$133,3,0))</f>
        <v>0</v>
      </c>
      <c r="CG50" s="121" t="n">
        <f aca="false">IF(ISNA(VLOOKUP(A50,'Données projet'!$A$113:$I$133,4,0)),0,VLOOKUP(A50,'Données projet'!$A$113:$I$133,4,0))</f>
        <v>0</v>
      </c>
      <c r="CH50" s="122" t="n">
        <f aca="false">IF(ISNA(VLOOKUP(A50,'Données projet'!$A$113:$I$133,5,0)),0%,VLOOKUP(A50,'Données projet'!$A$113:$I$133,5,0)*VLOOKUP('Données projet'!$B$12,Paramètres!$A$1:$I$89,7,0))</f>
        <v>0</v>
      </c>
      <c r="CI50" s="122" t="n">
        <f aca="false">IF(ISNA(VLOOKUP(A50,'Données projet'!$A$113:$I$133,6,0)),0%,VLOOKUP(A50,'Données projet'!$A$113:$I$133,6,0)*VLOOKUP('Données projet'!$B$12,Paramètres!$A$1:$I$89,7,0))</f>
        <v>0</v>
      </c>
      <c r="CJ50" s="122" t="n">
        <f aca="false">IF(ISNA(VLOOKUP(A50,'Données projet'!$A$113:$I$133,7,0)),0%,VLOOKUP(A50,'Données projet'!$A$113:$I$133,7,0))</f>
        <v>0</v>
      </c>
      <c r="CK50" s="129" t="n">
        <f aca="false">EXP(-LN(2)/35)*CK49+(1-EXP(-LN(2)/35))/(LN(2)/35)*CG50*CH50*VLOOKUP('Données projet'!$B$12,Paramètres!$A$1:$I$89,3,0)*0.475*44/12</f>
        <v>3.75971991170918</v>
      </c>
      <c r="CL50" s="129" t="n">
        <f aca="false">EXP(-LN(2)/25)*CL49+(1-EXP(-LN(2)/25))/(LN(2)/25)*Calculateur!CG50*Calculateur!CI50*VLOOKUP('Données projet'!$B$12,Paramètres!$A$1:$I$89,3,0)*0.475*44/12</f>
        <v>14.861459284556</v>
      </c>
      <c r="CM50" s="129" t="n">
        <f aca="false">EXP(-LN(2)/2)*CM49+(1-EXP(-LN(2)/2))/(LN(2)/2)*CG50*CJ50*VLOOKUP('Données projet'!$B$12,Paramètres!$A$1:$I$89,3,0)*0.475*44/12</f>
        <v>0.0266265242151503</v>
      </c>
      <c r="CN50" s="130" t="n">
        <f aca="false">SUM(CK50:CM50)</f>
        <v>18.6478057204803</v>
      </c>
      <c r="CO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8" t="e">
        <f aca="false">VLOOKUP(A50,'Données projet'!$A$139:$I$159,2,0)</f>
        <v>#N/A</v>
      </c>
      <c r="CR50" s="118" t="e">
        <f aca="false">VLOOKUP(A50,'Données projet'!$A$139:$I$159,9,0)</f>
        <v>#N/A</v>
      </c>
      <c r="CS50" s="118" t="n">
        <f aca="false" t="array" ref="CS50:CS50">INDEX(CR:CR,MIN(IF(ISNUMBER(CR50:CR246),ROW(CR50:CR246),"")))</f>
        <v>0</v>
      </c>
      <c r="CT50" s="118" t="n">
        <f aca="false">IF('Données projet'!$A$140&gt;35,CT49+CS50-DB49,IF(A50&lt;'Données projet'!$A$140,$CQ$205^A50,IF(A50='Données projet'!$A$140,'Données projet'!$B$140,CT49+CS50-DB49)))</f>
        <v>-5.6843418860808E-014</v>
      </c>
      <c r="CU50" s="125" t="n">
        <f aca="false">CT50*VLOOKUP('Données projet'!$B$13,Paramètres!$A$1:$I$89,3,0)*VLOOKUP('Données projet'!$B$13,Paramètres!$A$1:$I$89,5,0)</f>
        <v>-3.10365066980012E-014</v>
      </c>
      <c r="CV50" s="117" t="e">
        <f aca="false">EXP(-1.0587+0.8836*LN(CU50)+0.284)</f>
        <v>#VALUE!</v>
      </c>
      <c r="CW50" s="128" t="e">
        <f aca="false">(CU50+CV50)*0.475*44/12</f>
        <v>#VALUE!</v>
      </c>
      <c r="CX50" s="120" t="e">
        <f aca="false">CW50+(CO50+CP50)*44/12</f>
        <v>#VALUE!</v>
      </c>
      <c r="CY50" s="120" t="n">
        <f aca="true">AVERAGE(OFFSET($CX$3,0,0,'Données projet'!$E$13+1,1))-AVERAGE(OFFSET($H$3,0,0,'Données projet'!$E$13+1,1))</f>
        <v>207.023069645676</v>
      </c>
      <c r="CZ50" s="120" t="n">
        <f aca="false">$CZ$3</f>
        <v>342.068879333518</v>
      </c>
      <c r="DA50" s="121" t="n">
        <f aca="false">IF(ISNA(VLOOKUP(A50,'Données projet'!$A$139:$I$159,3,0)),0,VLOOKUP(A50,'Données projet'!$A$139:$I$159,3,0))</f>
        <v>0</v>
      </c>
      <c r="DB50" s="121" t="n">
        <f aca="false">IF(ISNA(VLOOKUP(A50,'Données projet'!$A$139:$I$159,4,0)),0,VLOOKUP(A50,'Données projet'!$A$139:$I$159,4,0))</f>
        <v>0</v>
      </c>
      <c r="DC50" s="122" t="n">
        <f aca="false">IF(ISNA(VLOOKUP(A50,'Données projet'!$A$139:$I$159,5,0)),0%,VLOOKUP(A50,'Données projet'!$A$139:$I$159,5,0)*VLOOKUP('Données projet'!$B$13,Paramètres!$A$1:$I$89,7,0))</f>
        <v>0</v>
      </c>
      <c r="DD50" s="122" t="n">
        <f aca="false">IF(ISNA(VLOOKUP(A50,'Données projet'!$A$139:$I$159,6,0)),0%,VLOOKUP(A50,'Données projet'!$A$139:$I$159,6,0)*VLOOKUP('Données projet'!$B$13,Paramètres!$A$1:$I$89,7,0))</f>
        <v>0</v>
      </c>
      <c r="DE50" s="122" t="n">
        <f aca="false">IF(ISNA(VLOOKUP(A50,'Données projet'!$A$139:$I$159,7,0)),0%,VLOOKUP(A50,'Données projet'!$A$139:$I$159,7,0))</f>
        <v>0</v>
      </c>
      <c r="DF50" s="129" t="n">
        <f aca="false">EXP(-LN(2)/35)*DF49+(1-EXP(-LN(2)/35))/(LN(2)/35)*DB50*DC50*VLOOKUP('Données projet'!$B$13,Paramètres!$A$1:$I$89,3,0)*0.475*44/12</f>
        <v>4.7173844175219</v>
      </c>
      <c r="DG50" s="129" t="n">
        <f aca="false">EXP(-LN(2)/25)*DG49+(1-EXP(-LN(2)/25))/(LN(2)/25)*Calculateur!DB50*Calculateur!DD50*VLOOKUP('Données projet'!$B$13,Paramètres!$A$1:$I$89,3,0)*0.475*44/12</f>
        <v>24.2922962985112</v>
      </c>
      <c r="DH50" s="129" t="n">
        <f aca="false">EXP(-LN(2)/2)*DH49+(1-EXP(-LN(2)/2))/(LN(2)/2)*DB50*DE50*VLOOKUP('Données projet'!$B$13,Paramètres!$A$1:$I$89,3,0)*0.475*44/12</f>
        <v>0.0366647361889892</v>
      </c>
      <c r="DI50" s="130" t="n">
        <f aca="false">SUM(DF50:DH50)</f>
        <v>29.0463454522221</v>
      </c>
      <c r="DJ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8" t="e">
        <f aca="false">VLOOKUP(A50,'Données projet'!$A$165:$I$185,2,0)</f>
        <v>#N/A</v>
      </c>
      <c r="DM50" s="118" t="e">
        <f aca="false">VLOOKUP(A50,'Données projet'!$A$165:$I$185,9,0)</f>
        <v>#N/A</v>
      </c>
      <c r="DN50" s="118" t="n">
        <f aca="false" t="array" ref="DN50:DN50">INDEX(DM:DM,MIN(IF(ISNUMBER(DM50:DM246),ROW(DM50:DM246),"")))</f>
        <v>-256.625</v>
      </c>
      <c r="DO50" s="118" t="n">
        <f aca="false">IF('Données projet'!$A$166&gt;35,DO49+DN50-DW49,IF(A50&lt;'Données projet'!$A$166,$DL$205^A50,IF(A50='Données projet'!$A$166,'Données projet'!$B$166,DO49+DN50-DW49)))</f>
        <v>2107.375</v>
      </c>
      <c r="DP50" s="125" t="n">
        <f aca="false">DO50*VLOOKUP('Données projet'!$B$14,Paramètres!$A$1:$I$89,3,0)*VLOOKUP('Données projet'!$B$14,Paramètres!$A$1:$I$89,5,0)</f>
        <v>1260.21025</v>
      </c>
      <c r="DQ50" s="117" t="n">
        <f aca="false">EXP(-1.0587+0.8836*LN(DP50)+0.284)</f>
        <v>252.990088187584</v>
      </c>
      <c r="DR50" s="128" t="n">
        <f aca="false">(DP50+DQ50)*0.475*44/12</f>
        <v>2635.49058901004</v>
      </c>
      <c r="DS50" s="120" t="n">
        <f aca="false">DR50+(DJ50+DK50)*44/12</f>
        <v>2928.82392234338</v>
      </c>
      <c r="DT50" s="120" t="n">
        <f aca="true">AVERAGE(OFFSET($DS$3,0,0,'Données projet'!$E$14+1,1))-AVERAGE(OFFSET($H$3,0,0,'Données projet'!$E$14+1,1))</f>
        <v>549.432320957297</v>
      </c>
      <c r="DU50" s="120" t="n">
        <f aca="false">$DU$3</f>
        <v>280.26155987301</v>
      </c>
      <c r="DV50" s="121" t="n">
        <f aca="false">IF(ISNA(VLOOKUP(A50,'Données projet'!$A$165:$I$185,3,0)),0,VLOOKUP(A50,'Données projet'!$A$165:$I$185,3,0))</f>
        <v>0</v>
      </c>
      <c r="DW50" s="121" t="n">
        <f aca="false">IF(ISNA(VLOOKUP(A50,'Données projet'!$A$165:$I$185,4,0)),0,VLOOKUP(A50,'Données projet'!$A$165:$I$185,4,0))</f>
        <v>0</v>
      </c>
      <c r="DX50" s="122" t="n">
        <f aca="false">IF(ISNA(VLOOKUP(A50,'Données projet'!$A$165:$I$185,5,0)),0%,VLOOKUP(A50,'Données projet'!$A$165:$I$185,5,0)*VLOOKUP('Données projet'!$B$14,Paramètres!$A$1:$I$89,7,0))</f>
        <v>0</v>
      </c>
      <c r="DY50" s="122" t="n">
        <f aca="false">IF(ISNA(VLOOKUP(A50,'Données projet'!$A$165:$I$185,6,0)),0%,VLOOKUP(A50,'Données projet'!$A$165:$I$185,6,0)*VLOOKUP('Données projet'!$B$14,Paramètres!$A$1:$I$89,7,0))</f>
        <v>0</v>
      </c>
      <c r="DZ50" s="122" t="n">
        <f aca="false">IF(ISNA(VLOOKUP(A50,'Données projet'!$A$165:$I$185,7,0)),0%,VLOOKUP(A50,'Données projet'!$A$165:$I$185,7,0))</f>
        <v>0</v>
      </c>
      <c r="EA50" s="129" t="n">
        <f aca="false">EXP(-LN(2)/35)*EA49+(1-EXP(-LN(2)/35))/(LN(2)/35)*DW50*DX50*VLOOKUP('Données projet'!$B$14,Paramètres!$A$1:$I$89,3,0)*0.475*44/12</f>
        <v>1.71523571412063</v>
      </c>
      <c r="EB50" s="129" t="n">
        <f aca="false">EXP(-LN(2)/25)*EB49+(1-EXP(-LN(2)/25))/(LN(2)/25)*Calculateur!DW50*Calculateur!DY50*VLOOKUP('Données projet'!$B$14,Paramètres!$A$1:$I$89,3,0)*0.475*44/12</f>
        <v>4.83950470124547</v>
      </c>
      <c r="EC50" s="129" t="n">
        <f aca="false">EXP(-LN(2)/2)*EC49+(1-EXP(-LN(2)/2))/(LN(2)/2)*DW50*DZ50*VLOOKUP('Données projet'!$B$14,Paramètres!$A$1:$I$89,3,0)*0.475*44/12</f>
        <v>0.0169016876050981</v>
      </c>
      <c r="ED50" s="130" t="n">
        <f aca="false">SUM(EA50:EC50)</f>
        <v>6.5716421029712</v>
      </c>
      <c r="EE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8" t="e">
        <f aca="false">VLOOKUP(A50,'Données projet'!$A$191:$I$211,2,0)</f>
        <v>#N/A</v>
      </c>
      <c r="EH50" s="118" t="e">
        <f aca="false">VLOOKUP(A50,'Données projet'!$A$191:$I$211,9,0)</f>
        <v>#N/A</v>
      </c>
      <c r="EI50" s="118" t="n">
        <f aca="false" t="array" ref="EI50:EI50">INDEX(EH:EH,MIN(IF(ISNUMBER(EH50:EH246),ROW(EH50:EH246),"")))</f>
        <v>0</v>
      </c>
      <c r="EJ50" s="118" t="n">
        <f aca="false">IF('Données projet'!$A$192&gt;35,EJ49+EI50-ER49,IF(A50&lt;'Données projet'!$A$192,$EG$205^A50,IF(A50='Données projet'!$A$192,'Données projet'!$B$192,EJ49+EI50-ER49)))</f>
        <v>0</v>
      </c>
      <c r="EK50" s="125" t="e">
        <f aca="false">EJ50*VLOOKUP('Données projet'!$B$15,Paramètres!$A$1:$I$89,3,0)*VLOOKUP('Données projet'!$B$15,Paramètres!$A$1:$I$89,5,0)</f>
        <v>#N/A</v>
      </c>
      <c r="EL50" s="117" t="e">
        <f aca="false">EXP(-1.0587+0.8836*LN(EK50)+0.284)</f>
        <v>#N/A</v>
      </c>
      <c r="EM50" s="128" t="e">
        <f aca="false">(EK50+EL50)*0.475*44/12</f>
        <v>#N/A</v>
      </c>
      <c r="EN50" s="120" t="e">
        <f aca="false">EM50+(EE50+EF50)*44/12</f>
        <v>#N/A</v>
      </c>
      <c r="EO50" s="120" t="e">
        <f aca="true">AVERAGE(OFFSET($EN$3,0,0,'Données projet'!$E$15+1,1))-AVERAGE(OFFSET($H$3,0,0,'Données projet'!$E$15+1,1))</f>
        <v>#N/A</v>
      </c>
      <c r="EP50" s="120" t="e">
        <f aca="false">$EP$3</f>
        <v>#N/A</v>
      </c>
      <c r="EQ50" s="121" t="n">
        <f aca="false">IF(ISNA(VLOOKUP(A50,'Données projet'!$A$191:$I$211,3,0)),0,VLOOKUP(A50,'Données projet'!$A$191:$I$211,3,0))</f>
        <v>0</v>
      </c>
      <c r="ER50" s="121" t="n">
        <f aca="false">IF(ISNA(VLOOKUP(A50,'Données projet'!$A$191:$I$211,4,0)),0,VLOOKUP(A50,'Données projet'!$A$191:$I$211,4,0))</f>
        <v>0</v>
      </c>
      <c r="ES50" s="122" t="n">
        <f aca="false">IF(ISNA(VLOOKUP(A50,'Données projet'!$A$191:$I$211,5,0)),0%,VLOOKUP(A50,'Données projet'!$A$191:$I$211,5,0)*VLOOKUP('Données projet'!$B$15,Paramètres!$A$1:$I$89,7,0))</f>
        <v>0</v>
      </c>
      <c r="ET50" s="122" t="n">
        <f aca="false">IF(ISNA(VLOOKUP(A50,'Données projet'!$A$191:$I$211,6,0)),0%,VLOOKUP(A50,'Données projet'!$A$191:$I$211,6,0)*VLOOKUP('Données projet'!$B$15,Paramètres!$A$1:$I$89,7,0))</f>
        <v>0</v>
      </c>
      <c r="EU50" s="122" t="n">
        <f aca="false">IF(ISNA(VLOOKUP(A50,'Données projet'!$A$191:$I$211,7,0)),0%,VLOOKUP(A50,'Données projet'!$A$191:$I$211,7,0))</f>
        <v>0</v>
      </c>
      <c r="EV50" s="129" t="e">
        <f aca="false">EXP(-LN(2)/35)*EV49+(1-EXP(-LN(2)/35))/(LN(2)/35)*ER50*ES50*VLOOKUP('Données projet'!$B$15,Paramètres!$A$1:$I$89,3,0)*0.475*44/12</f>
        <v>#N/A</v>
      </c>
      <c r="EW50" s="129" t="e">
        <f aca="false">EXP(-LN(2)/25)*EW49+(1-EXP(-LN(2)/25))/(LN(2)/25)*Calculateur!ER50*Calculateur!ET50*VLOOKUP('Données projet'!$B$15,Paramètres!$A$1:$I$89,3,0)*0.475*44/12</f>
        <v>#N/A</v>
      </c>
      <c r="EX50" s="129" t="e">
        <f aca="false">EXP(-LN(2)/2)*EX49+(1-EXP(-LN(2)/2))/(LN(2)/2)*ER50*EU50*VLOOKUP('Données projet'!$B$15,Paramètres!$A$1:$I$89,3,0)*0.475*44/12</f>
        <v>#N/A</v>
      </c>
      <c r="EY50" s="130" t="e">
        <f aca="false">SUM(EV50:EX50)</f>
        <v>#N/A</v>
      </c>
      <c r="EZ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8" t="e">
        <f aca="false">VLOOKUP(A50,'Données projet'!$A$217:$I$237,2,0)</f>
        <v>#N/A</v>
      </c>
      <c r="FC50" s="118" t="e">
        <f aca="false">VLOOKUP(A50,'Données projet'!$A$217:$I$237,9,0)</f>
        <v>#N/A</v>
      </c>
      <c r="FD50" s="118" t="n">
        <f aca="false" t="array" ref="FD50:FD50">INDEX(FC:FC,MIN(IF(ISNUMBER(FC50:FC246),ROW(FC50:FC246),"")))</f>
        <v>0</v>
      </c>
      <c r="FE50" s="118" t="n">
        <f aca="false">IF('Données projet'!$A$218&gt;35,FE49+FD50-FM49,IF(A50&lt;'Données projet'!$A$218,$FB$205^A50,IF(A50='Données projet'!$A$218,'Données projet'!$B$218,FE49+FD50-FM49)))</f>
        <v>0</v>
      </c>
      <c r="FF50" s="125" t="e">
        <f aca="false">FE50*VLOOKUP('Données projet'!$B$16,Paramètres!$A$1:$I$89,3,0)*VLOOKUP('Données projet'!$B$16,Paramètres!$A$1:$I$89,5,0)</f>
        <v>#N/A</v>
      </c>
      <c r="FG50" s="117" t="e">
        <f aca="false">EXP(-1.0587+0.8836*LN(FF50)+0.284)</f>
        <v>#N/A</v>
      </c>
      <c r="FH50" s="128" t="e">
        <f aca="false">(FF50+FG50)*0.475*44/12</f>
        <v>#N/A</v>
      </c>
      <c r="FI50" s="120" t="e">
        <f aca="false">FH50+(EZ50+FA50)*44/12</f>
        <v>#N/A</v>
      </c>
      <c r="FJ50" s="120" t="e">
        <f aca="true">AVERAGE(OFFSET($FI$3,0,0,'Données projet'!$E$16+1,1))-AVERAGE(OFFSET($H$3,0,0,'Données projet'!$E$16+1,1))</f>
        <v>#N/A</v>
      </c>
      <c r="FK50" s="120" t="e">
        <f aca="false">$FK$3</f>
        <v>#N/A</v>
      </c>
      <c r="FL50" s="121" t="n">
        <f aca="false">IF(ISNA(VLOOKUP(A50,'Données projet'!$A$217:$I$237,3,0)),0,VLOOKUP(A50,'Données projet'!$A$217:$I$237,3,0))</f>
        <v>0</v>
      </c>
      <c r="FM50" s="121" t="n">
        <f aca="false">IF(ISNA(VLOOKUP(A50,'Données projet'!$A$217:$I$237,4,0)),0,VLOOKUP(A50,'Données projet'!$A$217:$I$237,4,0))</f>
        <v>0</v>
      </c>
      <c r="FN50" s="122" t="n">
        <f aca="false">IF(ISNA(VLOOKUP(A50,'Données projet'!$A$217:$I$237,5,0)),0%,VLOOKUP(A50,'Données projet'!$A$217:$I$237,5,0)*VLOOKUP('Données projet'!$B$16,Paramètres!$A$1:$I$89,7,0))</f>
        <v>0</v>
      </c>
      <c r="FO50" s="122" t="n">
        <f aca="false">IF(ISNA(VLOOKUP(A50,'Données projet'!$A$217:$I$237,6,0)),0%,VLOOKUP(A50,'Données projet'!$A$217:$I$237,6,0)*VLOOKUP('Données projet'!$B$16,Paramètres!$A$1:$I$89,7,0))</f>
        <v>0</v>
      </c>
      <c r="FP50" s="122" t="n">
        <f aca="false">IF(ISNA(VLOOKUP(A50,'Données projet'!$A$217:$I$237,7,0)),0%,VLOOKUP(A50,'Données projet'!$A$217:$I$237,7,0))</f>
        <v>0</v>
      </c>
      <c r="FQ50" s="129" t="e">
        <f aca="false">EXP(-LN(2)/35)*FQ49+(1-EXP(-LN(2)/35))/(LN(2)/35)*FM50*FN50*VLOOKUP('Données projet'!$B$16,Paramètres!$A$1:$I$89,3,0)*0.475*44/12</f>
        <v>#N/A</v>
      </c>
      <c r="FR50" s="129" t="e">
        <f aca="false">EXP(-LN(2)/25)*FR49+(1-EXP(-LN(2)/25))/(LN(2)/25)*Calculateur!FM50*Calculateur!FO50*VLOOKUP('Données projet'!$B$16,Paramètres!$A$1:$I$89,3,0)*0.475*44/12</f>
        <v>#N/A</v>
      </c>
      <c r="FS50" s="129" t="e">
        <f aca="false">EXP(-LN(2)/2)*FS49+(1-EXP(-LN(2)/2))/(LN(2)/2)*FM50*FP50*VLOOKUP('Données projet'!$B$16,Paramètres!$A$1:$I$89,3,0)*0.475*44/12</f>
        <v>#N/A</v>
      </c>
      <c r="FT50" s="130" t="e">
        <f aca="false">SUM(FQ50:FS50)</f>
        <v>#N/A</v>
      </c>
      <c r="FU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8" t="e">
        <f aca="false">VLOOKUP(A50,'Données projet'!$A$243:$I$263,2,0)</f>
        <v>#N/A</v>
      </c>
      <c r="FX50" s="118" t="e">
        <f aca="false">VLOOKUP(A50,'Données projet'!$A$243:$I$263,9,0)</f>
        <v>#N/A</v>
      </c>
      <c r="FY50" s="118" t="n">
        <f aca="false" t="array" ref="FY50:FY50">INDEX(FX:FX,MIN(IF(ISNUMBER(FX50:FX246),ROW(FX50:FX246),"")))</f>
        <v>0</v>
      </c>
      <c r="FZ50" s="118" t="n">
        <f aca="false">IF('Données projet'!$A$244&gt;35,FZ49+FY50-GH49,IF(A50&lt;'Données projet'!$A$244,$FW$205^A50,IF(A50='Données projet'!$A$244,'Données projet'!$B$244,FZ49+FY50-GH49)))</f>
        <v>0</v>
      </c>
      <c r="GA50" s="125" t="e">
        <f aca="false">FZ50*VLOOKUP('Données projet'!$B$17,Paramètres!$A$1:$I$89,3,0)*VLOOKUP('Données projet'!$B$17,Paramètres!$A$1:$I$89,5,0)</f>
        <v>#N/A</v>
      </c>
      <c r="GB50" s="117" t="e">
        <f aca="false">EXP(-1.0587+0.8836*LN(GA50)+0.284)</f>
        <v>#N/A</v>
      </c>
      <c r="GC50" s="128" t="e">
        <f aca="false">(GA50+GB50)*0.475*44/12</f>
        <v>#N/A</v>
      </c>
      <c r="GD50" s="120" t="e">
        <f aca="false">GC50+(FU50+FV50)*44/12</f>
        <v>#N/A</v>
      </c>
      <c r="GE50" s="120" t="e">
        <f aca="true">AVERAGE(OFFSET($GD$3,0,0,'Données projet'!$E$17+1,1))-AVERAGE(OFFSET($H$3,0,0,'Données projet'!$E$17+1,1))</f>
        <v>#N/A</v>
      </c>
      <c r="GF50" s="120" t="e">
        <f aca="false">$GF$3</f>
        <v>#N/A</v>
      </c>
      <c r="GG50" s="121" t="n">
        <f aca="false">IF(ISNA(VLOOKUP(A50,'Données projet'!$A$243:$I$263,3,0)),0,VLOOKUP(A50,'Données projet'!$A$243:$I$263,3,0))</f>
        <v>0</v>
      </c>
      <c r="GH50" s="121" t="n">
        <f aca="false">IF(ISNA(VLOOKUP(A50,'Données projet'!$A$243:$I$263,4,0)),0,VLOOKUP(A50,'Données projet'!$A$243:$I$263,4,0))</f>
        <v>0</v>
      </c>
      <c r="GI50" s="122" t="n">
        <f aca="false">IF(ISNA(VLOOKUP(A50,'Données projet'!$A$243:$I$263,5,0)),0%,VLOOKUP(A50,'Données projet'!$A$243:$I$263,5,0)*VLOOKUP('Données projet'!$B$17,Paramètres!$A$1:$I$89,7,0))</f>
        <v>0</v>
      </c>
      <c r="GJ50" s="122" t="n">
        <f aca="false">IF(ISNA(VLOOKUP(A50,'Données projet'!$A$243:$I$263,6,0)),0%,VLOOKUP(A50,'Données projet'!$A$243:$I$263,6,0)*VLOOKUP('Données projet'!$B$17,Paramètres!$A$1:$I$89,7,0))</f>
        <v>0</v>
      </c>
      <c r="GK50" s="122" t="n">
        <f aca="false">IF(ISNA(VLOOKUP(A50,'Données projet'!$A$243:$I$263,7,0)),0%,VLOOKUP(A50,'Données projet'!$A$243:$I$263,7,0))</f>
        <v>0</v>
      </c>
      <c r="GL50" s="129" t="e">
        <f aca="false">EXP(-LN(2)/35)*GL49+(1-EXP(-LN(2)/35))/(LN(2)/35)*GH50*GI50*VLOOKUP('Données projet'!$B$17,Paramètres!$A$1:$I$89,3,0)*0.475*44/12</f>
        <v>#N/A</v>
      </c>
      <c r="GM50" s="129" t="e">
        <f aca="false">EXP(-LN(2)/25)*GM49+(1-EXP(-LN(2)/25))/(LN(2)/25)*Calculateur!GH50*Calculateur!GJ50*VLOOKUP('Données projet'!$B$17,Paramètres!$A$1:$I$89,3,0)*0.475*44/12</f>
        <v>#N/A</v>
      </c>
      <c r="GN50" s="129" t="e">
        <f aca="false">EXP(-LN(2)/2)*GN49+(1-EXP(-LN(2)/2))/(LN(2)/2)*GH50*GK50*VLOOKUP('Données projet'!$B$17,Paramètres!$A$1:$I$89,3,0)*0.475*44/12</f>
        <v>#N/A</v>
      </c>
      <c r="GO50" s="129" t="e">
        <f aca="false">SUM(GL50:GN50)</f>
        <v>#N/A</v>
      </c>
      <c r="GP50" s="126" t="n">
        <f aca="false"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8" t="n">
        <f aca="false"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8" t="e">
        <f aca="false">VLOOKUP(A50,'Données projet'!$A$269:$I$289,2,0)</f>
        <v>#N/A</v>
      </c>
      <c r="GS50" s="118" t="e">
        <f aca="false">VLOOKUP(A50,'Données projet'!$A$269:$I$289,9,0)</f>
        <v>#N/A</v>
      </c>
      <c r="GT50" s="118" t="n">
        <f aca="false" t="array" ref="GT50:GT50">INDEX(GS:GS,MIN(IF(ISNUMBER(GS50:GS246),ROW(GS50:GS246),"")))</f>
        <v>0</v>
      </c>
      <c r="GU50" s="118" t="n">
        <f aca="false">IF('Données projet'!$A$270&gt;35,GU49+GT50-HC49,IF(A50&lt;'Données projet'!$A$270,$GR$205^A50,IF(A50='Données projet'!$A$270,'Données projet'!$B$270,GU49+GT50-HC49)))</f>
        <v>0</v>
      </c>
      <c r="GV50" s="125" t="e">
        <f aca="false">GU50*VLOOKUP('Données projet'!$B$18,Paramètres!$A$1:$I$89,3,0)*VLOOKUP('Données projet'!$B$18,Paramètres!$A$1:$I$89,5,0)</f>
        <v>#N/A</v>
      </c>
      <c r="GW50" s="117" t="e">
        <f aca="false">EXP(-1.0587+0.8836*LN(GV50)+0.284)</f>
        <v>#N/A</v>
      </c>
      <c r="GX50" s="128" t="e">
        <f aca="false">(GV50+GW50)*0.475*44/12</f>
        <v>#N/A</v>
      </c>
      <c r="GY50" s="120" t="e">
        <f aca="false">GX50+(GP50+GQ50)*44/12</f>
        <v>#N/A</v>
      </c>
      <c r="GZ50" s="120" t="e">
        <f aca="true">AVERAGE(OFFSET($GY$3,0,0,'Données projet'!$E$18+1,1))-AVERAGE(OFFSET($H$3,0,0,'Données projet'!$E$18+1,1))</f>
        <v>#N/A</v>
      </c>
      <c r="HA50" s="120" t="e">
        <f aca="false">$HA$3</f>
        <v>#N/A</v>
      </c>
      <c r="HB50" s="121" t="n">
        <f aca="false">IF(ISNA(VLOOKUP(A50,'Données projet'!$A$269:$I$289,3,0)),0,VLOOKUP(A50,'Données projet'!$A$269:$I$289,3,0))</f>
        <v>0</v>
      </c>
      <c r="HC50" s="121" t="n">
        <f aca="false">IF(ISNA(VLOOKUP(A50,'Données projet'!$A$269:$I$289,4,0)),0,VLOOKUP(A50,'Données projet'!$A$269:$I$289,4,0))</f>
        <v>0</v>
      </c>
      <c r="HD50" s="122" t="n">
        <f aca="false">IF(ISNA(VLOOKUP(A50,'Données projet'!$A$269:$I$289,5,0)),0%,VLOOKUP(A50,'Données projet'!$A$269:$I$289,5,0)*VLOOKUP('Données projet'!$B$18,Paramètres!$A$1:$I$89,7,0))</f>
        <v>0</v>
      </c>
      <c r="HE50" s="122" t="n">
        <f aca="false">IF(ISNA(VLOOKUP(A50,'Données projet'!$A$269:$I$289,6,0)),0%,VLOOKUP(A50,'Données projet'!$A$269:$I$289,6,0)*VLOOKUP('Données projet'!$B$18,Paramètres!$A$1:$I$89,7,0))</f>
        <v>0</v>
      </c>
      <c r="HF50" s="122" t="n">
        <f aca="false">IF(ISNA(VLOOKUP(A50,'Données projet'!$A$269:$I$289,7,0)),0%,VLOOKUP(A50,'Données projet'!$A$269:$I$289,7,0))</f>
        <v>0</v>
      </c>
      <c r="HG50" s="129" t="e">
        <f aca="false">EXP(-LN(2)/35)*HG49+(1-EXP(-LN(2)/35))/(LN(2)/35)*HC50*HD50*VLOOKUP('Données projet'!$B$18,Paramètres!$A$1:$I$89,3,0)*0.475*44/12</f>
        <v>#N/A</v>
      </c>
      <c r="HH50" s="129" t="e">
        <f aca="false">EXP(-LN(2)/25)*HH49+(1-EXP(-LN(2)/25))/(LN(2)/25)*Calculateur!HC50*Calculateur!HE50*VLOOKUP('Données projet'!$B$18,Paramètres!$A$1:$I$89,3,0)*0.475*44/12</f>
        <v>#N/A</v>
      </c>
      <c r="HI50" s="129" t="e">
        <f aca="false">EXP(-LN(2)/2)*HI49+(1-EXP(-LN(2)/2))/(LN(2)/2)*HC50*HF50*VLOOKUP('Données projet'!$B$18,Paramètres!$A$1:$I$89,3,0)*0.475*44/12</f>
        <v>#N/A</v>
      </c>
      <c r="HJ50" s="130" t="e">
        <f aca="false">SUM(HG50:HI50)</f>
        <v>#N/A</v>
      </c>
    </row>
    <row r="51" customFormat="false" ht="14.25" hidden="false" customHeight="false" outlineLevel="0" collapsed="false">
      <c r="A51" s="112" t="n">
        <f aca="false">A50+1</f>
        <v>48</v>
      </c>
      <c r="B51" s="113" t="n">
        <f aca="false">'Scénario référence'!$B$16*5+'Scénario référence'!$B$17*0+'Scénario référence'!$B$18*5</f>
        <v>0</v>
      </c>
      <c r="C51" s="127" t="n">
        <f aca="false"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4" t="n">
        <f aca="false">IFERROR(EXP(-1.0587+0.8836*LN(C51)+0.284),0)</f>
        <v>0</v>
      </c>
      <c r="E5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1" s="114" t="n">
        <f aca="false">IF(OR('Scénario référence'!$F$8&gt;0,'Scénario référence'!$F$9&gt;0),('Scénario référence'!$F$8+'Scénario référence'!$F$9)*10,0)</f>
        <v>0</v>
      </c>
      <c r="G51" s="114" t="n">
        <f aca="false"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15" t="n">
        <f aca="false">(B51+E51+F51)*44/12+(C51+D51)*0.475*44/12</f>
        <v>256.666666666667</v>
      </c>
      <c r="I51" s="11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7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8" t="e">
        <f aca="false">VLOOKUP(A51,'Données projet'!$A$35:$I$55,2,0)</f>
        <v>#N/A</v>
      </c>
      <c r="L51" s="118" t="e">
        <f aca="false">VLOOKUP(A51,'Données projet'!$A$35:$I$55,9,0)</f>
        <v>#N/A</v>
      </c>
      <c r="M51" s="118" t="n">
        <f aca="false" t="array" ref="M51:M51">INDEX(L:L,MIN(IF(ISNUMBER(L51:L247),ROW(L51:L247),"")))</f>
        <v>11.5</v>
      </c>
      <c r="N51" s="117" t="n">
        <f aca="false">IF('Données projet'!$A$36&gt;35,N50+M51-V50,IF(A51&lt;'Données projet'!$A$36,$K$205^A51,IF(A51='Données projet'!$A$36,'Données projet'!$B$36,N50+M51-V50)))</f>
        <v>265.5</v>
      </c>
      <c r="O51" s="117" t="n">
        <f aca="false">N51*VLOOKUP('Données projet'!$B$9,Paramètres!$A$1:$I$89,3,0)*VLOOKUP('Données projet'!$B$9,Paramètres!$A$1:$I$89,5,0)</f>
        <v>124.254</v>
      </c>
      <c r="P51" s="117" t="n">
        <f aca="false">EXP(-1.0587+0.8836*LN(O51)+0.284)</f>
        <v>32.6651543979587</v>
      </c>
      <c r="Q51" s="128" t="n">
        <f aca="false">(O51+P51)*0.475*44/12</f>
        <v>273.300860576445</v>
      </c>
      <c r="R51" s="120" t="n">
        <f aca="false">Q51+(I51+J51)*44/12</f>
        <v>566.634193909778</v>
      </c>
      <c r="S51" s="120" t="n">
        <f aca="true">AVERAGE(OFFSET($R$3,0,0,'Données projet'!$E$9+1,1))-AVERAGE(OFFSET($H$3,0,0,'Données projet'!$E$9+1,1))</f>
        <v>319.229030946746</v>
      </c>
      <c r="T51" s="120" t="n">
        <f aca="false">$T$3</f>
        <v>254.586909731428</v>
      </c>
      <c r="U51" s="121" t="n">
        <f aca="false">IF(ISNA(VLOOKUP(A51,'Données projet'!$A$35:$I$55,3,0)),0,VLOOKUP(A51,'Données projet'!$A$35:$I$55,3,0))</f>
        <v>0</v>
      </c>
      <c r="V51" s="121" t="n">
        <f aca="false">IF(ISNA(VLOOKUP(A51,'Données projet'!$A$35:$I$55,4,0)),0,VLOOKUP(A51,'Données projet'!$A$35:$I$55,4,0))</f>
        <v>0</v>
      </c>
      <c r="W51" s="122" t="n">
        <f aca="false">IF(ISNA(VLOOKUP(A51,'Données projet'!$A$35:$I$55,5,0)),0%,VLOOKUP(A51,'Données projet'!$A$35:$I$55,5,0)*VLOOKUP('Données projet'!$B$9,Paramètres!$A$1:$I$89,7,0))</f>
        <v>0</v>
      </c>
      <c r="X51" s="122" t="n">
        <f aca="false">IF(ISNA(VLOOKUP(A51,'Données projet'!$A$35:$I$55,6,0)),0%,VLOOKUP(A51,'Données projet'!$A$35:$I$55,6,0)*VLOOKUP('Données projet'!$B$9,Paramètres!$A$1:$I$89,7,0))</f>
        <v>0</v>
      </c>
      <c r="Y51" s="122" t="n">
        <f aca="false">IF(ISNA(VLOOKUP(A51,'Données projet'!$A$35:$I$55,7,0)),0%,VLOOKUP(A51,'Données projet'!$A$35:$I$55,7,0))</f>
        <v>0</v>
      </c>
      <c r="Z51" s="129" t="n">
        <f aca="false">EXP(-LN(2)/35)*Z50+(1-EXP(-LN(2)/35))/(LN(2)/35)*V51*W51*VLOOKUP('Données projet'!$B$9,Paramètres!$A$1:$I$89,3,0)*0.475*44/12</f>
        <v>6.35458302589224</v>
      </c>
      <c r="AA51" s="129" t="n">
        <f aca="false">EXP(-LN(2)/25)*AA50+(1-EXP(-LN(2)/25))/(LN(2)/25)*Calculateur!V51*Calculateur!X51*VLOOKUP('Données projet'!$B$9,Paramètres!$A$1:$I$89,3,0)*0.475*44/12</f>
        <v>6.76993798067799</v>
      </c>
      <c r="AB51" s="129" t="n">
        <f aca="false">EXP(-LN(2)/2)*AB50+(1-EXP(-LN(2)/2))/(LN(2)/2)*V51*Y51*VLOOKUP('Données projet'!$B$9,Paramètres!$A$1:$I$89,3,0)*0.475*44/12</f>
        <v>0.0215686106320281</v>
      </c>
      <c r="AC51" s="130" t="n">
        <f aca="false">SUM(Z51:AB51)</f>
        <v>13.1460896172023</v>
      </c>
      <c r="AD51" s="117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7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8" t="e">
        <f aca="false">VLOOKUP(A51,'Données projet'!$A$61:$I$81,2,0)</f>
        <v>#N/A</v>
      </c>
      <c r="AG51" s="118" t="e">
        <f aca="false">VLOOKUP(A51,'Données projet'!$A$61:$I$81,9,0)</f>
        <v>#N/A</v>
      </c>
      <c r="AH51" s="118" t="n">
        <f aca="false" t="array" ref="AH51:AH51">INDEX(AG:AG,MIN(IF(ISNUMBER(AG51:AG247),ROW(AG51:AG247),"")))</f>
        <v>15</v>
      </c>
      <c r="AI51" s="117" t="n">
        <f aca="false">IF('Données projet'!$A$62&gt;35,AI50+AH51-AQ50,IF(A51&lt;'Données projet'!$A$62,$AF$205^A51,IF(A51='Données projet'!$A$62,'Données projet'!$B$62,AI50+AH51-AQ50)))</f>
        <v>514</v>
      </c>
      <c r="AJ51" s="117" t="n">
        <f aca="false">AI51*VLOOKUP('Données projet'!$B$10,Paramètres!$A$1:$I$89,3,0)*VLOOKUP('Données projet'!$B$10,Paramètres!$A$1:$I$89,5,0)</f>
        <v>287.326</v>
      </c>
      <c r="AK51" s="117" t="n">
        <f aca="false">EXP(-1.0587+0.8836*LN(AJ51)+0.284)</f>
        <v>68.5128683896321</v>
      </c>
      <c r="AL51" s="128" t="n">
        <f aca="false">(AJ51+AK51)*0.475*44/12</f>
        <v>619.75269577861</v>
      </c>
      <c r="AM51" s="120" t="n">
        <f aca="false">AL51+(AD51+AE51)*44/12</f>
        <v>913.086029111943</v>
      </c>
      <c r="AN51" s="120" t="n">
        <f aca="true">AVERAGE(OFFSET($AM$3,0,0,'Données projet'!$E$10+1,1))-AVERAGE(OFFSET($H$3,0,0,'Données projet'!$E$10+1,1))</f>
        <v>365.705101827279</v>
      </c>
      <c r="AO51" s="120" t="n">
        <f aca="false">$AO$3</f>
        <v>436.238338449625</v>
      </c>
      <c r="AP51" s="121" t="n">
        <f aca="false">IF(ISNA(VLOOKUP(A51,'Données projet'!$A$61:$I$81,3,0)),0,VLOOKUP(A51,'Données projet'!$A$61:$I$81,3,0))</f>
        <v>0</v>
      </c>
      <c r="AQ51" s="121" t="n">
        <f aca="false">IF(ISNA(VLOOKUP(A51,'Données projet'!$A$61:$I$81,4,0)),0,VLOOKUP(A51,'Données projet'!$A$61:$I$81,4,0))</f>
        <v>0</v>
      </c>
      <c r="AR51" s="122" t="n">
        <f aca="false">IF(ISNA(VLOOKUP(A51,'Données projet'!$A$61:$I$81,5,0)),0%,VLOOKUP(A51,'Données projet'!$A$61:$I$81,5,0)*VLOOKUP('Données projet'!$B$10,Paramètres!$A$1:$I$89,7,0))</f>
        <v>0</v>
      </c>
      <c r="AS51" s="122" t="n">
        <f aca="false">IF(ISNA(VLOOKUP(A51,'Données projet'!$A$61:$I$81,6,0)),0%,VLOOKUP(A51,'Données projet'!$A$61:$I$81,6,0)*VLOOKUP('Données projet'!$B$10,Paramètres!$A$1:$I$89,7,0))</f>
        <v>0</v>
      </c>
      <c r="AT51" s="122" t="n">
        <f aca="false">IF(ISNA(VLOOKUP(A51,'Données projet'!$A$61:$I$81,7,0)),0%,VLOOKUP(A51,'Données projet'!$A$61:$I$81,7,0))</f>
        <v>0</v>
      </c>
      <c r="AU51" s="129" t="n">
        <f aca="false">EXP(-LN(2)/35)*AU50+(1-EXP(-LN(2)/35))/(LN(2)/35)*AQ51*AR51*VLOOKUP('Données projet'!$B$10,Paramètres!$A$1:$I$89,3,0)*0.475*44/12</f>
        <v>2.3986490677348</v>
      </c>
      <c r="AV51" s="129" t="n">
        <f aca="false">EXP(-LN(2)/25)*AV50+(1-EXP(-LN(2)/25))/(LN(2)/25)*Calculateur!AQ51*Calculateur!AS51*VLOOKUP('Données projet'!$B$10,Paramètres!$A$1:$I$89,3,0)*0.475*44/12</f>
        <v>8.01862548839976</v>
      </c>
      <c r="AW51" s="129" t="n">
        <f aca="false">EXP(-LN(2)/2)*AW50+(1-EXP(-LN(2)/2))/(LN(2)/2)*AQ51*AT51*VLOOKUP('Données projet'!$B$10,Paramètres!$A$1:$I$89,3,0)*0.475*44/12</f>
        <v>0.0116075521204605</v>
      </c>
      <c r="AX51" s="129" t="n">
        <f aca="false">SUM(AU51:AW51)</f>
        <v>10.428882108255</v>
      </c>
      <c r="AY51" s="124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8" t="e">
        <f aca="false">VLOOKUP(A51,'Données projet'!$A$87:$I$107,2,0)</f>
        <v>#N/A</v>
      </c>
      <c r="BB51" s="118" t="e">
        <f aca="false">VLOOKUP(A51,'Données projet'!$A$87:$I$107,9,0)</f>
        <v>#N/A</v>
      </c>
      <c r="BC51" s="118" t="n">
        <f aca="false" t="array" ref="BC51:BC51">INDEX(BB:BB,MIN(IF(ISNUMBER(BB51:BB247),ROW(BB51:BB247),"")))</f>
        <v>8.8</v>
      </c>
      <c r="BD51" s="118" t="n">
        <f aca="false">IF('Données projet'!$A$88&gt;35,BD50+BC51-BL50,IF(A51&lt;'Données projet'!$A$88,$BA$205^A51,IF(A51='Données projet'!$A$88,'Données projet'!$B$88,BD50+BC51-BL50)))</f>
        <v>213.4</v>
      </c>
      <c r="BE51" s="117" t="n">
        <f aca="false">BD51*VLOOKUP('Données projet'!$B$11,Paramètres!$A$1:$I$89,3,0)*VLOOKUP('Données projet'!$B$11,Paramètres!$A$1:$I$89,5,0)</f>
        <v>186.42624</v>
      </c>
      <c r="BF51" s="117" t="n">
        <f aca="false">EXP(-1.0587+0.8836*LN(BE51)+0.284)</f>
        <v>46.7489742110608</v>
      </c>
      <c r="BG51" s="128" t="n">
        <f aca="false">(BE51+BF51)*0.475*44/12</f>
        <v>406.113498084264</v>
      </c>
      <c r="BH51" s="120" t="n">
        <f aca="false">BG51+(AY51+AZ51)*44/12</f>
        <v>699.446831417598</v>
      </c>
      <c r="BI51" s="120" t="n">
        <f aca="true">AVERAGE(OFFSET($BH$3,0,0,'Données projet'!$E$11+1,1))-AVERAGE(OFFSET($H$3,0,0,'Données projet'!$E$11+1,1))</f>
        <v>321.235999689929</v>
      </c>
      <c r="BJ51" s="120" t="n">
        <f aca="false">$BJ$3</f>
        <v>388.051958478005</v>
      </c>
      <c r="BK51" s="121" t="n">
        <f aca="false">IF(ISNA(VLOOKUP(A51,'Données projet'!$A$87:$I$107,3,0)),0,VLOOKUP(A51,'Données projet'!$A$87:$I$107,3,0))</f>
        <v>0</v>
      </c>
      <c r="BL51" s="121" t="n">
        <f aca="false">IF(ISNA(VLOOKUP(A51,'Données projet'!$A$87:$I$107,4,0)),0,VLOOKUP(A51,'Données projet'!$A$87:$I$107,4,0))</f>
        <v>0</v>
      </c>
      <c r="BM51" s="122" t="n">
        <f aca="false">IF(ISNA(VLOOKUP(A51,'Données projet'!$A$87:$I$107,5,0)),0%,VLOOKUP(A51,'Données projet'!$A$87:$I$107,5,0)*VLOOKUP('Données projet'!$B$11,Paramètres!$A$1:$I$89,7,0))</f>
        <v>0</v>
      </c>
      <c r="BN51" s="122" t="n">
        <f aca="false">IF(ISNA(VLOOKUP(A51,'Données projet'!$A$87:$I$107,6,0)),0%,VLOOKUP(A51,'Données projet'!$A$87:$I$107,6,0)*VLOOKUP('Données projet'!$B$11,Paramètres!$A$1:$I$89,7,0))</f>
        <v>0</v>
      </c>
      <c r="BO51" s="122" t="n">
        <f aca="false">IF(ISNA(VLOOKUP(A51,'Données projet'!$A$87:$I$107,7,0)),0%,VLOOKUP(A51,'Données projet'!$A$87:$I$107,7,0))</f>
        <v>0</v>
      </c>
      <c r="BP51" s="129" t="n">
        <f aca="false">EXP(-LN(2)/35)*BP50+(1-EXP(-LN(2)/35))/(LN(2)/35)*BL51*BM51*VLOOKUP('Données projet'!$B$11,Paramètres!$A$1:$I$89,3,0)*0.475*44/12</f>
        <v>6.02209956529186</v>
      </c>
      <c r="BQ51" s="129" t="n">
        <f aca="false">EXP(-LN(2)/25)*BQ50+(1-EXP(-LN(2)/25))/(LN(2)/25)*Calculateur!BL51*Calculateur!BN51*VLOOKUP('Données projet'!$B$11,Paramètres!$A$1:$I$89,3,0)*0.475*44/12</f>
        <v>8.18493662165126</v>
      </c>
      <c r="BR51" s="129" t="n">
        <f aca="false">EXP(-LN(2)/2)*BR50+(1-EXP(-LN(2)/2))/(LN(2)/2)*BL51*BO51*VLOOKUP('Données projet'!$B$11,Paramètres!$A$1:$I$89,3,0)*0.475*44/12</f>
        <v>0.0117988354634663</v>
      </c>
      <c r="BS51" s="130" t="n">
        <f aca="false">SUM(BP51:BR51)</f>
        <v>14.2188350224066</v>
      </c>
      <c r="BT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8" t="n">
        <f aca="false">VLOOKUP(A51,'Données projet'!$A$113:$I$133,2,0)</f>
        <v>252</v>
      </c>
      <c r="BW51" s="118" t="n">
        <f aca="false">VLOOKUP(A51,'Données projet'!$A$113:$I$133,9,0)</f>
        <v>10.6666666666667</v>
      </c>
      <c r="BX51" s="118" t="n">
        <f aca="false" t="array" ref="BX51:BX51">INDEX(BW:BW,MIN(IF(ISNUMBER(BW51:BW247),ROW(BW51:BW247),"")))</f>
        <v>10.6666666666667</v>
      </c>
      <c r="BY51" s="118" t="n">
        <f aca="false">IF('Données projet'!$A$114&gt;35,BY50+BX51-CG50,IF(A51&lt;'Données projet'!$A$114,$BV$205^A51,IF(A51='Données projet'!$A$114,'Données projet'!$B$114,BY50+BX51-CG50)))</f>
        <v>252</v>
      </c>
      <c r="BZ51" s="117" t="n">
        <f aca="false">BY51*VLOOKUP('Données projet'!$B$12,Paramètres!$A$1:$I$89,3,0)*VLOOKUP('Données projet'!$B$12,Paramètres!$A$1:$I$89,5,0)</f>
        <v>157.248</v>
      </c>
      <c r="CA51" s="117" t="n">
        <f aca="false">EXP(-1.0587+0.8836*LN(BZ51)+0.284)</f>
        <v>40.2211687443486</v>
      </c>
      <c r="CB51" s="128" t="n">
        <f aca="false">(BZ51+CA51)*0.475*44/12</f>
        <v>343.925468896407</v>
      </c>
      <c r="CC51" s="120" t="n">
        <f aca="false">CB51+(BT51+BU51)*44/12</f>
        <v>637.25880222974</v>
      </c>
      <c r="CD51" s="120" t="n">
        <f aca="true">AVERAGE(OFFSET($CC$3,0,0,'Données projet'!$E$12+1,1))-AVERAGE(OFFSET($H$3,0,0,'Données projet'!$E$12+1,1))</f>
        <v>240.228848647662</v>
      </c>
      <c r="CE51" s="120" t="n">
        <f aca="false">$CE$3</f>
        <v>343.237768841432</v>
      </c>
      <c r="CF51" s="121" t="n">
        <f aca="false">IF(ISNA(VLOOKUP(A51,'Données projet'!$A$113:$I$133,3,0)),0,VLOOKUP(A51,'Données projet'!$A$113:$I$133,3,0))</f>
        <v>7</v>
      </c>
      <c r="CG51" s="121" t="n">
        <f aca="false">IF(ISNA(VLOOKUP(A51,'Données projet'!$A$113:$I$133,4,0)),0,VLOOKUP(A51,'Données projet'!$A$113:$I$133,4,0))</f>
        <v>65</v>
      </c>
      <c r="CH51" s="122" t="n">
        <f aca="false">IF(ISNA(VLOOKUP(A51,'Données projet'!$A$113:$I$133,5,0)),0%,VLOOKUP(A51,'Données projet'!$A$113:$I$133,5,0)*VLOOKUP('Données projet'!$B$12,Paramètres!$A$1:$I$89,7,0))</f>
        <v>0</v>
      </c>
      <c r="CI51" s="122" t="n">
        <f aca="false">IF(ISNA(VLOOKUP(A51,'Données projet'!$A$113:$I$133,6,0)),0%,VLOOKUP(A51,'Données projet'!$A$113:$I$133,6,0)*VLOOKUP('Données projet'!$B$12,Paramètres!$A$1:$I$89,7,0))</f>
        <v>0</v>
      </c>
      <c r="CJ51" s="122" t="n">
        <f aca="false">IF(ISNA(VLOOKUP(A51,'Données projet'!$A$113:$I$133,7,0)),0%,VLOOKUP(A51,'Données projet'!$A$113:$I$133,7,0))</f>
        <v>0</v>
      </c>
      <c r="CK51" s="129" t="n">
        <f aca="false">EXP(-LN(2)/35)*CK50+(1-EXP(-LN(2)/35))/(LN(2)/35)*CG51*CH51*VLOOKUP('Données projet'!$B$12,Paramètres!$A$1:$I$89,3,0)*0.475*44/12</f>
        <v>3.68599409744328</v>
      </c>
      <c r="CL51" s="129" t="n">
        <f aca="false">EXP(-LN(2)/25)*CL50+(1-EXP(-LN(2)/25))/(LN(2)/25)*Calculateur!CG51*Calculateur!CI51*VLOOKUP('Données projet'!$B$12,Paramètres!$A$1:$I$89,3,0)*0.475*44/12</f>
        <v>14.4550718988896</v>
      </c>
      <c r="CM51" s="129" t="n">
        <f aca="false">EXP(-LN(2)/2)*CM50+(1-EXP(-LN(2)/2))/(LN(2)/2)*CG51*CJ51*VLOOKUP('Données projet'!$B$12,Paramètres!$A$1:$I$89,3,0)*0.475*44/12</f>
        <v>0.0188277958319606</v>
      </c>
      <c r="CN51" s="130" t="n">
        <f aca="false">SUM(CK51:CM51)</f>
        <v>18.1598937921649</v>
      </c>
      <c r="CO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8" t="e">
        <f aca="false">VLOOKUP(A51,'Données projet'!$A$139:$I$159,2,0)</f>
        <v>#N/A</v>
      </c>
      <c r="CR51" s="118" t="e">
        <f aca="false">VLOOKUP(A51,'Données projet'!$A$139:$I$159,9,0)</f>
        <v>#N/A</v>
      </c>
      <c r="CS51" s="118" t="n">
        <f aca="false" t="array" ref="CS51:CS51">INDEX(CR:CR,MIN(IF(ISNUMBER(CR51:CR247),ROW(CR51:CR247),"")))</f>
        <v>0</v>
      </c>
      <c r="CT51" s="118" t="n">
        <f aca="false">IF('Données projet'!$A$140&gt;35,CT50+CS51-DB50,IF(A51&lt;'Données projet'!$A$140,$CQ$205^A51,IF(A51='Données projet'!$A$140,'Données projet'!$B$140,CT50+CS51-DB50)))</f>
        <v>-5.6843418860808E-014</v>
      </c>
      <c r="CU51" s="125" t="n">
        <f aca="false">CT51*VLOOKUP('Données projet'!$B$13,Paramètres!$A$1:$I$89,3,0)*VLOOKUP('Données projet'!$B$13,Paramètres!$A$1:$I$89,5,0)</f>
        <v>-3.10365066980012E-014</v>
      </c>
      <c r="CV51" s="117" t="e">
        <f aca="false">EXP(-1.0587+0.8836*LN(CU51)+0.284)</f>
        <v>#VALUE!</v>
      </c>
      <c r="CW51" s="128" t="e">
        <f aca="false">(CU51+CV51)*0.475*44/12</f>
        <v>#VALUE!</v>
      </c>
      <c r="CX51" s="120" t="e">
        <f aca="false">CW51+(CO51+CP51)*44/12</f>
        <v>#VALUE!</v>
      </c>
      <c r="CY51" s="120" t="n">
        <f aca="true">AVERAGE(OFFSET($CX$3,0,0,'Données projet'!$E$13+1,1))-AVERAGE(OFFSET($H$3,0,0,'Données projet'!$E$13+1,1))</f>
        <v>207.023069645676</v>
      </c>
      <c r="CZ51" s="120" t="n">
        <f aca="false">$CZ$3</f>
        <v>342.068879333518</v>
      </c>
      <c r="DA51" s="121" t="n">
        <f aca="false">IF(ISNA(VLOOKUP(A51,'Données projet'!$A$139:$I$159,3,0)),0,VLOOKUP(A51,'Données projet'!$A$139:$I$159,3,0))</f>
        <v>0</v>
      </c>
      <c r="DB51" s="121" t="n">
        <f aca="false">IF(ISNA(VLOOKUP(A51,'Données projet'!$A$139:$I$159,4,0)),0,VLOOKUP(A51,'Données projet'!$A$139:$I$159,4,0))</f>
        <v>0</v>
      </c>
      <c r="DC51" s="122" t="n">
        <f aca="false">IF(ISNA(VLOOKUP(A51,'Données projet'!$A$139:$I$159,5,0)),0%,VLOOKUP(A51,'Données projet'!$A$139:$I$159,5,0)*VLOOKUP('Données projet'!$B$13,Paramètres!$A$1:$I$89,7,0))</f>
        <v>0</v>
      </c>
      <c r="DD51" s="122" t="n">
        <f aca="false">IF(ISNA(VLOOKUP(A51,'Données projet'!$A$139:$I$159,6,0)),0%,VLOOKUP(A51,'Données projet'!$A$139:$I$159,6,0)*VLOOKUP('Données projet'!$B$13,Paramètres!$A$1:$I$89,7,0))</f>
        <v>0</v>
      </c>
      <c r="DE51" s="122" t="n">
        <f aca="false">IF(ISNA(VLOOKUP(A51,'Données projet'!$A$139:$I$159,7,0)),0%,VLOOKUP(A51,'Données projet'!$A$139:$I$159,7,0))</f>
        <v>0</v>
      </c>
      <c r="DF51" s="129" t="n">
        <f aca="false">EXP(-LN(2)/35)*DF50+(1-EXP(-LN(2)/35))/(LN(2)/35)*DB51*DC51*VLOOKUP('Données projet'!$B$13,Paramètres!$A$1:$I$89,3,0)*0.475*44/12</f>
        <v>4.62487938641468</v>
      </c>
      <c r="DG51" s="129" t="n">
        <f aca="false">EXP(-LN(2)/25)*DG50+(1-EXP(-LN(2)/25))/(LN(2)/25)*Calculateur!DB51*Calculateur!DD51*VLOOKUP('Données projet'!$B$13,Paramètres!$A$1:$I$89,3,0)*0.475*44/12</f>
        <v>23.6280221787521</v>
      </c>
      <c r="DH51" s="129" t="n">
        <f aca="false">EXP(-LN(2)/2)*DH50+(1-EXP(-LN(2)/2))/(LN(2)/2)*DB51*DE51*VLOOKUP('Données projet'!$B$13,Paramètres!$A$1:$I$89,3,0)*0.475*44/12</f>
        <v>0.0259258835896501</v>
      </c>
      <c r="DI51" s="130" t="n">
        <f aca="false">SUM(DF51:DH51)</f>
        <v>28.2788274487564</v>
      </c>
      <c r="DJ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8" t="e">
        <f aca="false">VLOOKUP(A51,'Données projet'!$A$165:$I$185,2,0)</f>
        <v>#N/A</v>
      </c>
      <c r="DM51" s="118" t="e">
        <f aca="false">VLOOKUP(A51,'Données projet'!$A$165:$I$185,9,0)</f>
        <v>#N/A</v>
      </c>
      <c r="DN51" s="118" t="n">
        <f aca="false" t="array" ref="DN51:DN51">INDEX(DM:DM,MIN(IF(ISNUMBER(DM51:DM247),ROW(DM51:DM247),"")))</f>
        <v>-256.625</v>
      </c>
      <c r="DO51" s="118" t="n">
        <f aca="false">IF('Données projet'!$A$166&gt;35,DO50+DN51-DW50,IF(A51&lt;'Données projet'!$A$166,$DL$205^A51,IF(A51='Données projet'!$A$166,'Données projet'!$B$166,DO50+DN51-DW50)))</f>
        <v>1850.75</v>
      </c>
      <c r="DP51" s="125" t="n">
        <f aca="false">DO51*VLOOKUP('Données projet'!$B$14,Paramètres!$A$1:$I$89,3,0)*VLOOKUP('Données projet'!$B$14,Paramètres!$A$1:$I$89,5,0)</f>
        <v>1106.7485</v>
      </c>
      <c r="DQ51" s="117" t="n">
        <f aca="false">EXP(-1.0587+0.8836*LN(DP51)+0.284)</f>
        <v>225.566037324201</v>
      </c>
      <c r="DR51" s="128" t="n">
        <f aca="false">(DP51+DQ51)*0.475*44/12</f>
        <v>2320.44781917298</v>
      </c>
      <c r="DS51" s="120" t="n">
        <f aca="false">DR51+(DJ51+DK51)*44/12</f>
        <v>2613.78115250632</v>
      </c>
      <c r="DT51" s="120" t="n">
        <f aca="true">AVERAGE(OFFSET($DS$3,0,0,'Données projet'!$E$14+1,1))-AVERAGE(OFFSET($H$3,0,0,'Données projet'!$E$14+1,1))</f>
        <v>549.432320957297</v>
      </c>
      <c r="DU51" s="120" t="n">
        <f aca="false">$DU$3</f>
        <v>280.26155987301</v>
      </c>
      <c r="DV51" s="121" t="n">
        <f aca="false">IF(ISNA(VLOOKUP(A51,'Données projet'!$A$165:$I$185,3,0)),0,VLOOKUP(A51,'Données projet'!$A$165:$I$185,3,0))</f>
        <v>0</v>
      </c>
      <c r="DW51" s="121" t="n">
        <f aca="false">IF(ISNA(VLOOKUP(A51,'Données projet'!$A$165:$I$185,4,0)),0,VLOOKUP(A51,'Données projet'!$A$165:$I$185,4,0))</f>
        <v>0</v>
      </c>
      <c r="DX51" s="122" t="n">
        <f aca="false">IF(ISNA(VLOOKUP(A51,'Données projet'!$A$165:$I$185,5,0)),0%,VLOOKUP(A51,'Données projet'!$A$165:$I$185,5,0)*VLOOKUP('Données projet'!$B$14,Paramètres!$A$1:$I$89,7,0))</f>
        <v>0</v>
      </c>
      <c r="DY51" s="122" t="n">
        <f aca="false">IF(ISNA(VLOOKUP(A51,'Données projet'!$A$165:$I$185,6,0)),0%,VLOOKUP(A51,'Données projet'!$A$165:$I$185,6,0)*VLOOKUP('Données projet'!$B$14,Paramètres!$A$1:$I$89,7,0))</f>
        <v>0</v>
      </c>
      <c r="DZ51" s="122" t="n">
        <f aca="false">IF(ISNA(VLOOKUP(A51,'Données projet'!$A$165:$I$185,7,0)),0%,VLOOKUP(A51,'Données projet'!$A$165:$I$185,7,0))</f>
        <v>0</v>
      </c>
      <c r="EA51" s="129" t="n">
        <f aca="false">EXP(-LN(2)/35)*EA50+(1-EXP(-LN(2)/35))/(LN(2)/35)*DW51*DX51*VLOOKUP('Données projet'!$B$14,Paramètres!$A$1:$I$89,3,0)*0.475*44/12</f>
        <v>1.68160098795721</v>
      </c>
      <c r="EB51" s="129" t="n">
        <f aca="false">EXP(-LN(2)/25)*EB50+(1-EXP(-LN(2)/25))/(LN(2)/25)*Calculateur!DW51*Calculateur!DY51*VLOOKUP('Données projet'!$B$14,Paramètres!$A$1:$I$89,3,0)*0.475*44/12</f>
        <v>4.70716819069142</v>
      </c>
      <c r="EC51" s="129" t="n">
        <f aca="false">EXP(-LN(2)/2)*EC50+(1-EXP(-LN(2)/2))/(LN(2)/2)*DW51*DZ51*VLOOKUP('Données projet'!$B$14,Paramètres!$A$1:$I$89,3,0)*0.475*44/12</f>
        <v>0.0119512979190615</v>
      </c>
      <c r="ED51" s="130" t="n">
        <f aca="false">SUM(EA51:EC51)</f>
        <v>6.40072047656769</v>
      </c>
      <c r="EE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8" t="e">
        <f aca="false">VLOOKUP(A51,'Données projet'!$A$191:$I$211,2,0)</f>
        <v>#N/A</v>
      </c>
      <c r="EH51" s="118" t="e">
        <f aca="false">VLOOKUP(A51,'Données projet'!$A$191:$I$211,9,0)</f>
        <v>#N/A</v>
      </c>
      <c r="EI51" s="118" t="n">
        <f aca="false" t="array" ref="EI51:EI51">INDEX(EH:EH,MIN(IF(ISNUMBER(EH51:EH247),ROW(EH51:EH247),"")))</f>
        <v>0</v>
      </c>
      <c r="EJ51" s="118" t="n">
        <f aca="false">IF('Données projet'!$A$192&gt;35,EJ50+EI51-ER50,IF(A51&lt;'Données projet'!$A$192,$EG$205^A51,IF(A51='Données projet'!$A$192,'Données projet'!$B$192,EJ50+EI51-ER50)))</f>
        <v>0</v>
      </c>
      <c r="EK51" s="125" t="e">
        <f aca="false">EJ51*VLOOKUP('Données projet'!$B$15,Paramètres!$A$1:$I$89,3,0)*VLOOKUP('Données projet'!$B$15,Paramètres!$A$1:$I$89,5,0)</f>
        <v>#N/A</v>
      </c>
      <c r="EL51" s="117" t="e">
        <f aca="false">EXP(-1.0587+0.8836*LN(EK51)+0.284)</f>
        <v>#N/A</v>
      </c>
      <c r="EM51" s="128" t="e">
        <f aca="false">(EK51+EL51)*0.475*44/12</f>
        <v>#N/A</v>
      </c>
      <c r="EN51" s="120" t="e">
        <f aca="false">EM51+(EE51+EF51)*44/12</f>
        <v>#N/A</v>
      </c>
      <c r="EO51" s="120" t="e">
        <f aca="true">AVERAGE(OFFSET($EN$3,0,0,'Données projet'!$E$15+1,1))-AVERAGE(OFFSET($H$3,0,0,'Données projet'!$E$15+1,1))</f>
        <v>#N/A</v>
      </c>
      <c r="EP51" s="120" t="e">
        <f aca="false">$EP$3</f>
        <v>#N/A</v>
      </c>
      <c r="EQ51" s="121" t="n">
        <f aca="false">IF(ISNA(VLOOKUP(A51,'Données projet'!$A$191:$I$211,3,0)),0,VLOOKUP(A51,'Données projet'!$A$191:$I$211,3,0))</f>
        <v>0</v>
      </c>
      <c r="ER51" s="121" t="n">
        <f aca="false">IF(ISNA(VLOOKUP(A51,'Données projet'!$A$191:$I$211,4,0)),0,VLOOKUP(A51,'Données projet'!$A$191:$I$211,4,0))</f>
        <v>0</v>
      </c>
      <c r="ES51" s="122" t="n">
        <f aca="false">IF(ISNA(VLOOKUP(A51,'Données projet'!$A$191:$I$211,5,0)),0%,VLOOKUP(A51,'Données projet'!$A$191:$I$211,5,0)*VLOOKUP('Données projet'!$B$15,Paramètres!$A$1:$I$89,7,0))</f>
        <v>0</v>
      </c>
      <c r="ET51" s="122" t="n">
        <f aca="false">IF(ISNA(VLOOKUP(A51,'Données projet'!$A$191:$I$211,6,0)),0%,VLOOKUP(A51,'Données projet'!$A$191:$I$211,6,0)*VLOOKUP('Données projet'!$B$15,Paramètres!$A$1:$I$89,7,0))</f>
        <v>0</v>
      </c>
      <c r="EU51" s="122" t="n">
        <f aca="false">IF(ISNA(VLOOKUP(A51,'Données projet'!$A$191:$I$211,7,0)),0%,VLOOKUP(A51,'Données projet'!$A$191:$I$211,7,0))</f>
        <v>0</v>
      </c>
      <c r="EV51" s="129" t="e">
        <f aca="false">EXP(-LN(2)/35)*EV50+(1-EXP(-LN(2)/35))/(LN(2)/35)*ER51*ES51*VLOOKUP('Données projet'!$B$15,Paramètres!$A$1:$I$89,3,0)*0.475*44/12</f>
        <v>#N/A</v>
      </c>
      <c r="EW51" s="129" t="e">
        <f aca="false">EXP(-LN(2)/25)*EW50+(1-EXP(-LN(2)/25))/(LN(2)/25)*Calculateur!ER51*Calculateur!ET51*VLOOKUP('Données projet'!$B$15,Paramètres!$A$1:$I$89,3,0)*0.475*44/12</f>
        <v>#N/A</v>
      </c>
      <c r="EX51" s="129" t="e">
        <f aca="false">EXP(-LN(2)/2)*EX50+(1-EXP(-LN(2)/2))/(LN(2)/2)*ER51*EU51*VLOOKUP('Données projet'!$B$15,Paramètres!$A$1:$I$89,3,0)*0.475*44/12</f>
        <v>#N/A</v>
      </c>
      <c r="EY51" s="130" t="e">
        <f aca="false">SUM(EV51:EX51)</f>
        <v>#N/A</v>
      </c>
      <c r="EZ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8" t="e">
        <f aca="false">VLOOKUP(A51,'Données projet'!$A$217:$I$237,2,0)</f>
        <v>#N/A</v>
      </c>
      <c r="FC51" s="118" t="e">
        <f aca="false">VLOOKUP(A51,'Données projet'!$A$217:$I$237,9,0)</f>
        <v>#N/A</v>
      </c>
      <c r="FD51" s="118" t="n">
        <f aca="false" t="array" ref="FD51:FD51">INDEX(FC:FC,MIN(IF(ISNUMBER(FC51:FC247),ROW(FC51:FC247),"")))</f>
        <v>0</v>
      </c>
      <c r="FE51" s="118" t="n">
        <f aca="false">IF('Données projet'!$A$218&gt;35,FE50+FD51-FM50,IF(A51&lt;'Données projet'!$A$218,$FB$205^A51,IF(A51='Données projet'!$A$218,'Données projet'!$B$218,FE50+FD51-FM50)))</f>
        <v>0</v>
      </c>
      <c r="FF51" s="125" t="e">
        <f aca="false">FE51*VLOOKUP('Données projet'!$B$16,Paramètres!$A$1:$I$89,3,0)*VLOOKUP('Données projet'!$B$16,Paramètres!$A$1:$I$89,5,0)</f>
        <v>#N/A</v>
      </c>
      <c r="FG51" s="117" t="e">
        <f aca="false">EXP(-1.0587+0.8836*LN(FF51)+0.284)</f>
        <v>#N/A</v>
      </c>
      <c r="FH51" s="128" t="e">
        <f aca="false">(FF51+FG51)*0.475*44/12</f>
        <v>#N/A</v>
      </c>
      <c r="FI51" s="120" t="e">
        <f aca="false">FH51+(EZ51+FA51)*44/12</f>
        <v>#N/A</v>
      </c>
      <c r="FJ51" s="120" t="e">
        <f aca="true">AVERAGE(OFFSET($FI$3,0,0,'Données projet'!$E$16+1,1))-AVERAGE(OFFSET($H$3,0,0,'Données projet'!$E$16+1,1))</f>
        <v>#N/A</v>
      </c>
      <c r="FK51" s="120" t="e">
        <f aca="false">$FK$3</f>
        <v>#N/A</v>
      </c>
      <c r="FL51" s="121" t="n">
        <f aca="false">IF(ISNA(VLOOKUP(A51,'Données projet'!$A$217:$I$237,3,0)),0,VLOOKUP(A51,'Données projet'!$A$217:$I$237,3,0))</f>
        <v>0</v>
      </c>
      <c r="FM51" s="121" t="n">
        <f aca="false">IF(ISNA(VLOOKUP(A51,'Données projet'!$A$217:$I$237,4,0)),0,VLOOKUP(A51,'Données projet'!$A$217:$I$237,4,0))</f>
        <v>0</v>
      </c>
      <c r="FN51" s="122" t="n">
        <f aca="false">IF(ISNA(VLOOKUP(A51,'Données projet'!$A$217:$I$237,5,0)),0%,VLOOKUP(A51,'Données projet'!$A$217:$I$237,5,0)*VLOOKUP('Données projet'!$B$16,Paramètres!$A$1:$I$89,7,0))</f>
        <v>0</v>
      </c>
      <c r="FO51" s="122" t="n">
        <f aca="false">IF(ISNA(VLOOKUP(A51,'Données projet'!$A$217:$I$237,6,0)),0%,VLOOKUP(A51,'Données projet'!$A$217:$I$237,6,0)*VLOOKUP('Données projet'!$B$16,Paramètres!$A$1:$I$89,7,0))</f>
        <v>0</v>
      </c>
      <c r="FP51" s="122" t="n">
        <f aca="false">IF(ISNA(VLOOKUP(A51,'Données projet'!$A$217:$I$237,7,0)),0%,VLOOKUP(A51,'Données projet'!$A$217:$I$237,7,0))</f>
        <v>0</v>
      </c>
      <c r="FQ51" s="129" t="e">
        <f aca="false">EXP(-LN(2)/35)*FQ50+(1-EXP(-LN(2)/35))/(LN(2)/35)*FM51*FN51*VLOOKUP('Données projet'!$B$16,Paramètres!$A$1:$I$89,3,0)*0.475*44/12</f>
        <v>#N/A</v>
      </c>
      <c r="FR51" s="129" t="e">
        <f aca="false">EXP(-LN(2)/25)*FR50+(1-EXP(-LN(2)/25))/(LN(2)/25)*Calculateur!FM51*Calculateur!FO51*VLOOKUP('Données projet'!$B$16,Paramètres!$A$1:$I$89,3,0)*0.475*44/12</f>
        <v>#N/A</v>
      </c>
      <c r="FS51" s="129" t="e">
        <f aca="false">EXP(-LN(2)/2)*FS50+(1-EXP(-LN(2)/2))/(LN(2)/2)*FM51*FP51*VLOOKUP('Données projet'!$B$16,Paramètres!$A$1:$I$89,3,0)*0.475*44/12</f>
        <v>#N/A</v>
      </c>
      <c r="FT51" s="130" t="e">
        <f aca="false">SUM(FQ51:FS51)</f>
        <v>#N/A</v>
      </c>
      <c r="FU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8" t="e">
        <f aca="false">VLOOKUP(A51,'Données projet'!$A$243:$I$263,2,0)</f>
        <v>#N/A</v>
      </c>
      <c r="FX51" s="118" t="e">
        <f aca="false">VLOOKUP(A51,'Données projet'!$A$243:$I$263,9,0)</f>
        <v>#N/A</v>
      </c>
      <c r="FY51" s="118" t="n">
        <f aca="false" t="array" ref="FY51:FY51">INDEX(FX:FX,MIN(IF(ISNUMBER(FX51:FX247),ROW(FX51:FX247),"")))</f>
        <v>0</v>
      </c>
      <c r="FZ51" s="118" t="n">
        <f aca="false">IF('Données projet'!$A$244&gt;35,FZ50+FY51-GH50,IF(A51&lt;'Données projet'!$A$244,$FW$205^A51,IF(A51='Données projet'!$A$244,'Données projet'!$B$244,FZ50+FY51-GH50)))</f>
        <v>0</v>
      </c>
      <c r="GA51" s="125" t="e">
        <f aca="false">FZ51*VLOOKUP('Données projet'!$B$17,Paramètres!$A$1:$I$89,3,0)*VLOOKUP('Données projet'!$B$17,Paramètres!$A$1:$I$89,5,0)</f>
        <v>#N/A</v>
      </c>
      <c r="GB51" s="117" t="e">
        <f aca="false">EXP(-1.0587+0.8836*LN(GA51)+0.284)</f>
        <v>#N/A</v>
      </c>
      <c r="GC51" s="128" t="e">
        <f aca="false">(GA51+GB51)*0.475*44/12</f>
        <v>#N/A</v>
      </c>
      <c r="GD51" s="120" t="e">
        <f aca="false">GC51+(FU51+FV51)*44/12</f>
        <v>#N/A</v>
      </c>
      <c r="GE51" s="120" t="e">
        <f aca="true">AVERAGE(OFFSET($GD$3,0,0,'Données projet'!$E$17+1,1))-AVERAGE(OFFSET($H$3,0,0,'Données projet'!$E$17+1,1))</f>
        <v>#N/A</v>
      </c>
      <c r="GF51" s="120" t="e">
        <f aca="false">$GF$3</f>
        <v>#N/A</v>
      </c>
      <c r="GG51" s="121" t="n">
        <f aca="false">IF(ISNA(VLOOKUP(A51,'Données projet'!$A$243:$I$263,3,0)),0,VLOOKUP(A51,'Données projet'!$A$243:$I$263,3,0))</f>
        <v>0</v>
      </c>
      <c r="GH51" s="121" t="n">
        <f aca="false">IF(ISNA(VLOOKUP(A51,'Données projet'!$A$243:$I$263,4,0)),0,VLOOKUP(A51,'Données projet'!$A$243:$I$263,4,0))</f>
        <v>0</v>
      </c>
      <c r="GI51" s="122" t="n">
        <f aca="false">IF(ISNA(VLOOKUP(A51,'Données projet'!$A$243:$I$263,5,0)),0%,VLOOKUP(A51,'Données projet'!$A$243:$I$263,5,0)*VLOOKUP('Données projet'!$B$17,Paramètres!$A$1:$I$89,7,0))</f>
        <v>0</v>
      </c>
      <c r="GJ51" s="122" t="n">
        <f aca="false">IF(ISNA(VLOOKUP(A51,'Données projet'!$A$243:$I$263,6,0)),0%,VLOOKUP(A51,'Données projet'!$A$243:$I$263,6,0)*VLOOKUP('Données projet'!$B$17,Paramètres!$A$1:$I$89,7,0))</f>
        <v>0</v>
      </c>
      <c r="GK51" s="122" t="n">
        <f aca="false">IF(ISNA(VLOOKUP(A51,'Données projet'!$A$243:$I$263,7,0)),0%,VLOOKUP(A51,'Données projet'!$A$243:$I$263,7,0))</f>
        <v>0</v>
      </c>
      <c r="GL51" s="129" t="e">
        <f aca="false">EXP(-LN(2)/35)*GL50+(1-EXP(-LN(2)/35))/(LN(2)/35)*GH51*GI51*VLOOKUP('Données projet'!$B$17,Paramètres!$A$1:$I$89,3,0)*0.475*44/12</f>
        <v>#N/A</v>
      </c>
      <c r="GM51" s="129" t="e">
        <f aca="false">EXP(-LN(2)/25)*GM50+(1-EXP(-LN(2)/25))/(LN(2)/25)*Calculateur!GH51*Calculateur!GJ51*VLOOKUP('Données projet'!$B$17,Paramètres!$A$1:$I$89,3,0)*0.475*44/12</f>
        <v>#N/A</v>
      </c>
      <c r="GN51" s="129" t="e">
        <f aca="false">EXP(-LN(2)/2)*GN50+(1-EXP(-LN(2)/2))/(LN(2)/2)*GH51*GK51*VLOOKUP('Données projet'!$B$17,Paramètres!$A$1:$I$89,3,0)*0.475*44/12</f>
        <v>#N/A</v>
      </c>
      <c r="GO51" s="129" t="e">
        <f aca="false">SUM(GL51:GN51)</f>
        <v>#N/A</v>
      </c>
      <c r="GP51" s="126" t="n">
        <f aca="false"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8" t="n">
        <f aca="false"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8" t="e">
        <f aca="false">VLOOKUP(A51,'Données projet'!$A$269:$I$289,2,0)</f>
        <v>#N/A</v>
      </c>
      <c r="GS51" s="118" t="e">
        <f aca="false">VLOOKUP(A51,'Données projet'!$A$269:$I$289,9,0)</f>
        <v>#N/A</v>
      </c>
      <c r="GT51" s="118" t="n">
        <f aca="false" t="array" ref="GT51:GT51">INDEX(GS:GS,MIN(IF(ISNUMBER(GS51:GS247),ROW(GS51:GS247),"")))</f>
        <v>0</v>
      </c>
      <c r="GU51" s="118" t="n">
        <f aca="false">IF('Données projet'!$A$270&gt;35,GU50+GT51-HC50,IF(A51&lt;'Données projet'!$A$270,$GR$205^A51,IF(A51='Données projet'!$A$270,'Données projet'!$B$270,GU50+GT51-HC50)))</f>
        <v>0</v>
      </c>
      <c r="GV51" s="125" t="e">
        <f aca="false">GU51*VLOOKUP('Données projet'!$B$18,Paramètres!$A$1:$I$89,3,0)*VLOOKUP('Données projet'!$B$18,Paramètres!$A$1:$I$89,5,0)</f>
        <v>#N/A</v>
      </c>
      <c r="GW51" s="117" t="e">
        <f aca="false">EXP(-1.0587+0.8836*LN(GV51)+0.284)</f>
        <v>#N/A</v>
      </c>
      <c r="GX51" s="128" t="e">
        <f aca="false">(GV51+GW51)*0.475*44/12</f>
        <v>#N/A</v>
      </c>
      <c r="GY51" s="120" t="e">
        <f aca="false">GX51+(GP51+GQ51)*44/12</f>
        <v>#N/A</v>
      </c>
      <c r="GZ51" s="120" t="e">
        <f aca="true">AVERAGE(OFFSET($GY$3,0,0,'Données projet'!$E$18+1,1))-AVERAGE(OFFSET($H$3,0,0,'Données projet'!$E$18+1,1))</f>
        <v>#N/A</v>
      </c>
      <c r="HA51" s="120" t="e">
        <f aca="false">$HA$3</f>
        <v>#N/A</v>
      </c>
      <c r="HB51" s="121" t="n">
        <f aca="false">IF(ISNA(VLOOKUP(A51,'Données projet'!$A$269:$I$289,3,0)),0,VLOOKUP(A51,'Données projet'!$A$269:$I$289,3,0))</f>
        <v>0</v>
      </c>
      <c r="HC51" s="121" t="n">
        <f aca="false">IF(ISNA(VLOOKUP(A51,'Données projet'!$A$269:$I$289,4,0)),0,VLOOKUP(A51,'Données projet'!$A$269:$I$289,4,0))</f>
        <v>0</v>
      </c>
      <c r="HD51" s="122" t="n">
        <f aca="false">IF(ISNA(VLOOKUP(A51,'Données projet'!$A$269:$I$289,5,0)),0%,VLOOKUP(A51,'Données projet'!$A$269:$I$289,5,0)*VLOOKUP('Données projet'!$B$18,Paramètres!$A$1:$I$89,7,0))</f>
        <v>0</v>
      </c>
      <c r="HE51" s="122" t="n">
        <f aca="false">IF(ISNA(VLOOKUP(A51,'Données projet'!$A$269:$I$289,6,0)),0%,VLOOKUP(A51,'Données projet'!$A$269:$I$289,6,0)*VLOOKUP('Données projet'!$B$18,Paramètres!$A$1:$I$89,7,0))</f>
        <v>0</v>
      </c>
      <c r="HF51" s="122" t="n">
        <f aca="false">IF(ISNA(VLOOKUP(A51,'Données projet'!$A$269:$I$289,7,0)),0%,VLOOKUP(A51,'Données projet'!$A$269:$I$289,7,0))</f>
        <v>0</v>
      </c>
      <c r="HG51" s="129" t="e">
        <f aca="false">EXP(-LN(2)/35)*HG50+(1-EXP(-LN(2)/35))/(LN(2)/35)*HC51*HD51*VLOOKUP('Données projet'!$B$18,Paramètres!$A$1:$I$89,3,0)*0.475*44/12</f>
        <v>#N/A</v>
      </c>
      <c r="HH51" s="129" t="e">
        <f aca="false">EXP(-LN(2)/25)*HH50+(1-EXP(-LN(2)/25))/(LN(2)/25)*Calculateur!HC51*Calculateur!HE51*VLOOKUP('Données projet'!$B$18,Paramètres!$A$1:$I$89,3,0)*0.475*44/12</f>
        <v>#N/A</v>
      </c>
      <c r="HI51" s="129" t="e">
        <f aca="false">EXP(-LN(2)/2)*HI50+(1-EXP(-LN(2)/2))/(LN(2)/2)*HC51*HF51*VLOOKUP('Données projet'!$B$18,Paramètres!$A$1:$I$89,3,0)*0.475*44/12</f>
        <v>#N/A</v>
      </c>
      <c r="HJ51" s="130" t="e">
        <f aca="false">SUM(HG51:HI51)</f>
        <v>#N/A</v>
      </c>
    </row>
    <row r="52" customFormat="false" ht="14.25" hidden="false" customHeight="false" outlineLevel="0" collapsed="false">
      <c r="A52" s="112" t="n">
        <f aca="false">A51+1</f>
        <v>49</v>
      </c>
      <c r="B52" s="113" t="n">
        <f aca="false">'Scénario référence'!$B$16*5+'Scénario référence'!$B$17*0+'Scénario référence'!$B$18*5</f>
        <v>0</v>
      </c>
      <c r="C52" s="127" t="n">
        <f aca="false"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4" t="n">
        <f aca="false">IFERROR(EXP(-1.0587+0.8836*LN(C52)+0.284),0)</f>
        <v>0</v>
      </c>
      <c r="E5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2" s="114" t="n">
        <f aca="false">IF(OR('Scénario référence'!$F$8&gt;0,'Scénario référence'!$F$9&gt;0),('Scénario référence'!$F$8+'Scénario référence'!$F$9)*10,0)</f>
        <v>0</v>
      </c>
      <c r="G52" s="114" t="n">
        <f aca="false"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15" t="n">
        <f aca="false">(B52+E52+F52)*44/12+(C52+D52)*0.475*44/12</f>
        <v>256.666666666667</v>
      </c>
      <c r="I52" s="11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7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8" t="e">
        <f aca="false">VLOOKUP(A52,'Données projet'!$A$35:$I$55,2,0)</f>
        <v>#N/A</v>
      </c>
      <c r="L52" s="118" t="e">
        <f aca="false">VLOOKUP(A52,'Données projet'!$A$35:$I$55,9,0)</f>
        <v>#N/A</v>
      </c>
      <c r="M52" s="118" t="n">
        <f aca="false" t="array" ref="M52:M52">INDEX(L:L,MIN(IF(ISNUMBER(L52:L248),ROW(L52:L248),"")))</f>
        <v>11.5</v>
      </c>
      <c r="N52" s="117" t="n">
        <f aca="false">IF('Données projet'!$A$36&gt;35,N51+M52-V51,IF(A52&lt;'Données projet'!$A$36,$K$205^A52,IF(A52='Données projet'!$A$36,'Données projet'!$B$36,N51+M52-V51)))</f>
        <v>277</v>
      </c>
      <c r="O52" s="117" t="n">
        <f aca="false">N52*VLOOKUP('Données projet'!$B$9,Paramètres!$A$1:$I$89,3,0)*VLOOKUP('Données projet'!$B$9,Paramètres!$A$1:$I$89,5,0)</f>
        <v>129.636</v>
      </c>
      <c r="P52" s="117" t="n">
        <f aca="false">EXP(-1.0587+0.8836*LN(O52)+0.284)</f>
        <v>33.912235898831</v>
      </c>
      <c r="Q52" s="128" t="n">
        <f aca="false">(O52+P52)*0.475*44/12</f>
        <v>284.846510857131</v>
      </c>
      <c r="R52" s="120" t="n">
        <f aca="false">Q52+(I52+J52)*44/12</f>
        <v>578.179844190464</v>
      </c>
      <c r="S52" s="120" t="n">
        <f aca="true">AVERAGE(OFFSET($R$3,0,0,'Données projet'!$E$9+1,1))-AVERAGE(OFFSET($H$3,0,0,'Données projet'!$E$9+1,1))</f>
        <v>319.229030946746</v>
      </c>
      <c r="T52" s="120" t="n">
        <f aca="false">$T$3</f>
        <v>254.586909731428</v>
      </c>
      <c r="U52" s="121" t="n">
        <f aca="false">IF(ISNA(VLOOKUP(A52,'Données projet'!$A$35:$I$55,3,0)),0,VLOOKUP(A52,'Données projet'!$A$35:$I$55,3,0))</f>
        <v>0</v>
      </c>
      <c r="V52" s="121" t="n">
        <f aca="false">IF(ISNA(VLOOKUP(A52,'Données projet'!$A$35:$I$55,4,0)),0,VLOOKUP(A52,'Données projet'!$A$35:$I$55,4,0))</f>
        <v>0</v>
      </c>
      <c r="W52" s="122" t="n">
        <f aca="false">IF(ISNA(VLOOKUP(A52,'Données projet'!$A$35:$I$55,5,0)),0%,VLOOKUP(A52,'Données projet'!$A$35:$I$55,5,0)*VLOOKUP('Données projet'!$B$9,Paramètres!$A$1:$I$89,7,0))</f>
        <v>0</v>
      </c>
      <c r="X52" s="122" t="n">
        <f aca="false">IF(ISNA(VLOOKUP(A52,'Données projet'!$A$35:$I$55,6,0)),0%,VLOOKUP(A52,'Données projet'!$A$35:$I$55,6,0)*VLOOKUP('Données projet'!$B$9,Paramètres!$A$1:$I$89,7,0))</f>
        <v>0</v>
      </c>
      <c r="Y52" s="122" t="n">
        <f aca="false">IF(ISNA(VLOOKUP(A52,'Données projet'!$A$35:$I$55,7,0)),0%,VLOOKUP(A52,'Données projet'!$A$35:$I$55,7,0))</f>
        <v>0</v>
      </c>
      <c r="Z52" s="129" t="n">
        <f aca="false">EXP(-LN(2)/35)*Z51+(1-EXP(-LN(2)/35))/(LN(2)/35)*V52*W52*VLOOKUP('Données projet'!$B$9,Paramètres!$A$1:$I$89,3,0)*0.475*44/12</f>
        <v>6.22997352866742</v>
      </c>
      <c r="AA52" s="129" t="n">
        <f aca="false">EXP(-LN(2)/25)*AA51+(1-EXP(-LN(2)/25))/(LN(2)/25)*Calculateur!V52*Calculateur!X52*VLOOKUP('Données projet'!$B$9,Paramètres!$A$1:$I$89,3,0)*0.475*44/12</f>
        <v>6.58481367058079</v>
      </c>
      <c r="AB52" s="129" t="n">
        <f aca="false">EXP(-LN(2)/2)*AB51+(1-EXP(-LN(2)/2))/(LN(2)/2)*V52*Y52*VLOOKUP('Données projet'!$B$9,Paramètres!$A$1:$I$89,3,0)*0.475*44/12</f>
        <v>0.0152513108386793</v>
      </c>
      <c r="AC52" s="130" t="n">
        <f aca="false">SUM(Z52:AB52)</f>
        <v>12.8300385100869</v>
      </c>
      <c r="AD52" s="117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7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8" t="e">
        <f aca="false">VLOOKUP(A52,'Données projet'!$A$61:$I$81,2,0)</f>
        <v>#N/A</v>
      </c>
      <c r="AG52" s="118" t="e">
        <f aca="false">VLOOKUP(A52,'Données projet'!$A$61:$I$81,9,0)</f>
        <v>#N/A</v>
      </c>
      <c r="AH52" s="118" t="n">
        <f aca="false" t="array" ref="AH52:AH52">INDEX(AG:AG,MIN(IF(ISNUMBER(AG52:AG248),ROW(AG52:AG248),"")))</f>
        <v>15</v>
      </c>
      <c r="AI52" s="117" t="n">
        <f aca="false">IF('Données projet'!$A$62&gt;35,AI51+AH52-AQ51,IF(A52&lt;'Données projet'!$A$62,$AF$205^A52,IF(A52='Données projet'!$A$62,'Données projet'!$B$62,AI51+AH52-AQ51)))</f>
        <v>529</v>
      </c>
      <c r="AJ52" s="117" t="n">
        <f aca="false">AI52*VLOOKUP('Données projet'!$B$10,Paramètres!$A$1:$I$89,3,0)*VLOOKUP('Données projet'!$B$10,Paramètres!$A$1:$I$89,5,0)</f>
        <v>295.711</v>
      </c>
      <c r="AK52" s="117" t="n">
        <f aca="false">EXP(-1.0587+0.8836*LN(AJ52)+0.284)</f>
        <v>70.2765721795713</v>
      </c>
      <c r="AL52" s="128" t="n">
        <f aca="false">(AJ52+AK52)*0.475*44/12</f>
        <v>637.42835487942</v>
      </c>
      <c r="AM52" s="120" t="n">
        <f aca="false">AL52+(AD52+AE52)*44/12</f>
        <v>930.761688212754</v>
      </c>
      <c r="AN52" s="120" t="n">
        <f aca="true">AVERAGE(OFFSET($AM$3,0,0,'Données projet'!$E$10+1,1))-AVERAGE(OFFSET($H$3,0,0,'Données projet'!$E$10+1,1))</f>
        <v>365.705101827279</v>
      </c>
      <c r="AO52" s="120" t="n">
        <f aca="false">$AO$3</f>
        <v>436.238338449625</v>
      </c>
      <c r="AP52" s="121" t="n">
        <f aca="false">IF(ISNA(VLOOKUP(A52,'Données projet'!$A$61:$I$81,3,0)),0,VLOOKUP(A52,'Données projet'!$A$61:$I$81,3,0))</f>
        <v>0</v>
      </c>
      <c r="AQ52" s="121" t="n">
        <f aca="false">IF(ISNA(VLOOKUP(A52,'Données projet'!$A$61:$I$81,4,0)),0,VLOOKUP(A52,'Données projet'!$A$61:$I$81,4,0))</f>
        <v>0</v>
      </c>
      <c r="AR52" s="122" t="n">
        <f aca="false">IF(ISNA(VLOOKUP(A52,'Données projet'!$A$61:$I$81,5,0)),0%,VLOOKUP(A52,'Données projet'!$A$61:$I$81,5,0)*VLOOKUP('Données projet'!$B$10,Paramètres!$A$1:$I$89,7,0))</f>
        <v>0</v>
      </c>
      <c r="AS52" s="122" t="n">
        <f aca="false">IF(ISNA(VLOOKUP(A52,'Données projet'!$A$61:$I$81,6,0)),0%,VLOOKUP(A52,'Données projet'!$A$61:$I$81,6,0)*VLOOKUP('Données projet'!$B$10,Paramètres!$A$1:$I$89,7,0))</f>
        <v>0</v>
      </c>
      <c r="AT52" s="122" t="n">
        <f aca="false">IF(ISNA(VLOOKUP(A52,'Données projet'!$A$61:$I$81,7,0)),0%,VLOOKUP(A52,'Données projet'!$A$61:$I$81,7,0))</f>
        <v>0</v>
      </c>
      <c r="AU52" s="129" t="n">
        <f aca="false">EXP(-LN(2)/35)*AU51+(1-EXP(-LN(2)/35))/(LN(2)/35)*AQ52*AR52*VLOOKUP('Données projet'!$B$10,Paramètres!$A$1:$I$89,3,0)*0.475*44/12</f>
        <v>2.35161302254799</v>
      </c>
      <c r="AV52" s="129" t="n">
        <f aca="false">EXP(-LN(2)/25)*AV51+(1-EXP(-LN(2)/25))/(LN(2)/25)*Calculateur!AQ52*Calculateur!AS52*VLOOKUP('Données projet'!$B$10,Paramètres!$A$1:$I$89,3,0)*0.475*44/12</f>
        <v>7.79935575273828</v>
      </c>
      <c r="AW52" s="129" t="n">
        <f aca="false">EXP(-LN(2)/2)*AW51+(1-EXP(-LN(2)/2))/(LN(2)/2)*AQ52*AT52*VLOOKUP('Données projet'!$B$10,Paramètres!$A$1:$I$89,3,0)*0.475*44/12</f>
        <v>0.00820777881735393</v>
      </c>
      <c r="AX52" s="129" t="n">
        <f aca="false">SUM(AU52:AW52)</f>
        <v>10.1591765541036</v>
      </c>
      <c r="AY52" s="124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8" t="e">
        <f aca="false">VLOOKUP(A52,'Données projet'!$A$87:$I$107,2,0)</f>
        <v>#N/A</v>
      </c>
      <c r="BB52" s="118" t="e">
        <f aca="false">VLOOKUP(A52,'Données projet'!$A$87:$I$107,9,0)</f>
        <v>#N/A</v>
      </c>
      <c r="BC52" s="118" t="n">
        <f aca="false" t="array" ref="BC52:BC52">INDEX(BB:BB,MIN(IF(ISNUMBER(BB52:BB248),ROW(BB52:BB248),"")))</f>
        <v>8.8</v>
      </c>
      <c r="BD52" s="118" t="n">
        <f aca="false">IF('Données projet'!$A$88&gt;35,BD51+BC52-BL51,IF(A52&lt;'Données projet'!$A$88,$BA$205^A52,IF(A52='Données projet'!$A$88,'Données projet'!$B$88,BD51+BC52-BL51)))</f>
        <v>222.2</v>
      </c>
      <c r="BE52" s="117" t="n">
        <f aca="false">BD52*VLOOKUP('Données projet'!$B$11,Paramètres!$A$1:$I$89,3,0)*VLOOKUP('Données projet'!$B$11,Paramètres!$A$1:$I$89,5,0)</f>
        <v>194.11392</v>
      </c>
      <c r="BF52" s="117" t="n">
        <f aca="false">EXP(-1.0587+0.8836*LN(BE52)+0.284)</f>
        <v>48.448345132424</v>
      </c>
      <c r="BG52" s="128" t="n">
        <f aca="false">(BE52+BF52)*0.475*44/12</f>
        <v>422.462611772305</v>
      </c>
      <c r="BH52" s="120" t="n">
        <f aca="false">BG52+(AY52+AZ52)*44/12</f>
        <v>715.795945105639</v>
      </c>
      <c r="BI52" s="120" t="n">
        <f aca="true">AVERAGE(OFFSET($BH$3,0,0,'Données projet'!$E$11+1,1))-AVERAGE(OFFSET($H$3,0,0,'Données projet'!$E$11+1,1))</f>
        <v>321.235999689929</v>
      </c>
      <c r="BJ52" s="120" t="n">
        <f aca="false">$BJ$3</f>
        <v>388.051958478005</v>
      </c>
      <c r="BK52" s="121" t="n">
        <f aca="false">IF(ISNA(VLOOKUP(A52,'Données projet'!$A$87:$I$107,3,0)),0,VLOOKUP(A52,'Données projet'!$A$87:$I$107,3,0))</f>
        <v>0</v>
      </c>
      <c r="BL52" s="121" t="n">
        <f aca="false">IF(ISNA(VLOOKUP(A52,'Données projet'!$A$87:$I$107,4,0)),0,VLOOKUP(A52,'Données projet'!$A$87:$I$107,4,0))</f>
        <v>0</v>
      </c>
      <c r="BM52" s="122" t="n">
        <f aca="false">IF(ISNA(VLOOKUP(A52,'Données projet'!$A$87:$I$107,5,0)),0%,VLOOKUP(A52,'Données projet'!$A$87:$I$107,5,0)*VLOOKUP('Données projet'!$B$11,Paramètres!$A$1:$I$89,7,0))</f>
        <v>0</v>
      </c>
      <c r="BN52" s="122" t="n">
        <f aca="false">IF(ISNA(VLOOKUP(A52,'Données projet'!$A$87:$I$107,6,0)),0%,VLOOKUP(A52,'Données projet'!$A$87:$I$107,6,0)*VLOOKUP('Données projet'!$B$11,Paramètres!$A$1:$I$89,7,0))</f>
        <v>0</v>
      </c>
      <c r="BO52" s="122" t="n">
        <f aca="false">IF(ISNA(VLOOKUP(A52,'Données projet'!$A$87:$I$107,7,0)),0%,VLOOKUP(A52,'Données projet'!$A$87:$I$107,7,0))</f>
        <v>0</v>
      </c>
      <c r="BP52" s="129" t="n">
        <f aca="false">EXP(-LN(2)/35)*BP51+(1-EXP(-LN(2)/35))/(LN(2)/35)*BL52*BM52*VLOOKUP('Données projet'!$B$11,Paramètres!$A$1:$I$89,3,0)*0.475*44/12</f>
        <v>5.90400986593453</v>
      </c>
      <c r="BQ52" s="129" t="n">
        <f aca="false">EXP(-LN(2)/25)*BQ51+(1-EXP(-LN(2)/25))/(LN(2)/25)*Calculateur!BL52*Calculateur!BN52*VLOOKUP('Données projet'!$B$11,Paramètres!$A$1:$I$89,3,0)*0.475*44/12</f>
        <v>7.96111909930509</v>
      </c>
      <c r="BR52" s="129" t="n">
        <f aca="false">EXP(-LN(2)/2)*BR51+(1-EXP(-LN(2)/2))/(LN(2)/2)*BL52*BO52*VLOOKUP('Données projet'!$B$11,Paramètres!$A$1:$I$89,3,0)*0.475*44/12</f>
        <v>0.00834303656632133</v>
      </c>
      <c r="BS52" s="130" t="n">
        <f aca="false">SUM(BP52:BR52)</f>
        <v>13.8734720018059</v>
      </c>
      <c r="BT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8" t="e">
        <f aca="false">VLOOKUP(A52,'Données projet'!$A$113:$I$133,2,0)</f>
        <v>#N/A</v>
      </c>
      <c r="BW52" s="118" t="e">
        <f aca="false">VLOOKUP(A52,'Données projet'!$A$113:$I$133,9,0)</f>
        <v>#N/A</v>
      </c>
      <c r="BX52" s="118" t="n">
        <f aca="false" t="array" ref="BX52:BX52">INDEX(BW:BW,MIN(IF(ISNUMBER(BW52:BW248),ROW(BW52:BW248),"")))</f>
        <v>9.75</v>
      </c>
      <c r="BY52" s="118" t="n">
        <f aca="false">IF('Données projet'!$A$114&gt;35,BY51+BX52-CG51,IF(A52&lt;'Données projet'!$A$114,$BV$205^A52,IF(A52='Données projet'!$A$114,'Données projet'!$B$114,BY51+BX52-CG51)))</f>
        <v>196.75</v>
      </c>
      <c r="BZ52" s="117" t="n">
        <f aca="false">BY52*VLOOKUP('Données projet'!$B$12,Paramètres!$A$1:$I$89,3,0)*VLOOKUP('Données projet'!$B$12,Paramètres!$A$1:$I$89,5,0)</f>
        <v>122.772</v>
      </c>
      <c r="CA52" s="117" t="n">
        <f aca="false">EXP(-1.0587+0.8836*LN(BZ52)+0.284)</f>
        <v>32.3206609554705</v>
      </c>
      <c r="CB52" s="128" t="n">
        <f aca="false">(BZ52+CA52)*0.475*44/12</f>
        <v>270.119717830778</v>
      </c>
      <c r="CC52" s="120" t="n">
        <f aca="false">CB52+(BT52+BU52)*44/12</f>
        <v>563.453051164111</v>
      </c>
      <c r="CD52" s="120" t="n">
        <f aca="true">AVERAGE(OFFSET($CC$3,0,0,'Données projet'!$E$12+1,1))-AVERAGE(OFFSET($H$3,0,0,'Données projet'!$E$12+1,1))</f>
        <v>240.228848647662</v>
      </c>
      <c r="CE52" s="120" t="n">
        <f aca="false">$CE$3</f>
        <v>343.237768841432</v>
      </c>
      <c r="CF52" s="121" t="n">
        <f aca="false">IF(ISNA(VLOOKUP(A52,'Données projet'!$A$113:$I$133,3,0)),0,VLOOKUP(A52,'Données projet'!$A$113:$I$133,3,0))</f>
        <v>0</v>
      </c>
      <c r="CG52" s="121" t="n">
        <f aca="false">IF(ISNA(VLOOKUP(A52,'Données projet'!$A$113:$I$133,4,0)),0,VLOOKUP(A52,'Données projet'!$A$113:$I$133,4,0))</f>
        <v>0</v>
      </c>
      <c r="CH52" s="122" t="n">
        <f aca="false">IF(ISNA(VLOOKUP(A52,'Données projet'!$A$113:$I$133,5,0)),0%,VLOOKUP(A52,'Données projet'!$A$113:$I$133,5,0)*VLOOKUP('Données projet'!$B$12,Paramètres!$A$1:$I$89,7,0))</f>
        <v>0</v>
      </c>
      <c r="CI52" s="122" t="n">
        <f aca="false">IF(ISNA(VLOOKUP(A52,'Données projet'!$A$113:$I$133,6,0)),0%,VLOOKUP(A52,'Données projet'!$A$113:$I$133,6,0)*VLOOKUP('Données projet'!$B$12,Paramètres!$A$1:$I$89,7,0))</f>
        <v>0</v>
      </c>
      <c r="CJ52" s="122" t="n">
        <f aca="false">IF(ISNA(VLOOKUP(A52,'Données projet'!$A$113:$I$133,7,0)),0%,VLOOKUP(A52,'Données projet'!$A$113:$I$133,7,0))</f>
        <v>0</v>
      </c>
      <c r="CK52" s="129" t="n">
        <f aca="false">EXP(-LN(2)/35)*CK51+(1-EXP(-LN(2)/35))/(LN(2)/35)*CG52*CH52*VLOOKUP('Données projet'!$B$12,Paramètres!$A$1:$I$89,3,0)*0.475*44/12</f>
        <v>3.61371400142682</v>
      </c>
      <c r="CL52" s="129" t="n">
        <f aca="false">EXP(-LN(2)/25)*CL51+(1-EXP(-LN(2)/25))/(LN(2)/25)*Calculateur!CG52*Calculateur!CI52*VLOOKUP('Données projet'!$B$12,Paramètres!$A$1:$I$89,3,0)*0.475*44/12</f>
        <v>14.0597971976553</v>
      </c>
      <c r="CM52" s="129" t="n">
        <f aca="false">EXP(-LN(2)/2)*CM51+(1-EXP(-LN(2)/2))/(LN(2)/2)*CG52*CJ52*VLOOKUP('Données projet'!$B$12,Paramètres!$A$1:$I$89,3,0)*0.475*44/12</f>
        <v>0.0133132621075751</v>
      </c>
      <c r="CN52" s="130" t="n">
        <f aca="false">SUM(CK52:CM52)</f>
        <v>17.6868244611897</v>
      </c>
      <c r="CO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8" t="e">
        <f aca="false">VLOOKUP(A52,'Données projet'!$A$139:$I$159,2,0)</f>
        <v>#N/A</v>
      </c>
      <c r="CR52" s="118" t="e">
        <f aca="false">VLOOKUP(A52,'Données projet'!$A$139:$I$159,9,0)</f>
        <v>#N/A</v>
      </c>
      <c r="CS52" s="118" t="n">
        <f aca="false" t="array" ref="CS52:CS52">INDEX(CR:CR,MIN(IF(ISNUMBER(CR52:CR248),ROW(CR52:CR248),"")))</f>
        <v>0</v>
      </c>
      <c r="CT52" s="118" t="n">
        <f aca="false">IF('Données projet'!$A$140&gt;35,CT51+CS52-DB51,IF(A52&lt;'Données projet'!$A$140,$CQ$205^A52,IF(A52='Données projet'!$A$140,'Données projet'!$B$140,CT51+CS52-DB51)))</f>
        <v>-5.6843418860808E-014</v>
      </c>
      <c r="CU52" s="125" t="n">
        <f aca="false">CT52*VLOOKUP('Données projet'!$B$13,Paramètres!$A$1:$I$89,3,0)*VLOOKUP('Données projet'!$B$13,Paramètres!$A$1:$I$89,5,0)</f>
        <v>-3.10365066980012E-014</v>
      </c>
      <c r="CV52" s="117" t="e">
        <f aca="false">EXP(-1.0587+0.8836*LN(CU52)+0.284)</f>
        <v>#VALUE!</v>
      </c>
      <c r="CW52" s="128" t="e">
        <f aca="false">(CU52+CV52)*0.475*44/12</f>
        <v>#VALUE!</v>
      </c>
      <c r="CX52" s="120" t="e">
        <f aca="false">CW52+(CO52+CP52)*44/12</f>
        <v>#VALUE!</v>
      </c>
      <c r="CY52" s="120" t="n">
        <f aca="true">AVERAGE(OFFSET($CX$3,0,0,'Données projet'!$E$13+1,1))-AVERAGE(OFFSET($H$3,0,0,'Données projet'!$E$13+1,1))</f>
        <v>207.023069645676</v>
      </c>
      <c r="CZ52" s="120" t="n">
        <f aca="false">$CZ$3</f>
        <v>342.068879333518</v>
      </c>
      <c r="DA52" s="121" t="n">
        <f aca="false">IF(ISNA(VLOOKUP(A52,'Données projet'!$A$139:$I$159,3,0)),0,VLOOKUP(A52,'Données projet'!$A$139:$I$159,3,0))</f>
        <v>0</v>
      </c>
      <c r="DB52" s="121" t="n">
        <f aca="false">IF(ISNA(VLOOKUP(A52,'Données projet'!$A$139:$I$159,4,0)),0,VLOOKUP(A52,'Données projet'!$A$139:$I$159,4,0))</f>
        <v>0</v>
      </c>
      <c r="DC52" s="122" t="n">
        <f aca="false">IF(ISNA(VLOOKUP(A52,'Données projet'!$A$139:$I$159,5,0)),0%,VLOOKUP(A52,'Données projet'!$A$139:$I$159,5,0)*VLOOKUP('Données projet'!$B$13,Paramètres!$A$1:$I$89,7,0))</f>
        <v>0</v>
      </c>
      <c r="DD52" s="122" t="n">
        <f aca="false">IF(ISNA(VLOOKUP(A52,'Données projet'!$A$139:$I$159,6,0)),0%,VLOOKUP(A52,'Données projet'!$A$139:$I$159,6,0)*VLOOKUP('Données projet'!$B$13,Paramètres!$A$1:$I$89,7,0))</f>
        <v>0</v>
      </c>
      <c r="DE52" s="122" t="n">
        <f aca="false">IF(ISNA(VLOOKUP(A52,'Données projet'!$A$139:$I$159,7,0)),0%,VLOOKUP(A52,'Données projet'!$A$139:$I$159,7,0))</f>
        <v>0</v>
      </c>
      <c r="DF52" s="129" t="n">
        <f aca="false">EXP(-LN(2)/35)*DF51+(1-EXP(-LN(2)/35))/(LN(2)/35)*DB52*DC52*VLOOKUP('Données projet'!$B$13,Paramètres!$A$1:$I$89,3,0)*0.475*44/12</f>
        <v>4.53418832254497</v>
      </c>
      <c r="DG52" s="129" t="n">
        <f aca="false">EXP(-LN(2)/25)*DG51+(1-EXP(-LN(2)/25))/(LN(2)/25)*Calculateur!DB52*Calculateur!DD52*VLOOKUP('Données projet'!$B$13,Paramètres!$A$1:$I$89,3,0)*0.475*44/12</f>
        <v>22.9819126697304</v>
      </c>
      <c r="DH52" s="129" t="n">
        <f aca="false">EXP(-LN(2)/2)*DH51+(1-EXP(-LN(2)/2))/(LN(2)/2)*DB52*DE52*VLOOKUP('Données projet'!$B$13,Paramètres!$A$1:$I$89,3,0)*0.475*44/12</f>
        <v>0.0183323680944946</v>
      </c>
      <c r="DI52" s="130" t="n">
        <f aca="false">SUM(DF52:DH52)</f>
        <v>27.5344333603699</v>
      </c>
      <c r="DJ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8" t="e">
        <f aca="false">VLOOKUP(A52,'Données projet'!$A$165:$I$185,2,0)</f>
        <v>#N/A</v>
      </c>
      <c r="DM52" s="118" t="e">
        <f aca="false">VLOOKUP(A52,'Données projet'!$A$165:$I$185,9,0)</f>
        <v>#N/A</v>
      </c>
      <c r="DN52" s="118" t="n">
        <f aca="false" t="array" ref="DN52:DN52">INDEX(DM:DM,MIN(IF(ISNUMBER(DM52:DM248),ROW(DM52:DM248),"")))</f>
        <v>-256.625</v>
      </c>
      <c r="DO52" s="118" t="n">
        <f aca="false">IF('Données projet'!$A$166&gt;35,DO51+DN52-DW51,IF(A52&lt;'Données projet'!$A$166,$DL$205^A52,IF(A52='Données projet'!$A$166,'Données projet'!$B$166,DO51+DN52-DW51)))</f>
        <v>1594.125</v>
      </c>
      <c r="DP52" s="125" t="n">
        <f aca="false">DO52*VLOOKUP('Données projet'!$B$14,Paramètres!$A$1:$I$89,3,0)*VLOOKUP('Données projet'!$B$14,Paramètres!$A$1:$I$89,5,0)</f>
        <v>953.28675</v>
      </c>
      <c r="DQ52" s="117" t="n">
        <f aca="false">EXP(-1.0587+0.8836*LN(DP52)+0.284)</f>
        <v>197.694232542934</v>
      </c>
      <c r="DR52" s="128" t="n">
        <f aca="false">(DP52+DQ52)*0.475*44/12</f>
        <v>2004.62521126228</v>
      </c>
      <c r="DS52" s="120" t="n">
        <f aca="false">DR52+(DJ52+DK52)*44/12</f>
        <v>2297.95854459561</v>
      </c>
      <c r="DT52" s="120" t="n">
        <f aca="true">AVERAGE(OFFSET($DS$3,0,0,'Données projet'!$E$14+1,1))-AVERAGE(OFFSET($H$3,0,0,'Données projet'!$E$14+1,1))</f>
        <v>549.432320957297</v>
      </c>
      <c r="DU52" s="120" t="n">
        <f aca="false">$DU$3</f>
        <v>280.26155987301</v>
      </c>
      <c r="DV52" s="121" t="n">
        <f aca="false">IF(ISNA(VLOOKUP(A52,'Données projet'!$A$165:$I$185,3,0)),0,VLOOKUP(A52,'Données projet'!$A$165:$I$185,3,0))</f>
        <v>0</v>
      </c>
      <c r="DW52" s="121" t="n">
        <f aca="false">IF(ISNA(VLOOKUP(A52,'Données projet'!$A$165:$I$185,4,0)),0,VLOOKUP(A52,'Données projet'!$A$165:$I$185,4,0))</f>
        <v>0</v>
      </c>
      <c r="DX52" s="122" t="n">
        <f aca="false">IF(ISNA(VLOOKUP(A52,'Données projet'!$A$165:$I$185,5,0)),0%,VLOOKUP(A52,'Données projet'!$A$165:$I$185,5,0)*VLOOKUP('Données projet'!$B$14,Paramètres!$A$1:$I$89,7,0))</f>
        <v>0</v>
      </c>
      <c r="DY52" s="122" t="n">
        <f aca="false">IF(ISNA(VLOOKUP(A52,'Données projet'!$A$165:$I$185,6,0)),0%,VLOOKUP(A52,'Données projet'!$A$165:$I$185,6,0)*VLOOKUP('Données projet'!$B$14,Paramètres!$A$1:$I$89,7,0))</f>
        <v>0</v>
      </c>
      <c r="DZ52" s="122" t="n">
        <f aca="false">IF(ISNA(VLOOKUP(A52,'Données projet'!$A$165:$I$185,7,0)),0%,VLOOKUP(A52,'Données projet'!$A$165:$I$185,7,0))</f>
        <v>0</v>
      </c>
      <c r="EA52" s="129" t="n">
        <f aca="false">EXP(-LN(2)/35)*EA51+(1-EXP(-LN(2)/35))/(LN(2)/35)*DW52*DX52*VLOOKUP('Données projet'!$B$14,Paramètres!$A$1:$I$89,3,0)*0.475*44/12</f>
        <v>1.64862581825869</v>
      </c>
      <c r="EB52" s="129" t="n">
        <f aca="false">EXP(-LN(2)/25)*EB51+(1-EXP(-LN(2)/25))/(LN(2)/25)*Calculateur!DW52*Calculateur!DY52*VLOOKUP('Données projet'!$B$14,Paramètres!$A$1:$I$89,3,0)*0.475*44/12</f>
        <v>4.57845042897775</v>
      </c>
      <c r="EC52" s="129" t="n">
        <f aca="false">EXP(-LN(2)/2)*EC51+(1-EXP(-LN(2)/2))/(LN(2)/2)*DW52*DZ52*VLOOKUP('Données projet'!$B$14,Paramètres!$A$1:$I$89,3,0)*0.475*44/12</f>
        <v>0.00845084380254904</v>
      </c>
      <c r="ED52" s="130" t="n">
        <f aca="false">SUM(EA52:EC52)</f>
        <v>6.23552709103899</v>
      </c>
      <c r="EE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8" t="e">
        <f aca="false">VLOOKUP(A52,'Données projet'!$A$191:$I$211,2,0)</f>
        <v>#N/A</v>
      </c>
      <c r="EH52" s="118" t="e">
        <f aca="false">VLOOKUP(A52,'Données projet'!$A$191:$I$211,9,0)</f>
        <v>#N/A</v>
      </c>
      <c r="EI52" s="118" t="n">
        <f aca="false" t="array" ref="EI52:EI52">INDEX(EH:EH,MIN(IF(ISNUMBER(EH52:EH248),ROW(EH52:EH248),"")))</f>
        <v>0</v>
      </c>
      <c r="EJ52" s="118" t="n">
        <f aca="false">IF('Données projet'!$A$192&gt;35,EJ51+EI52-ER51,IF(A52&lt;'Données projet'!$A$192,$EG$205^A52,IF(A52='Données projet'!$A$192,'Données projet'!$B$192,EJ51+EI52-ER51)))</f>
        <v>0</v>
      </c>
      <c r="EK52" s="125" t="e">
        <f aca="false">EJ52*VLOOKUP('Données projet'!$B$15,Paramètres!$A$1:$I$89,3,0)*VLOOKUP('Données projet'!$B$15,Paramètres!$A$1:$I$89,5,0)</f>
        <v>#N/A</v>
      </c>
      <c r="EL52" s="117" t="e">
        <f aca="false">EXP(-1.0587+0.8836*LN(EK52)+0.284)</f>
        <v>#N/A</v>
      </c>
      <c r="EM52" s="128" t="e">
        <f aca="false">(EK52+EL52)*0.475*44/12</f>
        <v>#N/A</v>
      </c>
      <c r="EN52" s="120" t="e">
        <f aca="false">EM52+(EE52+EF52)*44/12</f>
        <v>#N/A</v>
      </c>
      <c r="EO52" s="120" t="e">
        <f aca="true">AVERAGE(OFFSET($EN$3,0,0,'Données projet'!$E$15+1,1))-AVERAGE(OFFSET($H$3,0,0,'Données projet'!$E$15+1,1))</f>
        <v>#N/A</v>
      </c>
      <c r="EP52" s="120" t="e">
        <f aca="false">$EP$3</f>
        <v>#N/A</v>
      </c>
      <c r="EQ52" s="121" t="n">
        <f aca="false">IF(ISNA(VLOOKUP(A52,'Données projet'!$A$191:$I$211,3,0)),0,VLOOKUP(A52,'Données projet'!$A$191:$I$211,3,0))</f>
        <v>0</v>
      </c>
      <c r="ER52" s="121" t="n">
        <f aca="false">IF(ISNA(VLOOKUP(A52,'Données projet'!$A$191:$I$211,4,0)),0,VLOOKUP(A52,'Données projet'!$A$191:$I$211,4,0))</f>
        <v>0</v>
      </c>
      <c r="ES52" s="122" t="n">
        <f aca="false">IF(ISNA(VLOOKUP(A52,'Données projet'!$A$191:$I$211,5,0)),0%,VLOOKUP(A52,'Données projet'!$A$191:$I$211,5,0)*VLOOKUP('Données projet'!$B$15,Paramètres!$A$1:$I$89,7,0))</f>
        <v>0</v>
      </c>
      <c r="ET52" s="122" t="n">
        <f aca="false">IF(ISNA(VLOOKUP(A52,'Données projet'!$A$191:$I$211,6,0)),0%,VLOOKUP(A52,'Données projet'!$A$191:$I$211,6,0)*VLOOKUP('Données projet'!$B$15,Paramètres!$A$1:$I$89,7,0))</f>
        <v>0</v>
      </c>
      <c r="EU52" s="122" t="n">
        <f aca="false">IF(ISNA(VLOOKUP(A52,'Données projet'!$A$191:$I$211,7,0)),0%,VLOOKUP(A52,'Données projet'!$A$191:$I$211,7,0))</f>
        <v>0</v>
      </c>
      <c r="EV52" s="129" t="e">
        <f aca="false">EXP(-LN(2)/35)*EV51+(1-EXP(-LN(2)/35))/(LN(2)/35)*ER52*ES52*VLOOKUP('Données projet'!$B$15,Paramètres!$A$1:$I$89,3,0)*0.475*44/12</f>
        <v>#N/A</v>
      </c>
      <c r="EW52" s="129" t="e">
        <f aca="false">EXP(-LN(2)/25)*EW51+(1-EXP(-LN(2)/25))/(LN(2)/25)*Calculateur!ER52*Calculateur!ET52*VLOOKUP('Données projet'!$B$15,Paramètres!$A$1:$I$89,3,0)*0.475*44/12</f>
        <v>#N/A</v>
      </c>
      <c r="EX52" s="129" t="e">
        <f aca="false">EXP(-LN(2)/2)*EX51+(1-EXP(-LN(2)/2))/(LN(2)/2)*ER52*EU52*VLOOKUP('Données projet'!$B$15,Paramètres!$A$1:$I$89,3,0)*0.475*44/12</f>
        <v>#N/A</v>
      </c>
      <c r="EY52" s="130" t="e">
        <f aca="false">SUM(EV52:EX52)</f>
        <v>#N/A</v>
      </c>
      <c r="EZ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8" t="e">
        <f aca="false">VLOOKUP(A52,'Données projet'!$A$217:$I$237,2,0)</f>
        <v>#N/A</v>
      </c>
      <c r="FC52" s="118" t="e">
        <f aca="false">VLOOKUP(A52,'Données projet'!$A$217:$I$237,9,0)</f>
        <v>#N/A</v>
      </c>
      <c r="FD52" s="118" t="n">
        <f aca="false" t="array" ref="FD52:FD52">INDEX(FC:FC,MIN(IF(ISNUMBER(FC52:FC248),ROW(FC52:FC248),"")))</f>
        <v>0</v>
      </c>
      <c r="FE52" s="118" t="n">
        <f aca="false">IF('Données projet'!$A$218&gt;35,FE51+FD52-FM51,IF(A52&lt;'Données projet'!$A$218,$FB$205^A52,IF(A52='Données projet'!$A$218,'Données projet'!$B$218,FE51+FD52-FM51)))</f>
        <v>0</v>
      </c>
      <c r="FF52" s="125" t="e">
        <f aca="false">FE52*VLOOKUP('Données projet'!$B$16,Paramètres!$A$1:$I$89,3,0)*VLOOKUP('Données projet'!$B$16,Paramètres!$A$1:$I$89,5,0)</f>
        <v>#N/A</v>
      </c>
      <c r="FG52" s="117" t="e">
        <f aca="false">EXP(-1.0587+0.8836*LN(FF52)+0.284)</f>
        <v>#N/A</v>
      </c>
      <c r="FH52" s="128" t="e">
        <f aca="false">(FF52+FG52)*0.475*44/12</f>
        <v>#N/A</v>
      </c>
      <c r="FI52" s="120" t="e">
        <f aca="false">FH52+(EZ52+FA52)*44/12</f>
        <v>#N/A</v>
      </c>
      <c r="FJ52" s="120" t="e">
        <f aca="true">AVERAGE(OFFSET($FI$3,0,0,'Données projet'!$E$16+1,1))-AVERAGE(OFFSET($H$3,0,0,'Données projet'!$E$16+1,1))</f>
        <v>#N/A</v>
      </c>
      <c r="FK52" s="120" t="e">
        <f aca="false">$FK$3</f>
        <v>#N/A</v>
      </c>
      <c r="FL52" s="121" t="n">
        <f aca="false">IF(ISNA(VLOOKUP(A52,'Données projet'!$A$217:$I$237,3,0)),0,VLOOKUP(A52,'Données projet'!$A$217:$I$237,3,0))</f>
        <v>0</v>
      </c>
      <c r="FM52" s="121" t="n">
        <f aca="false">IF(ISNA(VLOOKUP(A52,'Données projet'!$A$217:$I$237,4,0)),0,VLOOKUP(A52,'Données projet'!$A$217:$I$237,4,0))</f>
        <v>0</v>
      </c>
      <c r="FN52" s="122" t="n">
        <f aca="false">IF(ISNA(VLOOKUP(A52,'Données projet'!$A$217:$I$237,5,0)),0%,VLOOKUP(A52,'Données projet'!$A$217:$I$237,5,0)*VLOOKUP('Données projet'!$B$16,Paramètres!$A$1:$I$89,7,0))</f>
        <v>0</v>
      </c>
      <c r="FO52" s="122" t="n">
        <f aca="false">IF(ISNA(VLOOKUP(A52,'Données projet'!$A$217:$I$237,6,0)),0%,VLOOKUP(A52,'Données projet'!$A$217:$I$237,6,0)*VLOOKUP('Données projet'!$B$16,Paramètres!$A$1:$I$89,7,0))</f>
        <v>0</v>
      </c>
      <c r="FP52" s="122" t="n">
        <f aca="false">IF(ISNA(VLOOKUP(A52,'Données projet'!$A$217:$I$237,7,0)),0%,VLOOKUP(A52,'Données projet'!$A$217:$I$237,7,0))</f>
        <v>0</v>
      </c>
      <c r="FQ52" s="129" t="e">
        <f aca="false">EXP(-LN(2)/35)*FQ51+(1-EXP(-LN(2)/35))/(LN(2)/35)*FM52*FN52*VLOOKUP('Données projet'!$B$16,Paramètres!$A$1:$I$89,3,0)*0.475*44/12</f>
        <v>#N/A</v>
      </c>
      <c r="FR52" s="129" t="e">
        <f aca="false">EXP(-LN(2)/25)*FR51+(1-EXP(-LN(2)/25))/(LN(2)/25)*Calculateur!FM52*Calculateur!FO52*VLOOKUP('Données projet'!$B$16,Paramètres!$A$1:$I$89,3,0)*0.475*44/12</f>
        <v>#N/A</v>
      </c>
      <c r="FS52" s="129" t="e">
        <f aca="false">EXP(-LN(2)/2)*FS51+(1-EXP(-LN(2)/2))/(LN(2)/2)*FM52*FP52*VLOOKUP('Données projet'!$B$16,Paramètres!$A$1:$I$89,3,0)*0.475*44/12</f>
        <v>#N/A</v>
      </c>
      <c r="FT52" s="130" t="e">
        <f aca="false">SUM(FQ52:FS52)</f>
        <v>#N/A</v>
      </c>
      <c r="FU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8" t="e">
        <f aca="false">VLOOKUP(A52,'Données projet'!$A$243:$I$263,2,0)</f>
        <v>#N/A</v>
      </c>
      <c r="FX52" s="118" t="e">
        <f aca="false">VLOOKUP(A52,'Données projet'!$A$243:$I$263,9,0)</f>
        <v>#N/A</v>
      </c>
      <c r="FY52" s="118" t="n">
        <f aca="false" t="array" ref="FY52:FY52">INDEX(FX:FX,MIN(IF(ISNUMBER(FX52:FX248),ROW(FX52:FX248),"")))</f>
        <v>0</v>
      </c>
      <c r="FZ52" s="118" t="n">
        <f aca="false">IF('Données projet'!$A$244&gt;35,FZ51+FY52-GH51,IF(A52&lt;'Données projet'!$A$244,$FW$205^A52,IF(A52='Données projet'!$A$244,'Données projet'!$B$244,FZ51+FY52-GH51)))</f>
        <v>0</v>
      </c>
      <c r="GA52" s="125" t="e">
        <f aca="false">FZ52*VLOOKUP('Données projet'!$B$17,Paramètres!$A$1:$I$89,3,0)*VLOOKUP('Données projet'!$B$17,Paramètres!$A$1:$I$89,5,0)</f>
        <v>#N/A</v>
      </c>
      <c r="GB52" s="117" t="e">
        <f aca="false">EXP(-1.0587+0.8836*LN(GA52)+0.284)</f>
        <v>#N/A</v>
      </c>
      <c r="GC52" s="128" t="e">
        <f aca="false">(GA52+GB52)*0.475*44/12</f>
        <v>#N/A</v>
      </c>
      <c r="GD52" s="120" t="e">
        <f aca="false">GC52+(FU52+FV52)*44/12</f>
        <v>#N/A</v>
      </c>
      <c r="GE52" s="120" t="e">
        <f aca="true">AVERAGE(OFFSET($GD$3,0,0,'Données projet'!$E$17+1,1))-AVERAGE(OFFSET($H$3,0,0,'Données projet'!$E$17+1,1))</f>
        <v>#N/A</v>
      </c>
      <c r="GF52" s="120" t="e">
        <f aca="false">$GF$3</f>
        <v>#N/A</v>
      </c>
      <c r="GG52" s="121" t="n">
        <f aca="false">IF(ISNA(VLOOKUP(A52,'Données projet'!$A$243:$I$263,3,0)),0,VLOOKUP(A52,'Données projet'!$A$243:$I$263,3,0))</f>
        <v>0</v>
      </c>
      <c r="GH52" s="121" t="n">
        <f aca="false">IF(ISNA(VLOOKUP(A52,'Données projet'!$A$243:$I$263,4,0)),0,VLOOKUP(A52,'Données projet'!$A$243:$I$263,4,0))</f>
        <v>0</v>
      </c>
      <c r="GI52" s="122" t="n">
        <f aca="false">IF(ISNA(VLOOKUP(A52,'Données projet'!$A$243:$I$263,5,0)),0%,VLOOKUP(A52,'Données projet'!$A$243:$I$263,5,0)*VLOOKUP('Données projet'!$B$17,Paramètres!$A$1:$I$89,7,0))</f>
        <v>0</v>
      </c>
      <c r="GJ52" s="122" t="n">
        <f aca="false">IF(ISNA(VLOOKUP(A52,'Données projet'!$A$243:$I$263,6,0)),0%,VLOOKUP(A52,'Données projet'!$A$243:$I$263,6,0)*VLOOKUP('Données projet'!$B$17,Paramètres!$A$1:$I$89,7,0))</f>
        <v>0</v>
      </c>
      <c r="GK52" s="122" t="n">
        <f aca="false">IF(ISNA(VLOOKUP(A52,'Données projet'!$A$243:$I$263,7,0)),0%,VLOOKUP(A52,'Données projet'!$A$243:$I$263,7,0))</f>
        <v>0</v>
      </c>
      <c r="GL52" s="129" t="e">
        <f aca="false">EXP(-LN(2)/35)*GL51+(1-EXP(-LN(2)/35))/(LN(2)/35)*GH52*GI52*VLOOKUP('Données projet'!$B$17,Paramètres!$A$1:$I$89,3,0)*0.475*44/12</f>
        <v>#N/A</v>
      </c>
      <c r="GM52" s="129" t="e">
        <f aca="false">EXP(-LN(2)/25)*GM51+(1-EXP(-LN(2)/25))/(LN(2)/25)*Calculateur!GH52*Calculateur!GJ52*VLOOKUP('Données projet'!$B$17,Paramètres!$A$1:$I$89,3,0)*0.475*44/12</f>
        <v>#N/A</v>
      </c>
      <c r="GN52" s="129" t="e">
        <f aca="false">EXP(-LN(2)/2)*GN51+(1-EXP(-LN(2)/2))/(LN(2)/2)*GH52*GK52*VLOOKUP('Données projet'!$B$17,Paramètres!$A$1:$I$89,3,0)*0.475*44/12</f>
        <v>#N/A</v>
      </c>
      <c r="GO52" s="129" t="e">
        <f aca="false">SUM(GL52:GN52)</f>
        <v>#N/A</v>
      </c>
      <c r="GP52" s="126" t="n">
        <f aca="false"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8" t="n">
        <f aca="false"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8" t="e">
        <f aca="false">VLOOKUP(A52,'Données projet'!$A$269:$I$289,2,0)</f>
        <v>#N/A</v>
      </c>
      <c r="GS52" s="118" t="e">
        <f aca="false">VLOOKUP(A52,'Données projet'!$A$269:$I$289,9,0)</f>
        <v>#N/A</v>
      </c>
      <c r="GT52" s="118" t="n">
        <f aca="false" t="array" ref="GT52:GT52">INDEX(GS:GS,MIN(IF(ISNUMBER(GS52:GS248),ROW(GS52:GS248),"")))</f>
        <v>0</v>
      </c>
      <c r="GU52" s="118" t="n">
        <f aca="false">IF('Données projet'!$A$270&gt;35,GU51+GT52-HC51,IF(A52&lt;'Données projet'!$A$270,$GR$205^A52,IF(A52='Données projet'!$A$270,'Données projet'!$B$270,GU51+GT52-HC51)))</f>
        <v>0</v>
      </c>
      <c r="GV52" s="125" t="e">
        <f aca="false">GU52*VLOOKUP('Données projet'!$B$18,Paramètres!$A$1:$I$89,3,0)*VLOOKUP('Données projet'!$B$18,Paramètres!$A$1:$I$89,5,0)</f>
        <v>#N/A</v>
      </c>
      <c r="GW52" s="117" t="e">
        <f aca="false">EXP(-1.0587+0.8836*LN(GV52)+0.284)</f>
        <v>#N/A</v>
      </c>
      <c r="GX52" s="128" t="e">
        <f aca="false">(GV52+GW52)*0.475*44/12</f>
        <v>#N/A</v>
      </c>
      <c r="GY52" s="120" t="e">
        <f aca="false">GX52+(GP52+GQ52)*44/12</f>
        <v>#N/A</v>
      </c>
      <c r="GZ52" s="120" t="e">
        <f aca="true">AVERAGE(OFFSET($GY$3,0,0,'Données projet'!$E$18+1,1))-AVERAGE(OFFSET($H$3,0,0,'Données projet'!$E$18+1,1))</f>
        <v>#N/A</v>
      </c>
      <c r="HA52" s="120" t="e">
        <f aca="false">$HA$3</f>
        <v>#N/A</v>
      </c>
      <c r="HB52" s="121" t="n">
        <f aca="false">IF(ISNA(VLOOKUP(A52,'Données projet'!$A$269:$I$289,3,0)),0,VLOOKUP(A52,'Données projet'!$A$269:$I$289,3,0))</f>
        <v>0</v>
      </c>
      <c r="HC52" s="121" t="n">
        <f aca="false">IF(ISNA(VLOOKUP(A52,'Données projet'!$A$269:$I$289,4,0)),0,VLOOKUP(A52,'Données projet'!$A$269:$I$289,4,0))</f>
        <v>0</v>
      </c>
      <c r="HD52" s="122" t="n">
        <f aca="false">IF(ISNA(VLOOKUP(A52,'Données projet'!$A$269:$I$289,5,0)),0%,VLOOKUP(A52,'Données projet'!$A$269:$I$289,5,0)*VLOOKUP('Données projet'!$B$18,Paramètres!$A$1:$I$89,7,0))</f>
        <v>0</v>
      </c>
      <c r="HE52" s="122" t="n">
        <f aca="false">IF(ISNA(VLOOKUP(A52,'Données projet'!$A$269:$I$289,6,0)),0%,VLOOKUP(A52,'Données projet'!$A$269:$I$289,6,0)*VLOOKUP('Données projet'!$B$18,Paramètres!$A$1:$I$89,7,0))</f>
        <v>0</v>
      </c>
      <c r="HF52" s="122" t="n">
        <f aca="false">IF(ISNA(VLOOKUP(A52,'Données projet'!$A$269:$I$289,7,0)),0%,VLOOKUP(A52,'Données projet'!$A$269:$I$289,7,0))</f>
        <v>0</v>
      </c>
      <c r="HG52" s="129" t="e">
        <f aca="false">EXP(-LN(2)/35)*HG51+(1-EXP(-LN(2)/35))/(LN(2)/35)*HC52*HD52*VLOOKUP('Données projet'!$B$18,Paramètres!$A$1:$I$89,3,0)*0.475*44/12</f>
        <v>#N/A</v>
      </c>
      <c r="HH52" s="129" t="e">
        <f aca="false">EXP(-LN(2)/25)*HH51+(1-EXP(-LN(2)/25))/(LN(2)/25)*Calculateur!HC52*Calculateur!HE52*VLOOKUP('Données projet'!$B$18,Paramètres!$A$1:$I$89,3,0)*0.475*44/12</f>
        <v>#N/A</v>
      </c>
      <c r="HI52" s="129" t="e">
        <f aca="false">EXP(-LN(2)/2)*HI51+(1-EXP(-LN(2)/2))/(LN(2)/2)*HC52*HF52*VLOOKUP('Données projet'!$B$18,Paramètres!$A$1:$I$89,3,0)*0.475*44/12</f>
        <v>#N/A</v>
      </c>
      <c r="HJ52" s="130" t="e">
        <f aca="false">SUM(HG52:HI52)</f>
        <v>#N/A</v>
      </c>
    </row>
    <row r="53" customFormat="false" ht="14.25" hidden="false" customHeight="false" outlineLevel="0" collapsed="false">
      <c r="A53" s="112" t="n">
        <f aca="false">A52+1</f>
        <v>50</v>
      </c>
      <c r="B53" s="113" t="n">
        <f aca="false">'Scénario référence'!$B$16*5+'Scénario référence'!$B$17*0+'Scénario référence'!$B$18*5</f>
        <v>0</v>
      </c>
      <c r="C53" s="127" t="n">
        <f aca="false"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4" t="n">
        <f aca="false">IFERROR(EXP(-1.0587+0.8836*LN(C53)+0.284),0)</f>
        <v>0</v>
      </c>
      <c r="E5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3" s="114" t="n">
        <f aca="false">IF(OR('Scénario référence'!$F$8&gt;0,'Scénario référence'!$F$9&gt;0),('Scénario référence'!$F$8+'Scénario référence'!$F$9)*10,0)</f>
        <v>0</v>
      </c>
      <c r="G53" s="114" t="n">
        <f aca="false"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15" t="n">
        <f aca="false">(B53+E53+F53)*44/12+(C53+D53)*0.475*44/12</f>
        <v>256.666666666667</v>
      </c>
      <c r="I53" s="11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7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8" t="n">
        <f aca="false">VLOOKUP(A53,'Données projet'!$A$35:$I$55,2,0)</f>
        <v>288.5</v>
      </c>
      <c r="L53" s="118" t="n">
        <f aca="false">VLOOKUP(A53,'Données projet'!$A$35:$I$55,9,0)</f>
        <v>11.5</v>
      </c>
      <c r="M53" s="118" t="n">
        <f aca="false" t="array" ref="M53:M53">INDEX(L:L,MIN(IF(ISNUMBER(L53:L249),ROW(L53:L249),"")))</f>
        <v>11.5</v>
      </c>
      <c r="N53" s="117" t="n">
        <f aca="false">IF('Données projet'!$A$36&gt;35,N52+M53-V52,IF(A53&lt;'Données projet'!$A$36,$K$205^A53,IF(A53='Données projet'!$A$36,'Données projet'!$B$36,N52+M53-V52)))</f>
        <v>288.5</v>
      </c>
      <c r="O53" s="117" t="n">
        <f aca="false">N53*VLOOKUP('Données projet'!$B$9,Paramètres!$A$1:$I$89,3,0)*VLOOKUP('Données projet'!$B$9,Paramètres!$A$1:$I$89,5,0)</f>
        <v>135.018</v>
      </c>
      <c r="P53" s="117" t="n">
        <f aca="false">EXP(-1.0587+0.8836*LN(O53)+0.284)</f>
        <v>35.1533036032506</v>
      </c>
      <c r="Q53" s="128" t="n">
        <f aca="false">(O53+P53)*0.475*44/12</f>
        <v>296.381687108995</v>
      </c>
      <c r="R53" s="120" t="n">
        <f aca="false">Q53+(I53+J53)*44/12</f>
        <v>589.715020442328</v>
      </c>
      <c r="S53" s="120" t="n">
        <f aca="true">AVERAGE(OFFSET($R$3,0,0,'Données projet'!$E$9+1,1))-AVERAGE(OFFSET($H$3,0,0,'Données projet'!$E$9+1,1))</f>
        <v>319.229030946746</v>
      </c>
      <c r="T53" s="120" t="n">
        <f aca="false">$T$3</f>
        <v>254.586909731428</v>
      </c>
      <c r="U53" s="121" t="n">
        <f aca="false">IF(ISNA(VLOOKUP(A53,'Données projet'!$A$35:$I$55,3,0)),0,VLOOKUP(A53,'Données projet'!$A$35:$I$55,3,0))</f>
        <v>4</v>
      </c>
      <c r="V53" s="121" t="n">
        <f aca="false">IF(ISNA(VLOOKUP(A53,'Données projet'!$A$35:$I$55,4,0)),0,VLOOKUP(A53,'Données projet'!$A$35:$I$55,4,0))</f>
        <v>75</v>
      </c>
      <c r="W53" s="122" t="n">
        <f aca="false">IF(ISNA(VLOOKUP(A53,'Données projet'!$A$35:$I$55,5,0)),0%,VLOOKUP(A53,'Données projet'!$A$35:$I$55,5,0)*VLOOKUP('Données projet'!$B$9,Paramètres!$A$1:$I$89,7,0))</f>
        <v>0</v>
      </c>
      <c r="X53" s="122" t="n">
        <f aca="false">IF(ISNA(VLOOKUP(A53,'Données projet'!$A$35:$I$55,6,0)),0%,VLOOKUP(A53,'Données projet'!$A$35:$I$55,6,0)*VLOOKUP('Données projet'!$B$9,Paramètres!$A$1:$I$89,7,0))</f>
        <v>0</v>
      </c>
      <c r="Y53" s="122" t="n">
        <f aca="false">IF(ISNA(VLOOKUP(A53,'Données projet'!$A$35:$I$55,7,0)),0%,VLOOKUP(A53,'Données projet'!$A$35:$I$55,7,0))</f>
        <v>0</v>
      </c>
      <c r="Z53" s="129" t="n">
        <f aca="false">EXP(-LN(2)/35)*Z52+(1-EXP(-LN(2)/35))/(LN(2)/35)*V53*W53*VLOOKUP('Données projet'!$B$9,Paramètres!$A$1:$I$89,3,0)*0.475*44/12</f>
        <v>6.10780754767889</v>
      </c>
      <c r="AA53" s="129" t="n">
        <f aca="false">EXP(-LN(2)/25)*AA52+(1-EXP(-LN(2)/25))/(LN(2)/25)*Calculateur!V53*Calculateur!X53*VLOOKUP('Données projet'!$B$9,Paramètres!$A$1:$I$89,3,0)*0.475*44/12</f>
        <v>6.40475159447846</v>
      </c>
      <c r="AB53" s="129" t="n">
        <f aca="false">EXP(-LN(2)/2)*AB52+(1-EXP(-LN(2)/2))/(LN(2)/2)*V53*Y53*VLOOKUP('Données projet'!$B$9,Paramètres!$A$1:$I$89,3,0)*0.475*44/12</f>
        <v>0.010784305316014</v>
      </c>
      <c r="AC53" s="130" t="n">
        <f aca="false">SUM(Z53:AB53)</f>
        <v>12.5233434474734</v>
      </c>
      <c r="AD53" s="117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7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8" t="n">
        <f aca="false">VLOOKUP(A53,'Données projet'!$A$61:$I$81,2,0)</f>
        <v>544</v>
      </c>
      <c r="AG53" s="118" t="n">
        <f aca="false">VLOOKUP(A53,'Données projet'!$A$61:$I$81,9,0)</f>
        <v>15</v>
      </c>
      <c r="AH53" s="118" t="n">
        <f aca="false" t="array" ref="AH53:AH53">INDEX(AG:AG,MIN(IF(ISNUMBER(AG53:AG249),ROW(AG53:AG249),"")))</f>
        <v>15</v>
      </c>
      <c r="AI53" s="117" t="n">
        <f aca="false">IF('Données projet'!$A$62&gt;35,AI52+AH53-AQ52,IF(A53&lt;'Données projet'!$A$62,$AF$205^A53,IF(A53='Données projet'!$A$62,'Données projet'!$B$62,AI52+AH53-AQ52)))</f>
        <v>544</v>
      </c>
      <c r="AJ53" s="117" t="n">
        <f aca="false">AI53*VLOOKUP('Données projet'!$B$10,Paramètres!$A$1:$I$89,3,0)*VLOOKUP('Données projet'!$B$10,Paramètres!$A$1:$I$89,5,0)</f>
        <v>304.096</v>
      </c>
      <c r="AK53" s="117" t="n">
        <f aca="false">EXP(-1.0587+0.8836*LN(AJ53)+0.284)</f>
        <v>72.0344635198733</v>
      </c>
      <c r="AL53" s="128" t="n">
        <f aca="false">(AJ53+AK53)*0.475*44/12</f>
        <v>655.093890630446</v>
      </c>
      <c r="AM53" s="120" t="n">
        <f aca="false">AL53+(AD53+AE53)*44/12</f>
        <v>948.42722396378</v>
      </c>
      <c r="AN53" s="120" t="n">
        <f aca="true">AVERAGE(OFFSET($AM$3,0,0,'Données projet'!$E$10+1,1))-AVERAGE(OFFSET($H$3,0,0,'Données projet'!$E$10+1,1))</f>
        <v>365.705101827279</v>
      </c>
      <c r="AO53" s="120" t="n">
        <f aca="false">$AO$3</f>
        <v>436.238338449625</v>
      </c>
      <c r="AP53" s="121" t="n">
        <f aca="false">IF(ISNA(VLOOKUP(A53,'Données projet'!$A$61:$I$81,3,0)),0,VLOOKUP(A53,'Données projet'!$A$61:$I$81,3,0))</f>
        <v>7</v>
      </c>
      <c r="AQ53" s="121" t="n">
        <f aca="false">IF(ISNA(VLOOKUP(A53,'Données projet'!$A$61:$I$81,4,0)),0,VLOOKUP(A53,'Données projet'!$A$61:$I$81,4,0))</f>
        <v>42</v>
      </c>
      <c r="AR53" s="122" t="n">
        <f aca="false">IF(ISNA(VLOOKUP(A53,'Données projet'!$A$61:$I$81,5,0)),0%,VLOOKUP(A53,'Données projet'!$A$61:$I$81,5,0)*VLOOKUP('Données projet'!$B$10,Paramètres!$A$1:$I$89,7,0))</f>
        <v>0</v>
      </c>
      <c r="AS53" s="122" t="n">
        <f aca="false">IF(ISNA(VLOOKUP(A53,'Données projet'!$A$61:$I$81,6,0)),0%,VLOOKUP(A53,'Données projet'!$A$61:$I$81,6,0)*VLOOKUP('Données projet'!$B$10,Paramètres!$A$1:$I$89,7,0))</f>
        <v>0</v>
      </c>
      <c r="AT53" s="122" t="n">
        <f aca="false">IF(ISNA(VLOOKUP(A53,'Données projet'!$A$61:$I$81,7,0)),0%,VLOOKUP(A53,'Données projet'!$A$61:$I$81,7,0))</f>
        <v>0</v>
      </c>
      <c r="AU53" s="129" t="n">
        <f aca="false">EXP(-LN(2)/35)*AU52+(1-EXP(-LN(2)/35))/(LN(2)/35)*AQ53*AR53*VLOOKUP('Données projet'!$B$10,Paramètres!$A$1:$I$89,3,0)*0.475*44/12</f>
        <v>2.30549932551814</v>
      </c>
      <c r="AV53" s="129" t="n">
        <f aca="false">EXP(-LN(2)/25)*AV52+(1-EXP(-LN(2)/25))/(LN(2)/25)*Calculateur!AQ53*Calculateur!AS53*VLOOKUP('Données projet'!$B$10,Paramètres!$A$1:$I$89,3,0)*0.475*44/12</f>
        <v>7.58608195952936</v>
      </c>
      <c r="AW53" s="129" t="n">
        <f aca="false">EXP(-LN(2)/2)*AW52+(1-EXP(-LN(2)/2))/(LN(2)/2)*AQ53*AT53*VLOOKUP('Données projet'!$B$10,Paramètres!$A$1:$I$89,3,0)*0.475*44/12</f>
        <v>0.00580377606023027</v>
      </c>
      <c r="AX53" s="129" t="n">
        <f aca="false">SUM(AU53:AW53)</f>
        <v>9.89738506110773</v>
      </c>
      <c r="AY53" s="124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8" t="n">
        <f aca="false">VLOOKUP(A53,'Données projet'!$A$87:$I$107,2,0)</f>
        <v>231</v>
      </c>
      <c r="BB53" s="118" t="n">
        <f aca="false">VLOOKUP(A53,'Données projet'!$A$87:$I$107,9,0)</f>
        <v>8.8</v>
      </c>
      <c r="BC53" s="118" t="n">
        <f aca="false" t="array" ref="BC53:BC53">INDEX(BB:BB,MIN(IF(ISNUMBER(BB53:BB249),ROW(BB53:BB249),"")))</f>
        <v>8.8</v>
      </c>
      <c r="BD53" s="118" t="n">
        <f aca="false">IF('Données projet'!$A$88&gt;35,BD52+BC53-BL52,IF(A53&lt;'Données projet'!$A$88,$BA$205^A53,IF(A53='Données projet'!$A$88,'Données projet'!$B$88,BD52+BC53-BL52)))</f>
        <v>231</v>
      </c>
      <c r="BE53" s="117" t="n">
        <f aca="false">BD53*VLOOKUP('Données projet'!$B$11,Paramètres!$A$1:$I$89,3,0)*VLOOKUP('Données projet'!$B$11,Paramètres!$A$1:$I$89,5,0)</f>
        <v>201.8016</v>
      </c>
      <c r="BF53" s="117" t="n">
        <f aca="false">EXP(-1.0587+0.8836*LN(BE53)+0.284)</f>
        <v>50.1398979926817</v>
      </c>
      <c r="BG53" s="128" t="n">
        <f aca="false">(BE53+BF53)*0.475*44/12</f>
        <v>438.798109003921</v>
      </c>
      <c r="BH53" s="120" t="n">
        <f aca="false">BG53+(AY53+AZ53)*44/12</f>
        <v>732.131442337254</v>
      </c>
      <c r="BI53" s="120" t="n">
        <f aca="true">AVERAGE(OFFSET($BH$3,0,0,'Données projet'!$E$11+1,1))-AVERAGE(OFFSET($H$3,0,0,'Données projet'!$E$11+1,1))</f>
        <v>321.235999689929</v>
      </c>
      <c r="BJ53" s="120" t="n">
        <f aca="false">$BJ$3</f>
        <v>388.051958478005</v>
      </c>
      <c r="BK53" s="121" t="n">
        <f aca="false">IF(ISNA(VLOOKUP(A53,'Données projet'!$A$87:$I$107,3,0)),0,VLOOKUP(A53,'Données projet'!$A$87:$I$107,3,0))</f>
        <v>8</v>
      </c>
      <c r="BL53" s="121" t="n">
        <f aca="false">IF(ISNA(VLOOKUP(A53,'Données projet'!$A$87:$I$107,4,0)),0,VLOOKUP(A53,'Données projet'!$A$87:$I$107,4,0))</f>
        <v>33</v>
      </c>
      <c r="BM53" s="122" t="n">
        <f aca="false">IF(ISNA(VLOOKUP(A53,'Données projet'!$A$87:$I$107,5,0)),0%,VLOOKUP(A53,'Données projet'!$A$87:$I$107,5,0)*VLOOKUP('Données projet'!$B$11,Paramètres!$A$1:$I$89,7,0))</f>
        <v>0</v>
      </c>
      <c r="BN53" s="122" t="n">
        <f aca="false">IF(ISNA(VLOOKUP(A53,'Données projet'!$A$87:$I$107,6,0)),0%,VLOOKUP(A53,'Données projet'!$A$87:$I$107,6,0)*VLOOKUP('Données projet'!$B$11,Paramètres!$A$1:$I$89,7,0))</f>
        <v>0</v>
      </c>
      <c r="BO53" s="122" t="n">
        <f aca="false">IF(ISNA(VLOOKUP(A53,'Données projet'!$A$87:$I$107,7,0)),0%,VLOOKUP(A53,'Données projet'!$A$87:$I$107,7,0))</f>
        <v>0</v>
      </c>
      <c r="BP53" s="129" t="n">
        <f aca="false">EXP(-LN(2)/35)*BP52+(1-EXP(-LN(2)/35))/(LN(2)/35)*BL53*BM53*VLOOKUP('Données projet'!$B$11,Paramètres!$A$1:$I$89,3,0)*0.475*44/12</f>
        <v>5.788235833554</v>
      </c>
      <c r="BQ53" s="129" t="n">
        <f aca="false">EXP(-LN(2)/25)*BQ52+(1-EXP(-LN(2)/25))/(LN(2)/25)*Calculateur!BL53*Calculateur!BN53*VLOOKUP('Données projet'!$B$11,Paramètres!$A$1:$I$89,3,0)*0.475*44/12</f>
        <v>7.74342187887754</v>
      </c>
      <c r="BR53" s="129" t="n">
        <f aca="false">EXP(-LN(2)/2)*BR52+(1-EXP(-LN(2)/2))/(LN(2)/2)*BL53*BO53*VLOOKUP('Données projet'!$B$11,Paramètres!$A$1:$I$89,3,0)*0.475*44/12</f>
        <v>0.00589941773173314</v>
      </c>
      <c r="BS53" s="130" t="n">
        <f aca="false">SUM(BP53:BR53)</f>
        <v>13.5375571301633</v>
      </c>
      <c r="BT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8" t="e">
        <f aca="false">VLOOKUP(A53,'Données projet'!$A$113:$I$133,2,0)</f>
        <v>#N/A</v>
      </c>
      <c r="BW53" s="118" t="e">
        <f aca="false">VLOOKUP(A53,'Données projet'!$A$113:$I$133,9,0)</f>
        <v>#N/A</v>
      </c>
      <c r="BX53" s="118" t="n">
        <f aca="false" t="array" ref="BX53:BX53">INDEX(BW:BW,MIN(IF(ISNUMBER(BW53:BW249),ROW(BW53:BW249),"")))</f>
        <v>9.75</v>
      </c>
      <c r="BY53" s="118" t="n">
        <f aca="false">IF('Données projet'!$A$114&gt;35,BY52+BX53-CG52,IF(A53&lt;'Données projet'!$A$114,$BV$205^A53,IF(A53='Données projet'!$A$114,'Données projet'!$B$114,BY52+BX53-CG52)))</f>
        <v>206.5</v>
      </c>
      <c r="BZ53" s="117" t="n">
        <f aca="false">BY53*VLOOKUP('Données projet'!$B$12,Paramètres!$A$1:$I$89,3,0)*VLOOKUP('Données projet'!$B$12,Paramètres!$A$1:$I$89,5,0)</f>
        <v>128.856</v>
      </c>
      <c r="CA53" s="117" t="n">
        <f aca="false">EXP(-1.0587+0.8836*LN(BZ53)+0.284)</f>
        <v>33.7318786887409</v>
      </c>
      <c r="CB53" s="128" t="n">
        <f aca="false">(BZ53+CA53)*0.475*44/12</f>
        <v>283.173888716224</v>
      </c>
      <c r="CC53" s="120" t="n">
        <f aca="false">CB53+(BT53+BU53)*44/12</f>
        <v>576.507222049557</v>
      </c>
      <c r="CD53" s="120" t="n">
        <f aca="true">AVERAGE(OFFSET($CC$3,0,0,'Données projet'!$E$12+1,1))-AVERAGE(OFFSET($H$3,0,0,'Données projet'!$E$12+1,1))</f>
        <v>240.228848647662</v>
      </c>
      <c r="CE53" s="120" t="n">
        <f aca="false">$CE$3</f>
        <v>343.237768841432</v>
      </c>
      <c r="CF53" s="121" t="n">
        <f aca="false">IF(ISNA(VLOOKUP(A53,'Données projet'!$A$113:$I$133,3,0)),0,VLOOKUP(A53,'Données projet'!$A$113:$I$133,3,0))</f>
        <v>0</v>
      </c>
      <c r="CG53" s="121" t="n">
        <f aca="false">IF(ISNA(VLOOKUP(A53,'Données projet'!$A$113:$I$133,4,0)),0,VLOOKUP(A53,'Données projet'!$A$113:$I$133,4,0))</f>
        <v>0</v>
      </c>
      <c r="CH53" s="122" t="n">
        <f aca="false">IF(ISNA(VLOOKUP(A53,'Données projet'!$A$113:$I$133,5,0)),0%,VLOOKUP(A53,'Données projet'!$A$113:$I$133,5,0)*VLOOKUP('Données projet'!$B$12,Paramètres!$A$1:$I$89,7,0))</f>
        <v>0</v>
      </c>
      <c r="CI53" s="122" t="n">
        <f aca="false">IF(ISNA(VLOOKUP(A53,'Données projet'!$A$113:$I$133,6,0)),0%,VLOOKUP(A53,'Données projet'!$A$113:$I$133,6,0)*VLOOKUP('Données projet'!$B$12,Paramètres!$A$1:$I$89,7,0))</f>
        <v>0</v>
      </c>
      <c r="CJ53" s="122" t="n">
        <f aca="false">IF(ISNA(VLOOKUP(A53,'Données projet'!$A$113:$I$133,7,0)),0%,VLOOKUP(A53,'Données projet'!$A$113:$I$133,7,0))</f>
        <v>0</v>
      </c>
      <c r="CK53" s="129" t="n">
        <f aca="false">EXP(-LN(2)/35)*CK52+(1-EXP(-LN(2)/35))/(LN(2)/35)*CG53*CH53*VLOOKUP('Données projet'!$B$12,Paramètres!$A$1:$I$89,3,0)*0.475*44/12</f>
        <v>3.54285127400674</v>
      </c>
      <c r="CL53" s="129" t="n">
        <f aca="false">EXP(-LN(2)/25)*CL52+(1-EXP(-LN(2)/25))/(LN(2)/25)*Calculateur!CG53*Calculateur!CI53*VLOOKUP('Données projet'!$B$12,Paramètres!$A$1:$I$89,3,0)*0.475*44/12</f>
        <v>13.6753313039128</v>
      </c>
      <c r="CM53" s="129" t="n">
        <f aca="false">EXP(-LN(2)/2)*CM52+(1-EXP(-LN(2)/2))/(LN(2)/2)*CG53*CJ53*VLOOKUP('Données projet'!$B$12,Paramètres!$A$1:$I$89,3,0)*0.475*44/12</f>
        <v>0.00941389791598028</v>
      </c>
      <c r="CN53" s="130" t="n">
        <f aca="false">SUM(CK53:CM53)</f>
        <v>17.2275964758355</v>
      </c>
      <c r="CO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8" t="e">
        <f aca="false">VLOOKUP(A53,'Données projet'!$A$139:$I$159,2,0)</f>
        <v>#N/A</v>
      </c>
      <c r="CR53" s="118" t="e">
        <f aca="false">VLOOKUP(A53,'Données projet'!$A$139:$I$159,9,0)</f>
        <v>#N/A</v>
      </c>
      <c r="CS53" s="118" t="n">
        <f aca="false" t="array" ref="CS53:CS53">INDEX(CR:CR,MIN(IF(ISNUMBER(CR53:CR249),ROW(CR53:CR249),"")))</f>
        <v>0</v>
      </c>
      <c r="CT53" s="118" t="n">
        <f aca="false">IF('Données projet'!$A$140&gt;35,CT52+CS53-DB52,IF(A53&lt;'Données projet'!$A$140,$CQ$205^A53,IF(A53='Données projet'!$A$140,'Données projet'!$B$140,CT52+CS53-DB52)))</f>
        <v>-5.6843418860808E-014</v>
      </c>
      <c r="CU53" s="125" t="n">
        <f aca="false">CT53*VLOOKUP('Données projet'!$B$13,Paramètres!$A$1:$I$89,3,0)*VLOOKUP('Données projet'!$B$13,Paramètres!$A$1:$I$89,5,0)</f>
        <v>-3.10365066980012E-014</v>
      </c>
      <c r="CV53" s="117" t="e">
        <f aca="false">EXP(-1.0587+0.8836*LN(CU53)+0.284)</f>
        <v>#VALUE!</v>
      </c>
      <c r="CW53" s="128" t="e">
        <f aca="false">(CU53+CV53)*0.475*44/12</f>
        <v>#VALUE!</v>
      </c>
      <c r="CX53" s="120" t="e">
        <f aca="false">CW53+(CO53+CP53)*44/12</f>
        <v>#VALUE!</v>
      </c>
      <c r="CY53" s="120" t="n">
        <f aca="true">AVERAGE(OFFSET($CX$3,0,0,'Données projet'!$E$13+1,1))-AVERAGE(OFFSET($H$3,0,0,'Données projet'!$E$13+1,1))</f>
        <v>207.023069645676</v>
      </c>
      <c r="CZ53" s="120" t="n">
        <f aca="false">$CZ$3</f>
        <v>342.068879333518</v>
      </c>
      <c r="DA53" s="121" t="n">
        <f aca="false">IF(ISNA(VLOOKUP(A53,'Données projet'!$A$139:$I$159,3,0)),0,VLOOKUP(A53,'Données projet'!$A$139:$I$159,3,0))</f>
        <v>0</v>
      </c>
      <c r="DB53" s="121" t="n">
        <f aca="false">IF(ISNA(VLOOKUP(A53,'Données projet'!$A$139:$I$159,4,0)),0,VLOOKUP(A53,'Données projet'!$A$139:$I$159,4,0))</f>
        <v>0</v>
      </c>
      <c r="DC53" s="122" t="n">
        <f aca="false">IF(ISNA(VLOOKUP(A53,'Données projet'!$A$139:$I$159,5,0)),0%,VLOOKUP(A53,'Données projet'!$A$139:$I$159,5,0)*VLOOKUP('Données projet'!$B$13,Paramètres!$A$1:$I$89,7,0))</f>
        <v>0</v>
      </c>
      <c r="DD53" s="122" t="n">
        <f aca="false">IF(ISNA(VLOOKUP(A53,'Données projet'!$A$139:$I$159,6,0)),0%,VLOOKUP(A53,'Données projet'!$A$139:$I$159,6,0)*VLOOKUP('Données projet'!$B$13,Paramètres!$A$1:$I$89,7,0))</f>
        <v>0</v>
      </c>
      <c r="DE53" s="122" t="n">
        <f aca="false">IF(ISNA(VLOOKUP(A53,'Données projet'!$A$139:$I$159,7,0)),0%,VLOOKUP(A53,'Données projet'!$A$139:$I$159,7,0))</f>
        <v>0</v>
      </c>
      <c r="DF53" s="129" t="n">
        <f aca="false">EXP(-LN(2)/35)*DF52+(1-EXP(-LN(2)/35))/(LN(2)/35)*DB53*DC53*VLOOKUP('Données projet'!$B$13,Paramètres!$A$1:$I$89,3,0)*0.475*44/12</f>
        <v>4.44527565512166</v>
      </c>
      <c r="DG53" s="129" t="n">
        <f aca="false">EXP(-LN(2)/25)*DG52+(1-EXP(-LN(2)/25))/(LN(2)/25)*Calculateur!DB53*Calculateur!DD53*VLOOKUP('Données projet'!$B$13,Paramètres!$A$1:$I$89,3,0)*0.475*44/12</f>
        <v>22.3534710592104</v>
      </c>
      <c r="DH53" s="129" t="n">
        <f aca="false">EXP(-LN(2)/2)*DH52+(1-EXP(-LN(2)/2))/(LN(2)/2)*DB53*DE53*VLOOKUP('Données projet'!$B$13,Paramètres!$A$1:$I$89,3,0)*0.475*44/12</f>
        <v>0.012962941794825</v>
      </c>
      <c r="DI53" s="130" t="n">
        <f aca="false">SUM(DF53:DH53)</f>
        <v>26.8117096561269</v>
      </c>
      <c r="DJ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8" t="e">
        <f aca="false">VLOOKUP(A53,'Données projet'!$A$165:$I$185,2,0)</f>
        <v>#N/A</v>
      </c>
      <c r="DM53" s="118" t="e">
        <f aca="false">VLOOKUP(A53,'Données projet'!$A$165:$I$185,9,0)</f>
        <v>#N/A</v>
      </c>
      <c r="DN53" s="118" t="n">
        <f aca="false" t="array" ref="DN53:DN53">INDEX(DM:DM,MIN(IF(ISNUMBER(DM53:DM249),ROW(DM53:DM249),"")))</f>
        <v>-256.625</v>
      </c>
      <c r="DO53" s="118" t="n">
        <f aca="false">IF('Données projet'!$A$166&gt;35,DO52+DN53-DW52,IF(A53&lt;'Données projet'!$A$166,$DL$205^A53,IF(A53='Données projet'!$A$166,'Données projet'!$B$166,DO52+DN53-DW52)))</f>
        <v>1337.5</v>
      </c>
      <c r="DP53" s="125" t="n">
        <f aca="false">DO53*VLOOKUP('Données projet'!$B$14,Paramètres!$A$1:$I$89,3,0)*VLOOKUP('Données projet'!$B$14,Paramètres!$A$1:$I$89,5,0)</f>
        <v>799.825</v>
      </c>
      <c r="DQ53" s="117" t="n">
        <f aca="false">EXP(-1.0587+0.8836*LN(DP53)+0.284)</f>
        <v>169.292775240157</v>
      </c>
      <c r="DR53" s="128" t="n">
        <f aca="false">(DP53+DQ53)*0.475*44/12</f>
        <v>1687.88012520994</v>
      </c>
      <c r="DS53" s="120" t="n">
        <f aca="false">DR53+(DJ53+DK53)*44/12</f>
        <v>1981.21345854327</v>
      </c>
      <c r="DT53" s="120" t="n">
        <f aca="true">AVERAGE(OFFSET($DS$3,0,0,'Données projet'!$E$14+1,1))-AVERAGE(OFFSET($H$3,0,0,'Données projet'!$E$14+1,1))</f>
        <v>549.432320957297</v>
      </c>
      <c r="DU53" s="120" t="n">
        <f aca="false">$DU$3</f>
        <v>280.26155987301</v>
      </c>
      <c r="DV53" s="121" t="n">
        <f aca="false">IF(ISNA(VLOOKUP(A53,'Données projet'!$A$165:$I$185,3,0)),0,VLOOKUP(A53,'Données projet'!$A$165:$I$185,3,0))</f>
        <v>0</v>
      </c>
      <c r="DW53" s="121" t="n">
        <f aca="false">IF(ISNA(VLOOKUP(A53,'Données projet'!$A$165:$I$185,4,0)),0,VLOOKUP(A53,'Données projet'!$A$165:$I$185,4,0))</f>
        <v>0</v>
      </c>
      <c r="DX53" s="122" t="n">
        <f aca="false">IF(ISNA(VLOOKUP(A53,'Données projet'!$A$165:$I$185,5,0)),0%,VLOOKUP(A53,'Données projet'!$A$165:$I$185,5,0)*VLOOKUP('Données projet'!$B$14,Paramètres!$A$1:$I$89,7,0))</f>
        <v>0</v>
      </c>
      <c r="DY53" s="122" t="n">
        <f aca="false">IF(ISNA(VLOOKUP(A53,'Données projet'!$A$165:$I$185,6,0)),0%,VLOOKUP(A53,'Données projet'!$A$165:$I$185,6,0)*VLOOKUP('Données projet'!$B$14,Paramètres!$A$1:$I$89,7,0))</f>
        <v>0</v>
      </c>
      <c r="DZ53" s="122" t="n">
        <f aca="false">IF(ISNA(VLOOKUP(A53,'Données projet'!$A$165:$I$185,7,0)),0%,VLOOKUP(A53,'Données projet'!$A$165:$I$185,7,0))</f>
        <v>0</v>
      </c>
      <c r="EA53" s="129" t="n">
        <f aca="false">EXP(-LN(2)/35)*EA52+(1-EXP(-LN(2)/35))/(LN(2)/35)*DW53*DX53*VLOOKUP('Données projet'!$B$14,Paramètres!$A$1:$I$89,3,0)*0.475*44/12</f>
        <v>1.6162972715251</v>
      </c>
      <c r="EB53" s="129" t="n">
        <f aca="false">EXP(-LN(2)/25)*EB52+(1-EXP(-LN(2)/25))/(LN(2)/25)*Calculateur!DW53*Calculateur!DY53*VLOOKUP('Données projet'!$B$14,Paramètres!$A$1:$I$89,3,0)*0.475*44/12</f>
        <v>4.45325246122711</v>
      </c>
      <c r="EC53" s="129" t="n">
        <f aca="false">EXP(-LN(2)/2)*EC52+(1-EXP(-LN(2)/2))/(LN(2)/2)*DW53*DZ53*VLOOKUP('Données projet'!$B$14,Paramètres!$A$1:$I$89,3,0)*0.475*44/12</f>
        <v>0.00597564895953074</v>
      </c>
      <c r="ED53" s="130" t="n">
        <f aca="false">SUM(EA53:EC53)</f>
        <v>6.07552538171174</v>
      </c>
      <c r="EE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8" t="e">
        <f aca="false">VLOOKUP(A53,'Données projet'!$A$191:$I$211,2,0)</f>
        <v>#N/A</v>
      </c>
      <c r="EH53" s="118" t="e">
        <f aca="false">VLOOKUP(A53,'Données projet'!$A$191:$I$211,9,0)</f>
        <v>#N/A</v>
      </c>
      <c r="EI53" s="118" t="n">
        <f aca="false" t="array" ref="EI53:EI53">INDEX(EH:EH,MIN(IF(ISNUMBER(EH53:EH249),ROW(EH53:EH249),"")))</f>
        <v>0</v>
      </c>
      <c r="EJ53" s="118" t="n">
        <f aca="false">IF('Données projet'!$A$192&gt;35,EJ52+EI53-ER52,IF(A53&lt;'Données projet'!$A$192,$EG$205^A53,IF(A53='Données projet'!$A$192,'Données projet'!$B$192,EJ52+EI53-ER52)))</f>
        <v>0</v>
      </c>
      <c r="EK53" s="125" t="e">
        <f aca="false">EJ53*VLOOKUP('Données projet'!$B$15,Paramètres!$A$1:$I$89,3,0)*VLOOKUP('Données projet'!$B$15,Paramètres!$A$1:$I$89,5,0)</f>
        <v>#N/A</v>
      </c>
      <c r="EL53" s="117" t="e">
        <f aca="false">EXP(-1.0587+0.8836*LN(EK53)+0.284)</f>
        <v>#N/A</v>
      </c>
      <c r="EM53" s="128" t="e">
        <f aca="false">(EK53+EL53)*0.475*44/12</f>
        <v>#N/A</v>
      </c>
      <c r="EN53" s="120" t="e">
        <f aca="false">EM53+(EE53+EF53)*44/12</f>
        <v>#N/A</v>
      </c>
      <c r="EO53" s="120" t="e">
        <f aca="true">AVERAGE(OFFSET($EN$3,0,0,'Données projet'!$E$15+1,1))-AVERAGE(OFFSET($H$3,0,0,'Données projet'!$E$15+1,1))</f>
        <v>#N/A</v>
      </c>
      <c r="EP53" s="120" t="e">
        <f aca="false">$EP$3</f>
        <v>#N/A</v>
      </c>
      <c r="EQ53" s="121" t="n">
        <f aca="false">IF(ISNA(VLOOKUP(A53,'Données projet'!$A$191:$I$211,3,0)),0,VLOOKUP(A53,'Données projet'!$A$191:$I$211,3,0))</f>
        <v>0</v>
      </c>
      <c r="ER53" s="121" t="n">
        <f aca="false">IF(ISNA(VLOOKUP(A53,'Données projet'!$A$191:$I$211,4,0)),0,VLOOKUP(A53,'Données projet'!$A$191:$I$211,4,0))</f>
        <v>0</v>
      </c>
      <c r="ES53" s="122" t="n">
        <f aca="false">IF(ISNA(VLOOKUP(A53,'Données projet'!$A$191:$I$211,5,0)),0%,VLOOKUP(A53,'Données projet'!$A$191:$I$211,5,0)*VLOOKUP('Données projet'!$B$15,Paramètres!$A$1:$I$89,7,0))</f>
        <v>0</v>
      </c>
      <c r="ET53" s="122" t="n">
        <f aca="false">IF(ISNA(VLOOKUP(A53,'Données projet'!$A$191:$I$211,6,0)),0%,VLOOKUP(A53,'Données projet'!$A$191:$I$211,6,0)*VLOOKUP('Données projet'!$B$15,Paramètres!$A$1:$I$89,7,0))</f>
        <v>0</v>
      </c>
      <c r="EU53" s="122" t="n">
        <f aca="false">IF(ISNA(VLOOKUP(A53,'Données projet'!$A$191:$I$211,7,0)),0%,VLOOKUP(A53,'Données projet'!$A$191:$I$211,7,0))</f>
        <v>0</v>
      </c>
      <c r="EV53" s="129" t="e">
        <f aca="false">EXP(-LN(2)/35)*EV52+(1-EXP(-LN(2)/35))/(LN(2)/35)*ER53*ES53*VLOOKUP('Données projet'!$B$15,Paramètres!$A$1:$I$89,3,0)*0.475*44/12</f>
        <v>#N/A</v>
      </c>
      <c r="EW53" s="129" t="e">
        <f aca="false">EXP(-LN(2)/25)*EW52+(1-EXP(-LN(2)/25))/(LN(2)/25)*Calculateur!ER53*Calculateur!ET53*VLOOKUP('Données projet'!$B$15,Paramètres!$A$1:$I$89,3,0)*0.475*44/12</f>
        <v>#N/A</v>
      </c>
      <c r="EX53" s="129" t="e">
        <f aca="false">EXP(-LN(2)/2)*EX52+(1-EXP(-LN(2)/2))/(LN(2)/2)*ER53*EU53*VLOOKUP('Données projet'!$B$15,Paramètres!$A$1:$I$89,3,0)*0.475*44/12</f>
        <v>#N/A</v>
      </c>
      <c r="EY53" s="130" t="e">
        <f aca="false">SUM(EV53:EX53)</f>
        <v>#N/A</v>
      </c>
      <c r="EZ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8" t="e">
        <f aca="false">VLOOKUP(A53,'Données projet'!$A$217:$I$237,2,0)</f>
        <v>#N/A</v>
      </c>
      <c r="FC53" s="118" t="e">
        <f aca="false">VLOOKUP(A53,'Données projet'!$A$217:$I$237,9,0)</f>
        <v>#N/A</v>
      </c>
      <c r="FD53" s="118" t="n">
        <f aca="false" t="array" ref="FD53:FD53">INDEX(FC:FC,MIN(IF(ISNUMBER(FC53:FC249),ROW(FC53:FC249),"")))</f>
        <v>0</v>
      </c>
      <c r="FE53" s="118" t="n">
        <f aca="false">IF('Données projet'!$A$218&gt;35,FE52+FD53-FM52,IF(A53&lt;'Données projet'!$A$218,$FB$205^A53,IF(A53='Données projet'!$A$218,'Données projet'!$B$218,FE52+FD53-FM52)))</f>
        <v>0</v>
      </c>
      <c r="FF53" s="125" t="e">
        <f aca="false">FE53*VLOOKUP('Données projet'!$B$16,Paramètres!$A$1:$I$89,3,0)*VLOOKUP('Données projet'!$B$16,Paramètres!$A$1:$I$89,5,0)</f>
        <v>#N/A</v>
      </c>
      <c r="FG53" s="117" t="e">
        <f aca="false">EXP(-1.0587+0.8836*LN(FF53)+0.284)</f>
        <v>#N/A</v>
      </c>
      <c r="FH53" s="128" t="e">
        <f aca="false">(FF53+FG53)*0.475*44/12</f>
        <v>#N/A</v>
      </c>
      <c r="FI53" s="120" t="e">
        <f aca="false">FH53+(EZ53+FA53)*44/12</f>
        <v>#N/A</v>
      </c>
      <c r="FJ53" s="120" t="e">
        <f aca="true">AVERAGE(OFFSET($FI$3,0,0,'Données projet'!$E$16+1,1))-AVERAGE(OFFSET($H$3,0,0,'Données projet'!$E$16+1,1))</f>
        <v>#N/A</v>
      </c>
      <c r="FK53" s="120" t="e">
        <f aca="false">$FK$3</f>
        <v>#N/A</v>
      </c>
      <c r="FL53" s="121" t="n">
        <f aca="false">IF(ISNA(VLOOKUP(A53,'Données projet'!$A$217:$I$237,3,0)),0,VLOOKUP(A53,'Données projet'!$A$217:$I$237,3,0))</f>
        <v>0</v>
      </c>
      <c r="FM53" s="121" t="n">
        <f aca="false">IF(ISNA(VLOOKUP(A53,'Données projet'!$A$217:$I$237,4,0)),0,VLOOKUP(A53,'Données projet'!$A$217:$I$237,4,0))</f>
        <v>0</v>
      </c>
      <c r="FN53" s="122" t="n">
        <f aca="false">IF(ISNA(VLOOKUP(A53,'Données projet'!$A$217:$I$237,5,0)),0%,VLOOKUP(A53,'Données projet'!$A$217:$I$237,5,0)*VLOOKUP('Données projet'!$B$16,Paramètres!$A$1:$I$89,7,0))</f>
        <v>0</v>
      </c>
      <c r="FO53" s="122" t="n">
        <f aca="false">IF(ISNA(VLOOKUP(A53,'Données projet'!$A$217:$I$237,6,0)),0%,VLOOKUP(A53,'Données projet'!$A$217:$I$237,6,0)*VLOOKUP('Données projet'!$B$16,Paramètres!$A$1:$I$89,7,0))</f>
        <v>0</v>
      </c>
      <c r="FP53" s="122" t="n">
        <f aca="false">IF(ISNA(VLOOKUP(A53,'Données projet'!$A$217:$I$237,7,0)),0%,VLOOKUP(A53,'Données projet'!$A$217:$I$237,7,0))</f>
        <v>0</v>
      </c>
      <c r="FQ53" s="129" t="e">
        <f aca="false">EXP(-LN(2)/35)*FQ52+(1-EXP(-LN(2)/35))/(LN(2)/35)*FM53*FN53*VLOOKUP('Données projet'!$B$16,Paramètres!$A$1:$I$89,3,0)*0.475*44/12</f>
        <v>#N/A</v>
      </c>
      <c r="FR53" s="129" t="e">
        <f aca="false">EXP(-LN(2)/25)*FR52+(1-EXP(-LN(2)/25))/(LN(2)/25)*Calculateur!FM53*Calculateur!FO53*VLOOKUP('Données projet'!$B$16,Paramètres!$A$1:$I$89,3,0)*0.475*44/12</f>
        <v>#N/A</v>
      </c>
      <c r="FS53" s="129" t="e">
        <f aca="false">EXP(-LN(2)/2)*FS52+(1-EXP(-LN(2)/2))/(LN(2)/2)*FM53*FP53*VLOOKUP('Données projet'!$B$16,Paramètres!$A$1:$I$89,3,0)*0.475*44/12</f>
        <v>#N/A</v>
      </c>
      <c r="FT53" s="130" t="e">
        <f aca="false">SUM(FQ53:FS53)</f>
        <v>#N/A</v>
      </c>
      <c r="FU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8" t="e">
        <f aca="false">VLOOKUP(A53,'Données projet'!$A$243:$I$263,2,0)</f>
        <v>#N/A</v>
      </c>
      <c r="FX53" s="118" t="e">
        <f aca="false">VLOOKUP(A53,'Données projet'!$A$243:$I$263,9,0)</f>
        <v>#N/A</v>
      </c>
      <c r="FY53" s="118" t="n">
        <f aca="false" t="array" ref="FY53:FY53">INDEX(FX:FX,MIN(IF(ISNUMBER(FX53:FX249),ROW(FX53:FX249),"")))</f>
        <v>0</v>
      </c>
      <c r="FZ53" s="118" t="n">
        <f aca="false">IF('Données projet'!$A$244&gt;35,FZ52+FY53-GH52,IF(A53&lt;'Données projet'!$A$244,$FW$205^A53,IF(A53='Données projet'!$A$244,'Données projet'!$B$244,FZ52+FY53-GH52)))</f>
        <v>0</v>
      </c>
      <c r="GA53" s="125" t="e">
        <f aca="false">FZ53*VLOOKUP('Données projet'!$B$17,Paramètres!$A$1:$I$89,3,0)*VLOOKUP('Données projet'!$B$17,Paramètres!$A$1:$I$89,5,0)</f>
        <v>#N/A</v>
      </c>
      <c r="GB53" s="117" t="e">
        <f aca="false">EXP(-1.0587+0.8836*LN(GA53)+0.284)</f>
        <v>#N/A</v>
      </c>
      <c r="GC53" s="128" t="e">
        <f aca="false">(GA53+GB53)*0.475*44/12</f>
        <v>#N/A</v>
      </c>
      <c r="GD53" s="120" t="e">
        <f aca="false">GC53+(FU53+FV53)*44/12</f>
        <v>#N/A</v>
      </c>
      <c r="GE53" s="120" t="e">
        <f aca="true">AVERAGE(OFFSET($GD$3,0,0,'Données projet'!$E$17+1,1))-AVERAGE(OFFSET($H$3,0,0,'Données projet'!$E$17+1,1))</f>
        <v>#N/A</v>
      </c>
      <c r="GF53" s="120" t="e">
        <f aca="false">$GF$3</f>
        <v>#N/A</v>
      </c>
      <c r="GG53" s="121" t="n">
        <f aca="false">IF(ISNA(VLOOKUP(A53,'Données projet'!$A$243:$I$263,3,0)),0,VLOOKUP(A53,'Données projet'!$A$243:$I$263,3,0))</f>
        <v>0</v>
      </c>
      <c r="GH53" s="121" t="n">
        <f aca="false">IF(ISNA(VLOOKUP(A53,'Données projet'!$A$243:$I$263,4,0)),0,VLOOKUP(A53,'Données projet'!$A$243:$I$263,4,0))</f>
        <v>0</v>
      </c>
      <c r="GI53" s="122" t="n">
        <f aca="false">IF(ISNA(VLOOKUP(A53,'Données projet'!$A$243:$I$263,5,0)),0%,VLOOKUP(A53,'Données projet'!$A$243:$I$263,5,0)*VLOOKUP('Données projet'!$B$17,Paramètres!$A$1:$I$89,7,0))</f>
        <v>0</v>
      </c>
      <c r="GJ53" s="122" t="n">
        <f aca="false">IF(ISNA(VLOOKUP(A53,'Données projet'!$A$243:$I$263,6,0)),0%,VLOOKUP(A53,'Données projet'!$A$243:$I$263,6,0)*VLOOKUP('Données projet'!$B$17,Paramètres!$A$1:$I$89,7,0))</f>
        <v>0</v>
      </c>
      <c r="GK53" s="122" t="n">
        <f aca="false">IF(ISNA(VLOOKUP(A53,'Données projet'!$A$243:$I$263,7,0)),0%,VLOOKUP(A53,'Données projet'!$A$243:$I$263,7,0))</f>
        <v>0</v>
      </c>
      <c r="GL53" s="129" t="e">
        <f aca="false">EXP(-LN(2)/35)*GL52+(1-EXP(-LN(2)/35))/(LN(2)/35)*GH53*GI53*VLOOKUP('Données projet'!$B$17,Paramètres!$A$1:$I$89,3,0)*0.475*44/12</f>
        <v>#N/A</v>
      </c>
      <c r="GM53" s="129" t="e">
        <f aca="false">EXP(-LN(2)/25)*GM52+(1-EXP(-LN(2)/25))/(LN(2)/25)*Calculateur!GH53*Calculateur!GJ53*VLOOKUP('Données projet'!$B$17,Paramètres!$A$1:$I$89,3,0)*0.475*44/12</f>
        <v>#N/A</v>
      </c>
      <c r="GN53" s="129" t="e">
        <f aca="false">EXP(-LN(2)/2)*GN52+(1-EXP(-LN(2)/2))/(LN(2)/2)*GH53*GK53*VLOOKUP('Données projet'!$B$17,Paramètres!$A$1:$I$89,3,0)*0.475*44/12</f>
        <v>#N/A</v>
      </c>
      <c r="GO53" s="129" t="e">
        <f aca="false">SUM(GL53:GN53)</f>
        <v>#N/A</v>
      </c>
      <c r="GP53" s="126" t="n">
        <f aca="false"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8" t="n">
        <f aca="false"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8" t="e">
        <f aca="false">VLOOKUP(A53,'Données projet'!$A$269:$I$289,2,0)</f>
        <v>#N/A</v>
      </c>
      <c r="GS53" s="118" t="e">
        <f aca="false">VLOOKUP(A53,'Données projet'!$A$269:$I$289,9,0)</f>
        <v>#N/A</v>
      </c>
      <c r="GT53" s="118" t="n">
        <f aca="false" t="array" ref="GT53:GT53">INDEX(GS:GS,MIN(IF(ISNUMBER(GS53:GS249),ROW(GS53:GS249),"")))</f>
        <v>0</v>
      </c>
      <c r="GU53" s="118" t="n">
        <f aca="false">IF('Données projet'!$A$270&gt;35,GU52+GT53-HC52,IF(A53&lt;'Données projet'!$A$270,$GR$205^A53,IF(A53='Données projet'!$A$270,'Données projet'!$B$270,GU52+GT53-HC52)))</f>
        <v>0</v>
      </c>
      <c r="GV53" s="125" t="e">
        <f aca="false">GU53*VLOOKUP('Données projet'!$B$18,Paramètres!$A$1:$I$89,3,0)*VLOOKUP('Données projet'!$B$18,Paramètres!$A$1:$I$89,5,0)</f>
        <v>#N/A</v>
      </c>
      <c r="GW53" s="117" t="e">
        <f aca="false">EXP(-1.0587+0.8836*LN(GV53)+0.284)</f>
        <v>#N/A</v>
      </c>
      <c r="GX53" s="128" t="e">
        <f aca="false">(GV53+GW53)*0.475*44/12</f>
        <v>#N/A</v>
      </c>
      <c r="GY53" s="120" t="e">
        <f aca="false">GX53+(GP53+GQ53)*44/12</f>
        <v>#N/A</v>
      </c>
      <c r="GZ53" s="120" t="e">
        <f aca="true">AVERAGE(OFFSET($GY$3,0,0,'Données projet'!$E$18+1,1))-AVERAGE(OFFSET($H$3,0,0,'Données projet'!$E$18+1,1))</f>
        <v>#N/A</v>
      </c>
      <c r="HA53" s="120" t="e">
        <f aca="false">$HA$3</f>
        <v>#N/A</v>
      </c>
      <c r="HB53" s="121" t="n">
        <f aca="false">IF(ISNA(VLOOKUP(A53,'Données projet'!$A$269:$I$289,3,0)),0,VLOOKUP(A53,'Données projet'!$A$269:$I$289,3,0))</f>
        <v>0</v>
      </c>
      <c r="HC53" s="121" t="n">
        <f aca="false">IF(ISNA(VLOOKUP(A53,'Données projet'!$A$269:$I$289,4,0)),0,VLOOKUP(A53,'Données projet'!$A$269:$I$289,4,0))</f>
        <v>0</v>
      </c>
      <c r="HD53" s="122" t="n">
        <f aca="false">IF(ISNA(VLOOKUP(A53,'Données projet'!$A$269:$I$289,5,0)),0%,VLOOKUP(A53,'Données projet'!$A$269:$I$289,5,0)*VLOOKUP('Données projet'!$B$18,Paramètres!$A$1:$I$89,7,0))</f>
        <v>0</v>
      </c>
      <c r="HE53" s="122" t="n">
        <f aca="false">IF(ISNA(VLOOKUP(A53,'Données projet'!$A$269:$I$289,6,0)),0%,VLOOKUP(A53,'Données projet'!$A$269:$I$289,6,0)*VLOOKUP('Données projet'!$B$18,Paramètres!$A$1:$I$89,7,0))</f>
        <v>0</v>
      </c>
      <c r="HF53" s="122" t="n">
        <f aca="false">IF(ISNA(VLOOKUP(A53,'Données projet'!$A$269:$I$289,7,0)),0%,VLOOKUP(A53,'Données projet'!$A$269:$I$289,7,0))</f>
        <v>0</v>
      </c>
      <c r="HG53" s="129" t="e">
        <f aca="false">EXP(-LN(2)/35)*HG52+(1-EXP(-LN(2)/35))/(LN(2)/35)*HC53*HD53*VLOOKUP('Données projet'!$B$18,Paramètres!$A$1:$I$89,3,0)*0.475*44/12</f>
        <v>#N/A</v>
      </c>
      <c r="HH53" s="129" t="e">
        <f aca="false">EXP(-LN(2)/25)*HH52+(1-EXP(-LN(2)/25))/(LN(2)/25)*Calculateur!HC53*Calculateur!HE53*VLOOKUP('Données projet'!$B$18,Paramètres!$A$1:$I$89,3,0)*0.475*44/12</f>
        <v>#N/A</v>
      </c>
      <c r="HI53" s="129" t="e">
        <f aca="false">EXP(-LN(2)/2)*HI52+(1-EXP(-LN(2)/2))/(LN(2)/2)*HC53*HF53*VLOOKUP('Données projet'!$B$18,Paramètres!$A$1:$I$89,3,0)*0.475*44/12</f>
        <v>#N/A</v>
      </c>
      <c r="HJ53" s="130" t="e">
        <f aca="false">SUM(HG53:HI53)</f>
        <v>#N/A</v>
      </c>
    </row>
    <row r="54" customFormat="false" ht="14.25" hidden="false" customHeight="false" outlineLevel="0" collapsed="false">
      <c r="A54" s="112" t="n">
        <f aca="false">A53+1</f>
        <v>51</v>
      </c>
      <c r="B54" s="113" t="n">
        <f aca="false">'Scénario référence'!$B$16*5+'Scénario référence'!$B$17*0+'Scénario référence'!$B$18*5</f>
        <v>0</v>
      </c>
      <c r="C54" s="127" t="n">
        <f aca="false"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4" t="n">
        <f aca="false">IFERROR(EXP(-1.0587+0.8836*LN(C54)+0.284),0)</f>
        <v>0</v>
      </c>
      <c r="E5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4" s="114" t="n">
        <f aca="false">IF(OR('Scénario référence'!$F$8&gt;0,'Scénario référence'!$F$9&gt;0),('Scénario référence'!$F$8+'Scénario référence'!$F$9)*10,0)</f>
        <v>0</v>
      </c>
      <c r="G54" s="114" t="n">
        <f aca="false"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15" t="n">
        <f aca="false">(B54+E54+F54)*44/12+(C54+D54)*0.475*44/12</f>
        <v>256.666666666667</v>
      </c>
      <c r="I54" s="11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7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8" t="e">
        <f aca="false">VLOOKUP(A54,'Données projet'!$A$35:$I$55,2,0)</f>
        <v>#N/A</v>
      </c>
      <c r="L54" s="118" t="e">
        <f aca="false">VLOOKUP(A54,'Données projet'!$A$35:$I$55,9,0)</f>
        <v>#N/A</v>
      </c>
      <c r="M54" s="118" t="n">
        <f aca="false" t="array" ref="M54:M54">INDEX(L:L,MIN(IF(ISNUMBER(L54:L250),ROW(L54:L250),"")))</f>
        <v>13.5</v>
      </c>
      <c r="N54" s="117" t="n">
        <f aca="false">IF('Données projet'!$A$36&gt;35,N53+M54-V53,IF(A54&lt;'Données projet'!$A$36,$K$205^A54,IF(A54='Données projet'!$A$36,'Données projet'!$B$36,N53+M54-V53)))</f>
        <v>227</v>
      </c>
      <c r="O54" s="117" t="n">
        <f aca="false">N54*VLOOKUP('Données projet'!$B$9,Paramètres!$A$1:$I$89,3,0)*VLOOKUP('Données projet'!$B$9,Paramètres!$A$1:$I$89,5,0)</f>
        <v>106.236</v>
      </c>
      <c r="P54" s="117" t="n">
        <f aca="false">EXP(-1.0587+0.8836*LN(O54)+0.284)</f>
        <v>28.4423677932828</v>
      </c>
      <c r="Q54" s="128" t="n">
        <f aca="false">(O54+P54)*0.475*44/12</f>
        <v>234.564823906634</v>
      </c>
      <c r="R54" s="120" t="n">
        <f aca="false">Q54+(I54+J54)*44/12</f>
        <v>527.898157239968</v>
      </c>
      <c r="S54" s="120" t="n">
        <f aca="true">AVERAGE(OFFSET($R$3,0,0,'Données projet'!$E$9+1,1))-AVERAGE(OFFSET($H$3,0,0,'Données projet'!$E$9+1,1))</f>
        <v>319.229030946746</v>
      </c>
      <c r="T54" s="120" t="n">
        <f aca="false">$T$3</f>
        <v>254.586909731428</v>
      </c>
      <c r="U54" s="121" t="n">
        <f aca="false">IF(ISNA(VLOOKUP(A54,'Données projet'!$A$35:$I$55,3,0)),0,VLOOKUP(A54,'Données projet'!$A$35:$I$55,3,0))</f>
        <v>0</v>
      </c>
      <c r="V54" s="121" t="n">
        <f aca="false">IF(ISNA(VLOOKUP(A54,'Données projet'!$A$35:$I$55,4,0)),0,VLOOKUP(A54,'Données projet'!$A$35:$I$55,4,0))</f>
        <v>0</v>
      </c>
      <c r="W54" s="122" t="n">
        <f aca="false">IF(ISNA(VLOOKUP(A54,'Données projet'!$A$35:$I$55,5,0)),0%,VLOOKUP(A54,'Données projet'!$A$35:$I$55,5,0)*VLOOKUP('Données projet'!$B$9,Paramètres!$A$1:$I$89,7,0))</f>
        <v>0</v>
      </c>
      <c r="X54" s="122" t="n">
        <f aca="false">IF(ISNA(VLOOKUP(A54,'Données projet'!$A$35:$I$55,6,0)),0%,VLOOKUP(A54,'Données projet'!$A$35:$I$55,6,0)*VLOOKUP('Données projet'!$B$9,Paramètres!$A$1:$I$89,7,0))</f>
        <v>0</v>
      </c>
      <c r="Y54" s="122" t="n">
        <f aca="false">IF(ISNA(VLOOKUP(A54,'Données projet'!$A$35:$I$55,7,0)),0%,VLOOKUP(A54,'Données projet'!$A$35:$I$55,7,0))</f>
        <v>0</v>
      </c>
      <c r="Z54" s="129" t="n">
        <f aca="false">EXP(-LN(2)/35)*Z53+(1-EXP(-LN(2)/35))/(LN(2)/35)*V54*W54*VLOOKUP('Données projet'!$B$9,Paramètres!$A$1:$I$89,3,0)*0.475*44/12</f>
        <v>5.98803716706366</v>
      </c>
      <c r="AA54" s="129" t="n">
        <f aca="false">EXP(-LN(2)/25)*AA53+(1-EXP(-LN(2)/25))/(LN(2)/25)*Calculateur!V54*Calculateur!X54*VLOOKUP('Données projet'!$B$9,Paramètres!$A$1:$I$89,3,0)*0.475*44/12</f>
        <v>6.22961332531619</v>
      </c>
      <c r="AB54" s="129" t="n">
        <f aca="false">EXP(-LN(2)/2)*AB53+(1-EXP(-LN(2)/2))/(LN(2)/2)*V54*Y54*VLOOKUP('Données projet'!$B$9,Paramètres!$A$1:$I$89,3,0)*0.475*44/12</f>
        <v>0.00762565541933965</v>
      </c>
      <c r="AC54" s="130" t="n">
        <f aca="false">SUM(Z54:AB54)</f>
        <v>12.2252761477992</v>
      </c>
      <c r="AD54" s="117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7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8" t="e">
        <f aca="false">VLOOKUP(A54,'Données projet'!$A$61:$I$81,2,0)</f>
        <v>#N/A</v>
      </c>
      <c r="AG54" s="118" t="e">
        <f aca="false">VLOOKUP(A54,'Données projet'!$A$61:$I$81,9,0)</f>
        <v>#N/A</v>
      </c>
      <c r="AH54" s="118" t="n">
        <f aca="false" t="array" ref="AH54:AH54">INDEX(AG:AG,MIN(IF(ISNUMBER(AG54:AG250),ROW(AG54:AG250),"")))</f>
        <v>12.6</v>
      </c>
      <c r="AI54" s="117" t="n">
        <f aca="false">IF('Données projet'!$A$62&gt;35,AI53+AH54-AQ53,IF(A54&lt;'Données projet'!$A$62,$AF$205^A54,IF(A54='Données projet'!$A$62,'Données projet'!$B$62,AI53+AH54-AQ53)))</f>
        <v>514.6</v>
      </c>
      <c r="AJ54" s="117" t="n">
        <f aca="false">AI54*VLOOKUP('Données projet'!$B$10,Paramètres!$A$1:$I$89,3,0)*VLOOKUP('Données projet'!$B$10,Paramètres!$A$1:$I$89,5,0)</f>
        <v>287.6614</v>
      </c>
      <c r="AK54" s="117" t="n">
        <f aca="false">EXP(-1.0587+0.8836*LN(AJ54)+0.284)</f>
        <v>68.583530482412</v>
      </c>
      <c r="AL54" s="128" t="n">
        <f aca="false">(AJ54+AK54)*0.475*44/12</f>
        <v>620.459920590201</v>
      </c>
      <c r="AM54" s="120" t="n">
        <f aca="false">AL54+(AD54+AE54)*44/12</f>
        <v>913.793253923534</v>
      </c>
      <c r="AN54" s="120" t="n">
        <f aca="true">AVERAGE(OFFSET($AM$3,0,0,'Données projet'!$E$10+1,1))-AVERAGE(OFFSET($H$3,0,0,'Données projet'!$E$10+1,1))</f>
        <v>365.705101827279</v>
      </c>
      <c r="AO54" s="120" t="n">
        <f aca="false">$AO$3</f>
        <v>436.238338449625</v>
      </c>
      <c r="AP54" s="121" t="n">
        <f aca="false">IF(ISNA(VLOOKUP(A54,'Données projet'!$A$61:$I$81,3,0)),0,VLOOKUP(A54,'Données projet'!$A$61:$I$81,3,0))</f>
        <v>0</v>
      </c>
      <c r="AQ54" s="121" t="n">
        <f aca="false">IF(ISNA(VLOOKUP(A54,'Données projet'!$A$61:$I$81,4,0)),0,VLOOKUP(A54,'Données projet'!$A$61:$I$81,4,0))</f>
        <v>0</v>
      </c>
      <c r="AR54" s="122" t="n">
        <f aca="false">IF(ISNA(VLOOKUP(A54,'Données projet'!$A$61:$I$81,5,0)),0%,VLOOKUP(A54,'Données projet'!$A$61:$I$81,5,0)*VLOOKUP('Données projet'!$B$10,Paramètres!$A$1:$I$89,7,0))</f>
        <v>0</v>
      </c>
      <c r="AS54" s="122" t="n">
        <f aca="false">IF(ISNA(VLOOKUP(A54,'Données projet'!$A$61:$I$81,6,0)),0%,VLOOKUP(A54,'Données projet'!$A$61:$I$81,6,0)*VLOOKUP('Données projet'!$B$10,Paramètres!$A$1:$I$89,7,0))</f>
        <v>0</v>
      </c>
      <c r="AT54" s="122" t="n">
        <f aca="false">IF(ISNA(VLOOKUP(A54,'Données projet'!$A$61:$I$81,7,0)),0%,VLOOKUP(A54,'Données projet'!$A$61:$I$81,7,0))</f>
        <v>0</v>
      </c>
      <c r="AU54" s="129" t="n">
        <f aca="false">EXP(-LN(2)/35)*AU53+(1-EXP(-LN(2)/35))/(LN(2)/35)*AQ54*AR54*VLOOKUP('Données projet'!$B$10,Paramètres!$A$1:$I$89,3,0)*0.475*44/12</f>
        <v>2.26028988996047</v>
      </c>
      <c r="AV54" s="129" t="n">
        <f aca="false">EXP(-LN(2)/25)*AV53+(1-EXP(-LN(2)/25))/(LN(2)/25)*Calculateur!AQ54*Calculateur!AS54*VLOOKUP('Données projet'!$B$10,Paramètres!$A$1:$I$89,3,0)*0.475*44/12</f>
        <v>7.37864014941132</v>
      </c>
      <c r="AW54" s="129" t="n">
        <f aca="false">EXP(-LN(2)/2)*AW53+(1-EXP(-LN(2)/2))/(LN(2)/2)*AQ54*AT54*VLOOKUP('Données projet'!$B$10,Paramètres!$A$1:$I$89,3,0)*0.475*44/12</f>
        <v>0.00410388940867697</v>
      </c>
      <c r="AX54" s="129" t="n">
        <f aca="false">SUM(AU54:AW54)</f>
        <v>9.64303392878046</v>
      </c>
      <c r="AY54" s="124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8" t="e">
        <f aca="false">VLOOKUP(A54,'Données projet'!$A$87:$I$107,2,0)</f>
        <v>#N/A</v>
      </c>
      <c r="BB54" s="118" t="e">
        <f aca="false">VLOOKUP(A54,'Données projet'!$A$87:$I$107,9,0)</f>
        <v>#N/A</v>
      </c>
      <c r="BC54" s="118" t="n">
        <f aca="false" t="array" ref="BC54:BC54">INDEX(BB:BB,MIN(IF(ISNUMBER(BB54:BB250),ROW(BB54:BB250),"")))</f>
        <v>7.8</v>
      </c>
      <c r="BD54" s="118" t="n">
        <f aca="false">IF('Données projet'!$A$88&gt;35,BD53+BC54-BL53,IF(A54&lt;'Données projet'!$A$88,$BA$205^A54,IF(A54='Données projet'!$A$88,'Données projet'!$B$88,BD53+BC54-BL53)))</f>
        <v>205.8</v>
      </c>
      <c r="BE54" s="117" t="n">
        <f aca="false">BD54*VLOOKUP('Données projet'!$B$11,Paramètres!$A$1:$I$89,3,0)*VLOOKUP('Données projet'!$B$11,Paramètres!$A$1:$I$89,5,0)</f>
        <v>179.78688</v>
      </c>
      <c r="BF54" s="117" t="n">
        <f aca="false">EXP(-1.0587+0.8836*LN(BE54)+0.284)</f>
        <v>45.274767624297</v>
      </c>
      <c r="BG54" s="128" t="n">
        <f aca="false">(BE54+BF54)*0.475*44/12</f>
        <v>391.982369612317</v>
      </c>
      <c r="BH54" s="120" t="n">
        <f aca="false">BG54+(AY54+AZ54)*44/12</f>
        <v>685.315702945651</v>
      </c>
      <c r="BI54" s="120" t="n">
        <f aca="true">AVERAGE(OFFSET($BH$3,0,0,'Données projet'!$E$11+1,1))-AVERAGE(OFFSET($H$3,0,0,'Données projet'!$E$11+1,1))</f>
        <v>321.235999689929</v>
      </c>
      <c r="BJ54" s="120" t="n">
        <f aca="false">$BJ$3</f>
        <v>388.051958478005</v>
      </c>
      <c r="BK54" s="121" t="n">
        <f aca="false">IF(ISNA(VLOOKUP(A54,'Données projet'!$A$87:$I$107,3,0)),0,VLOOKUP(A54,'Données projet'!$A$87:$I$107,3,0))</f>
        <v>0</v>
      </c>
      <c r="BL54" s="121" t="n">
        <f aca="false">IF(ISNA(VLOOKUP(A54,'Données projet'!$A$87:$I$107,4,0)),0,VLOOKUP(A54,'Données projet'!$A$87:$I$107,4,0))</f>
        <v>0</v>
      </c>
      <c r="BM54" s="122" t="n">
        <f aca="false">IF(ISNA(VLOOKUP(A54,'Données projet'!$A$87:$I$107,5,0)),0%,VLOOKUP(A54,'Données projet'!$A$87:$I$107,5,0)*VLOOKUP('Données projet'!$B$11,Paramètres!$A$1:$I$89,7,0))</f>
        <v>0</v>
      </c>
      <c r="BN54" s="122" t="n">
        <f aca="false">IF(ISNA(VLOOKUP(A54,'Données projet'!$A$87:$I$107,6,0)),0%,VLOOKUP(A54,'Données projet'!$A$87:$I$107,6,0)*VLOOKUP('Données projet'!$B$11,Paramètres!$A$1:$I$89,7,0))</f>
        <v>0</v>
      </c>
      <c r="BO54" s="122" t="n">
        <f aca="false">IF(ISNA(VLOOKUP(A54,'Données projet'!$A$87:$I$107,7,0)),0%,VLOOKUP(A54,'Données projet'!$A$87:$I$107,7,0))</f>
        <v>0</v>
      </c>
      <c r="BP54" s="129" t="n">
        <f aca="false">EXP(-LN(2)/35)*BP53+(1-EXP(-LN(2)/35))/(LN(2)/35)*BL54*BM54*VLOOKUP('Données projet'!$B$11,Paramètres!$A$1:$I$89,3,0)*0.475*44/12</f>
        <v>5.67473205933326</v>
      </c>
      <c r="BQ54" s="129" t="n">
        <f aca="false">EXP(-LN(2)/25)*BQ53+(1-EXP(-LN(2)/25))/(LN(2)/25)*Calculateur!BL54*Calculateur!BN54*VLOOKUP('Données projet'!$B$11,Paramètres!$A$1:$I$89,3,0)*0.475*44/12</f>
        <v>7.53167760039077</v>
      </c>
      <c r="BR54" s="129" t="n">
        <f aca="false">EXP(-LN(2)/2)*BR53+(1-EXP(-LN(2)/2))/(LN(2)/2)*BL54*BO54*VLOOKUP('Données projet'!$B$11,Paramètres!$A$1:$I$89,3,0)*0.475*44/12</f>
        <v>0.00417151828316066</v>
      </c>
      <c r="BS54" s="130" t="n">
        <f aca="false">SUM(BP54:BR54)</f>
        <v>13.2105811780072</v>
      </c>
      <c r="BT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8" t="e">
        <f aca="false">VLOOKUP(A54,'Données projet'!$A$113:$I$133,2,0)</f>
        <v>#N/A</v>
      </c>
      <c r="BW54" s="118" t="e">
        <f aca="false">VLOOKUP(A54,'Données projet'!$A$113:$I$133,9,0)</f>
        <v>#N/A</v>
      </c>
      <c r="BX54" s="118" t="n">
        <f aca="false" t="array" ref="BX54:BX54">INDEX(BW:BW,MIN(IF(ISNUMBER(BW54:BW250),ROW(BW54:BW250),"")))</f>
        <v>9.75</v>
      </c>
      <c r="BY54" s="118" t="n">
        <f aca="false">IF('Données projet'!$A$114&gt;35,BY53+BX54-CG53,IF(A54&lt;'Données projet'!$A$114,$BV$205^A54,IF(A54='Données projet'!$A$114,'Données projet'!$B$114,BY53+BX54-CG53)))</f>
        <v>216.25</v>
      </c>
      <c r="BZ54" s="117" t="n">
        <f aca="false">BY54*VLOOKUP('Données projet'!$B$12,Paramètres!$A$1:$I$89,3,0)*VLOOKUP('Données projet'!$B$12,Paramètres!$A$1:$I$89,5,0)</f>
        <v>134.94</v>
      </c>
      <c r="CA54" s="117" t="n">
        <f aca="false">EXP(-1.0587+0.8836*LN(BZ54)+0.284)</f>
        <v>35.135358771568</v>
      </c>
      <c r="CB54" s="128" t="n">
        <f aca="false">(BZ54+CA54)*0.475*44/12</f>
        <v>296.214583193814</v>
      </c>
      <c r="CC54" s="120" t="n">
        <f aca="false">CB54+(BT54+BU54)*44/12</f>
        <v>589.547916527148</v>
      </c>
      <c r="CD54" s="120" t="n">
        <f aca="true">AVERAGE(OFFSET($CC$3,0,0,'Données projet'!$E$12+1,1))-AVERAGE(OFFSET($H$3,0,0,'Données projet'!$E$12+1,1))</f>
        <v>240.228848647662</v>
      </c>
      <c r="CE54" s="120" t="n">
        <f aca="false">$CE$3</f>
        <v>343.237768841432</v>
      </c>
      <c r="CF54" s="121" t="n">
        <f aca="false">IF(ISNA(VLOOKUP(A54,'Données projet'!$A$113:$I$133,3,0)),0,VLOOKUP(A54,'Données projet'!$A$113:$I$133,3,0))</f>
        <v>0</v>
      </c>
      <c r="CG54" s="121" t="n">
        <f aca="false">IF(ISNA(VLOOKUP(A54,'Données projet'!$A$113:$I$133,4,0)),0,VLOOKUP(A54,'Données projet'!$A$113:$I$133,4,0))</f>
        <v>0</v>
      </c>
      <c r="CH54" s="122" t="n">
        <f aca="false">IF(ISNA(VLOOKUP(A54,'Données projet'!$A$113:$I$133,5,0)),0%,VLOOKUP(A54,'Données projet'!$A$113:$I$133,5,0)*VLOOKUP('Données projet'!$B$12,Paramètres!$A$1:$I$89,7,0))</f>
        <v>0</v>
      </c>
      <c r="CI54" s="122" t="n">
        <f aca="false">IF(ISNA(VLOOKUP(A54,'Données projet'!$A$113:$I$133,6,0)),0%,VLOOKUP(A54,'Données projet'!$A$113:$I$133,6,0)*VLOOKUP('Données projet'!$B$12,Paramètres!$A$1:$I$89,7,0))</f>
        <v>0</v>
      </c>
      <c r="CJ54" s="122" t="n">
        <f aca="false">IF(ISNA(VLOOKUP(A54,'Données projet'!$A$113:$I$133,7,0)),0%,VLOOKUP(A54,'Données projet'!$A$113:$I$133,7,0))</f>
        <v>0</v>
      </c>
      <c r="CK54" s="129" t="n">
        <f aca="false">EXP(-LN(2)/35)*CK53+(1-EXP(-LN(2)/35))/(LN(2)/35)*CG54*CH54*VLOOKUP('Données projet'!$B$12,Paramètres!$A$1:$I$89,3,0)*0.475*44/12</f>
        <v>3.47337812144937</v>
      </c>
      <c r="CL54" s="129" t="n">
        <f aca="false">EXP(-LN(2)/25)*CL53+(1-EXP(-LN(2)/25))/(LN(2)/25)*Calculateur!CG54*Calculateur!CI54*VLOOKUP('Données projet'!$B$12,Paramètres!$A$1:$I$89,3,0)*0.475*44/12</f>
        <v>13.3013786502529</v>
      </c>
      <c r="CM54" s="129" t="n">
        <f aca="false">EXP(-LN(2)/2)*CM53+(1-EXP(-LN(2)/2))/(LN(2)/2)*CG54*CJ54*VLOOKUP('Données projet'!$B$12,Paramètres!$A$1:$I$89,3,0)*0.475*44/12</f>
        <v>0.00665663105378757</v>
      </c>
      <c r="CN54" s="130" t="n">
        <f aca="false">SUM(CK54:CM54)</f>
        <v>16.7814134027561</v>
      </c>
      <c r="CO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8" t="e">
        <f aca="false">VLOOKUP(A54,'Données projet'!$A$139:$I$159,2,0)</f>
        <v>#N/A</v>
      </c>
      <c r="CR54" s="118" t="e">
        <f aca="false">VLOOKUP(A54,'Données projet'!$A$139:$I$159,9,0)</f>
        <v>#N/A</v>
      </c>
      <c r="CS54" s="118" t="n">
        <f aca="false" t="array" ref="CS54:CS54">INDEX(CR:CR,MIN(IF(ISNUMBER(CR54:CR250),ROW(CR54:CR250),"")))</f>
        <v>0</v>
      </c>
      <c r="CT54" s="118" t="n">
        <f aca="false">IF('Données projet'!$A$140&gt;35,CT53+CS54-DB53,IF(A54&lt;'Données projet'!$A$140,$CQ$205^A54,IF(A54='Données projet'!$A$140,'Données projet'!$B$140,CT53+CS54-DB53)))</f>
        <v>-5.6843418860808E-014</v>
      </c>
      <c r="CU54" s="125" t="n">
        <f aca="false">CT54*VLOOKUP('Données projet'!$B$13,Paramètres!$A$1:$I$89,3,0)*VLOOKUP('Données projet'!$B$13,Paramètres!$A$1:$I$89,5,0)</f>
        <v>-3.10365066980012E-014</v>
      </c>
      <c r="CV54" s="117" t="e">
        <f aca="false">EXP(-1.0587+0.8836*LN(CU54)+0.284)</f>
        <v>#VALUE!</v>
      </c>
      <c r="CW54" s="128" t="e">
        <f aca="false">(CU54+CV54)*0.475*44/12</f>
        <v>#VALUE!</v>
      </c>
      <c r="CX54" s="120" t="e">
        <f aca="false">CW54+(CO54+CP54)*44/12</f>
        <v>#VALUE!</v>
      </c>
      <c r="CY54" s="120" t="n">
        <f aca="true">AVERAGE(OFFSET($CX$3,0,0,'Données projet'!$E$13+1,1))-AVERAGE(OFFSET($H$3,0,0,'Données projet'!$E$13+1,1))</f>
        <v>207.023069645676</v>
      </c>
      <c r="CZ54" s="120" t="n">
        <f aca="false">$CZ$3</f>
        <v>342.068879333518</v>
      </c>
      <c r="DA54" s="121" t="n">
        <f aca="false">IF(ISNA(VLOOKUP(A54,'Données projet'!$A$139:$I$159,3,0)),0,VLOOKUP(A54,'Données projet'!$A$139:$I$159,3,0))</f>
        <v>0</v>
      </c>
      <c r="DB54" s="121" t="n">
        <f aca="false">IF(ISNA(VLOOKUP(A54,'Données projet'!$A$139:$I$159,4,0)),0,VLOOKUP(A54,'Données projet'!$A$139:$I$159,4,0))</f>
        <v>0</v>
      </c>
      <c r="DC54" s="122" t="n">
        <f aca="false">IF(ISNA(VLOOKUP(A54,'Données projet'!$A$139:$I$159,5,0)),0%,VLOOKUP(A54,'Données projet'!$A$139:$I$159,5,0)*VLOOKUP('Données projet'!$B$13,Paramètres!$A$1:$I$89,7,0))</f>
        <v>0</v>
      </c>
      <c r="DD54" s="122" t="n">
        <f aca="false">IF(ISNA(VLOOKUP(A54,'Données projet'!$A$139:$I$159,6,0)),0%,VLOOKUP(A54,'Données projet'!$A$139:$I$159,6,0)*VLOOKUP('Données projet'!$B$13,Paramètres!$A$1:$I$89,7,0))</f>
        <v>0</v>
      </c>
      <c r="DE54" s="122" t="n">
        <f aca="false">IF(ISNA(VLOOKUP(A54,'Données projet'!$A$139:$I$159,7,0)),0%,VLOOKUP(A54,'Données projet'!$A$139:$I$159,7,0))</f>
        <v>0</v>
      </c>
      <c r="DF54" s="129" t="n">
        <f aca="false">EXP(-LN(2)/35)*DF53+(1-EXP(-LN(2)/35))/(LN(2)/35)*DB54*DC54*VLOOKUP('Données projet'!$B$13,Paramètres!$A$1:$I$89,3,0)*0.475*44/12</f>
        <v>4.35810651087515</v>
      </c>
      <c r="DG54" s="129" t="n">
        <f aca="false">EXP(-LN(2)/25)*DG53+(1-EXP(-LN(2)/25))/(LN(2)/25)*Calculateur!DB54*Calculateur!DD54*VLOOKUP('Données projet'!$B$13,Paramètres!$A$1:$I$89,3,0)*0.475*44/12</f>
        <v>21.7422142175783</v>
      </c>
      <c r="DH54" s="129" t="n">
        <f aca="false">EXP(-LN(2)/2)*DH53+(1-EXP(-LN(2)/2))/(LN(2)/2)*DB54*DE54*VLOOKUP('Données projet'!$B$13,Paramètres!$A$1:$I$89,3,0)*0.475*44/12</f>
        <v>0.0091661840472473</v>
      </c>
      <c r="DI54" s="130" t="n">
        <f aca="false">SUM(DF54:DH54)</f>
        <v>26.1094869125007</v>
      </c>
      <c r="DJ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8" t="e">
        <f aca="false">VLOOKUP(A54,'Données projet'!$A$165:$I$185,2,0)</f>
        <v>#N/A</v>
      </c>
      <c r="DM54" s="118" t="e">
        <f aca="false">VLOOKUP(A54,'Données projet'!$A$165:$I$185,9,0)</f>
        <v>#N/A</v>
      </c>
      <c r="DN54" s="118" t="n">
        <f aca="false" t="array" ref="DN54:DN54">INDEX(DM:DM,MIN(IF(ISNUMBER(DM54:DM250),ROW(DM54:DM250),"")))</f>
        <v>-256.625</v>
      </c>
      <c r="DO54" s="118" t="n">
        <f aca="false">IF('Données projet'!$A$166&gt;35,DO53+DN54-DW53,IF(A54&lt;'Données projet'!$A$166,$DL$205^A54,IF(A54='Données projet'!$A$166,'Données projet'!$B$166,DO53+DN54-DW53)))</f>
        <v>1080.875</v>
      </c>
      <c r="DP54" s="125" t="n">
        <f aca="false">DO54*VLOOKUP('Données projet'!$B$14,Paramètres!$A$1:$I$89,3,0)*VLOOKUP('Données projet'!$B$14,Paramètres!$A$1:$I$89,5,0)</f>
        <v>646.36325</v>
      </c>
      <c r="DQ54" s="117" t="n">
        <f aca="false">EXP(-1.0587+0.8836*LN(DP54)+0.284)</f>
        <v>140.245597835399</v>
      </c>
      <c r="DR54" s="128" t="n">
        <f aca="false">(DP54+DQ54)*0.475*44/12</f>
        <v>1370.01040997999</v>
      </c>
      <c r="DS54" s="120" t="n">
        <f aca="false">DR54+(DJ54+DK54)*44/12</f>
        <v>1663.34374331332</v>
      </c>
      <c r="DT54" s="120" t="n">
        <f aca="true">AVERAGE(OFFSET($DS$3,0,0,'Données projet'!$E$14+1,1))-AVERAGE(OFFSET($H$3,0,0,'Données projet'!$E$14+1,1))</f>
        <v>549.432320957297</v>
      </c>
      <c r="DU54" s="120" t="n">
        <f aca="false">$DU$3</f>
        <v>280.26155987301</v>
      </c>
      <c r="DV54" s="121" t="n">
        <f aca="false">IF(ISNA(VLOOKUP(A54,'Données projet'!$A$165:$I$185,3,0)),0,VLOOKUP(A54,'Données projet'!$A$165:$I$185,3,0))</f>
        <v>0</v>
      </c>
      <c r="DW54" s="121" t="n">
        <f aca="false">IF(ISNA(VLOOKUP(A54,'Données projet'!$A$165:$I$185,4,0)),0,VLOOKUP(A54,'Données projet'!$A$165:$I$185,4,0))</f>
        <v>0</v>
      </c>
      <c r="DX54" s="122" t="n">
        <f aca="false">IF(ISNA(VLOOKUP(A54,'Données projet'!$A$165:$I$185,5,0)),0%,VLOOKUP(A54,'Données projet'!$A$165:$I$185,5,0)*VLOOKUP('Données projet'!$B$14,Paramètres!$A$1:$I$89,7,0))</f>
        <v>0</v>
      </c>
      <c r="DY54" s="122" t="n">
        <f aca="false">IF(ISNA(VLOOKUP(A54,'Données projet'!$A$165:$I$185,6,0)),0%,VLOOKUP(A54,'Données projet'!$A$165:$I$185,6,0)*VLOOKUP('Données projet'!$B$14,Paramètres!$A$1:$I$89,7,0))</f>
        <v>0</v>
      </c>
      <c r="DZ54" s="122" t="n">
        <f aca="false">IF(ISNA(VLOOKUP(A54,'Données projet'!$A$165:$I$185,7,0)),0%,VLOOKUP(A54,'Données projet'!$A$165:$I$185,7,0))</f>
        <v>0</v>
      </c>
      <c r="EA54" s="129" t="n">
        <f aca="false">EXP(-LN(2)/35)*EA53+(1-EXP(-LN(2)/35))/(LN(2)/35)*DW54*DX54*VLOOKUP('Données projet'!$B$14,Paramètres!$A$1:$I$89,3,0)*0.475*44/12</f>
        <v>1.58460266787448</v>
      </c>
      <c r="EB54" s="129" t="n">
        <f aca="false">EXP(-LN(2)/25)*EB53+(1-EXP(-LN(2)/25))/(LN(2)/25)*Calculateur!DW54*Calculateur!DY54*VLOOKUP('Données projet'!$B$14,Paramètres!$A$1:$I$89,3,0)*0.475*44/12</f>
        <v>4.33147803848848</v>
      </c>
      <c r="EC54" s="129" t="n">
        <f aca="false">EXP(-LN(2)/2)*EC53+(1-EXP(-LN(2)/2))/(LN(2)/2)*DW54*DZ54*VLOOKUP('Données projet'!$B$14,Paramètres!$A$1:$I$89,3,0)*0.475*44/12</f>
        <v>0.00422542190127452</v>
      </c>
      <c r="ED54" s="130" t="n">
        <f aca="false">SUM(EA54:EC54)</f>
        <v>5.92030612826424</v>
      </c>
      <c r="EE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8" t="e">
        <f aca="false">VLOOKUP(A54,'Données projet'!$A$191:$I$211,2,0)</f>
        <v>#N/A</v>
      </c>
      <c r="EH54" s="118" t="e">
        <f aca="false">VLOOKUP(A54,'Données projet'!$A$191:$I$211,9,0)</f>
        <v>#N/A</v>
      </c>
      <c r="EI54" s="118" t="n">
        <f aca="false" t="array" ref="EI54:EI54">INDEX(EH:EH,MIN(IF(ISNUMBER(EH54:EH250),ROW(EH54:EH250),"")))</f>
        <v>0</v>
      </c>
      <c r="EJ54" s="118" t="n">
        <f aca="false">IF('Données projet'!$A$192&gt;35,EJ53+EI54-ER53,IF(A54&lt;'Données projet'!$A$192,$EG$205^A54,IF(A54='Données projet'!$A$192,'Données projet'!$B$192,EJ53+EI54-ER53)))</f>
        <v>0</v>
      </c>
      <c r="EK54" s="125" t="e">
        <f aca="false">EJ54*VLOOKUP('Données projet'!$B$15,Paramètres!$A$1:$I$89,3,0)*VLOOKUP('Données projet'!$B$15,Paramètres!$A$1:$I$89,5,0)</f>
        <v>#N/A</v>
      </c>
      <c r="EL54" s="117" t="e">
        <f aca="false">EXP(-1.0587+0.8836*LN(EK54)+0.284)</f>
        <v>#N/A</v>
      </c>
      <c r="EM54" s="128" t="e">
        <f aca="false">(EK54+EL54)*0.475*44/12</f>
        <v>#N/A</v>
      </c>
      <c r="EN54" s="120" t="e">
        <f aca="false">EM54+(EE54+EF54)*44/12</f>
        <v>#N/A</v>
      </c>
      <c r="EO54" s="120" t="e">
        <f aca="true">AVERAGE(OFFSET($EN$3,0,0,'Données projet'!$E$15+1,1))-AVERAGE(OFFSET($H$3,0,0,'Données projet'!$E$15+1,1))</f>
        <v>#N/A</v>
      </c>
      <c r="EP54" s="120" t="e">
        <f aca="false">$EP$3</f>
        <v>#N/A</v>
      </c>
      <c r="EQ54" s="121" t="n">
        <f aca="false">IF(ISNA(VLOOKUP(A54,'Données projet'!$A$191:$I$211,3,0)),0,VLOOKUP(A54,'Données projet'!$A$191:$I$211,3,0))</f>
        <v>0</v>
      </c>
      <c r="ER54" s="121" t="n">
        <f aca="false">IF(ISNA(VLOOKUP(A54,'Données projet'!$A$191:$I$211,4,0)),0,VLOOKUP(A54,'Données projet'!$A$191:$I$211,4,0))</f>
        <v>0</v>
      </c>
      <c r="ES54" s="122" t="n">
        <f aca="false">IF(ISNA(VLOOKUP(A54,'Données projet'!$A$191:$I$211,5,0)),0%,VLOOKUP(A54,'Données projet'!$A$191:$I$211,5,0)*VLOOKUP('Données projet'!$B$15,Paramètres!$A$1:$I$89,7,0))</f>
        <v>0</v>
      </c>
      <c r="ET54" s="122" t="n">
        <f aca="false">IF(ISNA(VLOOKUP(A54,'Données projet'!$A$191:$I$211,6,0)),0%,VLOOKUP(A54,'Données projet'!$A$191:$I$211,6,0)*VLOOKUP('Données projet'!$B$15,Paramètres!$A$1:$I$89,7,0))</f>
        <v>0</v>
      </c>
      <c r="EU54" s="122" t="n">
        <f aca="false">IF(ISNA(VLOOKUP(A54,'Données projet'!$A$191:$I$211,7,0)),0%,VLOOKUP(A54,'Données projet'!$A$191:$I$211,7,0))</f>
        <v>0</v>
      </c>
      <c r="EV54" s="129" t="e">
        <f aca="false">EXP(-LN(2)/35)*EV53+(1-EXP(-LN(2)/35))/(LN(2)/35)*ER54*ES54*VLOOKUP('Données projet'!$B$15,Paramètres!$A$1:$I$89,3,0)*0.475*44/12</f>
        <v>#N/A</v>
      </c>
      <c r="EW54" s="129" t="e">
        <f aca="false">EXP(-LN(2)/25)*EW53+(1-EXP(-LN(2)/25))/(LN(2)/25)*Calculateur!ER54*Calculateur!ET54*VLOOKUP('Données projet'!$B$15,Paramètres!$A$1:$I$89,3,0)*0.475*44/12</f>
        <v>#N/A</v>
      </c>
      <c r="EX54" s="129" t="e">
        <f aca="false">EXP(-LN(2)/2)*EX53+(1-EXP(-LN(2)/2))/(LN(2)/2)*ER54*EU54*VLOOKUP('Données projet'!$B$15,Paramètres!$A$1:$I$89,3,0)*0.475*44/12</f>
        <v>#N/A</v>
      </c>
      <c r="EY54" s="130" t="e">
        <f aca="false">SUM(EV54:EX54)</f>
        <v>#N/A</v>
      </c>
      <c r="EZ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8" t="e">
        <f aca="false">VLOOKUP(A54,'Données projet'!$A$217:$I$237,2,0)</f>
        <v>#N/A</v>
      </c>
      <c r="FC54" s="118" t="e">
        <f aca="false">VLOOKUP(A54,'Données projet'!$A$217:$I$237,9,0)</f>
        <v>#N/A</v>
      </c>
      <c r="FD54" s="118" t="n">
        <f aca="false" t="array" ref="FD54:FD54">INDEX(FC:FC,MIN(IF(ISNUMBER(FC54:FC250),ROW(FC54:FC250),"")))</f>
        <v>0</v>
      </c>
      <c r="FE54" s="118" t="n">
        <f aca="false">IF('Données projet'!$A$218&gt;35,FE53+FD54-FM53,IF(A54&lt;'Données projet'!$A$218,$FB$205^A54,IF(A54='Données projet'!$A$218,'Données projet'!$B$218,FE53+FD54-FM53)))</f>
        <v>0</v>
      </c>
      <c r="FF54" s="125" t="e">
        <f aca="false">FE54*VLOOKUP('Données projet'!$B$16,Paramètres!$A$1:$I$89,3,0)*VLOOKUP('Données projet'!$B$16,Paramètres!$A$1:$I$89,5,0)</f>
        <v>#N/A</v>
      </c>
      <c r="FG54" s="117" t="e">
        <f aca="false">EXP(-1.0587+0.8836*LN(FF54)+0.284)</f>
        <v>#N/A</v>
      </c>
      <c r="FH54" s="128" t="e">
        <f aca="false">(FF54+FG54)*0.475*44/12</f>
        <v>#N/A</v>
      </c>
      <c r="FI54" s="120" t="e">
        <f aca="false">FH54+(EZ54+FA54)*44/12</f>
        <v>#N/A</v>
      </c>
      <c r="FJ54" s="120" t="e">
        <f aca="true">AVERAGE(OFFSET($FI$3,0,0,'Données projet'!$E$16+1,1))-AVERAGE(OFFSET($H$3,0,0,'Données projet'!$E$16+1,1))</f>
        <v>#N/A</v>
      </c>
      <c r="FK54" s="120" t="e">
        <f aca="false">$FK$3</f>
        <v>#N/A</v>
      </c>
      <c r="FL54" s="121" t="n">
        <f aca="false">IF(ISNA(VLOOKUP(A54,'Données projet'!$A$217:$I$237,3,0)),0,VLOOKUP(A54,'Données projet'!$A$217:$I$237,3,0))</f>
        <v>0</v>
      </c>
      <c r="FM54" s="121" t="n">
        <f aca="false">IF(ISNA(VLOOKUP(A54,'Données projet'!$A$217:$I$237,4,0)),0,VLOOKUP(A54,'Données projet'!$A$217:$I$237,4,0))</f>
        <v>0</v>
      </c>
      <c r="FN54" s="122" t="n">
        <f aca="false">IF(ISNA(VLOOKUP(A54,'Données projet'!$A$217:$I$237,5,0)),0%,VLOOKUP(A54,'Données projet'!$A$217:$I$237,5,0)*VLOOKUP('Données projet'!$B$16,Paramètres!$A$1:$I$89,7,0))</f>
        <v>0</v>
      </c>
      <c r="FO54" s="122" t="n">
        <f aca="false">IF(ISNA(VLOOKUP(A54,'Données projet'!$A$217:$I$237,6,0)),0%,VLOOKUP(A54,'Données projet'!$A$217:$I$237,6,0)*VLOOKUP('Données projet'!$B$16,Paramètres!$A$1:$I$89,7,0))</f>
        <v>0</v>
      </c>
      <c r="FP54" s="122" t="n">
        <f aca="false">IF(ISNA(VLOOKUP(A54,'Données projet'!$A$217:$I$237,7,0)),0%,VLOOKUP(A54,'Données projet'!$A$217:$I$237,7,0))</f>
        <v>0</v>
      </c>
      <c r="FQ54" s="129" t="e">
        <f aca="false">EXP(-LN(2)/35)*FQ53+(1-EXP(-LN(2)/35))/(LN(2)/35)*FM54*FN54*VLOOKUP('Données projet'!$B$16,Paramètres!$A$1:$I$89,3,0)*0.475*44/12</f>
        <v>#N/A</v>
      </c>
      <c r="FR54" s="129" t="e">
        <f aca="false">EXP(-LN(2)/25)*FR53+(1-EXP(-LN(2)/25))/(LN(2)/25)*Calculateur!FM54*Calculateur!FO54*VLOOKUP('Données projet'!$B$16,Paramètres!$A$1:$I$89,3,0)*0.475*44/12</f>
        <v>#N/A</v>
      </c>
      <c r="FS54" s="129" t="e">
        <f aca="false">EXP(-LN(2)/2)*FS53+(1-EXP(-LN(2)/2))/(LN(2)/2)*FM54*FP54*VLOOKUP('Données projet'!$B$16,Paramètres!$A$1:$I$89,3,0)*0.475*44/12</f>
        <v>#N/A</v>
      </c>
      <c r="FT54" s="130" t="e">
        <f aca="false">SUM(FQ54:FS54)</f>
        <v>#N/A</v>
      </c>
      <c r="FU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8" t="e">
        <f aca="false">VLOOKUP(A54,'Données projet'!$A$243:$I$263,2,0)</f>
        <v>#N/A</v>
      </c>
      <c r="FX54" s="118" t="e">
        <f aca="false">VLOOKUP(A54,'Données projet'!$A$243:$I$263,9,0)</f>
        <v>#N/A</v>
      </c>
      <c r="FY54" s="118" t="n">
        <f aca="false" t="array" ref="FY54:FY54">INDEX(FX:FX,MIN(IF(ISNUMBER(FX54:FX250),ROW(FX54:FX250),"")))</f>
        <v>0</v>
      </c>
      <c r="FZ54" s="118" t="n">
        <f aca="false">IF('Données projet'!$A$244&gt;35,FZ53+FY54-GH53,IF(A54&lt;'Données projet'!$A$244,$FW$205^A54,IF(A54='Données projet'!$A$244,'Données projet'!$B$244,FZ53+FY54-GH53)))</f>
        <v>0</v>
      </c>
      <c r="GA54" s="125" t="e">
        <f aca="false">FZ54*VLOOKUP('Données projet'!$B$17,Paramètres!$A$1:$I$89,3,0)*VLOOKUP('Données projet'!$B$17,Paramètres!$A$1:$I$89,5,0)</f>
        <v>#N/A</v>
      </c>
      <c r="GB54" s="117" t="e">
        <f aca="false">EXP(-1.0587+0.8836*LN(GA54)+0.284)</f>
        <v>#N/A</v>
      </c>
      <c r="GC54" s="128" t="e">
        <f aca="false">(GA54+GB54)*0.475*44/12</f>
        <v>#N/A</v>
      </c>
      <c r="GD54" s="120" t="e">
        <f aca="false">GC54+(FU54+FV54)*44/12</f>
        <v>#N/A</v>
      </c>
      <c r="GE54" s="120" t="e">
        <f aca="true">AVERAGE(OFFSET($GD$3,0,0,'Données projet'!$E$17+1,1))-AVERAGE(OFFSET($H$3,0,0,'Données projet'!$E$17+1,1))</f>
        <v>#N/A</v>
      </c>
      <c r="GF54" s="120" t="e">
        <f aca="false">$GF$3</f>
        <v>#N/A</v>
      </c>
      <c r="GG54" s="121" t="n">
        <f aca="false">IF(ISNA(VLOOKUP(A54,'Données projet'!$A$243:$I$263,3,0)),0,VLOOKUP(A54,'Données projet'!$A$243:$I$263,3,0))</f>
        <v>0</v>
      </c>
      <c r="GH54" s="121" t="n">
        <f aca="false">IF(ISNA(VLOOKUP(A54,'Données projet'!$A$243:$I$263,4,0)),0,VLOOKUP(A54,'Données projet'!$A$243:$I$263,4,0))</f>
        <v>0</v>
      </c>
      <c r="GI54" s="122" t="n">
        <f aca="false">IF(ISNA(VLOOKUP(A54,'Données projet'!$A$243:$I$263,5,0)),0%,VLOOKUP(A54,'Données projet'!$A$243:$I$263,5,0)*VLOOKUP('Données projet'!$B$17,Paramètres!$A$1:$I$89,7,0))</f>
        <v>0</v>
      </c>
      <c r="GJ54" s="122" t="n">
        <f aca="false">IF(ISNA(VLOOKUP(A54,'Données projet'!$A$243:$I$263,6,0)),0%,VLOOKUP(A54,'Données projet'!$A$243:$I$263,6,0)*VLOOKUP('Données projet'!$B$17,Paramètres!$A$1:$I$89,7,0))</f>
        <v>0</v>
      </c>
      <c r="GK54" s="122" t="n">
        <f aca="false">IF(ISNA(VLOOKUP(A54,'Données projet'!$A$243:$I$263,7,0)),0%,VLOOKUP(A54,'Données projet'!$A$243:$I$263,7,0))</f>
        <v>0</v>
      </c>
      <c r="GL54" s="129" t="e">
        <f aca="false">EXP(-LN(2)/35)*GL53+(1-EXP(-LN(2)/35))/(LN(2)/35)*GH54*GI54*VLOOKUP('Données projet'!$B$17,Paramètres!$A$1:$I$89,3,0)*0.475*44/12</f>
        <v>#N/A</v>
      </c>
      <c r="GM54" s="129" t="e">
        <f aca="false">EXP(-LN(2)/25)*GM53+(1-EXP(-LN(2)/25))/(LN(2)/25)*Calculateur!GH54*Calculateur!GJ54*VLOOKUP('Données projet'!$B$17,Paramètres!$A$1:$I$89,3,0)*0.475*44/12</f>
        <v>#N/A</v>
      </c>
      <c r="GN54" s="129" t="e">
        <f aca="false">EXP(-LN(2)/2)*GN53+(1-EXP(-LN(2)/2))/(LN(2)/2)*GH54*GK54*VLOOKUP('Données projet'!$B$17,Paramètres!$A$1:$I$89,3,0)*0.475*44/12</f>
        <v>#N/A</v>
      </c>
      <c r="GO54" s="129" t="e">
        <f aca="false">SUM(GL54:GN54)</f>
        <v>#N/A</v>
      </c>
      <c r="GP54" s="126" t="n">
        <f aca="false"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8" t="n">
        <f aca="false"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8" t="e">
        <f aca="false">VLOOKUP(A54,'Données projet'!$A$269:$I$289,2,0)</f>
        <v>#N/A</v>
      </c>
      <c r="GS54" s="118" t="e">
        <f aca="false">VLOOKUP(A54,'Données projet'!$A$269:$I$289,9,0)</f>
        <v>#N/A</v>
      </c>
      <c r="GT54" s="118" t="n">
        <f aca="false" t="array" ref="GT54:GT54">INDEX(GS:GS,MIN(IF(ISNUMBER(GS54:GS250),ROW(GS54:GS250),"")))</f>
        <v>0</v>
      </c>
      <c r="GU54" s="118" t="n">
        <f aca="false">IF('Données projet'!$A$270&gt;35,GU53+GT54-HC53,IF(A54&lt;'Données projet'!$A$270,$GR$205^A54,IF(A54='Données projet'!$A$270,'Données projet'!$B$270,GU53+GT54-HC53)))</f>
        <v>0</v>
      </c>
      <c r="GV54" s="125" t="e">
        <f aca="false">GU54*VLOOKUP('Données projet'!$B$18,Paramètres!$A$1:$I$89,3,0)*VLOOKUP('Données projet'!$B$18,Paramètres!$A$1:$I$89,5,0)</f>
        <v>#N/A</v>
      </c>
      <c r="GW54" s="117" t="e">
        <f aca="false">EXP(-1.0587+0.8836*LN(GV54)+0.284)</f>
        <v>#N/A</v>
      </c>
      <c r="GX54" s="128" t="e">
        <f aca="false">(GV54+GW54)*0.475*44/12</f>
        <v>#N/A</v>
      </c>
      <c r="GY54" s="120" t="e">
        <f aca="false">GX54+(GP54+GQ54)*44/12</f>
        <v>#N/A</v>
      </c>
      <c r="GZ54" s="120" t="e">
        <f aca="true">AVERAGE(OFFSET($GY$3,0,0,'Données projet'!$E$18+1,1))-AVERAGE(OFFSET($H$3,0,0,'Données projet'!$E$18+1,1))</f>
        <v>#N/A</v>
      </c>
      <c r="HA54" s="120" t="e">
        <f aca="false">$HA$3</f>
        <v>#N/A</v>
      </c>
      <c r="HB54" s="121" t="n">
        <f aca="false">IF(ISNA(VLOOKUP(A54,'Données projet'!$A$269:$I$289,3,0)),0,VLOOKUP(A54,'Données projet'!$A$269:$I$289,3,0))</f>
        <v>0</v>
      </c>
      <c r="HC54" s="121" t="n">
        <f aca="false">IF(ISNA(VLOOKUP(A54,'Données projet'!$A$269:$I$289,4,0)),0,VLOOKUP(A54,'Données projet'!$A$269:$I$289,4,0))</f>
        <v>0</v>
      </c>
      <c r="HD54" s="122" t="n">
        <f aca="false">IF(ISNA(VLOOKUP(A54,'Données projet'!$A$269:$I$289,5,0)),0%,VLOOKUP(A54,'Données projet'!$A$269:$I$289,5,0)*VLOOKUP('Données projet'!$B$18,Paramètres!$A$1:$I$89,7,0))</f>
        <v>0</v>
      </c>
      <c r="HE54" s="122" t="n">
        <f aca="false">IF(ISNA(VLOOKUP(A54,'Données projet'!$A$269:$I$289,6,0)),0%,VLOOKUP(A54,'Données projet'!$A$269:$I$289,6,0)*VLOOKUP('Données projet'!$B$18,Paramètres!$A$1:$I$89,7,0))</f>
        <v>0</v>
      </c>
      <c r="HF54" s="122" t="n">
        <f aca="false">IF(ISNA(VLOOKUP(A54,'Données projet'!$A$269:$I$289,7,0)),0%,VLOOKUP(A54,'Données projet'!$A$269:$I$289,7,0))</f>
        <v>0</v>
      </c>
      <c r="HG54" s="129" t="e">
        <f aca="false">EXP(-LN(2)/35)*HG53+(1-EXP(-LN(2)/35))/(LN(2)/35)*HC54*HD54*VLOOKUP('Données projet'!$B$18,Paramètres!$A$1:$I$89,3,0)*0.475*44/12</f>
        <v>#N/A</v>
      </c>
      <c r="HH54" s="129" t="e">
        <f aca="false">EXP(-LN(2)/25)*HH53+(1-EXP(-LN(2)/25))/(LN(2)/25)*Calculateur!HC54*Calculateur!HE54*VLOOKUP('Données projet'!$B$18,Paramètres!$A$1:$I$89,3,0)*0.475*44/12</f>
        <v>#N/A</v>
      </c>
      <c r="HI54" s="129" t="e">
        <f aca="false">EXP(-LN(2)/2)*HI53+(1-EXP(-LN(2)/2))/(LN(2)/2)*HC54*HF54*VLOOKUP('Données projet'!$B$18,Paramètres!$A$1:$I$89,3,0)*0.475*44/12</f>
        <v>#N/A</v>
      </c>
      <c r="HJ54" s="130" t="e">
        <f aca="false">SUM(HG54:HI54)</f>
        <v>#N/A</v>
      </c>
    </row>
    <row r="55" customFormat="false" ht="14.25" hidden="false" customHeight="false" outlineLevel="0" collapsed="false">
      <c r="A55" s="112" t="n">
        <f aca="false">A54+1</f>
        <v>52</v>
      </c>
      <c r="B55" s="113" t="n">
        <f aca="false">'Scénario référence'!$B$16*5+'Scénario référence'!$B$17*0+'Scénario référence'!$B$18*5</f>
        <v>0</v>
      </c>
      <c r="C55" s="127" t="n">
        <f aca="false"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4" t="n">
        <f aca="false">IFERROR(EXP(-1.0587+0.8836*LN(C55)+0.284),0)</f>
        <v>0</v>
      </c>
      <c r="E5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5" s="114" t="n">
        <f aca="false">IF(OR('Scénario référence'!$F$8&gt;0,'Scénario référence'!$F$9&gt;0),('Scénario référence'!$F$8+'Scénario référence'!$F$9)*10,0)</f>
        <v>0</v>
      </c>
      <c r="G55" s="114" t="n">
        <f aca="false"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15" t="n">
        <f aca="false">(B55+E55+F55)*44/12+(C55+D55)*0.475*44/12</f>
        <v>256.666666666667</v>
      </c>
      <c r="I55" s="11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7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8" t="e">
        <f aca="false">VLOOKUP(A55,'Données projet'!$A$35:$I$55,2,0)</f>
        <v>#N/A</v>
      </c>
      <c r="L55" s="118" t="e">
        <f aca="false">VLOOKUP(A55,'Données projet'!$A$35:$I$55,9,0)</f>
        <v>#N/A</v>
      </c>
      <c r="M55" s="118" t="n">
        <f aca="false" t="array" ref="M55:M55">INDEX(L:L,MIN(IF(ISNUMBER(L55:L251),ROW(L55:L251),"")))</f>
        <v>13.5</v>
      </c>
      <c r="N55" s="117" t="n">
        <f aca="false">IF('Données projet'!$A$36&gt;35,N54+M55-V54,IF(A55&lt;'Données projet'!$A$36,$K$205^A55,IF(A55='Données projet'!$A$36,'Données projet'!$B$36,N54+M55-V54)))</f>
        <v>240.5</v>
      </c>
      <c r="O55" s="117" t="n">
        <f aca="false">N55*VLOOKUP('Données projet'!$B$9,Paramètres!$A$1:$I$89,3,0)*VLOOKUP('Données projet'!$B$9,Paramètres!$A$1:$I$89,5,0)</f>
        <v>112.554</v>
      </c>
      <c r="P55" s="117" t="n">
        <f aca="false">EXP(-1.0587+0.8836*LN(O55)+0.284)</f>
        <v>29.9319207003232</v>
      </c>
      <c r="Q55" s="128" t="n">
        <f aca="false">(O55+P55)*0.475*44/12</f>
        <v>248.162978553063</v>
      </c>
      <c r="R55" s="120" t="n">
        <f aca="false">Q55+(I55+J55)*44/12</f>
        <v>541.496311886396</v>
      </c>
      <c r="S55" s="120" t="n">
        <f aca="true">AVERAGE(OFFSET($R$3,0,0,'Données projet'!$E$9+1,1))-AVERAGE(OFFSET($H$3,0,0,'Données projet'!$E$9+1,1))</f>
        <v>319.229030946746</v>
      </c>
      <c r="T55" s="120" t="n">
        <f aca="false">$T$3</f>
        <v>254.586909731428</v>
      </c>
      <c r="U55" s="121" t="n">
        <f aca="false">IF(ISNA(VLOOKUP(A55,'Données projet'!$A$35:$I$55,3,0)),0,VLOOKUP(A55,'Données projet'!$A$35:$I$55,3,0))</f>
        <v>0</v>
      </c>
      <c r="V55" s="121" t="n">
        <f aca="false">IF(ISNA(VLOOKUP(A55,'Données projet'!$A$35:$I$55,4,0)),0,VLOOKUP(A55,'Données projet'!$A$35:$I$55,4,0))</f>
        <v>0</v>
      </c>
      <c r="W55" s="122" t="n">
        <f aca="false">IF(ISNA(VLOOKUP(A55,'Données projet'!$A$35:$I$55,5,0)),0%,VLOOKUP(A55,'Données projet'!$A$35:$I$55,5,0)*VLOOKUP('Données projet'!$B$9,Paramètres!$A$1:$I$89,7,0))</f>
        <v>0</v>
      </c>
      <c r="X55" s="122" t="n">
        <f aca="false">IF(ISNA(VLOOKUP(A55,'Données projet'!$A$35:$I$55,6,0)),0%,VLOOKUP(A55,'Données projet'!$A$35:$I$55,6,0)*VLOOKUP('Données projet'!$B$9,Paramètres!$A$1:$I$89,7,0))</f>
        <v>0</v>
      </c>
      <c r="Y55" s="122" t="n">
        <f aca="false">IF(ISNA(VLOOKUP(A55,'Données projet'!$A$35:$I$55,7,0)),0%,VLOOKUP(A55,'Données projet'!$A$35:$I$55,7,0))</f>
        <v>0</v>
      </c>
      <c r="Z55" s="129" t="n">
        <f aca="false">EXP(-LN(2)/35)*Z54+(1-EXP(-LN(2)/35))/(LN(2)/35)*V55*W55*VLOOKUP('Données projet'!$B$9,Paramètres!$A$1:$I$89,3,0)*0.475*44/12</f>
        <v>5.87061541055958</v>
      </c>
      <c r="AA55" s="129" t="n">
        <f aca="false">EXP(-LN(2)/25)*AA54+(1-EXP(-LN(2)/25))/(LN(2)/25)*Calculateur!V55*Calculateur!X55*VLOOKUP('Données projet'!$B$9,Paramètres!$A$1:$I$89,3,0)*0.475*44/12</f>
        <v>6.0592642213343</v>
      </c>
      <c r="AB55" s="129" t="n">
        <f aca="false">EXP(-LN(2)/2)*AB54+(1-EXP(-LN(2)/2))/(LN(2)/2)*V55*Y55*VLOOKUP('Données projet'!$B$9,Paramètres!$A$1:$I$89,3,0)*0.475*44/12</f>
        <v>0.00539215265800702</v>
      </c>
      <c r="AC55" s="130" t="n">
        <f aca="false">SUM(Z55:AB55)</f>
        <v>11.9352717845519</v>
      </c>
      <c r="AD55" s="117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7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8" t="e">
        <f aca="false">VLOOKUP(A55,'Données projet'!$A$61:$I$81,2,0)</f>
        <v>#N/A</v>
      </c>
      <c r="AG55" s="118" t="e">
        <f aca="false">VLOOKUP(A55,'Données projet'!$A$61:$I$81,9,0)</f>
        <v>#N/A</v>
      </c>
      <c r="AH55" s="118" t="n">
        <f aca="false" t="array" ref="AH55:AH55">INDEX(AG:AG,MIN(IF(ISNUMBER(AG55:AG251),ROW(AG55:AG251),"")))</f>
        <v>12.6</v>
      </c>
      <c r="AI55" s="117" t="n">
        <f aca="false">IF('Données projet'!$A$62&gt;35,AI54+AH55-AQ54,IF(A55&lt;'Données projet'!$A$62,$AF$205^A55,IF(A55='Données projet'!$A$62,'Données projet'!$B$62,AI54+AH55-AQ54)))</f>
        <v>527.2</v>
      </c>
      <c r="AJ55" s="117" t="n">
        <f aca="false">AI55*VLOOKUP('Données projet'!$B$10,Paramètres!$A$1:$I$89,3,0)*VLOOKUP('Données projet'!$B$10,Paramètres!$A$1:$I$89,5,0)</f>
        <v>294.7048</v>
      </c>
      <c r="AK55" s="117" t="n">
        <f aca="false">EXP(-1.0587+0.8836*LN(AJ55)+0.284)</f>
        <v>70.0652382560332</v>
      </c>
      <c r="AL55" s="128" t="n">
        <f aca="false">(AJ55+AK55)*0.475*44/12</f>
        <v>635.307816629258</v>
      </c>
      <c r="AM55" s="120" t="n">
        <f aca="false">AL55+(AD55+AE55)*44/12</f>
        <v>928.641149962592</v>
      </c>
      <c r="AN55" s="120" t="n">
        <f aca="true">AVERAGE(OFFSET($AM$3,0,0,'Données projet'!$E$10+1,1))-AVERAGE(OFFSET($H$3,0,0,'Données projet'!$E$10+1,1))</f>
        <v>365.705101827279</v>
      </c>
      <c r="AO55" s="120" t="n">
        <f aca="false">$AO$3</f>
        <v>436.238338449625</v>
      </c>
      <c r="AP55" s="121" t="n">
        <f aca="false">IF(ISNA(VLOOKUP(A55,'Données projet'!$A$61:$I$81,3,0)),0,VLOOKUP(A55,'Données projet'!$A$61:$I$81,3,0))</f>
        <v>0</v>
      </c>
      <c r="AQ55" s="121" t="n">
        <f aca="false">IF(ISNA(VLOOKUP(A55,'Données projet'!$A$61:$I$81,4,0)),0,VLOOKUP(A55,'Données projet'!$A$61:$I$81,4,0))</f>
        <v>0</v>
      </c>
      <c r="AR55" s="122" t="n">
        <f aca="false">IF(ISNA(VLOOKUP(A55,'Données projet'!$A$61:$I$81,5,0)),0%,VLOOKUP(A55,'Données projet'!$A$61:$I$81,5,0)*VLOOKUP('Données projet'!$B$10,Paramètres!$A$1:$I$89,7,0))</f>
        <v>0</v>
      </c>
      <c r="AS55" s="122" t="n">
        <f aca="false">IF(ISNA(VLOOKUP(A55,'Données projet'!$A$61:$I$81,6,0)),0%,VLOOKUP(A55,'Données projet'!$A$61:$I$81,6,0)*VLOOKUP('Données projet'!$B$10,Paramètres!$A$1:$I$89,7,0))</f>
        <v>0</v>
      </c>
      <c r="AT55" s="122" t="n">
        <f aca="false">IF(ISNA(VLOOKUP(A55,'Données projet'!$A$61:$I$81,7,0)),0%,VLOOKUP(A55,'Données projet'!$A$61:$I$81,7,0))</f>
        <v>0</v>
      </c>
      <c r="AU55" s="129" t="n">
        <f aca="false">EXP(-LN(2)/35)*AU54+(1-EXP(-LN(2)/35))/(LN(2)/35)*AQ55*AR55*VLOOKUP('Données projet'!$B$10,Paramètres!$A$1:$I$89,3,0)*0.475*44/12</f>
        <v>2.21596698385905</v>
      </c>
      <c r="AV55" s="129" t="n">
        <f aca="false">EXP(-LN(2)/25)*AV54+(1-EXP(-LN(2)/25))/(LN(2)/25)*Calculateur!AQ55*Calculateur!AS55*VLOOKUP('Données projet'!$B$10,Paramètres!$A$1:$I$89,3,0)*0.475*44/12</f>
        <v>7.17687084649984</v>
      </c>
      <c r="AW55" s="129" t="n">
        <f aca="false">EXP(-LN(2)/2)*AW54+(1-EXP(-LN(2)/2))/(LN(2)/2)*AQ55*AT55*VLOOKUP('Données projet'!$B$10,Paramètres!$A$1:$I$89,3,0)*0.475*44/12</f>
        <v>0.00290188803011513</v>
      </c>
      <c r="AX55" s="129" t="n">
        <f aca="false">SUM(AU55:AW55)</f>
        <v>9.395739718389</v>
      </c>
      <c r="AY55" s="124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8" t="e">
        <f aca="false">VLOOKUP(A55,'Données projet'!$A$87:$I$107,2,0)</f>
        <v>#N/A</v>
      </c>
      <c r="BB55" s="118" t="e">
        <f aca="false">VLOOKUP(A55,'Données projet'!$A$87:$I$107,9,0)</f>
        <v>#N/A</v>
      </c>
      <c r="BC55" s="118" t="n">
        <f aca="false" t="array" ref="BC55:BC55">INDEX(BB:BB,MIN(IF(ISNUMBER(BB55:BB251),ROW(BB55:BB251),"")))</f>
        <v>7.8</v>
      </c>
      <c r="BD55" s="118" t="n">
        <f aca="false">IF('Données projet'!$A$88&gt;35,BD54+BC55-BL54,IF(A55&lt;'Données projet'!$A$88,$BA$205^A55,IF(A55='Données projet'!$A$88,'Données projet'!$B$88,BD54+BC55-BL54)))</f>
        <v>213.6</v>
      </c>
      <c r="BE55" s="117" t="n">
        <f aca="false">BD55*VLOOKUP('Données projet'!$B$11,Paramètres!$A$1:$I$89,3,0)*VLOOKUP('Données projet'!$B$11,Paramètres!$A$1:$I$89,5,0)</f>
        <v>186.60096</v>
      </c>
      <c r="BF55" s="117" t="n">
        <f aca="false">EXP(-1.0587+0.8836*LN(BE55)+0.284)</f>
        <v>46.7876856836641</v>
      </c>
      <c r="BG55" s="128" t="n">
        <f aca="false">(BE55+BF55)*0.475*44/12</f>
        <v>406.485224565715</v>
      </c>
      <c r="BH55" s="120" t="n">
        <f aca="false">BG55+(AY55+AZ55)*44/12</f>
        <v>699.818557899049</v>
      </c>
      <c r="BI55" s="120" t="n">
        <f aca="true">AVERAGE(OFFSET($BH$3,0,0,'Données projet'!$E$11+1,1))-AVERAGE(OFFSET($H$3,0,0,'Données projet'!$E$11+1,1))</f>
        <v>321.235999689929</v>
      </c>
      <c r="BJ55" s="120" t="n">
        <f aca="false">$BJ$3</f>
        <v>388.051958478005</v>
      </c>
      <c r="BK55" s="121" t="n">
        <f aca="false">IF(ISNA(VLOOKUP(A55,'Données projet'!$A$87:$I$107,3,0)),0,VLOOKUP(A55,'Données projet'!$A$87:$I$107,3,0))</f>
        <v>0</v>
      </c>
      <c r="BL55" s="121" t="n">
        <f aca="false">IF(ISNA(VLOOKUP(A55,'Données projet'!$A$87:$I$107,4,0)),0,VLOOKUP(A55,'Données projet'!$A$87:$I$107,4,0))</f>
        <v>0</v>
      </c>
      <c r="BM55" s="122" t="n">
        <f aca="false">IF(ISNA(VLOOKUP(A55,'Données projet'!$A$87:$I$107,5,0)),0%,VLOOKUP(A55,'Données projet'!$A$87:$I$107,5,0)*VLOOKUP('Données projet'!$B$11,Paramètres!$A$1:$I$89,7,0))</f>
        <v>0</v>
      </c>
      <c r="BN55" s="122" t="n">
        <f aca="false">IF(ISNA(VLOOKUP(A55,'Données projet'!$A$87:$I$107,6,0)),0%,VLOOKUP(A55,'Données projet'!$A$87:$I$107,6,0)*VLOOKUP('Données projet'!$B$11,Paramètres!$A$1:$I$89,7,0))</f>
        <v>0</v>
      </c>
      <c r="BO55" s="122" t="n">
        <f aca="false">IF(ISNA(VLOOKUP(A55,'Données projet'!$A$87:$I$107,7,0)),0%,VLOOKUP(A55,'Données projet'!$A$87:$I$107,7,0))</f>
        <v>0</v>
      </c>
      <c r="BP55" s="129" t="n">
        <f aca="false">EXP(-LN(2)/35)*BP54+(1-EXP(-LN(2)/35))/(LN(2)/35)*BL55*BM55*VLOOKUP('Données projet'!$B$11,Paramètres!$A$1:$I$89,3,0)*0.475*44/12</f>
        <v>5.56345402489452</v>
      </c>
      <c r="BQ55" s="129" t="n">
        <f aca="false">EXP(-LN(2)/25)*BQ54+(1-EXP(-LN(2)/25))/(LN(2)/25)*Calculateur!BL55*Calculateur!BN55*VLOOKUP('Données projet'!$B$11,Paramètres!$A$1:$I$89,3,0)*0.475*44/12</f>
        <v>7.32572348033438</v>
      </c>
      <c r="BR55" s="129" t="n">
        <f aca="false">EXP(-LN(2)/2)*BR54+(1-EXP(-LN(2)/2))/(LN(2)/2)*BL55*BO55*VLOOKUP('Données projet'!$B$11,Paramètres!$A$1:$I$89,3,0)*0.475*44/12</f>
        <v>0.00294970886586657</v>
      </c>
      <c r="BS55" s="130" t="n">
        <f aca="false">SUM(BP55:BR55)</f>
        <v>12.8921272140948</v>
      </c>
      <c r="BT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8" t="e">
        <f aca="false">VLOOKUP(A55,'Données projet'!$A$113:$I$133,2,0)</f>
        <v>#N/A</v>
      </c>
      <c r="BW55" s="118" t="e">
        <f aca="false">VLOOKUP(A55,'Données projet'!$A$113:$I$133,9,0)</f>
        <v>#N/A</v>
      </c>
      <c r="BX55" s="118" t="n">
        <f aca="false" t="array" ref="BX55:BX55">INDEX(BW:BW,MIN(IF(ISNUMBER(BW55:BW251),ROW(BW55:BW251),"")))</f>
        <v>9.75</v>
      </c>
      <c r="BY55" s="118" t="n">
        <f aca="false">IF('Données projet'!$A$114&gt;35,BY54+BX55-CG54,IF(A55&lt;'Données projet'!$A$114,$BV$205^A55,IF(A55='Données projet'!$A$114,'Données projet'!$B$114,BY54+BX55-CG54)))</f>
        <v>226</v>
      </c>
      <c r="BZ55" s="117" t="n">
        <f aca="false">BY55*VLOOKUP('Données projet'!$B$12,Paramètres!$A$1:$I$89,3,0)*VLOOKUP('Données projet'!$B$12,Paramètres!$A$1:$I$89,5,0)</f>
        <v>141.024</v>
      </c>
      <c r="CA55" s="117" t="n">
        <f aca="false">EXP(-1.0587+0.8836*LN(BZ55)+0.284)</f>
        <v>36.5314899258825</v>
      </c>
      <c r="CB55" s="128" t="n">
        <f aca="false">(BZ55+CA55)*0.475*44/12</f>
        <v>309.242478287579</v>
      </c>
      <c r="CC55" s="120" t="n">
        <f aca="false">CB55+(BT55+BU55)*44/12</f>
        <v>602.575811620912</v>
      </c>
      <c r="CD55" s="120" t="n">
        <f aca="true">AVERAGE(OFFSET($CC$3,0,0,'Données projet'!$E$12+1,1))-AVERAGE(OFFSET($H$3,0,0,'Données projet'!$E$12+1,1))</f>
        <v>240.228848647662</v>
      </c>
      <c r="CE55" s="120" t="n">
        <f aca="false">$CE$3</f>
        <v>343.237768841432</v>
      </c>
      <c r="CF55" s="121" t="n">
        <f aca="false">IF(ISNA(VLOOKUP(A55,'Données projet'!$A$113:$I$133,3,0)),0,VLOOKUP(A55,'Données projet'!$A$113:$I$133,3,0))</f>
        <v>0</v>
      </c>
      <c r="CG55" s="121" t="n">
        <f aca="false">IF(ISNA(VLOOKUP(A55,'Données projet'!$A$113:$I$133,4,0)),0,VLOOKUP(A55,'Données projet'!$A$113:$I$133,4,0))</f>
        <v>0</v>
      </c>
      <c r="CH55" s="122" t="n">
        <f aca="false">IF(ISNA(VLOOKUP(A55,'Données projet'!$A$113:$I$133,5,0)),0%,VLOOKUP(A55,'Données projet'!$A$113:$I$133,5,0)*VLOOKUP('Données projet'!$B$12,Paramètres!$A$1:$I$89,7,0))</f>
        <v>0</v>
      </c>
      <c r="CI55" s="122" t="n">
        <f aca="false">IF(ISNA(VLOOKUP(A55,'Données projet'!$A$113:$I$133,6,0)),0%,VLOOKUP(A55,'Données projet'!$A$113:$I$133,6,0)*VLOOKUP('Données projet'!$B$12,Paramètres!$A$1:$I$89,7,0))</f>
        <v>0</v>
      </c>
      <c r="CJ55" s="122" t="n">
        <f aca="false">IF(ISNA(VLOOKUP(A55,'Données projet'!$A$113:$I$133,7,0)),0%,VLOOKUP(A55,'Données projet'!$A$113:$I$133,7,0))</f>
        <v>0</v>
      </c>
      <c r="CK55" s="129" t="n">
        <f aca="false">EXP(-LN(2)/35)*CK54+(1-EXP(-LN(2)/35))/(LN(2)/35)*CG55*CH55*VLOOKUP('Données projet'!$B$12,Paramètres!$A$1:$I$89,3,0)*0.475*44/12</f>
        <v>3.40526729503921</v>
      </c>
      <c r="CL55" s="129" t="n">
        <f aca="false">EXP(-LN(2)/25)*CL54+(1-EXP(-LN(2)/25))/(LN(2)/25)*Calculateur!CG55*Calculateur!CI55*VLOOKUP('Données projet'!$B$12,Paramètres!$A$1:$I$89,3,0)*0.475*44/12</f>
        <v>12.9376517515726</v>
      </c>
      <c r="CM55" s="129" t="n">
        <f aca="false">EXP(-LN(2)/2)*CM54+(1-EXP(-LN(2)/2))/(LN(2)/2)*CG55*CJ55*VLOOKUP('Données projet'!$B$12,Paramètres!$A$1:$I$89,3,0)*0.475*44/12</f>
        <v>0.00470694895799014</v>
      </c>
      <c r="CN55" s="130" t="n">
        <f aca="false">SUM(CK55:CM55)</f>
        <v>16.3476259955699</v>
      </c>
      <c r="CO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8" t="e">
        <f aca="false">VLOOKUP(A55,'Données projet'!$A$139:$I$159,2,0)</f>
        <v>#N/A</v>
      </c>
      <c r="CR55" s="118" t="e">
        <f aca="false">VLOOKUP(A55,'Données projet'!$A$139:$I$159,9,0)</f>
        <v>#N/A</v>
      </c>
      <c r="CS55" s="118" t="n">
        <f aca="false" t="array" ref="CS55:CS55">INDEX(CR:CR,MIN(IF(ISNUMBER(CR55:CR251),ROW(CR55:CR251),"")))</f>
        <v>0</v>
      </c>
      <c r="CT55" s="118" t="n">
        <f aca="false">IF('Données projet'!$A$140&gt;35,CT54+CS55-DB54,IF(A55&lt;'Données projet'!$A$140,$CQ$205^A55,IF(A55='Données projet'!$A$140,'Données projet'!$B$140,CT54+CS55-DB54)))</f>
        <v>-5.6843418860808E-014</v>
      </c>
      <c r="CU55" s="125" t="n">
        <f aca="false">CT55*VLOOKUP('Données projet'!$B$13,Paramètres!$A$1:$I$89,3,0)*VLOOKUP('Données projet'!$B$13,Paramètres!$A$1:$I$89,5,0)</f>
        <v>-3.10365066980012E-014</v>
      </c>
      <c r="CV55" s="117" t="e">
        <f aca="false">EXP(-1.0587+0.8836*LN(CU55)+0.284)</f>
        <v>#VALUE!</v>
      </c>
      <c r="CW55" s="128" t="e">
        <f aca="false">(CU55+CV55)*0.475*44/12</f>
        <v>#VALUE!</v>
      </c>
      <c r="CX55" s="120" t="e">
        <f aca="false">CW55+(CO55+CP55)*44/12</f>
        <v>#VALUE!</v>
      </c>
      <c r="CY55" s="120" t="n">
        <f aca="true">AVERAGE(OFFSET($CX$3,0,0,'Données projet'!$E$13+1,1))-AVERAGE(OFFSET($H$3,0,0,'Données projet'!$E$13+1,1))</f>
        <v>207.023069645676</v>
      </c>
      <c r="CZ55" s="120" t="n">
        <f aca="false">$CZ$3</f>
        <v>342.068879333518</v>
      </c>
      <c r="DA55" s="121" t="n">
        <f aca="false">IF(ISNA(VLOOKUP(A55,'Données projet'!$A$139:$I$159,3,0)),0,VLOOKUP(A55,'Données projet'!$A$139:$I$159,3,0))</f>
        <v>0</v>
      </c>
      <c r="DB55" s="121" t="n">
        <f aca="false">IF(ISNA(VLOOKUP(A55,'Données projet'!$A$139:$I$159,4,0)),0,VLOOKUP(A55,'Données projet'!$A$139:$I$159,4,0))</f>
        <v>0</v>
      </c>
      <c r="DC55" s="122" t="n">
        <f aca="false">IF(ISNA(VLOOKUP(A55,'Données projet'!$A$139:$I$159,5,0)),0%,VLOOKUP(A55,'Données projet'!$A$139:$I$159,5,0)*VLOOKUP('Données projet'!$B$13,Paramètres!$A$1:$I$89,7,0))</f>
        <v>0</v>
      </c>
      <c r="DD55" s="122" t="n">
        <f aca="false">IF(ISNA(VLOOKUP(A55,'Données projet'!$A$139:$I$159,6,0)),0%,VLOOKUP(A55,'Données projet'!$A$139:$I$159,6,0)*VLOOKUP('Données projet'!$B$13,Paramètres!$A$1:$I$89,7,0))</f>
        <v>0</v>
      </c>
      <c r="DE55" s="122" t="n">
        <f aca="false">IF(ISNA(VLOOKUP(A55,'Données projet'!$A$139:$I$159,7,0)),0%,VLOOKUP(A55,'Données projet'!$A$139:$I$159,7,0))</f>
        <v>0</v>
      </c>
      <c r="DF55" s="129" t="n">
        <f aca="false">EXP(-LN(2)/35)*DF54+(1-EXP(-LN(2)/35))/(LN(2)/35)*DB55*DC55*VLOOKUP('Données projet'!$B$13,Paramètres!$A$1:$I$89,3,0)*0.475*44/12</f>
        <v>4.27264670037939</v>
      </c>
      <c r="DG55" s="129" t="n">
        <f aca="false">EXP(-LN(2)/25)*DG54+(1-EXP(-LN(2)/25))/(LN(2)/25)*Calculateur!DB55*Calculateur!DD55*VLOOKUP('Données projet'!$B$13,Paramètres!$A$1:$I$89,3,0)*0.475*44/12</f>
        <v>21.1476722264253</v>
      </c>
      <c r="DH55" s="129" t="n">
        <f aca="false">EXP(-LN(2)/2)*DH54+(1-EXP(-LN(2)/2))/(LN(2)/2)*DB55*DE55*VLOOKUP('Données projet'!$B$13,Paramètres!$A$1:$I$89,3,0)*0.475*44/12</f>
        <v>0.00648147089741252</v>
      </c>
      <c r="DI55" s="130" t="n">
        <f aca="false">SUM(DF55:DH55)</f>
        <v>25.4268003977021</v>
      </c>
      <c r="DJ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8" t="e">
        <f aca="false">VLOOKUP(A55,'Données projet'!$A$165:$I$185,2,0)</f>
        <v>#N/A</v>
      </c>
      <c r="DM55" s="118" t="e">
        <f aca="false">VLOOKUP(A55,'Données projet'!$A$165:$I$185,9,0)</f>
        <v>#N/A</v>
      </c>
      <c r="DN55" s="118" t="n">
        <f aca="false" t="array" ref="DN55:DN55">INDEX(DM:DM,MIN(IF(ISNUMBER(DM55:DM251),ROW(DM55:DM251),"")))</f>
        <v>-256.625</v>
      </c>
      <c r="DO55" s="118" t="n">
        <f aca="false">IF('Données projet'!$A$166&gt;35,DO54+DN55-DW54,IF(A55&lt;'Données projet'!$A$166,$DL$205^A55,IF(A55='Données projet'!$A$166,'Données projet'!$B$166,DO54+DN55-DW54)))</f>
        <v>824.25</v>
      </c>
      <c r="DP55" s="125" t="n">
        <f aca="false">DO55*VLOOKUP('Données projet'!$B$14,Paramètres!$A$1:$I$89,3,0)*VLOOKUP('Données projet'!$B$14,Paramètres!$A$1:$I$89,5,0)</f>
        <v>492.9015</v>
      </c>
      <c r="DQ55" s="117" t="n">
        <f aca="false">EXP(-1.0587+0.8836*LN(DP55)+0.284)</f>
        <v>110.376069412075</v>
      </c>
      <c r="DR55" s="128" t="n">
        <f aca="false">(DP55+DQ55)*0.475*44/12</f>
        <v>1050.7084333927</v>
      </c>
      <c r="DS55" s="120" t="n">
        <f aca="false">DR55+(DJ55+DK55)*44/12</f>
        <v>1344.04176672603</v>
      </c>
      <c r="DT55" s="120" t="n">
        <f aca="true">AVERAGE(OFFSET($DS$3,0,0,'Données projet'!$E$14+1,1))-AVERAGE(OFFSET($H$3,0,0,'Données projet'!$E$14+1,1))</f>
        <v>549.432320957297</v>
      </c>
      <c r="DU55" s="120" t="n">
        <f aca="false">$DU$3</f>
        <v>280.26155987301</v>
      </c>
      <c r="DV55" s="121" t="n">
        <f aca="false">IF(ISNA(VLOOKUP(A55,'Données projet'!$A$165:$I$185,3,0)),0,VLOOKUP(A55,'Données projet'!$A$165:$I$185,3,0))</f>
        <v>0</v>
      </c>
      <c r="DW55" s="121" t="n">
        <f aca="false">IF(ISNA(VLOOKUP(A55,'Données projet'!$A$165:$I$185,4,0)),0,VLOOKUP(A55,'Données projet'!$A$165:$I$185,4,0))</f>
        <v>0</v>
      </c>
      <c r="DX55" s="122" t="n">
        <f aca="false">IF(ISNA(VLOOKUP(A55,'Données projet'!$A$165:$I$185,5,0)),0%,VLOOKUP(A55,'Données projet'!$A$165:$I$185,5,0)*VLOOKUP('Données projet'!$B$14,Paramètres!$A$1:$I$89,7,0))</f>
        <v>0</v>
      </c>
      <c r="DY55" s="122" t="n">
        <f aca="false">IF(ISNA(VLOOKUP(A55,'Données projet'!$A$165:$I$185,6,0)),0%,VLOOKUP(A55,'Données projet'!$A$165:$I$185,6,0)*VLOOKUP('Données projet'!$B$14,Paramètres!$A$1:$I$89,7,0))</f>
        <v>0</v>
      </c>
      <c r="DZ55" s="122" t="n">
        <f aca="false">IF(ISNA(VLOOKUP(A55,'Données projet'!$A$165:$I$185,7,0)),0%,VLOOKUP(A55,'Données projet'!$A$165:$I$185,7,0))</f>
        <v>0</v>
      </c>
      <c r="EA55" s="129" t="n">
        <f aca="false">EXP(-LN(2)/35)*EA54+(1-EXP(-LN(2)/35))/(LN(2)/35)*DW55*DX55*VLOOKUP('Données projet'!$B$14,Paramètres!$A$1:$I$89,3,0)*0.475*44/12</f>
        <v>1.55352957606966</v>
      </c>
      <c r="EB55" s="129" t="n">
        <f aca="false">EXP(-LN(2)/25)*EB54+(1-EXP(-LN(2)/25))/(LN(2)/25)*Calculateur!DW55*Calculateur!DY55*VLOOKUP('Données projet'!$B$14,Paramètres!$A$1:$I$89,3,0)*0.475*44/12</f>
        <v>4.21303354374349</v>
      </c>
      <c r="EC55" s="129" t="n">
        <f aca="false">EXP(-LN(2)/2)*EC54+(1-EXP(-LN(2)/2))/(LN(2)/2)*DW55*DZ55*VLOOKUP('Données projet'!$B$14,Paramètres!$A$1:$I$89,3,0)*0.475*44/12</f>
        <v>0.00298782447976537</v>
      </c>
      <c r="ED55" s="130" t="n">
        <f aca="false">SUM(EA55:EC55)</f>
        <v>5.76955094429291</v>
      </c>
      <c r="EE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8" t="e">
        <f aca="false">VLOOKUP(A55,'Données projet'!$A$191:$I$211,2,0)</f>
        <v>#N/A</v>
      </c>
      <c r="EH55" s="118" t="e">
        <f aca="false">VLOOKUP(A55,'Données projet'!$A$191:$I$211,9,0)</f>
        <v>#N/A</v>
      </c>
      <c r="EI55" s="118" t="n">
        <f aca="false" t="array" ref="EI55:EI55">INDEX(EH:EH,MIN(IF(ISNUMBER(EH55:EH251),ROW(EH55:EH251),"")))</f>
        <v>0</v>
      </c>
      <c r="EJ55" s="118" t="n">
        <f aca="false">IF('Données projet'!$A$192&gt;35,EJ54+EI55-ER54,IF(A55&lt;'Données projet'!$A$192,$EG$205^A55,IF(A55='Données projet'!$A$192,'Données projet'!$B$192,EJ54+EI55-ER54)))</f>
        <v>0</v>
      </c>
      <c r="EK55" s="125" t="e">
        <f aca="false">EJ55*VLOOKUP('Données projet'!$B$15,Paramètres!$A$1:$I$89,3,0)*VLOOKUP('Données projet'!$B$15,Paramètres!$A$1:$I$89,5,0)</f>
        <v>#N/A</v>
      </c>
      <c r="EL55" s="117" t="e">
        <f aca="false">EXP(-1.0587+0.8836*LN(EK55)+0.284)</f>
        <v>#N/A</v>
      </c>
      <c r="EM55" s="128" t="e">
        <f aca="false">(EK55+EL55)*0.475*44/12</f>
        <v>#N/A</v>
      </c>
      <c r="EN55" s="120" t="e">
        <f aca="false">EM55+(EE55+EF55)*44/12</f>
        <v>#N/A</v>
      </c>
      <c r="EO55" s="120" t="e">
        <f aca="true">AVERAGE(OFFSET($EN$3,0,0,'Données projet'!$E$15+1,1))-AVERAGE(OFFSET($H$3,0,0,'Données projet'!$E$15+1,1))</f>
        <v>#N/A</v>
      </c>
      <c r="EP55" s="120" t="e">
        <f aca="false">$EP$3</f>
        <v>#N/A</v>
      </c>
      <c r="EQ55" s="121" t="n">
        <f aca="false">IF(ISNA(VLOOKUP(A55,'Données projet'!$A$191:$I$211,3,0)),0,VLOOKUP(A55,'Données projet'!$A$191:$I$211,3,0))</f>
        <v>0</v>
      </c>
      <c r="ER55" s="121" t="n">
        <f aca="false">IF(ISNA(VLOOKUP(A55,'Données projet'!$A$191:$I$211,4,0)),0,VLOOKUP(A55,'Données projet'!$A$191:$I$211,4,0))</f>
        <v>0</v>
      </c>
      <c r="ES55" s="122" t="n">
        <f aca="false">IF(ISNA(VLOOKUP(A55,'Données projet'!$A$191:$I$211,5,0)),0%,VLOOKUP(A55,'Données projet'!$A$191:$I$211,5,0)*VLOOKUP('Données projet'!$B$15,Paramètres!$A$1:$I$89,7,0))</f>
        <v>0</v>
      </c>
      <c r="ET55" s="122" t="n">
        <f aca="false">IF(ISNA(VLOOKUP(A55,'Données projet'!$A$191:$I$211,6,0)),0%,VLOOKUP(A55,'Données projet'!$A$191:$I$211,6,0)*VLOOKUP('Données projet'!$B$15,Paramètres!$A$1:$I$89,7,0))</f>
        <v>0</v>
      </c>
      <c r="EU55" s="122" t="n">
        <f aca="false">IF(ISNA(VLOOKUP(A55,'Données projet'!$A$191:$I$211,7,0)),0%,VLOOKUP(A55,'Données projet'!$A$191:$I$211,7,0))</f>
        <v>0</v>
      </c>
      <c r="EV55" s="129" t="e">
        <f aca="false">EXP(-LN(2)/35)*EV54+(1-EXP(-LN(2)/35))/(LN(2)/35)*ER55*ES55*VLOOKUP('Données projet'!$B$15,Paramètres!$A$1:$I$89,3,0)*0.475*44/12</f>
        <v>#N/A</v>
      </c>
      <c r="EW55" s="129" t="e">
        <f aca="false">EXP(-LN(2)/25)*EW54+(1-EXP(-LN(2)/25))/(LN(2)/25)*Calculateur!ER55*Calculateur!ET55*VLOOKUP('Données projet'!$B$15,Paramètres!$A$1:$I$89,3,0)*0.475*44/12</f>
        <v>#N/A</v>
      </c>
      <c r="EX55" s="129" t="e">
        <f aca="false">EXP(-LN(2)/2)*EX54+(1-EXP(-LN(2)/2))/(LN(2)/2)*ER55*EU55*VLOOKUP('Données projet'!$B$15,Paramètres!$A$1:$I$89,3,0)*0.475*44/12</f>
        <v>#N/A</v>
      </c>
      <c r="EY55" s="130" t="e">
        <f aca="false">SUM(EV55:EX55)</f>
        <v>#N/A</v>
      </c>
      <c r="EZ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8" t="e">
        <f aca="false">VLOOKUP(A55,'Données projet'!$A$217:$I$237,2,0)</f>
        <v>#N/A</v>
      </c>
      <c r="FC55" s="118" t="e">
        <f aca="false">VLOOKUP(A55,'Données projet'!$A$217:$I$237,9,0)</f>
        <v>#N/A</v>
      </c>
      <c r="FD55" s="118" t="n">
        <f aca="false" t="array" ref="FD55:FD55">INDEX(FC:FC,MIN(IF(ISNUMBER(FC55:FC251),ROW(FC55:FC251),"")))</f>
        <v>0</v>
      </c>
      <c r="FE55" s="118" t="n">
        <f aca="false">IF('Données projet'!$A$218&gt;35,FE54+FD55-FM54,IF(A55&lt;'Données projet'!$A$218,$FB$205^A55,IF(A55='Données projet'!$A$218,'Données projet'!$B$218,FE54+FD55-FM54)))</f>
        <v>0</v>
      </c>
      <c r="FF55" s="125" t="e">
        <f aca="false">FE55*VLOOKUP('Données projet'!$B$16,Paramètres!$A$1:$I$89,3,0)*VLOOKUP('Données projet'!$B$16,Paramètres!$A$1:$I$89,5,0)</f>
        <v>#N/A</v>
      </c>
      <c r="FG55" s="117" t="e">
        <f aca="false">EXP(-1.0587+0.8836*LN(FF55)+0.284)</f>
        <v>#N/A</v>
      </c>
      <c r="FH55" s="128" t="e">
        <f aca="false">(FF55+FG55)*0.475*44/12</f>
        <v>#N/A</v>
      </c>
      <c r="FI55" s="120" t="e">
        <f aca="false">FH55+(EZ55+FA55)*44/12</f>
        <v>#N/A</v>
      </c>
      <c r="FJ55" s="120" t="e">
        <f aca="true">AVERAGE(OFFSET($FI$3,0,0,'Données projet'!$E$16+1,1))-AVERAGE(OFFSET($H$3,0,0,'Données projet'!$E$16+1,1))</f>
        <v>#N/A</v>
      </c>
      <c r="FK55" s="120" t="e">
        <f aca="false">$FK$3</f>
        <v>#N/A</v>
      </c>
      <c r="FL55" s="121" t="n">
        <f aca="false">IF(ISNA(VLOOKUP(A55,'Données projet'!$A$217:$I$237,3,0)),0,VLOOKUP(A55,'Données projet'!$A$217:$I$237,3,0))</f>
        <v>0</v>
      </c>
      <c r="FM55" s="121" t="n">
        <f aca="false">IF(ISNA(VLOOKUP(A55,'Données projet'!$A$217:$I$237,4,0)),0,VLOOKUP(A55,'Données projet'!$A$217:$I$237,4,0))</f>
        <v>0</v>
      </c>
      <c r="FN55" s="122" t="n">
        <f aca="false">IF(ISNA(VLOOKUP(A55,'Données projet'!$A$217:$I$237,5,0)),0%,VLOOKUP(A55,'Données projet'!$A$217:$I$237,5,0)*VLOOKUP('Données projet'!$B$16,Paramètres!$A$1:$I$89,7,0))</f>
        <v>0</v>
      </c>
      <c r="FO55" s="122" t="n">
        <f aca="false">IF(ISNA(VLOOKUP(A55,'Données projet'!$A$217:$I$237,6,0)),0%,VLOOKUP(A55,'Données projet'!$A$217:$I$237,6,0)*VLOOKUP('Données projet'!$B$16,Paramètres!$A$1:$I$89,7,0))</f>
        <v>0</v>
      </c>
      <c r="FP55" s="122" t="n">
        <f aca="false">IF(ISNA(VLOOKUP(A55,'Données projet'!$A$217:$I$237,7,0)),0%,VLOOKUP(A55,'Données projet'!$A$217:$I$237,7,0))</f>
        <v>0</v>
      </c>
      <c r="FQ55" s="129" t="e">
        <f aca="false">EXP(-LN(2)/35)*FQ54+(1-EXP(-LN(2)/35))/(LN(2)/35)*FM55*FN55*VLOOKUP('Données projet'!$B$16,Paramètres!$A$1:$I$89,3,0)*0.475*44/12</f>
        <v>#N/A</v>
      </c>
      <c r="FR55" s="129" t="e">
        <f aca="false">EXP(-LN(2)/25)*FR54+(1-EXP(-LN(2)/25))/(LN(2)/25)*Calculateur!FM55*Calculateur!FO55*VLOOKUP('Données projet'!$B$16,Paramètres!$A$1:$I$89,3,0)*0.475*44/12</f>
        <v>#N/A</v>
      </c>
      <c r="FS55" s="129" t="e">
        <f aca="false">EXP(-LN(2)/2)*FS54+(1-EXP(-LN(2)/2))/(LN(2)/2)*FM55*FP55*VLOOKUP('Données projet'!$B$16,Paramètres!$A$1:$I$89,3,0)*0.475*44/12</f>
        <v>#N/A</v>
      </c>
      <c r="FT55" s="130" t="e">
        <f aca="false">SUM(FQ55:FS55)</f>
        <v>#N/A</v>
      </c>
      <c r="FU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8" t="e">
        <f aca="false">VLOOKUP(A55,'Données projet'!$A$243:$I$263,2,0)</f>
        <v>#N/A</v>
      </c>
      <c r="FX55" s="118" t="e">
        <f aca="false">VLOOKUP(A55,'Données projet'!$A$243:$I$263,9,0)</f>
        <v>#N/A</v>
      </c>
      <c r="FY55" s="118" t="n">
        <f aca="false" t="array" ref="FY55:FY55">INDEX(FX:FX,MIN(IF(ISNUMBER(FX55:FX251),ROW(FX55:FX251),"")))</f>
        <v>0</v>
      </c>
      <c r="FZ55" s="118" t="n">
        <f aca="false">IF('Données projet'!$A$244&gt;35,FZ54+FY55-GH54,IF(A55&lt;'Données projet'!$A$244,$FW$205^A55,IF(A55='Données projet'!$A$244,'Données projet'!$B$244,FZ54+FY55-GH54)))</f>
        <v>0</v>
      </c>
      <c r="GA55" s="125" t="e">
        <f aca="false">FZ55*VLOOKUP('Données projet'!$B$17,Paramètres!$A$1:$I$89,3,0)*VLOOKUP('Données projet'!$B$17,Paramètres!$A$1:$I$89,5,0)</f>
        <v>#N/A</v>
      </c>
      <c r="GB55" s="117" t="e">
        <f aca="false">EXP(-1.0587+0.8836*LN(GA55)+0.284)</f>
        <v>#N/A</v>
      </c>
      <c r="GC55" s="128" t="e">
        <f aca="false">(GA55+GB55)*0.475*44/12</f>
        <v>#N/A</v>
      </c>
      <c r="GD55" s="120" t="e">
        <f aca="false">GC55+(FU55+FV55)*44/12</f>
        <v>#N/A</v>
      </c>
      <c r="GE55" s="120" t="e">
        <f aca="true">AVERAGE(OFFSET($GD$3,0,0,'Données projet'!$E$17+1,1))-AVERAGE(OFFSET($H$3,0,0,'Données projet'!$E$17+1,1))</f>
        <v>#N/A</v>
      </c>
      <c r="GF55" s="120" t="e">
        <f aca="false">$GF$3</f>
        <v>#N/A</v>
      </c>
      <c r="GG55" s="121" t="n">
        <f aca="false">IF(ISNA(VLOOKUP(A55,'Données projet'!$A$243:$I$263,3,0)),0,VLOOKUP(A55,'Données projet'!$A$243:$I$263,3,0))</f>
        <v>0</v>
      </c>
      <c r="GH55" s="121" t="n">
        <f aca="false">IF(ISNA(VLOOKUP(A55,'Données projet'!$A$243:$I$263,4,0)),0,VLOOKUP(A55,'Données projet'!$A$243:$I$263,4,0))</f>
        <v>0</v>
      </c>
      <c r="GI55" s="122" t="n">
        <f aca="false">IF(ISNA(VLOOKUP(A55,'Données projet'!$A$243:$I$263,5,0)),0%,VLOOKUP(A55,'Données projet'!$A$243:$I$263,5,0)*VLOOKUP('Données projet'!$B$17,Paramètres!$A$1:$I$89,7,0))</f>
        <v>0</v>
      </c>
      <c r="GJ55" s="122" t="n">
        <f aca="false">IF(ISNA(VLOOKUP(A55,'Données projet'!$A$243:$I$263,6,0)),0%,VLOOKUP(A55,'Données projet'!$A$243:$I$263,6,0)*VLOOKUP('Données projet'!$B$17,Paramètres!$A$1:$I$89,7,0))</f>
        <v>0</v>
      </c>
      <c r="GK55" s="122" t="n">
        <f aca="false">IF(ISNA(VLOOKUP(A55,'Données projet'!$A$243:$I$263,7,0)),0%,VLOOKUP(A55,'Données projet'!$A$243:$I$263,7,0))</f>
        <v>0</v>
      </c>
      <c r="GL55" s="129" t="e">
        <f aca="false">EXP(-LN(2)/35)*GL54+(1-EXP(-LN(2)/35))/(LN(2)/35)*GH55*GI55*VLOOKUP('Données projet'!$B$17,Paramètres!$A$1:$I$89,3,0)*0.475*44/12</f>
        <v>#N/A</v>
      </c>
      <c r="GM55" s="129" t="e">
        <f aca="false">EXP(-LN(2)/25)*GM54+(1-EXP(-LN(2)/25))/(LN(2)/25)*Calculateur!GH55*Calculateur!GJ55*VLOOKUP('Données projet'!$B$17,Paramètres!$A$1:$I$89,3,0)*0.475*44/12</f>
        <v>#N/A</v>
      </c>
      <c r="GN55" s="129" t="e">
        <f aca="false">EXP(-LN(2)/2)*GN54+(1-EXP(-LN(2)/2))/(LN(2)/2)*GH55*GK55*VLOOKUP('Données projet'!$B$17,Paramètres!$A$1:$I$89,3,0)*0.475*44/12</f>
        <v>#N/A</v>
      </c>
      <c r="GO55" s="129" t="e">
        <f aca="false">SUM(GL55:GN55)</f>
        <v>#N/A</v>
      </c>
      <c r="GP55" s="126" t="n">
        <f aca="false"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8" t="n">
        <f aca="false"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8" t="e">
        <f aca="false">VLOOKUP(A55,'Données projet'!$A$269:$I$289,2,0)</f>
        <v>#N/A</v>
      </c>
      <c r="GS55" s="118" t="e">
        <f aca="false">VLOOKUP(A55,'Données projet'!$A$269:$I$289,9,0)</f>
        <v>#N/A</v>
      </c>
      <c r="GT55" s="118" t="n">
        <f aca="false" t="array" ref="GT55:GT55">INDEX(GS:GS,MIN(IF(ISNUMBER(GS55:GS251),ROW(GS55:GS251),"")))</f>
        <v>0</v>
      </c>
      <c r="GU55" s="118" t="n">
        <f aca="false">IF('Données projet'!$A$270&gt;35,GU54+GT55-HC54,IF(A55&lt;'Données projet'!$A$270,$GR$205^A55,IF(A55='Données projet'!$A$270,'Données projet'!$B$270,GU54+GT55-HC54)))</f>
        <v>0</v>
      </c>
      <c r="GV55" s="125" t="e">
        <f aca="false">GU55*VLOOKUP('Données projet'!$B$18,Paramètres!$A$1:$I$89,3,0)*VLOOKUP('Données projet'!$B$18,Paramètres!$A$1:$I$89,5,0)</f>
        <v>#N/A</v>
      </c>
      <c r="GW55" s="117" t="e">
        <f aca="false">EXP(-1.0587+0.8836*LN(GV55)+0.284)</f>
        <v>#N/A</v>
      </c>
      <c r="GX55" s="128" t="e">
        <f aca="false">(GV55+GW55)*0.475*44/12</f>
        <v>#N/A</v>
      </c>
      <c r="GY55" s="120" t="e">
        <f aca="false">GX55+(GP55+GQ55)*44/12</f>
        <v>#N/A</v>
      </c>
      <c r="GZ55" s="120" t="e">
        <f aca="true">AVERAGE(OFFSET($GY$3,0,0,'Données projet'!$E$18+1,1))-AVERAGE(OFFSET($H$3,0,0,'Données projet'!$E$18+1,1))</f>
        <v>#N/A</v>
      </c>
      <c r="HA55" s="120" t="e">
        <f aca="false">$HA$3</f>
        <v>#N/A</v>
      </c>
      <c r="HB55" s="121" t="n">
        <f aca="false">IF(ISNA(VLOOKUP(A55,'Données projet'!$A$269:$I$289,3,0)),0,VLOOKUP(A55,'Données projet'!$A$269:$I$289,3,0))</f>
        <v>0</v>
      </c>
      <c r="HC55" s="121" t="n">
        <f aca="false">IF(ISNA(VLOOKUP(A55,'Données projet'!$A$269:$I$289,4,0)),0,VLOOKUP(A55,'Données projet'!$A$269:$I$289,4,0))</f>
        <v>0</v>
      </c>
      <c r="HD55" s="122" t="n">
        <f aca="false">IF(ISNA(VLOOKUP(A55,'Données projet'!$A$269:$I$289,5,0)),0%,VLOOKUP(A55,'Données projet'!$A$269:$I$289,5,0)*VLOOKUP('Données projet'!$B$18,Paramètres!$A$1:$I$89,7,0))</f>
        <v>0</v>
      </c>
      <c r="HE55" s="122" t="n">
        <f aca="false">IF(ISNA(VLOOKUP(A55,'Données projet'!$A$269:$I$289,6,0)),0%,VLOOKUP(A55,'Données projet'!$A$269:$I$289,6,0)*VLOOKUP('Données projet'!$B$18,Paramètres!$A$1:$I$89,7,0))</f>
        <v>0</v>
      </c>
      <c r="HF55" s="122" t="n">
        <f aca="false">IF(ISNA(VLOOKUP(A55,'Données projet'!$A$269:$I$289,7,0)),0%,VLOOKUP(A55,'Données projet'!$A$269:$I$289,7,0))</f>
        <v>0</v>
      </c>
      <c r="HG55" s="129" t="e">
        <f aca="false">EXP(-LN(2)/35)*HG54+(1-EXP(-LN(2)/35))/(LN(2)/35)*HC55*HD55*VLOOKUP('Données projet'!$B$18,Paramètres!$A$1:$I$89,3,0)*0.475*44/12</f>
        <v>#N/A</v>
      </c>
      <c r="HH55" s="129" t="e">
        <f aca="false">EXP(-LN(2)/25)*HH54+(1-EXP(-LN(2)/25))/(LN(2)/25)*Calculateur!HC55*Calculateur!HE55*VLOOKUP('Données projet'!$B$18,Paramètres!$A$1:$I$89,3,0)*0.475*44/12</f>
        <v>#N/A</v>
      </c>
      <c r="HI55" s="129" t="e">
        <f aca="false">EXP(-LN(2)/2)*HI54+(1-EXP(-LN(2)/2))/(LN(2)/2)*HC55*HF55*VLOOKUP('Données projet'!$B$18,Paramètres!$A$1:$I$89,3,0)*0.475*44/12</f>
        <v>#N/A</v>
      </c>
      <c r="HJ55" s="130" t="e">
        <f aca="false">SUM(HG55:HI55)</f>
        <v>#N/A</v>
      </c>
    </row>
    <row r="56" customFormat="false" ht="14.25" hidden="false" customHeight="false" outlineLevel="0" collapsed="false">
      <c r="A56" s="112" t="n">
        <f aca="false">A55+1</f>
        <v>53</v>
      </c>
      <c r="B56" s="113" t="n">
        <f aca="false">'Scénario référence'!$B$16*5+'Scénario référence'!$B$17*0+'Scénario référence'!$B$18*5</f>
        <v>0</v>
      </c>
      <c r="C56" s="127" t="n">
        <f aca="false"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4" t="n">
        <f aca="false">IFERROR(EXP(-1.0587+0.8836*LN(C56)+0.284),0)</f>
        <v>0</v>
      </c>
      <c r="E5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6" s="114" t="n">
        <f aca="false">IF(OR('Scénario référence'!$F$8&gt;0,'Scénario référence'!$F$9&gt;0),('Scénario référence'!$F$8+'Scénario référence'!$F$9)*10,0)</f>
        <v>0</v>
      </c>
      <c r="G56" s="114" t="n">
        <f aca="false"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15" t="n">
        <f aca="false">(B56+E56+F56)*44/12+(C56+D56)*0.475*44/12</f>
        <v>256.666666666667</v>
      </c>
      <c r="I56" s="11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7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8" t="e">
        <f aca="false">VLOOKUP(A56,'Données projet'!$A$35:$I$55,2,0)</f>
        <v>#N/A</v>
      </c>
      <c r="L56" s="118" t="e">
        <f aca="false">VLOOKUP(A56,'Données projet'!$A$35:$I$55,9,0)</f>
        <v>#N/A</v>
      </c>
      <c r="M56" s="118" t="n">
        <f aca="false" t="array" ref="M56:M56">INDEX(L:L,MIN(IF(ISNUMBER(L56:L252),ROW(L56:L252),"")))</f>
        <v>13.5</v>
      </c>
      <c r="N56" s="117" t="n">
        <f aca="false">IF('Données projet'!$A$36&gt;35,N55+M56-V55,IF(A56&lt;'Données projet'!$A$36,$K$205^A56,IF(A56='Données projet'!$A$36,'Données projet'!$B$36,N55+M56-V55)))</f>
        <v>254</v>
      </c>
      <c r="O56" s="117" t="n">
        <f aca="false">N56*VLOOKUP('Données projet'!$B$9,Paramètres!$A$1:$I$89,3,0)*VLOOKUP('Données projet'!$B$9,Paramètres!$A$1:$I$89,5,0)</f>
        <v>118.872</v>
      </c>
      <c r="P56" s="117" t="n">
        <f aca="false">EXP(-1.0587+0.8836*LN(O56)+0.284)</f>
        <v>31.4117673820962</v>
      </c>
      <c r="Q56" s="128" t="n">
        <f aca="false">(O56+P56)*0.475*44/12</f>
        <v>261.744228190484</v>
      </c>
      <c r="R56" s="120" t="n">
        <f aca="false">Q56+(I56+J56)*44/12</f>
        <v>555.077561523817</v>
      </c>
      <c r="S56" s="120" t="n">
        <f aca="true">AVERAGE(OFFSET($R$3,0,0,'Données projet'!$E$9+1,1))-AVERAGE(OFFSET($H$3,0,0,'Données projet'!$E$9+1,1))</f>
        <v>319.229030946746</v>
      </c>
      <c r="T56" s="120" t="n">
        <f aca="false">$T$3</f>
        <v>254.586909731428</v>
      </c>
      <c r="U56" s="121" t="n">
        <f aca="false">IF(ISNA(VLOOKUP(A56,'Données projet'!$A$35:$I$55,3,0)),0,VLOOKUP(A56,'Données projet'!$A$35:$I$55,3,0))</f>
        <v>0</v>
      </c>
      <c r="V56" s="121" t="n">
        <f aca="false">IF(ISNA(VLOOKUP(A56,'Données projet'!$A$35:$I$55,4,0)),0,VLOOKUP(A56,'Données projet'!$A$35:$I$55,4,0))</f>
        <v>0</v>
      </c>
      <c r="W56" s="122" t="n">
        <f aca="false">IF(ISNA(VLOOKUP(A56,'Données projet'!$A$35:$I$55,5,0)),0%,VLOOKUP(A56,'Données projet'!$A$35:$I$55,5,0)*VLOOKUP('Données projet'!$B$9,Paramètres!$A$1:$I$89,7,0))</f>
        <v>0</v>
      </c>
      <c r="X56" s="122" t="n">
        <f aca="false">IF(ISNA(VLOOKUP(A56,'Données projet'!$A$35:$I$55,6,0)),0%,VLOOKUP(A56,'Données projet'!$A$35:$I$55,6,0)*VLOOKUP('Données projet'!$B$9,Paramètres!$A$1:$I$89,7,0))</f>
        <v>0</v>
      </c>
      <c r="Y56" s="122" t="n">
        <f aca="false">IF(ISNA(VLOOKUP(A56,'Données projet'!$A$35:$I$55,7,0)),0%,VLOOKUP(A56,'Données projet'!$A$35:$I$55,7,0))</f>
        <v>0</v>
      </c>
      <c r="Z56" s="129" t="n">
        <f aca="false">EXP(-LN(2)/35)*Z55+(1-EXP(-LN(2)/35))/(LN(2)/35)*V56*W56*VLOOKUP('Données projet'!$B$9,Paramètres!$A$1:$I$89,3,0)*0.475*44/12</f>
        <v>5.75549622308034</v>
      </c>
      <c r="AA56" s="129" t="n">
        <f aca="false">EXP(-LN(2)/25)*AA55+(1-EXP(-LN(2)/25))/(LN(2)/25)*Calculateur!V56*Calculateur!X56*VLOOKUP('Données projet'!$B$9,Paramètres!$A$1:$I$89,3,0)*0.475*44/12</f>
        <v>5.89357332255905</v>
      </c>
      <c r="AB56" s="129" t="n">
        <f aca="false">EXP(-LN(2)/2)*AB55+(1-EXP(-LN(2)/2))/(LN(2)/2)*V56*Y56*VLOOKUP('Données projet'!$B$9,Paramètres!$A$1:$I$89,3,0)*0.475*44/12</f>
        <v>0.00381282770966983</v>
      </c>
      <c r="AC56" s="130" t="n">
        <f aca="false">SUM(Z56:AB56)</f>
        <v>11.6528823733491</v>
      </c>
      <c r="AD56" s="117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7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8" t="e">
        <f aca="false">VLOOKUP(A56,'Données projet'!$A$61:$I$81,2,0)</f>
        <v>#N/A</v>
      </c>
      <c r="AG56" s="118" t="e">
        <f aca="false">VLOOKUP(A56,'Données projet'!$A$61:$I$81,9,0)</f>
        <v>#N/A</v>
      </c>
      <c r="AH56" s="118" t="n">
        <f aca="false" t="array" ref="AH56:AH56">INDEX(AG:AG,MIN(IF(ISNUMBER(AG56:AG252),ROW(AG56:AG252),"")))</f>
        <v>12.6</v>
      </c>
      <c r="AI56" s="117" t="n">
        <f aca="false">IF('Données projet'!$A$62&gt;35,AI55+AH56-AQ55,IF(A56&lt;'Données projet'!$A$62,$AF$205^A56,IF(A56='Données projet'!$A$62,'Données projet'!$B$62,AI55+AH56-AQ55)))</f>
        <v>539.8</v>
      </c>
      <c r="AJ56" s="117" t="n">
        <f aca="false">AI56*VLOOKUP('Données projet'!$B$10,Paramètres!$A$1:$I$89,3,0)*VLOOKUP('Données projet'!$B$10,Paramètres!$A$1:$I$89,5,0)</f>
        <v>301.7482</v>
      </c>
      <c r="AK56" s="117" t="n">
        <f aca="false">EXP(-1.0587+0.8836*LN(AJ56)+0.284)</f>
        <v>71.5428293181707</v>
      </c>
      <c r="AL56" s="128" t="n">
        <f aca="false">(AJ56+AK56)*0.475*44/12</f>
        <v>650.148542729148</v>
      </c>
      <c r="AM56" s="120" t="n">
        <f aca="false">AL56+(AD56+AE56)*44/12</f>
        <v>943.481876062481</v>
      </c>
      <c r="AN56" s="120" t="n">
        <f aca="true">AVERAGE(OFFSET($AM$3,0,0,'Données projet'!$E$10+1,1))-AVERAGE(OFFSET($H$3,0,0,'Données projet'!$E$10+1,1))</f>
        <v>365.705101827279</v>
      </c>
      <c r="AO56" s="120" t="n">
        <f aca="false">$AO$3</f>
        <v>436.238338449625</v>
      </c>
      <c r="AP56" s="121" t="n">
        <f aca="false">IF(ISNA(VLOOKUP(A56,'Données projet'!$A$61:$I$81,3,0)),0,VLOOKUP(A56,'Données projet'!$A$61:$I$81,3,0))</f>
        <v>0</v>
      </c>
      <c r="AQ56" s="121" t="n">
        <f aca="false">IF(ISNA(VLOOKUP(A56,'Données projet'!$A$61:$I$81,4,0)),0,VLOOKUP(A56,'Données projet'!$A$61:$I$81,4,0))</f>
        <v>0</v>
      </c>
      <c r="AR56" s="122" t="n">
        <f aca="false">IF(ISNA(VLOOKUP(A56,'Données projet'!$A$61:$I$81,5,0)),0%,VLOOKUP(A56,'Données projet'!$A$61:$I$81,5,0)*VLOOKUP('Données projet'!$B$10,Paramètres!$A$1:$I$89,7,0))</f>
        <v>0</v>
      </c>
      <c r="AS56" s="122" t="n">
        <f aca="false">IF(ISNA(VLOOKUP(A56,'Données projet'!$A$61:$I$81,6,0)),0%,VLOOKUP(A56,'Données projet'!$A$61:$I$81,6,0)*VLOOKUP('Données projet'!$B$10,Paramètres!$A$1:$I$89,7,0))</f>
        <v>0</v>
      </c>
      <c r="AT56" s="122" t="n">
        <f aca="false">IF(ISNA(VLOOKUP(A56,'Données projet'!$A$61:$I$81,7,0)),0%,VLOOKUP(A56,'Données projet'!$A$61:$I$81,7,0))</f>
        <v>0</v>
      </c>
      <c r="AU56" s="129" t="n">
        <f aca="false">EXP(-LN(2)/35)*AU55+(1-EXP(-LN(2)/35))/(LN(2)/35)*AQ56*AR56*VLOOKUP('Données projet'!$B$10,Paramètres!$A$1:$I$89,3,0)*0.475*44/12</f>
        <v>2.17251322291197</v>
      </c>
      <c r="AV56" s="129" t="n">
        <f aca="false">EXP(-LN(2)/25)*AV55+(1-EXP(-LN(2)/25))/(LN(2)/25)*Calculateur!AQ56*Calculateur!AS56*VLOOKUP('Données projet'!$B$10,Paramètres!$A$1:$I$89,3,0)*0.475*44/12</f>
        <v>6.98061893578707</v>
      </c>
      <c r="AW56" s="129" t="n">
        <f aca="false">EXP(-LN(2)/2)*AW55+(1-EXP(-LN(2)/2))/(LN(2)/2)*AQ56*AT56*VLOOKUP('Données projet'!$B$10,Paramètres!$A$1:$I$89,3,0)*0.475*44/12</f>
        <v>0.00205194470433848</v>
      </c>
      <c r="AX56" s="129" t="n">
        <f aca="false">SUM(AU56:AW56)</f>
        <v>9.15518410340338</v>
      </c>
      <c r="AY56" s="124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8" t="e">
        <f aca="false">VLOOKUP(A56,'Données projet'!$A$87:$I$107,2,0)</f>
        <v>#N/A</v>
      </c>
      <c r="BB56" s="118" t="e">
        <f aca="false">VLOOKUP(A56,'Données projet'!$A$87:$I$107,9,0)</f>
        <v>#N/A</v>
      </c>
      <c r="BC56" s="118" t="n">
        <f aca="false" t="array" ref="BC56:BC56">INDEX(BB:BB,MIN(IF(ISNUMBER(BB56:BB252),ROW(BB56:BB252),"")))</f>
        <v>7.8</v>
      </c>
      <c r="BD56" s="118" t="n">
        <f aca="false">IF('Données projet'!$A$88&gt;35,BD55+BC56-BL55,IF(A56&lt;'Données projet'!$A$88,$BA$205^A56,IF(A56='Données projet'!$A$88,'Données projet'!$B$88,BD55+BC56-BL55)))</f>
        <v>221.4</v>
      </c>
      <c r="BE56" s="117" t="n">
        <f aca="false">BD56*VLOOKUP('Données projet'!$B$11,Paramètres!$A$1:$I$89,3,0)*VLOOKUP('Données projet'!$B$11,Paramètres!$A$1:$I$89,5,0)</f>
        <v>193.41504</v>
      </c>
      <c r="BF56" s="117" t="n">
        <f aca="false">EXP(-1.0587+0.8836*LN(BE56)+0.284)</f>
        <v>48.2941851323151</v>
      </c>
      <c r="BG56" s="128" t="n">
        <f aca="false">(BE56+BF56)*0.475*44/12</f>
        <v>420.976900438782</v>
      </c>
      <c r="BH56" s="120" t="n">
        <f aca="false">BG56+(AY56+AZ56)*44/12</f>
        <v>714.310233772116</v>
      </c>
      <c r="BI56" s="120" t="n">
        <f aca="true">AVERAGE(OFFSET($BH$3,0,0,'Données projet'!$E$11+1,1))-AVERAGE(OFFSET($H$3,0,0,'Données projet'!$E$11+1,1))</f>
        <v>321.235999689929</v>
      </c>
      <c r="BJ56" s="120" t="n">
        <f aca="false">$BJ$3</f>
        <v>388.051958478005</v>
      </c>
      <c r="BK56" s="121" t="n">
        <f aca="false">IF(ISNA(VLOOKUP(A56,'Données projet'!$A$87:$I$107,3,0)),0,VLOOKUP(A56,'Données projet'!$A$87:$I$107,3,0))</f>
        <v>0</v>
      </c>
      <c r="BL56" s="121" t="n">
        <f aca="false">IF(ISNA(VLOOKUP(A56,'Données projet'!$A$87:$I$107,4,0)),0,VLOOKUP(A56,'Données projet'!$A$87:$I$107,4,0))</f>
        <v>0</v>
      </c>
      <c r="BM56" s="122" t="n">
        <f aca="false">IF(ISNA(VLOOKUP(A56,'Données projet'!$A$87:$I$107,5,0)),0%,VLOOKUP(A56,'Données projet'!$A$87:$I$107,5,0)*VLOOKUP('Données projet'!$B$11,Paramètres!$A$1:$I$89,7,0))</f>
        <v>0</v>
      </c>
      <c r="BN56" s="122" t="n">
        <f aca="false">IF(ISNA(VLOOKUP(A56,'Données projet'!$A$87:$I$107,6,0)),0%,VLOOKUP(A56,'Données projet'!$A$87:$I$107,6,0)*VLOOKUP('Données projet'!$B$11,Paramètres!$A$1:$I$89,7,0))</f>
        <v>0</v>
      </c>
      <c r="BO56" s="122" t="n">
        <f aca="false">IF(ISNA(VLOOKUP(A56,'Données projet'!$A$87:$I$107,7,0)),0%,VLOOKUP(A56,'Données projet'!$A$87:$I$107,7,0))</f>
        <v>0</v>
      </c>
      <c r="BP56" s="129" t="n">
        <f aca="false">EXP(-LN(2)/35)*BP55+(1-EXP(-LN(2)/35))/(LN(2)/35)*BL56*BM56*VLOOKUP('Données projet'!$B$11,Paramètres!$A$1:$I$89,3,0)*0.475*44/12</f>
        <v>5.45435808483822</v>
      </c>
      <c r="BQ56" s="129" t="n">
        <f aca="false">EXP(-LN(2)/25)*BQ55+(1-EXP(-LN(2)/25))/(LN(2)/25)*Calculateur!BL56*Calculateur!BN56*VLOOKUP('Données projet'!$B$11,Paramètres!$A$1:$I$89,3,0)*0.475*44/12</f>
        <v>7.12540118652158</v>
      </c>
      <c r="BR56" s="129" t="n">
        <f aca="false">EXP(-LN(2)/2)*BR55+(1-EXP(-LN(2)/2))/(LN(2)/2)*BL56*BO56*VLOOKUP('Données projet'!$B$11,Paramètres!$A$1:$I$89,3,0)*0.475*44/12</f>
        <v>0.00208575914158033</v>
      </c>
      <c r="BS56" s="130" t="n">
        <f aca="false">SUM(BP56:BR56)</f>
        <v>12.5818450305014</v>
      </c>
      <c r="BT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8" t="e">
        <f aca="false">VLOOKUP(A56,'Données projet'!$A$113:$I$133,2,0)</f>
        <v>#N/A</v>
      </c>
      <c r="BW56" s="118" t="e">
        <f aca="false">VLOOKUP(A56,'Données projet'!$A$113:$I$133,9,0)</f>
        <v>#N/A</v>
      </c>
      <c r="BX56" s="118" t="n">
        <f aca="false" t="array" ref="BX56:BX56">INDEX(BW:BW,MIN(IF(ISNUMBER(BW56:BW252),ROW(BW56:BW252),"")))</f>
        <v>9.75</v>
      </c>
      <c r="BY56" s="118" t="n">
        <f aca="false">IF('Données projet'!$A$114&gt;35,BY55+BX56-CG55,IF(A56&lt;'Données projet'!$A$114,$BV$205^A56,IF(A56='Données projet'!$A$114,'Données projet'!$B$114,BY55+BX56-CG55)))</f>
        <v>235.75</v>
      </c>
      <c r="BZ56" s="117" t="n">
        <f aca="false">BY56*VLOOKUP('Données projet'!$B$12,Paramètres!$A$1:$I$89,3,0)*VLOOKUP('Données projet'!$B$12,Paramètres!$A$1:$I$89,5,0)</f>
        <v>147.108</v>
      </c>
      <c r="CA56" s="117" t="n">
        <f aca="false">EXP(-1.0587+0.8836*LN(BZ56)+0.284)</f>
        <v>37.9206254365989</v>
      </c>
      <c r="CB56" s="128" t="n">
        <f aca="false">(BZ56+CA56)*0.475*44/12</f>
        <v>322.258189302076</v>
      </c>
      <c r="CC56" s="120" t="n">
        <f aca="false">CB56+(BT56+BU56)*44/12</f>
        <v>615.59152263541</v>
      </c>
      <c r="CD56" s="120" t="n">
        <f aca="true">AVERAGE(OFFSET($CC$3,0,0,'Données projet'!$E$12+1,1))-AVERAGE(OFFSET($H$3,0,0,'Données projet'!$E$12+1,1))</f>
        <v>240.228848647662</v>
      </c>
      <c r="CE56" s="120" t="n">
        <f aca="false">$CE$3</f>
        <v>343.237768841432</v>
      </c>
      <c r="CF56" s="121" t="n">
        <f aca="false">IF(ISNA(VLOOKUP(A56,'Données projet'!$A$113:$I$133,3,0)),0,VLOOKUP(A56,'Données projet'!$A$113:$I$133,3,0))</f>
        <v>0</v>
      </c>
      <c r="CG56" s="121" t="n">
        <f aca="false">IF(ISNA(VLOOKUP(A56,'Données projet'!$A$113:$I$133,4,0)),0,VLOOKUP(A56,'Données projet'!$A$113:$I$133,4,0))</f>
        <v>0</v>
      </c>
      <c r="CH56" s="122" t="n">
        <f aca="false">IF(ISNA(VLOOKUP(A56,'Données projet'!$A$113:$I$133,5,0)),0%,VLOOKUP(A56,'Données projet'!$A$113:$I$133,5,0)*VLOOKUP('Données projet'!$B$12,Paramètres!$A$1:$I$89,7,0))</f>
        <v>0</v>
      </c>
      <c r="CI56" s="122" t="n">
        <f aca="false">IF(ISNA(VLOOKUP(A56,'Données projet'!$A$113:$I$133,6,0)),0%,VLOOKUP(A56,'Données projet'!$A$113:$I$133,6,0)*VLOOKUP('Données projet'!$B$12,Paramètres!$A$1:$I$89,7,0))</f>
        <v>0</v>
      </c>
      <c r="CJ56" s="122" t="n">
        <f aca="false">IF(ISNA(VLOOKUP(A56,'Données projet'!$A$113:$I$133,7,0)),0%,VLOOKUP(A56,'Données projet'!$A$113:$I$133,7,0))</f>
        <v>0</v>
      </c>
      <c r="CK56" s="129" t="n">
        <f aca="false">EXP(-LN(2)/35)*CK55+(1-EXP(-LN(2)/35))/(LN(2)/35)*CG56*CH56*VLOOKUP('Données projet'!$B$12,Paramètres!$A$1:$I$89,3,0)*0.475*44/12</f>
        <v>3.33849208039146</v>
      </c>
      <c r="CL56" s="129" t="n">
        <f aca="false">EXP(-LN(2)/25)*CL55+(1-EXP(-LN(2)/25))/(LN(2)/25)*Calculateur!CG56*Calculateur!CI56*VLOOKUP('Données projet'!$B$12,Paramètres!$A$1:$I$89,3,0)*0.475*44/12</f>
        <v>12.5838709840644</v>
      </c>
      <c r="CM56" s="129" t="n">
        <f aca="false">EXP(-LN(2)/2)*CM55+(1-EXP(-LN(2)/2))/(LN(2)/2)*CG56*CJ56*VLOOKUP('Données projet'!$B$12,Paramètres!$A$1:$I$89,3,0)*0.475*44/12</f>
        <v>0.00332831552689378</v>
      </c>
      <c r="CN56" s="130" t="n">
        <f aca="false">SUM(CK56:CM56)</f>
        <v>15.9256913799827</v>
      </c>
      <c r="CO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8" t="e">
        <f aca="false">VLOOKUP(A56,'Données projet'!$A$139:$I$159,2,0)</f>
        <v>#N/A</v>
      </c>
      <c r="CR56" s="118" t="e">
        <f aca="false">VLOOKUP(A56,'Données projet'!$A$139:$I$159,9,0)</f>
        <v>#N/A</v>
      </c>
      <c r="CS56" s="118" t="n">
        <f aca="false" t="array" ref="CS56:CS56">INDEX(CR:CR,MIN(IF(ISNUMBER(CR56:CR252),ROW(CR56:CR252),"")))</f>
        <v>0</v>
      </c>
      <c r="CT56" s="118" t="n">
        <f aca="false">IF('Données projet'!$A$140&gt;35,CT55+CS56-DB55,IF(A56&lt;'Données projet'!$A$140,$CQ$205^A56,IF(A56='Données projet'!$A$140,'Données projet'!$B$140,CT55+CS56-DB55)))</f>
        <v>-5.6843418860808E-014</v>
      </c>
      <c r="CU56" s="125" t="n">
        <f aca="false">CT56*VLOOKUP('Données projet'!$B$13,Paramètres!$A$1:$I$89,3,0)*VLOOKUP('Données projet'!$B$13,Paramètres!$A$1:$I$89,5,0)</f>
        <v>-3.10365066980012E-014</v>
      </c>
      <c r="CV56" s="117" t="e">
        <f aca="false">EXP(-1.0587+0.8836*LN(CU56)+0.284)</f>
        <v>#VALUE!</v>
      </c>
      <c r="CW56" s="128" t="e">
        <f aca="false">(CU56+CV56)*0.475*44/12</f>
        <v>#VALUE!</v>
      </c>
      <c r="CX56" s="120" t="e">
        <f aca="false">CW56+(CO56+CP56)*44/12</f>
        <v>#VALUE!</v>
      </c>
      <c r="CY56" s="120" t="n">
        <f aca="true">AVERAGE(OFFSET($CX$3,0,0,'Données projet'!$E$13+1,1))-AVERAGE(OFFSET($H$3,0,0,'Données projet'!$E$13+1,1))</f>
        <v>207.023069645676</v>
      </c>
      <c r="CZ56" s="120" t="n">
        <f aca="false">$CZ$3</f>
        <v>342.068879333518</v>
      </c>
      <c r="DA56" s="121" t="n">
        <f aca="false">IF(ISNA(VLOOKUP(A56,'Données projet'!$A$139:$I$159,3,0)),0,VLOOKUP(A56,'Données projet'!$A$139:$I$159,3,0))</f>
        <v>0</v>
      </c>
      <c r="DB56" s="121" t="n">
        <f aca="false">IF(ISNA(VLOOKUP(A56,'Données projet'!$A$139:$I$159,4,0)),0,VLOOKUP(A56,'Données projet'!$A$139:$I$159,4,0))</f>
        <v>0</v>
      </c>
      <c r="DC56" s="122" t="n">
        <f aca="false">IF(ISNA(VLOOKUP(A56,'Données projet'!$A$139:$I$159,5,0)),0%,VLOOKUP(A56,'Données projet'!$A$139:$I$159,5,0)*VLOOKUP('Données projet'!$B$13,Paramètres!$A$1:$I$89,7,0))</f>
        <v>0</v>
      </c>
      <c r="DD56" s="122" t="n">
        <f aca="false">IF(ISNA(VLOOKUP(A56,'Données projet'!$A$139:$I$159,6,0)),0%,VLOOKUP(A56,'Données projet'!$A$139:$I$159,6,0)*VLOOKUP('Données projet'!$B$13,Paramètres!$A$1:$I$89,7,0))</f>
        <v>0</v>
      </c>
      <c r="DE56" s="122" t="n">
        <f aca="false">IF(ISNA(VLOOKUP(A56,'Données projet'!$A$139:$I$159,7,0)),0%,VLOOKUP(A56,'Données projet'!$A$139:$I$159,7,0))</f>
        <v>0</v>
      </c>
      <c r="DF56" s="129" t="n">
        <f aca="false">EXP(-LN(2)/35)*DF55+(1-EXP(-LN(2)/35))/(LN(2)/35)*DB56*DC56*VLOOKUP('Données projet'!$B$13,Paramètres!$A$1:$I$89,3,0)*0.475*44/12</f>
        <v>4.18886270464211</v>
      </c>
      <c r="DG56" s="129" t="n">
        <f aca="false">EXP(-LN(2)/25)*DG55+(1-EXP(-LN(2)/25))/(LN(2)/25)*Calculateur!DB56*Calculateur!DD56*VLOOKUP('Données projet'!$B$13,Paramètres!$A$1:$I$89,3,0)*0.475*44/12</f>
        <v>20.569388017286</v>
      </c>
      <c r="DH56" s="129" t="n">
        <f aca="false">EXP(-LN(2)/2)*DH55+(1-EXP(-LN(2)/2))/(LN(2)/2)*DB56*DE56*VLOOKUP('Données projet'!$B$13,Paramètres!$A$1:$I$89,3,0)*0.475*44/12</f>
        <v>0.00458309202362365</v>
      </c>
      <c r="DI56" s="130" t="n">
        <f aca="false">SUM(DF56:DH56)</f>
        <v>24.7628338139517</v>
      </c>
      <c r="DJ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8" t="e">
        <f aca="false">VLOOKUP(A56,'Données projet'!$A$165:$I$185,2,0)</f>
        <v>#N/A</v>
      </c>
      <c r="DM56" s="118" t="e">
        <f aca="false">VLOOKUP(A56,'Données projet'!$A$165:$I$185,9,0)</f>
        <v>#N/A</v>
      </c>
      <c r="DN56" s="118" t="n">
        <f aca="false" t="array" ref="DN56:DN56">INDEX(DM:DM,MIN(IF(ISNUMBER(DM56:DM252),ROW(DM56:DM252),"")))</f>
        <v>-256.625</v>
      </c>
      <c r="DO56" s="118" t="n">
        <f aca="false">IF('Données projet'!$A$166&gt;35,DO55+DN56-DW55,IF(A56&lt;'Données projet'!$A$166,$DL$205^A56,IF(A56='Données projet'!$A$166,'Données projet'!$B$166,DO55+DN56-DW55)))</f>
        <v>567.625</v>
      </c>
      <c r="DP56" s="125" t="n">
        <f aca="false">DO56*VLOOKUP('Données projet'!$B$14,Paramètres!$A$1:$I$89,3,0)*VLOOKUP('Données projet'!$B$14,Paramètres!$A$1:$I$89,5,0)</f>
        <v>339.43975</v>
      </c>
      <c r="DQ56" s="117" t="n">
        <f aca="false">EXP(-1.0587+0.8836*LN(DP56)+0.284)</f>
        <v>79.3841841171178</v>
      </c>
      <c r="DR56" s="128" t="n">
        <f aca="false">(DP56+DQ56)*0.475*44/12</f>
        <v>729.45168525398</v>
      </c>
      <c r="DS56" s="120" t="n">
        <f aca="false">DR56+(DJ56+DK56)*44/12</f>
        <v>1022.78501858731</v>
      </c>
      <c r="DT56" s="120" t="n">
        <f aca="true">AVERAGE(OFFSET($DS$3,0,0,'Données projet'!$E$14+1,1))-AVERAGE(OFFSET($H$3,0,0,'Données projet'!$E$14+1,1))</f>
        <v>549.432320957297</v>
      </c>
      <c r="DU56" s="120" t="n">
        <f aca="false">$DU$3</f>
        <v>280.26155987301</v>
      </c>
      <c r="DV56" s="121" t="n">
        <f aca="false">IF(ISNA(VLOOKUP(A56,'Données projet'!$A$165:$I$185,3,0)),0,VLOOKUP(A56,'Données projet'!$A$165:$I$185,3,0))</f>
        <v>0</v>
      </c>
      <c r="DW56" s="121" t="n">
        <f aca="false">IF(ISNA(VLOOKUP(A56,'Données projet'!$A$165:$I$185,4,0)),0,VLOOKUP(A56,'Données projet'!$A$165:$I$185,4,0))</f>
        <v>0</v>
      </c>
      <c r="DX56" s="122" t="n">
        <f aca="false">IF(ISNA(VLOOKUP(A56,'Données projet'!$A$165:$I$185,5,0)),0%,VLOOKUP(A56,'Données projet'!$A$165:$I$185,5,0)*VLOOKUP('Données projet'!$B$14,Paramètres!$A$1:$I$89,7,0))</f>
        <v>0</v>
      </c>
      <c r="DY56" s="122" t="n">
        <f aca="false">IF(ISNA(VLOOKUP(A56,'Données projet'!$A$165:$I$185,6,0)),0%,VLOOKUP(A56,'Données projet'!$A$165:$I$185,6,0)*VLOOKUP('Données projet'!$B$14,Paramètres!$A$1:$I$89,7,0))</f>
        <v>0</v>
      </c>
      <c r="DZ56" s="122" t="n">
        <f aca="false">IF(ISNA(VLOOKUP(A56,'Données projet'!$A$165:$I$185,7,0)),0%,VLOOKUP(A56,'Données projet'!$A$165:$I$185,7,0))</f>
        <v>0</v>
      </c>
      <c r="EA56" s="129" t="n">
        <f aca="false">EXP(-LN(2)/35)*EA55+(1-EXP(-LN(2)/35))/(LN(2)/35)*DW56*DX56*VLOOKUP('Données projet'!$B$14,Paramètres!$A$1:$I$89,3,0)*0.475*44/12</f>
        <v>1.52306580864241</v>
      </c>
      <c r="EB56" s="129" t="n">
        <f aca="false">EXP(-LN(2)/25)*EB55+(1-EXP(-LN(2)/25))/(LN(2)/25)*Calculateur!DW56*Calculateur!DY56*VLOOKUP('Données projet'!$B$14,Paramètres!$A$1:$I$89,3,0)*0.475*44/12</f>
        <v>4.09782791993601</v>
      </c>
      <c r="EC56" s="129" t="n">
        <f aca="false">EXP(-LN(2)/2)*EC55+(1-EXP(-LN(2)/2))/(LN(2)/2)*DW56*DZ56*VLOOKUP('Données projet'!$B$14,Paramètres!$A$1:$I$89,3,0)*0.475*44/12</f>
        <v>0.00211271095063726</v>
      </c>
      <c r="ED56" s="130" t="n">
        <f aca="false">SUM(EA56:EC56)</f>
        <v>5.62300643952906</v>
      </c>
      <c r="EE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8" t="e">
        <f aca="false">VLOOKUP(A56,'Données projet'!$A$191:$I$211,2,0)</f>
        <v>#N/A</v>
      </c>
      <c r="EH56" s="118" t="e">
        <f aca="false">VLOOKUP(A56,'Données projet'!$A$191:$I$211,9,0)</f>
        <v>#N/A</v>
      </c>
      <c r="EI56" s="118" t="n">
        <f aca="false" t="array" ref="EI56:EI56">INDEX(EH:EH,MIN(IF(ISNUMBER(EH56:EH252),ROW(EH56:EH252),"")))</f>
        <v>0</v>
      </c>
      <c r="EJ56" s="118" t="n">
        <f aca="false">IF('Données projet'!$A$192&gt;35,EJ55+EI56-ER55,IF(A56&lt;'Données projet'!$A$192,$EG$205^A56,IF(A56='Données projet'!$A$192,'Données projet'!$B$192,EJ55+EI56-ER55)))</f>
        <v>0</v>
      </c>
      <c r="EK56" s="125" t="e">
        <f aca="false">EJ56*VLOOKUP('Données projet'!$B$15,Paramètres!$A$1:$I$89,3,0)*VLOOKUP('Données projet'!$B$15,Paramètres!$A$1:$I$89,5,0)</f>
        <v>#N/A</v>
      </c>
      <c r="EL56" s="117" t="e">
        <f aca="false">EXP(-1.0587+0.8836*LN(EK56)+0.284)</f>
        <v>#N/A</v>
      </c>
      <c r="EM56" s="128" t="e">
        <f aca="false">(EK56+EL56)*0.475*44/12</f>
        <v>#N/A</v>
      </c>
      <c r="EN56" s="120" t="e">
        <f aca="false">EM56+(EE56+EF56)*44/12</f>
        <v>#N/A</v>
      </c>
      <c r="EO56" s="120" t="e">
        <f aca="true">AVERAGE(OFFSET($EN$3,0,0,'Données projet'!$E$15+1,1))-AVERAGE(OFFSET($H$3,0,0,'Données projet'!$E$15+1,1))</f>
        <v>#N/A</v>
      </c>
      <c r="EP56" s="120" t="e">
        <f aca="false">$EP$3</f>
        <v>#N/A</v>
      </c>
      <c r="EQ56" s="121" t="n">
        <f aca="false">IF(ISNA(VLOOKUP(A56,'Données projet'!$A$191:$I$211,3,0)),0,VLOOKUP(A56,'Données projet'!$A$191:$I$211,3,0))</f>
        <v>0</v>
      </c>
      <c r="ER56" s="121" t="n">
        <f aca="false">IF(ISNA(VLOOKUP(A56,'Données projet'!$A$191:$I$211,4,0)),0,VLOOKUP(A56,'Données projet'!$A$191:$I$211,4,0))</f>
        <v>0</v>
      </c>
      <c r="ES56" s="122" t="n">
        <f aca="false">IF(ISNA(VLOOKUP(A56,'Données projet'!$A$191:$I$211,5,0)),0%,VLOOKUP(A56,'Données projet'!$A$191:$I$211,5,0)*VLOOKUP('Données projet'!$B$15,Paramètres!$A$1:$I$89,7,0))</f>
        <v>0</v>
      </c>
      <c r="ET56" s="122" t="n">
        <f aca="false">IF(ISNA(VLOOKUP(A56,'Données projet'!$A$191:$I$211,6,0)),0%,VLOOKUP(A56,'Données projet'!$A$191:$I$211,6,0)*VLOOKUP('Données projet'!$B$15,Paramètres!$A$1:$I$89,7,0))</f>
        <v>0</v>
      </c>
      <c r="EU56" s="122" t="n">
        <f aca="false">IF(ISNA(VLOOKUP(A56,'Données projet'!$A$191:$I$211,7,0)),0%,VLOOKUP(A56,'Données projet'!$A$191:$I$211,7,0))</f>
        <v>0</v>
      </c>
      <c r="EV56" s="129" t="e">
        <f aca="false">EXP(-LN(2)/35)*EV55+(1-EXP(-LN(2)/35))/(LN(2)/35)*ER56*ES56*VLOOKUP('Données projet'!$B$15,Paramètres!$A$1:$I$89,3,0)*0.475*44/12</f>
        <v>#N/A</v>
      </c>
      <c r="EW56" s="129" t="e">
        <f aca="false">EXP(-LN(2)/25)*EW55+(1-EXP(-LN(2)/25))/(LN(2)/25)*Calculateur!ER56*Calculateur!ET56*VLOOKUP('Données projet'!$B$15,Paramètres!$A$1:$I$89,3,0)*0.475*44/12</f>
        <v>#N/A</v>
      </c>
      <c r="EX56" s="129" t="e">
        <f aca="false">EXP(-LN(2)/2)*EX55+(1-EXP(-LN(2)/2))/(LN(2)/2)*ER56*EU56*VLOOKUP('Données projet'!$B$15,Paramètres!$A$1:$I$89,3,0)*0.475*44/12</f>
        <v>#N/A</v>
      </c>
      <c r="EY56" s="130" t="e">
        <f aca="false">SUM(EV56:EX56)</f>
        <v>#N/A</v>
      </c>
      <c r="EZ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8" t="e">
        <f aca="false">VLOOKUP(A56,'Données projet'!$A$217:$I$237,2,0)</f>
        <v>#N/A</v>
      </c>
      <c r="FC56" s="118" t="e">
        <f aca="false">VLOOKUP(A56,'Données projet'!$A$217:$I$237,9,0)</f>
        <v>#N/A</v>
      </c>
      <c r="FD56" s="118" t="n">
        <f aca="false" t="array" ref="FD56:FD56">INDEX(FC:FC,MIN(IF(ISNUMBER(FC56:FC252),ROW(FC56:FC252),"")))</f>
        <v>0</v>
      </c>
      <c r="FE56" s="118" t="n">
        <f aca="false">IF('Données projet'!$A$218&gt;35,FE55+FD56-FM55,IF(A56&lt;'Données projet'!$A$218,$FB$205^A56,IF(A56='Données projet'!$A$218,'Données projet'!$B$218,FE55+FD56-FM55)))</f>
        <v>0</v>
      </c>
      <c r="FF56" s="125" t="e">
        <f aca="false">FE56*VLOOKUP('Données projet'!$B$16,Paramètres!$A$1:$I$89,3,0)*VLOOKUP('Données projet'!$B$16,Paramètres!$A$1:$I$89,5,0)</f>
        <v>#N/A</v>
      </c>
      <c r="FG56" s="117" t="e">
        <f aca="false">EXP(-1.0587+0.8836*LN(FF56)+0.284)</f>
        <v>#N/A</v>
      </c>
      <c r="FH56" s="128" t="e">
        <f aca="false">(FF56+FG56)*0.475*44/12</f>
        <v>#N/A</v>
      </c>
      <c r="FI56" s="120" t="e">
        <f aca="false">FH56+(EZ56+FA56)*44/12</f>
        <v>#N/A</v>
      </c>
      <c r="FJ56" s="120" t="e">
        <f aca="true">AVERAGE(OFFSET($FI$3,0,0,'Données projet'!$E$16+1,1))-AVERAGE(OFFSET($H$3,0,0,'Données projet'!$E$16+1,1))</f>
        <v>#N/A</v>
      </c>
      <c r="FK56" s="120" t="e">
        <f aca="false">$FK$3</f>
        <v>#N/A</v>
      </c>
      <c r="FL56" s="121" t="n">
        <f aca="false">IF(ISNA(VLOOKUP(A56,'Données projet'!$A$217:$I$237,3,0)),0,VLOOKUP(A56,'Données projet'!$A$217:$I$237,3,0))</f>
        <v>0</v>
      </c>
      <c r="FM56" s="121" t="n">
        <f aca="false">IF(ISNA(VLOOKUP(A56,'Données projet'!$A$217:$I$237,4,0)),0,VLOOKUP(A56,'Données projet'!$A$217:$I$237,4,0))</f>
        <v>0</v>
      </c>
      <c r="FN56" s="122" t="n">
        <f aca="false">IF(ISNA(VLOOKUP(A56,'Données projet'!$A$217:$I$237,5,0)),0%,VLOOKUP(A56,'Données projet'!$A$217:$I$237,5,0)*VLOOKUP('Données projet'!$B$16,Paramètres!$A$1:$I$89,7,0))</f>
        <v>0</v>
      </c>
      <c r="FO56" s="122" t="n">
        <f aca="false">IF(ISNA(VLOOKUP(A56,'Données projet'!$A$217:$I$237,6,0)),0%,VLOOKUP(A56,'Données projet'!$A$217:$I$237,6,0)*VLOOKUP('Données projet'!$B$16,Paramètres!$A$1:$I$89,7,0))</f>
        <v>0</v>
      </c>
      <c r="FP56" s="122" t="n">
        <f aca="false">IF(ISNA(VLOOKUP(A56,'Données projet'!$A$217:$I$237,7,0)),0%,VLOOKUP(A56,'Données projet'!$A$217:$I$237,7,0))</f>
        <v>0</v>
      </c>
      <c r="FQ56" s="129" t="e">
        <f aca="false">EXP(-LN(2)/35)*FQ55+(1-EXP(-LN(2)/35))/(LN(2)/35)*FM56*FN56*VLOOKUP('Données projet'!$B$16,Paramètres!$A$1:$I$89,3,0)*0.475*44/12</f>
        <v>#N/A</v>
      </c>
      <c r="FR56" s="129" t="e">
        <f aca="false">EXP(-LN(2)/25)*FR55+(1-EXP(-LN(2)/25))/(LN(2)/25)*Calculateur!FM56*Calculateur!FO56*VLOOKUP('Données projet'!$B$16,Paramètres!$A$1:$I$89,3,0)*0.475*44/12</f>
        <v>#N/A</v>
      </c>
      <c r="FS56" s="129" t="e">
        <f aca="false">EXP(-LN(2)/2)*FS55+(1-EXP(-LN(2)/2))/(LN(2)/2)*FM56*FP56*VLOOKUP('Données projet'!$B$16,Paramètres!$A$1:$I$89,3,0)*0.475*44/12</f>
        <v>#N/A</v>
      </c>
      <c r="FT56" s="130" t="e">
        <f aca="false">SUM(FQ56:FS56)</f>
        <v>#N/A</v>
      </c>
      <c r="FU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8" t="e">
        <f aca="false">VLOOKUP(A56,'Données projet'!$A$243:$I$263,2,0)</f>
        <v>#N/A</v>
      </c>
      <c r="FX56" s="118" t="e">
        <f aca="false">VLOOKUP(A56,'Données projet'!$A$243:$I$263,9,0)</f>
        <v>#N/A</v>
      </c>
      <c r="FY56" s="118" t="n">
        <f aca="false" t="array" ref="FY56:FY56">INDEX(FX:FX,MIN(IF(ISNUMBER(FX56:FX252),ROW(FX56:FX252),"")))</f>
        <v>0</v>
      </c>
      <c r="FZ56" s="118" t="n">
        <f aca="false">IF('Données projet'!$A$244&gt;35,FZ55+FY56-GH55,IF(A56&lt;'Données projet'!$A$244,$FW$205^A56,IF(A56='Données projet'!$A$244,'Données projet'!$B$244,FZ55+FY56-GH55)))</f>
        <v>0</v>
      </c>
      <c r="GA56" s="125" t="e">
        <f aca="false">FZ56*VLOOKUP('Données projet'!$B$17,Paramètres!$A$1:$I$89,3,0)*VLOOKUP('Données projet'!$B$17,Paramètres!$A$1:$I$89,5,0)</f>
        <v>#N/A</v>
      </c>
      <c r="GB56" s="117" t="e">
        <f aca="false">EXP(-1.0587+0.8836*LN(GA56)+0.284)</f>
        <v>#N/A</v>
      </c>
      <c r="GC56" s="128" t="e">
        <f aca="false">(GA56+GB56)*0.475*44/12</f>
        <v>#N/A</v>
      </c>
      <c r="GD56" s="120" t="e">
        <f aca="false">GC56+(FU56+FV56)*44/12</f>
        <v>#N/A</v>
      </c>
      <c r="GE56" s="120" t="e">
        <f aca="true">AVERAGE(OFFSET($GD$3,0,0,'Données projet'!$E$17+1,1))-AVERAGE(OFFSET($H$3,0,0,'Données projet'!$E$17+1,1))</f>
        <v>#N/A</v>
      </c>
      <c r="GF56" s="120" t="e">
        <f aca="false">$GF$3</f>
        <v>#N/A</v>
      </c>
      <c r="GG56" s="121" t="n">
        <f aca="false">IF(ISNA(VLOOKUP(A56,'Données projet'!$A$243:$I$263,3,0)),0,VLOOKUP(A56,'Données projet'!$A$243:$I$263,3,0))</f>
        <v>0</v>
      </c>
      <c r="GH56" s="121" t="n">
        <f aca="false">IF(ISNA(VLOOKUP(A56,'Données projet'!$A$243:$I$263,4,0)),0,VLOOKUP(A56,'Données projet'!$A$243:$I$263,4,0))</f>
        <v>0</v>
      </c>
      <c r="GI56" s="122" t="n">
        <f aca="false">IF(ISNA(VLOOKUP(A56,'Données projet'!$A$243:$I$263,5,0)),0%,VLOOKUP(A56,'Données projet'!$A$243:$I$263,5,0)*VLOOKUP('Données projet'!$B$17,Paramètres!$A$1:$I$89,7,0))</f>
        <v>0</v>
      </c>
      <c r="GJ56" s="122" t="n">
        <f aca="false">IF(ISNA(VLOOKUP(A56,'Données projet'!$A$243:$I$263,6,0)),0%,VLOOKUP(A56,'Données projet'!$A$243:$I$263,6,0)*VLOOKUP('Données projet'!$B$17,Paramètres!$A$1:$I$89,7,0))</f>
        <v>0</v>
      </c>
      <c r="GK56" s="122" t="n">
        <f aca="false">IF(ISNA(VLOOKUP(A56,'Données projet'!$A$243:$I$263,7,0)),0%,VLOOKUP(A56,'Données projet'!$A$243:$I$263,7,0))</f>
        <v>0</v>
      </c>
      <c r="GL56" s="129" t="e">
        <f aca="false">EXP(-LN(2)/35)*GL55+(1-EXP(-LN(2)/35))/(LN(2)/35)*GH56*GI56*VLOOKUP('Données projet'!$B$17,Paramètres!$A$1:$I$89,3,0)*0.475*44/12</f>
        <v>#N/A</v>
      </c>
      <c r="GM56" s="129" t="e">
        <f aca="false">EXP(-LN(2)/25)*GM55+(1-EXP(-LN(2)/25))/(LN(2)/25)*Calculateur!GH56*Calculateur!GJ56*VLOOKUP('Données projet'!$B$17,Paramètres!$A$1:$I$89,3,0)*0.475*44/12</f>
        <v>#N/A</v>
      </c>
      <c r="GN56" s="129" t="e">
        <f aca="false">EXP(-LN(2)/2)*GN55+(1-EXP(-LN(2)/2))/(LN(2)/2)*GH56*GK56*VLOOKUP('Données projet'!$B$17,Paramètres!$A$1:$I$89,3,0)*0.475*44/12</f>
        <v>#N/A</v>
      </c>
      <c r="GO56" s="129" t="e">
        <f aca="false">SUM(GL56:GN56)</f>
        <v>#N/A</v>
      </c>
      <c r="GP56" s="126" t="n">
        <f aca="false"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8" t="n">
        <f aca="false"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8" t="e">
        <f aca="false">VLOOKUP(A56,'Données projet'!$A$269:$I$289,2,0)</f>
        <v>#N/A</v>
      </c>
      <c r="GS56" s="118" t="e">
        <f aca="false">VLOOKUP(A56,'Données projet'!$A$269:$I$289,9,0)</f>
        <v>#N/A</v>
      </c>
      <c r="GT56" s="118" t="n">
        <f aca="false" t="array" ref="GT56:GT56">INDEX(GS:GS,MIN(IF(ISNUMBER(GS56:GS252),ROW(GS56:GS252),"")))</f>
        <v>0</v>
      </c>
      <c r="GU56" s="118" t="n">
        <f aca="false">IF('Données projet'!$A$270&gt;35,GU55+GT56-HC55,IF(A56&lt;'Données projet'!$A$270,$GR$205^A56,IF(A56='Données projet'!$A$270,'Données projet'!$B$270,GU55+GT56-HC55)))</f>
        <v>0</v>
      </c>
      <c r="GV56" s="125" t="e">
        <f aca="false">GU56*VLOOKUP('Données projet'!$B$18,Paramètres!$A$1:$I$89,3,0)*VLOOKUP('Données projet'!$B$18,Paramètres!$A$1:$I$89,5,0)</f>
        <v>#N/A</v>
      </c>
      <c r="GW56" s="117" t="e">
        <f aca="false">EXP(-1.0587+0.8836*LN(GV56)+0.284)</f>
        <v>#N/A</v>
      </c>
      <c r="GX56" s="128" t="e">
        <f aca="false">(GV56+GW56)*0.475*44/12</f>
        <v>#N/A</v>
      </c>
      <c r="GY56" s="120" t="e">
        <f aca="false">GX56+(GP56+GQ56)*44/12</f>
        <v>#N/A</v>
      </c>
      <c r="GZ56" s="120" t="e">
        <f aca="true">AVERAGE(OFFSET($GY$3,0,0,'Données projet'!$E$18+1,1))-AVERAGE(OFFSET($H$3,0,0,'Données projet'!$E$18+1,1))</f>
        <v>#N/A</v>
      </c>
      <c r="HA56" s="120" t="e">
        <f aca="false">$HA$3</f>
        <v>#N/A</v>
      </c>
      <c r="HB56" s="121" t="n">
        <f aca="false">IF(ISNA(VLOOKUP(A56,'Données projet'!$A$269:$I$289,3,0)),0,VLOOKUP(A56,'Données projet'!$A$269:$I$289,3,0))</f>
        <v>0</v>
      </c>
      <c r="HC56" s="121" t="n">
        <f aca="false">IF(ISNA(VLOOKUP(A56,'Données projet'!$A$269:$I$289,4,0)),0,VLOOKUP(A56,'Données projet'!$A$269:$I$289,4,0))</f>
        <v>0</v>
      </c>
      <c r="HD56" s="122" t="n">
        <f aca="false">IF(ISNA(VLOOKUP(A56,'Données projet'!$A$269:$I$289,5,0)),0%,VLOOKUP(A56,'Données projet'!$A$269:$I$289,5,0)*VLOOKUP('Données projet'!$B$18,Paramètres!$A$1:$I$89,7,0))</f>
        <v>0</v>
      </c>
      <c r="HE56" s="122" t="n">
        <f aca="false">IF(ISNA(VLOOKUP(A56,'Données projet'!$A$269:$I$289,6,0)),0%,VLOOKUP(A56,'Données projet'!$A$269:$I$289,6,0)*VLOOKUP('Données projet'!$B$18,Paramètres!$A$1:$I$89,7,0))</f>
        <v>0</v>
      </c>
      <c r="HF56" s="122" t="n">
        <f aca="false">IF(ISNA(VLOOKUP(A56,'Données projet'!$A$269:$I$289,7,0)),0%,VLOOKUP(A56,'Données projet'!$A$269:$I$289,7,0))</f>
        <v>0</v>
      </c>
      <c r="HG56" s="129" t="e">
        <f aca="false">EXP(-LN(2)/35)*HG55+(1-EXP(-LN(2)/35))/(LN(2)/35)*HC56*HD56*VLOOKUP('Données projet'!$B$18,Paramètres!$A$1:$I$89,3,0)*0.475*44/12</f>
        <v>#N/A</v>
      </c>
      <c r="HH56" s="129" t="e">
        <f aca="false">EXP(-LN(2)/25)*HH55+(1-EXP(-LN(2)/25))/(LN(2)/25)*Calculateur!HC56*Calculateur!HE56*VLOOKUP('Données projet'!$B$18,Paramètres!$A$1:$I$89,3,0)*0.475*44/12</f>
        <v>#N/A</v>
      </c>
      <c r="HI56" s="129" t="e">
        <f aca="false">EXP(-LN(2)/2)*HI55+(1-EXP(-LN(2)/2))/(LN(2)/2)*HC56*HF56*VLOOKUP('Données projet'!$B$18,Paramètres!$A$1:$I$89,3,0)*0.475*44/12</f>
        <v>#N/A</v>
      </c>
      <c r="HJ56" s="130" t="e">
        <f aca="false">SUM(HG56:HI56)</f>
        <v>#N/A</v>
      </c>
    </row>
    <row r="57" customFormat="false" ht="14.25" hidden="false" customHeight="false" outlineLevel="0" collapsed="false">
      <c r="A57" s="112" t="n">
        <f aca="false">A56+1</f>
        <v>54</v>
      </c>
      <c r="B57" s="113" t="n">
        <f aca="false">'Scénario référence'!$B$16*5+'Scénario référence'!$B$17*0+'Scénario référence'!$B$18*5</f>
        <v>0</v>
      </c>
      <c r="C57" s="127" t="n">
        <f aca="false"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4" t="n">
        <f aca="false">IFERROR(EXP(-1.0587+0.8836*LN(C57)+0.284),0)</f>
        <v>0</v>
      </c>
      <c r="E5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7" s="114" t="n">
        <f aca="false">IF(OR('Scénario référence'!$F$8&gt;0,'Scénario référence'!$F$9&gt;0),('Scénario référence'!$F$8+'Scénario référence'!$F$9)*10,0)</f>
        <v>0</v>
      </c>
      <c r="G57" s="114" t="n">
        <f aca="false"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15" t="n">
        <f aca="false">(B57+E57+F57)*44/12+(C57+D57)*0.475*44/12</f>
        <v>256.666666666667</v>
      </c>
      <c r="I57" s="11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7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8" t="e">
        <f aca="false">VLOOKUP(A57,'Données projet'!$A$35:$I$55,2,0)</f>
        <v>#N/A</v>
      </c>
      <c r="L57" s="118" t="e">
        <f aca="false">VLOOKUP(A57,'Données projet'!$A$35:$I$55,9,0)</f>
        <v>#N/A</v>
      </c>
      <c r="M57" s="118" t="n">
        <f aca="false" t="array" ref="M57:M57">INDEX(L:L,MIN(IF(ISNUMBER(L57:L253),ROW(L57:L253),"")))</f>
        <v>13.5</v>
      </c>
      <c r="N57" s="117" t="n">
        <f aca="false">IF('Données projet'!$A$36&gt;35,N56+M57-V56,IF(A57&lt;'Données projet'!$A$36,$K$205^A57,IF(A57='Données projet'!$A$36,'Données projet'!$B$36,N56+M57-V56)))</f>
        <v>267.5</v>
      </c>
      <c r="O57" s="117" t="n">
        <f aca="false">N57*VLOOKUP('Données projet'!$B$9,Paramètres!$A$1:$I$89,3,0)*VLOOKUP('Données projet'!$B$9,Paramètres!$A$1:$I$89,5,0)</f>
        <v>125.19</v>
      </c>
      <c r="P57" s="117" t="n">
        <f aca="false">EXP(-1.0587+0.8836*LN(O57)+0.284)</f>
        <v>32.8824825465643</v>
      </c>
      <c r="Q57" s="128" t="n">
        <f aca="false">(O57+P57)*0.475*44/12</f>
        <v>275.309573768599</v>
      </c>
      <c r="R57" s="120" t="n">
        <f aca="false">Q57+(I57+J57)*44/12</f>
        <v>568.642907101933</v>
      </c>
      <c r="S57" s="120" t="n">
        <f aca="true">AVERAGE(OFFSET($R$3,0,0,'Données projet'!$E$9+1,1))-AVERAGE(OFFSET($H$3,0,0,'Données projet'!$E$9+1,1))</f>
        <v>319.229030946746</v>
      </c>
      <c r="T57" s="120" t="n">
        <f aca="false">$T$3</f>
        <v>254.586909731428</v>
      </c>
      <c r="U57" s="121" t="n">
        <f aca="false">IF(ISNA(VLOOKUP(A57,'Données projet'!$A$35:$I$55,3,0)),0,VLOOKUP(A57,'Données projet'!$A$35:$I$55,3,0))</f>
        <v>0</v>
      </c>
      <c r="V57" s="121" t="n">
        <f aca="false">IF(ISNA(VLOOKUP(A57,'Données projet'!$A$35:$I$55,4,0)),0,VLOOKUP(A57,'Données projet'!$A$35:$I$55,4,0))</f>
        <v>0</v>
      </c>
      <c r="W57" s="122" t="n">
        <f aca="false">IF(ISNA(VLOOKUP(A57,'Données projet'!$A$35:$I$55,5,0)),0%,VLOOKUP(A57,'Données projet'!$A$35:$I$55,5,0)*VLOOKUP('Données projet'!$B$9,Paramètres!$A$1:$I$89,7,0))</f>
        <v>0</v>
      </c>
      <c r="X57" s="122" t="n">
        <f aca="false">IF(ISNA(VLOOKUP(A57,'Données projet'!$A$35:$I$55,6,0)),0%,VLOOKUP(A57,'Données projet'!$A$35:$I$55,6,0)*VLOOKUP('Données projet'!$B$9,Paramètres!$A$1:$I$89,7,0))</f>
        <v>0</v>
      </c>
      <c r="Y57" s="122" t="n">
        <f aca="false">IF(ISNA(VLOOKUP(A57,'Données projet'!$A$35:$I$55,7,0)),0%,VLOOKUP(A57,'Données projet'!$A$35:$I$55,7,0))</f>
        <v>0</v>
      </c>
      <c r="Z57" s="129" t="n">
        <f aca="false">EXP(-LN(2)/35)*Z56+(1-EXP(-LN(2)/35))/(LN(2)/35)*V57*W57*VLOOKUP('Données projet'!$B$9,Paramètres!$A$1:$I$89,3,0)*0.475*44/12</f>
        <v>5.6426344526518</v>
      </c>
      <c r="AA57" s="129" t="n">
        <f aca="false">EXP(-LN(2)/25)*AA56+(1-EXP(-LN(2)/25))/(LN(2)/25)*Calculateur!V57*Calculateur!X57*VLOOKUP('Données projet'!$B$9,Paramètres!$A$1:$I$89,3,0)*0.475*44/12</f>
        <v>5.73241325012412</v>
      </c>
      <c r="AB57" s="129" t="n">
        <f aca="false">EXP(-LN(2)/2)*AB56+(1-EXP(-LN(2)/2))/(LN(2)/2)*V57*Y57*VLOOKUP('Données projet'!$B$9,Paramètres!$A$1:$I$89,3,0)*0.475*44/12</f>
        <v>0.00269607632900351</v>
      </c>
      <c r="AC57" s="130" t="n">
        <f aca="false">SUM(Z57:AB57)</f>
        <v>11.3777437791049</v>
      </c>
      <c r="AD57" s="117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7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8" t="e">
        <f aca="false">VLOOKUP(A57,'Données projet'!$A$61:$I$81,2,0)</f>
        <v>#N/A</v>
      </c>
      <c r="AG57" s="118" t="e">
        <f aca="false">VLOOKUP(A57,'Données projet'!$A$61:$I$81,9,0)</f>
        <v>#N/A</v>
      </c>
      <c r="AH57" s="118" t="n">
        <f aca="false" t="array" ref="AH57:AH57">INDEX(AG:AG,MIN(IF(ISNUMBER(AG57:AG253),ROW(AG57:AG253),"")))</f>
        <v>12.6</v>
      </c>
      <c r="AI57" s="117" t="n">
        <f aca="false">IF('Données projet'!$A$62&gt;35,AI56+AH57-AQ56,IF(A57&lt;'Données projet'!$A$62,$AF$205^A57,IF(A57='Données projet'!$A$62,'Données projet'!$B$62,AI56+AH57-AQ56)))</f>
        <v>552.4</v>
      </c>
      <c r="AJ57" s="117" t="n">
        <f aca="false">AI57*VLOOKUP('Données projet'!$B$10,Paramètres!$A$1:$I$89,3,0)*VLOOKUP('Données projet'!$B$10,Paramètres!$A$1:$I$89,5,0)</f>
        <v>308.7916</v>
      </c>
      <c r="AK57" s="117" t="n">
        <f aca="false">EXP(-1.0587+0.8836*LN(AJ57)+0.284)</f>
        <v>73.0164108202109</v>
      </c>
      <c r="AL57" s="128" t="n">
        <f aca="false">(AJ57+AK57)*0.475*44/12</f>
        <v>664.982285511868</v>
      </c>
      <c r="AM57" s="120" t="n">
        <f aca="false">AL57+(AD57+AE57)*44/12</f>
        <v>958.315618845201</v>
      </c>
      <c r="AN57" s="120" t="n">
        <f aca="true">AVERAGE(OFFSET($AM$3,0,0,'Données projet'!$E$10+1,1))-AVERAGE(OFFSET($H$3,0,0,'Données projet'!$E$10+1,1))</f>
        <v>365.705101827279</v>
      </c>
      <c r="AO57" s="120" t="n">
        <f aca="false">$AO$3</f>
        <v>436.238338449625</v>
      </c>
      <c r="AP57" s="121" t="n">
        <f aca="false">IF(ISNA(VLOOKUP(A57,'Données projet'!$A$61:$I$81,3,0)),0,VLOOKUP(A57,'Données projet'!$A$61:$I$81,3,0))</f>
        <v>0</v>
      </c>
      <c r="AQ57" s="121" t="n">
        <f aca="false">IF(ISNA(VLOOKUP(A57,'Données projet'!$A$61:$I$81,4,0)),0,VLOOKUP(A57,'Données projet'!$A$61:$I$81,4,0))</f>
        <v>0</v>
      </c>
      <c r="AR57" s="122" t="n">
        <f aca="false">IF(ISNA(VLOOKUP(A57,'Données projet'!$A$61:$I$81,5,0)),0%,VLOOKUP(A57,'Données projet'!$A$61:$I$81,5,0)*VLOOKUP('Données projet'!$B$10,Paramètres!$A$1:$I$89,7,0))</f>
        <v>0</v>
      </c>
      <c r="AS57" s="122" t="n">
        <f aca="false">IF(ISNA(VLOOKUP(A57,'Données projet'!$A$61:$I$81,6,0)),0%,VLOOKUP(A57,'Données projet'!$A$61:$I$81,6,0)*VLOOKUP('Données projet'!$B$10,Paramètres!$A$1:$I$89,7,0))</f>
        <v>0</v>
      </c>
      <c r="AT57" s="122" t="n">
        <f aca="false">IF(ISNA(VLOOKUP(A57,'Données projet'!$A$61:$I$81,7,0)),0%,VLOOKUP(A57,'Données projet'!$A$61:$I$81,7,0))</f>
        <v>0</v>
      </c>
      <c r="AU57" s="129" t="n">
        <f aca="false">EXP(-LN(2)/35)*AU56+(1-EXP(-LN(2)/35))/(LN(2)/35)*AQ57*AR57*VLOOKUP('Données projet'!$B$10,Paramètres!$A$1:$I$89,3,0)*0.475*44/12</f>
        <v>2.12991156371289</v>
      </c>
      <c r="AV57" s="129" t="n">
        <f aca="false">EXP(-LN(2)/25)*AV56+(1-EXP(-LN(2)/25))/(LN(2)/25)*Calculateur!AQ57*Calculateur!AS57*VLOOKUP('Données projet'!$B$10,Paramètres!$A$1:$I$89,3,0)*0.475*44/12</f>
        <v>6.78973354389318</v>
      </c>
      <c r="AW57" s="129" t="n">
        <f aca="false">EXP(-LN(2)/2)*AW56+(1-EXP(-LN(2)/2))/(LN(2)/2)*AQ57*AT57*VLOOKUP('Données projet'!$B$10,Paramètres!$A$1:$I$89,3,0)*0.475*44/12</f>
        <v>0.00145094401505757</v>
      </c>
      <c r="AX57" s="129" t="n">
        <f aca="false">SUM(AU57:AW57)</f>
        <v>8.92109605162112</v>
      </c>
      <c r="AY57" s="124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8" t="e">
        <f aca="false">VLOOKUP(A57,'Données projet'!$A$87:$I$107,2,0)</f>
        <v>#N/A</v>
      </c>
      <c r="BB57" s="118" t="e">
        <f aca="false">VLOOKUP(A57,'Données projet'!$A$87:$I$107,9,0)</f>
        <v>#N/A</v>
      </c>
      <c r="BC57" s="118" t="n">
        <f aca="false" t="array" ref="BC57:BC57">INDEX(BB:BB,MIN(IF(ISNUMBER(BB57:BB253),ROW(BB57:BB253),"")))</f>
        <v>7.8</v>
      </c>
      <c r="BD57" s="118" t="n">
        <f aca="false">IF('Données projet'!$A$88&gt;35,BD56+BC57-BL56,IF(A57&lt;'Données projet'!$A$88,$BA$205^A57,IF(A57='Données projet'!$A$88,'Données projet'!$B$88,BD56+BC57-BL56)))</f>
        <v>229.2</v>
      </c>
      <c r="BE57" s="117" t="n">
        <f aca="false">BD57*VLOOKUP('Données projet'!$B$11,Paramètres!$A$1:$I$89,3,0)*VLOOKUP('Données projet'!$B$11,Paramètres!$A$1:$I$89,5,0)</f>
        <v>200.22912</v>
      </c>
      <c r="BF57" s="117" t="n">
        <f aca="false">EXP(-1.0587+0.8836*LN(BE57)+0.284)</f>
        <v>49.7945180107664</v>
      </c>
      <c r="BG57" s="128" t="n">
        <f aca="false">(BE57+BF57)*0.475*44/12</f>
        <v>435.457836202085</v>
      </c>
      <c r="BH57" s="120" t="n">
        <f aca="false">BG57+(AY57+AZ57)*44/12</f>
        <v>728.791169535419</v>
      </c>
      <c r="BI57" s="120" t="n">
        <f aca="true">AVERAGE(OFFSET($BH$3,0,0,'Données projet'!$E$11+1,1))-AVERAGE(OFFSET($H$3,0,0,'Données projet'!$E$11+1,1))</f>
        <v>321.235999689929</v>
      </c>
      <c r="BJ57" s="120" t="n">
        <f aca="false">$BJ$3</f>
        <v>388.051958478005</v>
      </c>
      <c r="BK57" s="121" t="n">
        <f aca="false">IF(ISNA(VLOOKUP(A57,'Données projet'!$A$87:$I$107,3,0)),0,VLOOKUP(A57,'Données projet'!$A$87:$I$107,3,0))</f>
        <v>0</v>
      </c>
      <c r="BL57" s="121" t="n">
        <f aca="false">IF(ISNA(VLOOKUP(A57,'Données projet'!$A$87:$I$107,4,0)),0,VLOOKUP(A57,'Données projet'!$A$87:$I$107,4,0))</f>
        <v>0</v>
      </c>
      <c r="BM57" s="122" t="n">
        <f aca="false">IF(ISNA(VLOOKUP(A57,'Données projet'!$A$87:$I$107,5,0)),0%,VLOOKUP(A57,'Données projet'!$A$87:$I$107,5,0)*VLOOKUP('Données projet'!$B$11,Paramètres!$A$1:$I$89,7,0))</f>
        <v>0</v>
      </c>
      <c r="BN57" s="122" t="n">
        <f aca="false">IF(ISNA(VLOOKUP(A57,'Données projet'!$A$87:$I$107,6,0)),0%,VLOOKUP(A57,'Données projet'!$A$87:$I$107,6,0)*VLOOKUP('Données projet'!$B$11,Paramètres!$A$1:$I$89,7,0))</f>
        <v>0</v>
      </c>
      <c r="BO57" s="122" t="n">
        <f aca="false">IF(ISNA(VLOOKUP(A57,'Données projet'!$A$87:$I$107,7,0)),0%,VLOOKUP(A57,'Données projet'!$A$87:$I$107,7,0))</f>
        <v>0</v>
      </c>
      <c r="BP57" s="129" t="n">
        <f aca="false">EXP(-LN(2)/35)*BP56+(1-EXP(-LN(2)/35))/(LN(2)/35)*BL57*BM57*VLOOKUP('Données projet'!$B$11,Paramètres!$A$1:$I$89,3,0)*0.475*44/12</f>
        <v>5.34740144962448</v>
      </c>
      <c r="BQ57" s="129" t="n">
        <f aca="false">EXP(-LN(2)/25)*BQ56+(1-EXP(-LN(2)/25))/(LN(2)/25)*Calculateur!BL57*Calculateur!BN57*VLOOKUP('Données projet'!$B$11,Paramètres!$A$1:$I$89,3,0)*0.475*44/12</f>
        <v>6.93055671636758</v>
      </c>
      <c r="BR57" s="129" t="n">
        <f aca="false">EXP(-LN(2)/2)*BR56+(1-EXP(-LN(2)/2))/(LN(2)/2)*BL57*BO57*VLOOKUP('Données projet'!$B$11,Paramètres!$A$1:$I$89,3,0)*0.475*44/12</f>
        <v>0.00147485443293328</v>
      </c>
      <c r="BS57" s="130" t="n">
        <f aca="false">SUM(BP57:BR57)</f>
        <v>12.279433020425</v>
      </c>
      <c r="BT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8" t="e">
        <f aca="false">VLOOKUP(A57,'Données projet'!$A$113:$I$133,2,0)</f>
        <v>#N/A</v>
      </c>
      <c r="BW57" s="118" t="e">
        <f aca="false">VLOOKUP(A57,'Données projet'!$A$113:$I$133,9,0)</f>
        <v>#N/A</v>
      </c>
      <c r="BX57" s="118" t="n">
        <f aca="false" t="array" ref="BX57:BX57">INDEX(BW:BW,MIN(IF(ISNUMBER(BW57:BW253),ROW(BW57:BW253),"")))</f>
        <v>9.75</v>
      </c>
      <c r="BY57" s="118" t="n">
        <f aca="false">IF('Données projet'!$A$114&gt;35,BY56+BX57-CG56,IF(A57&lt;'Données projet'!$A$114,$BV$205^A57,IF(A57='Données projet'!$A$114,'Données projet'!$B$114,BY56+BX57-CG56)))</f>
        <v>245.5</v>
      </c>
      <c r="BZ57" s="117" t="n">
        <f aca="false">BY57*VLOOKUP('Données projet'!$B$12,Paramètres!$A$1:$I$89,3,0)*VLOOKUP('Données projet'!$B$12,Paramètres!$A$1:$I$89,5,0)</f>
        <v>153.192</v>
      </c>
      <c r="CA57" s="117" t="n">
        <f aca="false">EXP(-1.0587+0.8836*LN(BZ57)+0.284)</f>
        <v>39.3030877133669</v>
      </c>
      <c r="CB57" s="128" t="n">
        <f aca="false">(BZ57+CA57)*0.475*44/12</f>
        <v>335.262277767447</v>
      </c>
      <c r="CC57" s="120" t="n">
        <f aca="false">CB57+(BT57+BU57)*44/12</f>
        <v>628.595611100781</v>
      </c>
      <c r="CD57" s="120" t="n">
        <f aca="true">AVERAGE(OFFSET($CC$3,0,0,'Données projet'!$E$12+1,1))-AVERAGE(OFFSET($H$3,0,0,'Données projet'!$E$12+1,1))</f>
        <v>240.228848647662</v>
      </c>
      <c r="CE57" s="120" t="n">
        <f aca="false">$CE$3</f>
        <v>343.237768841432</v>
      </c>
      <c r="CF57" s="121" t="n">
        <f aca="false">IF(ISNA(VLOOKUP(A57,'Données projet'!$A$113:$I$133,3,0)),0,VLOOKUP(A57,'Données projet'!$A$113:$I$133,3,0))</f>
        <v>0</v>
      </c>
      <c r="CG57" s="121" t="n">
        <f aca="false">IF(ISNA(VLOOKUP(A57,'Données projet'!$A$113:$I$133,4,0)),0,VLOOKUP(A57,'Données projet'!$A$113:$I$133,4,0))</f>
        <v>0</v>
      </c>
      <c r="CH57" s="122" t="n">
        <f aca="false">IF(ISNA(VLOOKUP(A57,'Données projet'!$A$113:$I$133,5,0)),0%,VLOOKUP(A57,'Données projet'!$A$113:$I$133,5,0)*VLOOKUP('Données projet'!$B$12,Paramètres!$A$1:$I$89,7,0))</f>
        <v>0</v>
      </c>
      <c r="CI57" s="122" t="n">
        <f aca="false">IF(ISNA(VLOOKUP(A57,'Données projet'!$A$113:$I$133,6,0)),0%,VLOOKUP(A57,'Données projet'!$A$113:$I$133,6,0)*VLOOKUP('Données projet'!$B$12,Paramètres!$A$1:$I$89,7,0))</f>
        <v>0</v>
      </c>
      <c r="CJ57" s="122" t="n">
        <f aca="false">IF(ISNA(VLOOKUP(A57,'Données projet'!$A$113:$I$133,7,0)),0%,VLOOKUP(A57,'Données projet'!$A$113:$I$133,7,0))</f>
        <v>0</v>
      </c>
      <c r="CK57" s="129" t="n">
        <f aca="false">EXP(-LN(2)/35)*CK56+(1-EXP(-LN(2)/35))/(LN(2)/35)*CG57*CH57*VLOOKUP('Données projet'!$B$12,Paramètres!$A$1:$I$89,3,0)*0.475*44/12</f>
        <v>3.27302628697408</v>
      </c>
      <c r="CL57" s="129" t="n">
        <f aca="false">EXP(-LN(2)/25)*CL56+(1-EXP(-LN(2)/25))/(LN(2)/25)*Calculateur!CG57*Calculateur!CI57*VLOOKUP('Données projet'!$B$12,Paramètres!$A$1:$I$89,3,0)*0.475*44/12</f>
        <v>12.2397643702481</v>
      </c>
      <c r="CM57" s="129" t="n">
        <f aca="false">EXP(-LN(2)/2)*CM56+(1-EXP(-LN(2)/2))/(LN(2)/2)*CG57*CJ57*VLOOKUP('Données projet'!$B$12,Paramètres!$A$1:$I$89,3,0)*0.475*44/12</f>
        <v>0.00235347447899507</v>
      </c>
      <c r="CN57" s="130" t="n">
        <f aca="false">SUM(CK57:CM57)</f>
        <v>15.5151441317012</v>
      </c>
      <c r="CO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8" t="e">
        <f aca="false">VLOOKUP(A57,'Données projet'!$A$139:$I$159,2,0)</f>
        <v>#N/A</v>
      </c>
      <c r="CR57" s="118" t="e">
        <f aca="false">VLOOKUP(A57,'Données projet'!$A$139:$I$159,9,0)</f>
        <v>#N/A</v>
      </c>
      <c r="CS57" s="118" t="n">
        <f aca="false" t="array" ref="CS57:CS57">INDEX(CR:CR,MIN(IF(ISNUMBER(CR57:CR253),ROW(CR57:CR253),"")))</f>
        <v>0</v>
      </c>
      <c r="CT57" s="118" t="n">
        <f aca="false">IF('Données projet'!$A$140&gt;35,CT56+CS57-DB56,IF(A57&lt;'Données projet'!$A$140,$CQ$205^A57,IF(A57='Données projet'!$A$140,'Données projet'!$B$140,CT56+CS57-DB56)))</f>
        <v>-5.6843418860808E-014</v>
      </c>
      <c r="CU57" s="125" t="n">
        <f aca="false">CT57*VLOOKUP('Données projet'!$B$13,Paramètres!$A$1:$I$89,3,0)*VLOOKUP('Données projet'!$B$13,Paramètres!$A$1:$I$89,5,0)</f>
        <v>-3.10365066980012E-014</v>
      </c>
      <c r="CV57" s="117" t="e">
        <f aca="false">EXP(-1.0587+0.8836*LN(CU57)+0.284)</f>
        <v>#VALUE!</v>
      </c>
      <c r="CW57" s="128" t="e">
        <f aca="false">(CU57+CV57)*0.475*44/12</f>
        <v>#VALUE!</v>
      </c>
      <c r="CX57" s="120" t="e">
        <f aca="false">CW57+(CO57+CP57)*44/12</f>
        <v>#VALUE!</v>
      </c>
      <c r="CY57" s="120" t="n">
        <f aca="true">AVERAGE(OFFSET($CX$3,0,0,'Données projet'!$E$13+1,1))-AVERAGE(OFFSET($H$3,0,0,'Données projet'!$E$13+1,1))</f>
        <v>207.023069645676</v>
      </c>
      <c r="CZ57" s="120" t="n">
        <f aca="false">$CZ$3</f>
        <v>342.068879333518</v>
      </c>
      <c r="DA57" s="121" t="n">
        <f aca="false">IF(ISNA(VLOOKUP(A57,'Données projet'!$A$139:$I$159,3,0)),0,VLOOKUP(A57,'Données projet'!$A$139:$I$159,3,0))</f>
        <v>0</v>
      </c>
      <c r="DB57" s="121" t="n">
        <f aca="false">IF(ISNA(VLOOKUP(A57,'Données projet'!$A$139:$I$159,4,0)),0,VLOOKUP(A57,'Données projet'!$A$139:$I$159,4,0))</f>
        <v>0</v>
      </c>
      <c r="DC57" s="122" t="n">
        <f aca="false">IF(ISNA(VLOOKUP(A57,'Données projet'!$A$139:$I$159,5,0)),0%,VLOOKUP(A57,'Données projet'!$A$139:$I$159,5,0)*VLOOKUP('Données projet'!$B$13,Paramètres!$A$1:$I$89,7,0))</f>
        <v>0</v>
      </c>
      <c r="DD57" s="122" t="n">
        <f aca="false">IF(ISNA(VLOOKUP(A57,'Données projet'!$A$139:$I$159,6,0)),0%,VLOOKUP(A57,'Données projet'!$A$139:$I$159,6,0)*VLOOKUP('Données projet'!$B$13,Paramètres!$A$1:$I$89,7,0))</f>
        <v>0</v>
      </c>
      <c r="DE57" s="122" t="n">
        <f aca="false">IF(ISNA(VLOOKUP(A57,'Données projet'!$A$139:$I$159,7,0)),0%,VLOOKUP(A57,'Données projet'!$A$139:$I$159,7,0))</f>
        <v>0</v>
      </c>
      <c r="DF57" s="129" t="n">
        <f aca="false">EXP(-LN(2)/35)*DF56+(1-EXP(-LN(2)/35))/(LN(2)/35)*DB57*DC57*VLOOKUP('Données projet'!$B$13,Paramètres!$A$1:$I$89,3,0)*0.475*44/12</f>
        <v>4.10672166195804</v>
      </c>
      <c r="DG57" s="129" t="n">
        <f aca="false">EXP(-LN(2)/25)*DG56+(1-EXP(-LN(2)/25))/(LN(2)/25)*Calculateur!DB57*Calculateur!DD57*VLOOKUP('Données projet'!$B$13,Paramètres!$A$1:$I$89,3,0)*0.475*44/12</f>
        <v>20.0069170202562</v>
      </c>
      <c r="DH57" s="129" t="n">
        <f aca="false">EXP(-LN(2)/2)*DH56+(1-EXP(-LN(2)/2))/(LN(2)/2)*DB57*DE57*VLOOKUP('Données projet'!$B$13,Paramètres!$A$1:$I$89,3,0)*0.475*44/12</f>
        <v>0.00324073544870626</v>
      </c>
      <c r="DI57" s="130" t="n">
        <f aca="false">SUM(DF57:DH57)</f>
        <v>24.1168794176629</v>
      </c>
      <c r="DJ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8" t="n">
        <f aca="false">VLOOKUP(A57,'Données projet'!$A$165:$I$185,2,0)</f>
        <v>311</v>
      </c>
      <c r="DM57" s="118" t="n">
        <f aca="false">VLOOKUP(A57,'Données projet'!$A$165:$I$185,9,0)</f>
        <v>-256.625</v>
      </c>
      <c r="DN57" s="118" t="n">
        <f aca="false" t="array" ref="DN57:DN57">INDEX(DM:DM,MIN(IF(ISNUMBER(DM57:DM253),ROW(DM57:DM253),"")))</f>
        <v>-256.625</v>
      </c>
      <c r="DO57" s="118" t="n">
        <f aca="false">IF('Données projet'!$A$166&gt;35,DO56+DN57-DW56,IF(A57&lt;'Données projet'!$A$166,$DL$205^A57,IF(A57='Données projet'!$A$166,'Données projet'!$B$166,DO56+DN57-DW56)))</f>
        <v>311</v>
      </c>
      <c r="DP57" s="125" t="n">
        <f aca="false">DO57*VLOOKUP('Données projet'!$B$14,Paramètres!$A$1:$I$89,3,0)*VLOOKUP('Données projet'!$B$14,Paramètres!$A$1:$I$89,5,0)</f>
        <v>185.978</v>
      </c>
      <c r="DQ57" s="117" t="n">
        <f aca="false">EXP(-1.0587+0.8836*LN(DP57)+0.284)</f>
        <v>46.6496415236686</v>
      </c>
      <c r="DR57" s="128" t="n">
        <f aca="false">(DP57+DQ57)*0.475*44/12</f>
        <v>405.159808987056</v>
      </c>
      <c r="DS57" s="120" t="n">
        <f aca="false">DR57+(DJ57+DK57)*44/12</f>
        <v>698.493142320389</v>
      </c>
      <c r="DT57" s="120" t="n">
        <f aca="true">AVERAGE(OFFSET($DS$3,0,0,'Données projet'!$E$14+1,1))-AVERAGE(OFFSET($H$3,0,0,'Données projet'!$E$14+1,1))</f>
        <v>549.432320957297</v>
      </c>
      <c r="DU57" s="120" t="n">
        <f aca="false">$DU$3</f>
        <v>280.26155987301</v>
      </c>
      <c r="DV57" s="121" t="n">
        <f aca="false">IF(ISNA(VLOOKUP(A57,'Données projet'!$A$165:$I$185,3,0)),0,VLOOKUP(A57,'Données projet'!$A$165:$I$185,3,0))</f>
        <v>9</v>
      </c>
      <c r="DW57" s="121" t="n">
        <f aca="false">IF(ISNA(VLOOKUP(A57,'Données projet'!$A$165:$I$185,4,0)),0,VLOOKUP(A57,'Données projet'!$A$165:$I$185,4,0))</f>
        <v>16</v>
      </c>
      <c r="DX57" s="122" t="n">
        <f aca="false">IF(ISNA(VLOOKUP(A57,'Données projet'!$A$165:$I$185,5,0)),0%,VLOOKUP(A57,'Données projet'!$A$165:$I$185,5,0)*VLOOKUP('Données projet'!$B$14,Paramètres!$A$1:$I$89,7,0))</f>
        <v>0</v>
      </c>
      <c r="DY57" s="122" t="n">
        <f aca="false">IF(ISNA(VLOOKUP(A57,'Données projet'!$A$165:$I$185,6,0)),0%,VLOOKUP(A57,'Données projet'!$A$165:$I$185,6,0)*VLOOKUP('Données projet'!$B$14,Paramètres!$A$1:$I$89,7,0))</f>
        <v>0</v>
      </c>
      <c r="DZ57" s="122" t="n">
        <f aca="false">IF(ISNA(VLOOKUP(A57,'Données projet'!$A$165:$I$185,7,0)),0%,VLOOKUP(A57,'Données projet'!$A$165:$I$185,7,0))</f>
        <v>0</v>
      </c>
      <c r="EA57" s="129" t="n">
        <f aca="false">EXP(-LN(2)/35)*EA56+(1-EXP(-LN(2)/35))/(LN(2)/35)*DW57*DX57*VLOOKUP('Données projet'!$B$14,Paramètres!$A$1:$I$89,3,0)*0.475*44/12</f>
        <v>1.49319941711334</v>
      </c>
      <c r="EB57" s="129" t="n">
        <f aca="false">EXP(-LN(2)/25)*EB56+(1-EXP(-LN(2)/25))/(LN(2)/25)*Calculateur!DW57*Calculateur!DY57*VLOOKUP('Données projet'!$B$14,Paramètres!$A$1:$I$89,3,0)*0.475*44/12</f>
        <v>3.98577259996996</v>
      </c>
      <c r="EC57" s="129" t="n">
        <f aca="false">EXP(-LN(2)/2)*EC56+(1-EXP(-LN(2)/2))/(LN(2)/2)*DW57*DZ57*VLOOKUP('Données projet'!$B$14,Paramètres!$A$1:$I$89,3,0)*0.475*44/12</f>
        <v>0.00149391223988268</v>
      </c>
      <c r="ED57" s="130" t="n">
        <f aca="false">SUM(EA57:EC57)</f>
        <v>5.48046592932319</v>
      </c>
      <c r="EE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8" t="e">
        <f aca="false">VLOOKUP(A57,'Données projet'!$A$191:$I$211,2,0)</f>
        <v>#N/A</v>
      </c>
      <c r="EH57" s="118" t="e">
        <f aca="false">VLOOKUP(A57,'Données projet'!$A$191:$I$211,9,0)</f>
        <v>#N/A</v>
      </c>
      <c r="EI57" s="118" t="n">
        <f aca="false" t="array" ref="EI57:EI57">INDEX(EH:EH,MIN(IF(ISNUMBER(EH57:EH253),ROW(EH57:EH253),"")))</f>
        <v>0</v>
      </c>
      <c r="EJ57" s="118" t="n">
        <f aca="false">IF('Données projet'!$A$192&gt;35,EJ56+EI57-ER56,IF(A57&lt;'Données projet'!$A$192,$EG$205^A57,IF(A57='Données projet'!$A$192,'Données projet'!$B$192,EJ56+EI57-ER56)))</f>
        <v>0</v>
      </c>
      <c r="EK57" s="125" t="e">
        <f aca="false">EJ57*VLOOKUP('Données projet'!$B$15,Paramètres!$A$1:$I$89,3,0)*VLOOKUP('Données projet'!$B$15,Paramètres!$A$1:$I$89,5,0)</f>
        <v>#N/A</v>
      </c>
      <c r="EL57" s="117" t="e">
        <f aca="false">EXP(-1.0587+0.8836*LN(EK57)+0.284)</f>
        <v>#N/A</v>
      </c>
      <c r="EM57" s="128" t="e">
        <f aca="false">(EK57+EL57)*0.475*44/12</f>
        <v>#N/A</v>
      </c>
      <c r="EN57" s="120" t="e">
        <f aca="false">EM57+(EE57+EF57)*44/12</f>
        <v>#N/A</v>
      </c>
      <c r="EO57" s="120" t="e">
        <f aca="true">AVERAGE(OFFSET($EN$3,0,0,'Données projet'!$E$15+1,1))-AVERAGE(OFFSET($H$3,0,0,'Données projet'!$E$15+1,1))</f>
        <v>#N/A</v>
      </c>
      <c r="EP57" s="120" t="e">
        <f aca="false">$EP$3</f>
        <v>#N/A</v>
      </c>
      <c r="EQ57" s="121" t="n">
        <f aca="false">IF(ISNA(VLOOKUP(A57,'Données projet'!$A$191:$I$211,3,0)),0,VLOOKUP(A57,'Données projet'!$A$191:$I$211,3,0))</f>
        <v>0</v>
      </c>
      <c r="ER57" s="121" t="n">
        <f aca="false">IF(ISNA(VLOOKUP(A57,'Données projet'!$A$191:$I$211,4,0)),0,VLOOKUP(A57,'Données projet'!$A$191:$I$211,4,0))</f>
        <v>0</v>
      </c>
      <c r="ES57" s="122" t="n">
        <f aca="false">IF(ISNA(VLOOKUP(A57,'Données projet'!$A$191:$I$211,5,0)),0%,VLOOKUP(A57,'Données projet'!$A$191:$I$211,5,0)*VLOOKUP('Données projet'!$B$15,Paramètres!$A$1:$I$89,7,0))</f>
        <v>0</v>
      </c>
      <c r="ET57" s="122" t="n">
        <f aca="false">IF(ISNA(VLOOKUP(A57,'Données projet'!$A$191:$I$211,6,0)),0%,VLOOKUP(A57,'Données projet'!$A$191:$I$211,6,0)*VLOOKUP('Données projet'!$B$15,Paramètres!$A$1:$I$89,7,0))</f>
        <v>0</v>
      </c>
      <c r="EU57" s="122" t="n">
        <f aca="false">IF(ISNA(VLOOKUP(A57,'Données projet'!$A$191:$I$211,7,0)),0%,VLOOKUP(A57,'Données projet'!$A$191:$I$211,7,0))</f>
        <v>0</v>
      </c>
      <c r="EV57" s="129" t="e">
        <f aca="false">EXP(-LN(2)/35)*EV56+(1-EXP(-LN(2)/35))/(LN(2)/35)*ER57*ES57*VLOOKUP('Données projet'!$B$15,Paramètres!$A$1:$I$89,3,0)*0.475*44/12</f>
        <v>#N/A</v>
      </c>
      <c r="EW57" s="129" t="e">
        <f aca="false">EXP(-LN(2)/25)*EW56+(1-EXP(-LN(2)/25))/(LN(2)/25)*Calculateur!ER57*Calculateur!ET57*VLOOKUP('Données projet'!$B$15,Paramètres!$A$1:$I$89,3,0)*0.475*44/12</f>
        <v>#N/A</v>
      </c>
      <c r="EX57" s="129" t="e">
        <f aca="false">EXP(-LN(2)/2)*EX56+(1-EXP(-LN(2)/2))/(LN(2)/2)*ER57*EU57*VLOOKUP('Données projet'!$B$15,Paramètres!$A$1:$I$89,3,0)*0.475*44/12</f>
        <v>#N/A</v>
      </c>
      <c r="EY57" s="130" t="e">
        <f aca="false">SUM(EV57:EX57)</f>
        <v>#N/A</v>
      </c>
      <c r="EZ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8" t="e">
        <f aca="false">VLOOKUP(A57,'Données projet'!$A$217:$I$237,2,0)</f>
        <v>#N/A</v>
      </c>
      <c r="FC57" s="118" t="e">
        <f aca="false">VLOOKUP(A57,'Données projet'!$A$217:$I$237,9,0)</f>
        <v>#N/A</v>
      </c>
      <c r="FD57" s="118" t="n">
        <f aca="false" t="array" ref="FD57:FD57">INDEX(FC:FC,MIN(IF(ISNUMBER(FC57:FC253),ROW(FC57:FC253),"")))</f>
        <v>0</v>
      </c>
      <c r="FE57" s="118" t="n">
        <f aca="false">IF('Données projet'!$A$218&gt;35,FE56+FD57-FM56,IF(A57&lt;'Données projet'!$A$218,$FB$205^A57,IF(A57='Données projet'!$A$218,'Données projet'!$B$218,FE56+FD57-FM56)))</f>
        <v>0</v>
      </c>
      <c r="FF57" s="125" t="e">
        <f aca="false">FE57*VLOOKUP('Données projet'!$B$16,Paramètres!$A$1:$I$89,3,0)*VLOOKUP('Données projet'!$B$16,Paramètres!$A$1:$I$89,5,0)</f>
        <v>#N/A</v>
      </c>
      <c r="FG57" s="117" t="e">
        <f aca="false">EXP(-1.0587+0.8836*LN(FF57)+0.284)</f>
        <v>#N/A</v>
      </c>
      <c r="FH57" s="128" t="e">
        <f aca="false">(FF57+FG57)*0.475*44/12</f>
        <v>#N/A</v>
      </c>
      <c r="FI57" s="120" t="e">
        <f aca="false">FH57+(EZ57+FA57)*44/12</f>
        <v>#N/A</v>
      </c>
      <c r="FJ57" s="120" t="e">
        <f aca="true">AVERAGE(OFFSET($FI$3,0,0,'Données projet'!$E$16+1,1))-AVERAGE(OFFSET($H$3,0,0,'Données projet'!$E$16+1,1))</f>
        <v>#N/A</v>
      </c>
      <c r="FK57" s="120" t="e">
        <f aca="false">$FK$3</f>
        <v>#N/A</v>
      </c>
      <c r="FL57" s="121" t="n">
        <f aca="false">IF(ISNA(VLOOKUP(A57,'Données projet'!$A$217:$I$237,3,0)),0,VLOOKUP(A57,'Données projet'!$A$217:$I$237,3,0))</f>
        <v>0</v>
      </c>
      <c r="FM57" s="121" t="n">
        <f aca="false">IF(ISNA(VLOOKUP(A57,'Données projet'!$A$217:$I$237,4,0)),0,VLOOKUP(A57,'Données projet'!$A$217:$I$237,4,0))</f>
        <v>0</v>
      </c>
      <c r="FN57" s="122" t="n">
        <f aca="false">IF(ISNA(VLOOKUP(A57,'Données projet'!$A$217:$I$237,5,0)),0%,VLOOKUP(A57,'Données projet'!$A$217:$I$237,5,0)*VLOOKUP('Données projet'!$B$16,Paramètres!$A$1:$I$89,7,0))</f>
        <v>0</v>
      </c>
      <c r="FO57" s="122" t="n">
        <f aca="false">IF(ISNA(VLOOKUP(A57,'Données projet'!$A$217:$I$237,6,0)),0%,VLOOKUP(A57,'Données projet'!$A$217:$I$237,6,0)*VLOOKUP('Données projet'!$B$16,Paramètres!$A$1:$I$89,7,0))</f>
        <v>0</v>
      </c>
      <c r="FP57" s="122" t="n">
        <f aca="false">IF(ISNA(VLOOKUP(A57,'Données projet'!$A$217:$I$237,7,0)),0%,VLOOKUP(A57,'Données projet'!$A$217:$I$237,7,0))</f>
        <v>0</v>
      </c>
      <c r="FQ57" s="129" t="e">
        <f aca="false">EXP(-LN(2)/35)*FQ56+(1-EXP(-LN(2)/35))/(LN(2)/35)*FM57*FN57*VLOOKUP('Données projet'!$B$16,Paramètres!$A$1:$I$89,3,0)*0.475*44/12</f>
        <v>#N/A</v>
      </c>
      <c r="FR57" s="129" t="e">
        <f aca="false">EXP(-LN(2)/25)*FR56+(1-EXP(-LN(2)/25))/(LN(2)/25)*Calculateur!FM57*Calculateur!FO57*VLOOKUP('Données projet'!$B$16,Paramètres!$A$1:$I$89,3,0)*0.475*44/12</f>
        <v>#N/A</v>
      </c>
      <c r="FS57" s="129" t="e">
        <f aca="false">EXP(-LN(2)/2)*FS56+(1-EXP(-LN(2)/2))/(LN(2)/2)*FM57*FP57*VLOOKUP('Données projet'!$B$16,Paramètres!$A$1:$I$89,3,0)*0.475*44/12</f>
        <v>#N/A</v>
      </c>
      <c r="FT57" s="130" t="e">
        <f aca="false">SUM(FQ57:FS57)</f>
        <v>#N/A</v>
      </c>
      <c r="FU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8" t="e">
        <f aca="false">VLOOKUP(A57,'Données projet'!$A$243:$I$263,2,0)</f>
        <v>#N/A</v>
      </c>
      <c r="FX57" s="118" t="e">
        <f aca="false">VLOOKUP(A57,'Données projet'!$A$243:$I$263,9,0)</f>
        <v>#N/A</v>
      </c>
      <c r="FY57" s="118" t="n">
        <f aca="false" t="array" ref="FY57:FY57">INDEX(FX:FX,MIN(IF(ISNUMBER(FX57:FX253),ROW(FX57:FX253),"")))</f>
        <v>0</v>
      </c>
      <c r="FZ57" s="118" t="n">
        <f aca="false">IF('Données projet'!$A$244&gt;35,FZ56+FY57-GH56,IF(A57&lt;'Données projet'!$A$244,$FW$205^A57,IF(A57='Données projet'!$A$244,'Données projet'!$B$244,FZ56+FY57-GH56)))</f>
        <v>0</v>
      </c>
      <c r="GA57" s="125" t="e">
        <f aca="false">FZ57*VLOOKUP('Données projet'!$B$17,Paramètres!$A$1:$I$89,3,0)*VLOOKUP('Données projet'!$B$17,Paramètres!$A$1:$I$89,5,0)</f>
        <v>#N/A</v>
      </c>
      <c r="GB57" s="117" t="e">
        <f aca="false">EXP(-1.0587+0.8836*LN(GA57)+0.284)</f>
        <v>#N/A</v>
      </c>
      <c r="GC57" s="128" t="e">
        <f aca="false">(GA57+GB57)*0.475*44/12</f>
        <v>#N/A</v>
      </c>
      <c r="GD57" s="120" t="e">
        <f aca="false">GC57+(FU57+FV57)*44/12</f>
        <v>#N/A</v>
      </c>
      <c r="GE57" s="120" t="e">
        <f aca="true">AVERAGE(OFFSET($GD$3,0,0,'Données projet'!$E$17+1,1))-AVERAGE(OFFSET($H$3,0,0,'Données projet'!$E$17+1,1))</f>
        <v>#N/A</v>
      </c>
      <c r="GF57" s="120" t="e">
        <f aca="false">$GF$3</f>
        <v>#N/A</v>
      </c>
      <c r="GG57" s="121" t="n">
        <f aca="false">IF(ISNA(VLOOKUP(A57,'Données projet'!$A$243:$I$263,3,0)),0,VLOOKUP(A57,'Données projet'!$A$243:$I$263,3,0))</f>
        <v>0</v>
      </c>
      <c r="GH57" s="121" t="n">
        <f aca="false">IF(ISNA(VLOOKUP(A57,'Données projet'!$A$243:$I$263,4,0)),0,VLOOKUP(A57,'Données projet'!$A$243:$I$263,4,0))</f>
        <v>0</v>
      </c>
      <c r="GI57" s="122" t="n">
        <f aca="false">IF(ISNA(VLOOKUP(A57,'Données projet'!$A$243:$I$263,5,0)),0%,VLOOKUP(A57,'Données projet'!$A$243:$I$263,5,0)*VLOOKUP('Données projet'!$B$17,Paramètres!$A$1:$I$89,7,0))</f>
        <v>0</v>
      </c>
      <c r="GJ57" s="122" t="n">
        <f aca="false">IF(ISNA(VLOOKUP(A57,'Données projet'!$A$243:$I$263,6,0)),0%,VLOOKUP(A57,'Données projet'!$A$243:$I$263,6,0)*VLOOKUP('Données projet'!$B$17,Paramètres!$A$1:$I$89,7,0))</f>
        <v>0</v>
      </c>
      <c r="GK57" s="122" t="n">
        <f aca="false">IF(ISNA(VLOOKUP(A57,'Données projet'!$A$243:$I$263,7,0)),0%,VLOOKUP(A57,'Données projet'!$A$243:$I$263,7,0))</f>
        <v>0</v>
      </c>
      <c r="GL57" s="129" t="e">
        <f aca="false">EXP(-LN(2)/35)*GL56+(1-EXP(-LN(2)/35))/(LN(2)/35)*GH57*GI57*VLOOKUP('Données projet'!$B$17,Paramètres!$A$1:$I$89,3,0)*0.475*44/12</f>
        <v>#N/A</v>
      </c>
      <c r="GM57" s="129" t="e">
        <f aca="false">EXP(-LN(2)/25)*GM56+(1-EXP(-LN(2)/25))/(LN(2)/25)*Calculateur!GH57*Calculateur!GJ57*VLOOKUP('Données projet'!$B$17,Paramètres!$A$1:$I$89,3,0)*0.475*44/12</f>
        <v>#N/A</v>
      </c>
      <c r="GN57" s="129" t="e">
        <f aca="false">EXP(-LN(2)/2)*GN56+(1-EXP(-LN(2)/2))/(LN(2)/2)*GH57*GK57*VLOOKUP('Données projet'!$B$17,Paramètres!$A$1:$I$89,3,0)*0.475*44/12</f>
        <v>#N/A</v>
      </c>
      <c r="GO57" s="129" t="e">
        <f aca="false">SUM(GL57:GN57)</f>
        <v>#N/A</v>
      </c>
      <c r="GP57" s="126" t="n">
        <f aca="false"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8" t="n">
        <f aca="false"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8" t="e">
        <f aca="false">VLOOKUP(A57,'Données projet'!$A$269:$I$289,2,0)</f>
        <v>#N/A</v>
      </c>
      <c r="GS57" s="118" t="e">
        <f aca="false">VLOOKUP(A57,'Données projet'!$A$269:$I$289,9,0)</f>
        <v>#N/A</v>
      </c>
      <c r="GT57" s="118" t="n">
        <f aca="false" t="array" ref="GT57:GT57">INDEX(GS:GS,MIN(IF(ISNUMBER(GS57:GS253),ROW(GS57:GS253),"")))</f>
        <v>0</v>
      </c>
      <c r="GU57" s="118" t="n">
        <f aca="false">IF('Données projet'!$A$270&gt;35,GU56+GT57-HC56,IF(A57&lt;'Données projet'!$A$270,$GR$205^A57,IF(A57='Données projet'!$A$270,'Données projet'!$B$270,GU56+GT57-HC56)))</f>
        <v>0</v>
      </c>
      <c r="GV57" s="125" t="e">
        <f aca="false">GU57*VLOOKUP('Données projet'!$B$18,Paramètres!$A$1:$I$89,3,0)*VLOOKUP('Données projet'!$B$18,Paramètres!$A$1:$I$89,5,0)</f>
        <v>#N/A</v>
      </c>
      <c r="GW57" s="117" t="e">
        <f aca="false">EXP(-1.0587+0.8836*LN(GV57)+0.284)</f>
        <v>#N/A</v>
      </c>
      <c r="GX57" s="128" t="e">
        <f aca="false">(GV57+GW57)*0.475*44/12</f>
        <v>#N/A</v>
      </c>
      <c r="GY57" s="120" t="e">
        <f aca="false">GX57+(GP57+GQ57)*44/12</f>
        <v>#N/A</v>
      </c>
      <c r="GZ57" s="120" t="e">
        <f aca="true">AVERAGE(OFFSET($GY$3,0,0,'Données projet'!$E$18+1,1))-AVERAGE(OFFSET($H$3,0,0,'Données projet'!$E$18+1,1))</f>
        <v>#N/A</v>
      </c>
      <c r="HA57" s="120" t="e">
        <f aca="false">$HA$3</f>
        <v>#N/A</v>
      </c>
      <c r="HB57" s="121" t="n">
        <f aca="false">IF(ISNA(VLOOKUP(A57,'Données projet'!$A$269:$I$289,3,0)),0,VLOOKUP(A57,'Données projet'!$A$269:$I$289,3,0))</f>
        <v>0</v>
      </c>
      <c r="HC57" s="121" t="n">
        <f aca="false">IF(ISNA(VLOOKUP(A57,'Données projet'!$A$269:$I$289,4,0)),0,VLOOKUP(A57,'Données projet'!$A$269:$I$289,4,0))</f>
        <v>0</v>
      </c>
      <c r="HD57" s="122" t="n">
        <f aca="false">IF(ISNA(VLOOKUP(A57,'Données projet'!$A$269:$I$289,5,0)),0%,VLOOKUP(A57,'Données projet'!$A$269:$I$289,5,0)*VLOOKUP('Données projet'!$B$18,Paramètres!$A$1:$I$89,7,0))</f>
        <v>0</v>
      </c>
      <c r="HE57" s="122" t="n">
        <f aca="false">IF(ISNA(VLOOKUP(A57,'Données projet'!$A$269:$I$289,6,0)),0%,VLOOKUP(A57,'Données projet'!$A$269:$I$289,6,0)*VLOOKUP('Données projet'!$B$18,Paramètres!$A$1:$I$89,7,0))</f>
        <v>0</v>
      </c>
      <c r="HF57" s="122" t="n">
        <f aca="false">IF(ISNA(VLOOKUP(A57,'Données projet'!$A$269:$I$289,7,0)),0%,VLOOKUP(A57,'Données projet'!$A$269:$I$289,7,0))</f>
        <v>0</v>
      </c>
      <c r="HG57" s="129" t="e">
        <f aca="false">EXP(-LN(2)/35)*HG56+(1-EXP(-LN(2)/35))/(LN(2)/35)*HC57*HD57*VLOOKUP('Données projet'!$B$18,Paramètres!$A$1:$I$89,3,0)*0.475*44/12</f>
        <v>#N/A</v>
      </c>
      <c r="HH57" s="129" t="e">
        <f aca="false">EXP(-LN(2)/25)*HH56+(1-EXP(-LN(2)/25))/(LN(2)/25)*Calculateur!HC57*Calculateur!HE57*VLOOKUP('Données projet'!$B$18,Paramètres!$A$1:$I$89,3,0)*0.475*44/12</f>
        <v>#N/A</v>
      </c>
      <c r="HI57" s="129" t="e">
        <f aca="false">EXP(-LN(2)/2)*HI56+(1-EXP(-LN(2)/2))/(LN(2)/2)*HC57*HF57*VLOOKUP('Données projet'!$B$18,Paramètres!$A$1:$I$89,3,0)*0.475*44/12</f>
        <v>#N/A</v>
      </c>
      <c r="HJ57" s="130" t="e">
        <f aca="false">SUM(HG57:HI57)</f>
        <v>#N/A</v>
      </c>
    </row>
    <row r="58" customFormat="false" ht="14.25" hidden="false" customHeight="false" outlineLevel="0" collapsed="false">
      <c r="A58" s="112" t="n">
        <f aca="false">A57+1</f>
        <v>55</v>
      </c>
      <c r="B58" s="113" t="n">
        <f aca="false">'Scénario référence'!$B$16*5+'Scénario référence'!$B$17*0+'Scénario référence'!$B$18*5</f>
        <v>0</v>
      </c>
      <c r="C58" s="127" t="n">
        <f aca="false"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4" t="n">
        <f aca="false">IFERROR(EXP(-1.0587+0.8836*LN(C58)+0.284),0)</f>
        <v>0</v>
      </c>
      <c r="E5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8" s="114" t="n">
        <f aca="false">IF(OR('Scénario référence'!$F$8&gt;0,'Scénario référence'!$F$9&gt;0),('Scénario référence'!$F$8+'Scénario référence'!$F$9)*10,0)</f>
        <v>0</v>
      </c>
      <c r="G58" s="114" t="n">
        <f aca="false"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15" t="n">
        <f aca="false">(B58+E58+F58)*44/12+(C58+D58)*0.475*44/12</f>
        <v>256.666666666667</v>
      </c>
      <c r="I58" s="11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7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8" t="e">
        <f aca="false">VLOOKUP(A58,'Données projet'!$A$35:$I$55,2,0)</f>
        <v>#N/A</v>
      </c>
      <c r="L58" s="118" t="e">
        <f aca="false">VLOOKUP(A58,'Données projet'!$A$35:$I$55,9,0)</f>
        <v>#N/A</v>
      </c>
      <c r="M58" s="118" t="n">
        <f aca="false" t="array" ref="M58:M58">INDEX(L:L,MIN(IF(ISNUMBER(L58:L254),ROW(L58:L254),"")))</f>
        <v>13.5</v>
      </c>
      <c r="N58" s="117" t="n">
        <f aca="false">IF('Données projet'!$A$36&gt;35,N57+M58-V57,IF(A58&lt;'Données projet'!$A$36,$K$205^A58,IF(A58='Données projet'!$A$36,'Données projet'!$B$36,N57+M58-V57)))</f>
        <v>281</v>
      </c>
      <c r="O58" s="117" t="n">
        <f aca="false">N58*VLOOKUP('Données projet'!$B$9,Paramètres!$A$1:$I$89,3,0)*VLOOKUP('Données projet'!$B$9,Paramètres!$A$1:$I$89,5,0)</f>
        <v>131.508</v>
      </c>
      <c r="P58" s="117" t="n">
        <f aca="false">EXP(-1.0587+0.8836*LN(O58)+0.284)</f>
        <v>34.3445796170825</v>
      </c>
      <c r="Q58" s="128" t="n">
        <f aca="false">(O58+P58)*0.475*44/12</f>
        <v>288.859909499752</v>
      </c>
      <c r="R58" s="120" t="n">
        <f aca="false">Q58+(I58+J58)*44/12</f>
        <v>582.193242833085</v>
      </c>
      <c r="S58" s="120" t="n">
        <f aca="true">AVERAGE(OFFSET($R$3,0,0,'Données projet'!$E$9+1,1))-AVERAGE(OFFSET($H$3,0,0,'Données projet'!$E$9+1,1))</f>
        <v>319.229030946746</v>
      </c>
      <c r="T58" s="120" t="n">
        <f aca="false">$T$3</f>
        <v>254.586909731428</v>
      </c>
      <c r="U58" s="121" t="n">
        <f aca="false">IF(ISNA(VLOOKUP(A58,'Données projet'!$A$35:$I$55,3,0)),0,VLOOKUP(A58,'Données projet'!$A$35:$I$55,3,0))</f>
        <v>0</v>
      </c>
      <c r="V58" s="121" t="n">
        <f aca="false">IF(ISNA(VLOOKUP(A58,'Données projet'!$A$35:$I$55,4,0)),0,VLOOKUP(A58,'Données projet'!$A$35:$I$55,4,0))</f>
        <v>0</v>
      </c>
      <c r="W58" s="122" t="n">
        <f aca="false">IF(ISNA(VLOOKUP(A58,'Données projet'!$A$35:$I$55,5,0)),0%,VLOOKUP(A58,'Données projet'!$A$35:$I$55,5,0)*VLOOKUP('Données projet'!$B$9,Paramètres!$A$1:$I$89,7,0))</f>
        <v>0</v>
      </c>
      <c r="X58" s="122" t="n">
        <f aca="false">IF(ISNA(VLOOKUP(A58,'Données projet'!$A$35:$I$55,6,0)),0%,VLOOKUP(A58,'Données projet'!$A$35:$I$55,6,0)*VLOOKUP('Données projet'!$B$9,Paramètres!$A$1:$I$89,7,0))</f>
        <v>0</v>
      </c>
      <c r="Y58" s="122" t="n">
        <f aca="false">IF(ISNA(VLOOKUP(A58,'Données projet'!$A$35:$I$55,7,0)),0%,VLOOKUP(A58,'Données projet'!$A$35:$I$55,7,0))</f>
        <v>0</v>
      </c>
      <c r="Z58" s="129" t="n">
        <f aca="false">EXP(-LN(2)/35)*Z57+(1-EXP(-LN(2)/35))/(LN(2)/35)*V58*W58*VLOOKUP('Données projet'!$B$9,Paramètres!$A$1:$I$89,3,0)*0.475*44/12</f>
        <v>5.53198583270247</v>
      </c>
      <c r="AA58" s="129" t="n">
        <f aca="false">EXP(-LN(2)/25)*AA57+(1-EXP(-LN(2)/25))/(LN(2)/25)*Calculateur!V58*Calculateur!X58*VLOOKUP('Données projet'!$B$9,Paramètres!$A$1:$I$89,3,0)*0.475*44/12</f>
        <v>5.57566010834497</v>
      </c>
      <c r="AB58" s="129" t="n">
        <f aca="false">EXP(-LN(2)/2)*AB57+(1-EXP(-LN(2)/2))/(LN(2)/2)*V58*Y58*VLOOKUP('Données projet'!$B$9,Paramètres!$A$1:$I$89,3,0)*0.475*44/12</f>
        <v>0.00190641385483491</v>
      </c>
      <c r="AC58" s="130" t="n">
        <f aca="false">SUM(Z58:AB58)</f>
        <v>11.1095523549023</v>
      </c>
      <c r="AD58" s="117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7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8" t="n">
        <f aca="false">VLOOKUP(A58,'Données projet'!$A$61:$I$81,2,0)</f>
        <v>565</v>
      </c>
      <c r="AG58" s="118" t="n">
        <f aca="false">VLOOKUP(A58,'Données projet'!$A$61:$I$81,9,0)</f>
        <v>12.6</v>
      </c>
      <c r="AH58" s="118" t="n">
        <f aca="false" t="array" ref="AH58:AH58">INDEX(AG:AG,MIN(IF(ISNUMBER(AG58:AG254),ROW(AG58:AG254),"")))</f>
        <v>12.6</v>
      </c>
      <c r="AI58" s="117" t="n">
        <f aca="false">IF('Données projet'!$A$62&gt;35,AI57+AH58-AQ57,IF(A58&lt;'Données projet'!$A$62,$AF$205^A58,IF(A58='Données projet'!$A$62,'Données projet'!$B$62,AI57+AH58-AQ57)))</f>
        <v>565</v>
      </c>
      <c r="AJ58" s="117" t="n">
        <f aca="false">AI58*VLOOKUP('Données projet'!$B$10,Paramètres!$A$1:$I$89,3,0)*VLOOKUP('Données projet'!$B$10,Paramètres!$A$1:$I$89,5,0)</f>
        <v>315.835</v>
      </c>
      <c r="AK58" s="117" t="n">
        <f aca="false">EXP(-1.0587+0.8836*LN(AJ58)+0.284)</f>
        <v>74.4860847464108</v>
      </c>
      <c r="AL58" s="128" t="n">
        <f aca="false">(AJ58+AK58)*0.475*44/12</f>
        <v>679.809222599999</v>
      </c>
      <c r="AM58" s="120" t="n">
        <f aca="false">AL58+(AD58+AE58)*44/12</f>
        <v>973.142555933332</v>
      </c>
      <c r="AN58" s="120" t="n">
        <f aca="true">AVERAGE(OFFSET($AM$3,0,0,'Données projet'!$E$10+1,1))-AVERAGE(OFFSET($H$3,0,0,'Données projet'!$E$10+1,1))</f>
        <v>365.705101827279</v>
      </c>
      <c r="AO58" s="120" t="n">
        <f aca="false">$AO$3</f>
        <v>436.238338449625</v>
      </c>
      <c r="AP58" s="121" t="n">
        <f aca="false">IF(ISNA(VLOOKUP(A58,'Données projet'!$A$61:$I$81,3,0)),0,VLOOKUP(A58,'Données projet'!$A$61:$I$81,3,0))</f>
        <v>8</v>
      </c>
      <c r="AQ58" s="121" t="n">
        <f aca="false">IF(ISNA(VLOOKUP(A58,'Données projet'!$A$61:$I$81,4,0)),0,VLOOKUP(A58,'Données projet'!$A$61:$I$81,4,0))</f>
        <v>37</v>
      </c>
      <c r="AR58" s="122" t="n">
        <f aca="false">IF(ISNA(VLOOKUP(A58,'Données projet'!$A$61:$I$81,5,0)),0%,VLOOKUP(A58,'Données projet'!$A$61:$I$81,5,0)*VLOOKUP('Données projet'!$B$10,Paramètres!$A$1:$I$89,7,0))</f>
        <v>0</v>
      </c>
      <c r="AS58" s="122" t="n">
        <f aca="false">IF(ISNA(VLOOKUP(A58,'Données projet'!$A$61:$I$81,6,0)),0%,VLOOKUP(A58,'Données projet'!$A$61:$I$81,6,0)*VLOOKUP('Données projet'!$B$10,Paramètres!$A$1:$I$89,7,0))</f>
        <v>0</v>
      </c>
      <c r="AT58" s="122" t="n">
        <f aca="false">IF(ISNA(VLOOKUP(A58,'Données projet'!$A$61:$I$81,7,0)),0%,VLOOKUP(A58,'Données projet'!$A$61:$I$81,7,0))</f>
        <v>0</v>
      </c>
      <c r="AU58" s="129" t="n">
        <f aca="false">EXP(-LN(2)/35)*AU57+(1-EXP(-LN(2)/35))/(LN(2)/35)*AQ58*AR58*VLOOKUP('Données projet'!$B$10,Paramètres!$A$1:$I$89,3,0)*0.475*44/12</f>
        <v>2.08814529706626</v>
      </c>
      <c r="AV58" s="129" t="n">
        <f aca="false">EXP(-LN(2)/25)*AV57+(1-EXP(-LN(2)/25))/(LN(2)/25)*Calculateur!AQ58*Calculateur!AS58*VLOOKUP('Données projet'!$B$10,Paramètres!$A$1:$I$89,3,0)*0.475*44/12</f>
        <v>6.60406792307885</v>
      </c>
      <c r="AW58" s="129" t="n">
        <f aca="false">EXP(-LN(2)/2)*AW57+(1-EXP(-LN(2)/2))/(LN(2)/2)*AQ58*AT58*VLOOKUP('Données projet'!$B$10,Paramètres!$A$1:$I$89,3,0)*0.475*44/12</f>
        <v>0.00102597235216924</v>
      </c>
      <c r="AX58" s="129" t="n">
        <f aca="false">SUM(AU58:AW58)</f>
        <v>8.69323919249727</v>
      </c>
      <c r="AY58" s="124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8" t="n">
        <f aca="false">VLOOKUP(A58,'Données projet'!$A$87:$I$107,2,0)</f>
        <v>237</v>
      </c>
      <c r="BB58" s="118" t="n">
        <f aca="false">VLOOKUP(A58,'Données projet'!$A$87:$I$107,9,0)</f>
        <v>7.8</v>
      </c>
      <c r="BC58" s="118" t="n">
        <f aca="false" t="array" ref="BC58:BC58">INDEX(BB:BB,MIN(IF(ISNUMBER(BB58:BB254),ROW(BB58:BB254),"")))</f>
        <v>7.8</v>
      </c>
      <c r="BD58" s="118" t="n">
        <f aca="false">IF('Données projet'!$A$88&gt;35,BD57+BC58-BL57,IF(A58&lt;'Données projet'!$A$88,$BA$205^A58,IF(A58='Données projet'!$A$88,'Données projet'!$B$88,BD57+BC58-BL57)))</f>
        <v>237</v>
      </c>
      <c r="BE58" s="117" t="n">
        <f aca="false">BD58*VLOOKUP('Données projet'!$B$11,Paramètres!$A$1:$I$89,3,0)*VLOOKUP('Données projet'!$B$11,Paramètres!$A$1:$I$89,5,0)</f>
        <v>207.0432</v>
      </c>
      <c r="BF58" s="117" t="n">
        <f aca="false">EXP(-1.0587+0.8836*LN(BE58)+0.284)</f>
        <v>51.2889182318064</v>
      </c>
      <c r="BG58" s="128" t="n">
        <f aca="false">(BE58+BF58)*0.475*44/12</f>
        <v>449.92843925373</v>
      </c>
      <c r="BH58" s="120" t="n">
        <f aca="false">BG58+(AY58+AZ58)*44/12</f>
        <v>743.261772587063</v>
      </c>
      <c r="BI58" s="120" t="n">
        <f aca="true">AVERAGE(OFFSET($BH$3,0,0,'Données projet'!$E$11+1,1))-AVERAGE(OFFSET($H$3,0,0,'Données projet'!$E$11+1,1))</f>
        <v>321.235999689929</v>
      </c>
      <c r="BJ58" s="120" t="n">
        <f aca="false">$BJ$3</f>
        <v>388.051958478005</v>
      </c>
      <c r="BK58" s="121" t="n">
        <f aca="false">IF(ISNA(VLOOKUP(A58,'Données projet'!$A$87:$I$107,3,0)),0,VLOOKUP(A58,'Données projet'!$A$87:$I$107,3,0))</f>
        <v>9</v>
      </c>
      <c r="BL58" s="121" t="n">
        <f aca="false">IF(ISNA(VLOOKUP(A58,'Données projet'!$A$87:$I$107,4,0)),0,VLOOKUP(A58,'Données projet'!$A$87:$I$107,4,0))</f>
        <v>29</v>
      </c>
      <c r="BM58" s="122" t="n">
        <f aca="false">IF(ISNA(VLOOKUP(A58,'Données projet'!$A$87:$I$107,5,0)),0%,VLOOKUP(A58,'Données projet'!$A$87:$I$107,5,0)*VLOOKUP('Données projet'!$B$11,Paramètres!$A$1:$I$89,7,0))</f>
        <v>0</v>
      </c>
      <c r="BN58" s="122" t="n">
        <f aca="false">IF(ISNA(VLOOKUP(A58,'Données projet'!$A$87:$I$107,6,0)),0%,VLOOKUP(A58,'Données projet'!$A$87:$I$107,6,0)*VLOOKUP('Données projet'!$B$11,Paramètres!$A$1:$I$89,7,0))</f>
        <v>0</v>
      </c>
      <c r="BO58" s="122" t="n">
        <f aca="false">IF(ISNA(VLOOKUP(A58,'Données projet'!$A$87:$I$107,7,0)),0%,VLOOKUP(A58,'Données projet'!$A$87:$I$107,7,0))</f>
        <v>0</v>
      </c>
      <c r="BP58" s="129" t="n">
        <f aca="false">EXP(-LN(2)/35)*BP57+(1-EXP(-LN(2)/35))/(LN(2)/35)*BL58*BM58*VLOOKUP('Données projet'!$B$11,Paramètres!$A$1:$I$89,3,0)*0.475*44/12</f>
        <v>5.24254216879017</v>
      </c>
      <c r="BQ58" s="129" t="n">
        <f aca="false">EXP(-LN(2)/25)*BQ57+(1-EXP(-LN(2)/25))/(LN(2)/25)*Calculateur!BL58*Calculateur!BN58*VLOOKUP('Données projet'!$B$11,Paramètres!$A$1:$I$89,3,0)*0.475*44/12</f>
        <v>6.74104027849637</v>
      </c>
      <c r="BR58" s="129" t="n">
        <f aca="false">EXP(-LN(2)/2)*BR57+(1-EXP(-LN(2)/2))/(LN(2)/2)*BL58*BO58*VLOOKUP('Données projet'!$B$11,Paramètres!$A$1:$I$89,3,0)*0.475*44/12</f>
        <v>0.00104287957079017</v>
      </c>
      <c r="BS58" s="130" t="n">
        <f aca="false">SUM(BP58:BR58)</f>
        <v>11.9846253268573</v>
      </c>
      <c r="BT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8" t="e">
        <f aca="false">VLOOKUP(A58,'Données projet'!$A$113:$I$133,2,0)</f>
        <v>#N/A</v>
      </c>
      <c r="BW58" s="118" t="e">
        <f aca="false">VLOOKUP(A58,'Données projet'!$A$113:$I$133,9,0)</f>
        <v>#N/A</v>
      </c>
      <c r="BX58" s="118" t="n">
        <f aca="false" t="array" ref="BX58:BX58">INDEX(BW:BW,MIN(IF(ISNUMBER(BW58:BW254),ROW(BW58:BW254),"")))</f>
        <v>9.75</v>
      </c>
      <c r="BY58" s="118" t="n">
        <f aca="false">IF('Données projet'!$A$114&gt;35,BY57+BX58-CG57,IF(A58&lt;'Données projet'!$A$114,$BV$205^A58,IF(A58='Données projet'!$A$114,'Données projet'!$B$114,BY57+BX58-CG57)))</f>
        <v>255.25</v>
      </c>
      <c r="BZ58" s="117" t="n">
        <f aca="false">BY58*VLOOKUP('Données projet'!$B$12,Paramètres!$A$1:$I$89,3,0)*VLOOKUP('Données projet'!$B$12,Paramètres!$A$1:$I$89,5,0)</f>
        <v>159.276</v>
      </c>
      <c r="CA58" s="117" t="n">
        <f aca="false">EXP(-1.0587+0.8836*LN(BZ58)+0.284)</f>
        <v>40.679172107249</v>
      </c>
      <c r="CB58" s="128" t="n">
        <f aca="false">(BZ58+CA58)*0.475*44/12</f>
        <v>348.255258086792</v>
      </c>
      <c r="CC58" s="120" t="n">
        <f aca="false">CB58+(BT58+BU58)*44/12</f>
        <v>641.588591420125</v>
      </c>
      <c r="CD58" s="120" t="n">
        <f aca="true">AVERAGE(OFFSET($CC$3,0,0,'Données projet'!$E$12+1,1))-AVERAGE(OFFSET($H$3,0,0,'Données projet'!$E$12+1,1))</f>
        <v>240.228848647662</v>
      </c>
      <c r="CE58" s="120" t="n">
        <f aca="false">$CE$3</f>
        <v>343.237768841432</v>
      </c>
      <c r="CF58" s="121" t="n">
        <f aca="false">IF(ISNA(VLOOKUP(A58,'Données projet'!$A$113:$I$133,3,0)),0,VLOOKUP(A58,'Données projet'!$A$113:$I$133,3,0))</f>
        <v>0</v>
      </c>
      <c r="CG58" s="121" t="n">
        <f aca="false">IF(ISNA(VLOOKUP(A58,'Données projet'!$A$113:$I$133,4,0)),0,VLOOKUP(A58,'Données projet'!$A$113:$I$133,4,0))</f>
        <v>0</v>
      </c>
      <c r="CH58" s="122" t="n">
        <f aca="false">IF(ISNA(VLOOKUP(A58,'Données projet'!$A$113:$I$133,5,0)),0%,VLOOKUP(A58,'Données projet'!$A$113:$I$133,5,0)*VLOOKUP('Données projet'!$B$12,Paramètres!$A$1:$I$89,7,0))</f>
        <v>0</v>
      </c>
      <c r="CI58" s="122" t="n">
        <f aca="false">IF(ISNA(VLOOKUP(A58,'Données projet'!$A$113:$I$133,6,0)),0%,VLOOKUP(A58,'Données projet'!$A$113:$I$133,6,0)*VLOOKUP('Données projet'!$B$12,Paramètres!$A$1:$I$89,7,0))</f>
        <v>0</v>
      </c>
      <c r="CJ58" s="122" t="n">
        <f aca="false">IF(ISNA(VLOOKUP(A58,'Données projet'!$A$113:$I$133,7,0)),0%,VLOOKUP(A58,'Données projet'!$A$113:$I$133,7,0))</f>
        <v>0</v>
      </c>
      <c r="CK58" s="129" t="n">
        <f aca="false">EXP(-LN(2)/35)*CK57+(1-EXP(-LN(2)/35))/(LN(2)/35)*CG58*CH58*VLOOKUP('Données projet'!$B$12,Paramètres!$A$1:$I$89,3,0)*0.475*44/12</f>
        <v>3.20884423783543</v>
      </c>
      <c r="CL58" s="129" t="n">
        <f aca="false">EXP(-LN(2)/25)*CL57+(1-EXP(-LN(2)/25))/(LN(2)/25)*Calculateur!CG58*Calculateur!CI58*VLOOKUP('Données projet'!$B$12,Paramètres!$A$1:$I$89,3,0)*0.475*44/12</f>
        <v>11.9050673698824</v>
      </c>
      <c r="CM58" s="129" t="n">
        <f aca="false">EXP(-LN(2)/2)*CM57+(1-EXP(-LN(2)/2))/(LN(2)/2)*CG58*CJ58*VLOOKUP('Données projet'!$B$12,Paramètres!$A$1:$I$89,3,0)*0.475*44/12</f>
        <v>0.00166415776344689</v>
      </c>
      <c r="CN58" s="130" t="n">
        <f aca="false">SUM(CK58:CM58)</f>
        <v>15.1155757654813</v>
      </c>
      <c r="CO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8" t="e">
        <f aca="false">VLOOKUP(A58,'Données projet'!$A$139:$I$159,2,0)</f>
        <v>#N/A</v>
      </c>
      <c r="CR58" s="118" t="e">
        <f aca="false">VLOOKUP(A58,'Données projet'!$A$139:$I$159,9,0)</f>
        <v>#N/A</v>
      </c>
      <c r="CS58" s="118" t="n">
        <f aca="false" t="array" ref="CS58:CS58">INDEX(CR:CR,MIN(IF(ISNUMBER(CR58:CR254),ROW(CR58:CR254),"")))</f>
        <v>0</v>
      </c>
      <c r="CT58" s="118" t="n">
        <f aca="false">IF('Données projet'!$A$140&gt;35,CT57+CS58-DB57,IF(A58&lt;'Données projet'!$A$140,$CQ$205^A58,IF(A58='Données projet'!$A$140,'Données projet'!$B$140,CT57+CS58-DB57)))</f>
        <v>-5.6843418860808E-014</v>
      </c>
      <c r="CU58" s="125" t="n">
        <f aca="false">CT58*VLOOKUP('Données projet'!$B$13,Paramètres!$A$1:$I$89,3,0)*VLOOKUP('Données projet'!$B$13,Paramètres!$A$1:$I$89,5,0)</f>
        <v>-3.10365066980012E-014</v>
      </c>
      <c r="CV58" s="117" t="e">
        <f aca="false">EXP(-1.0587+0.8836*LN(CU58)+0.284)</f>
        <v>#VALUE!</v>
      </c>
      <c r="CW58" s="128" t="e">
        <f aca="false">(CU58+CV58)*0.475*44/12</f>
        <v>#VALUE!</v>
      </c>
      <c r="CX58" s="120" t="e">
        <f aca="false">CW58+(CO58+CP58)*44/12</f>
        <v>#VALUE!</v>
      </c>
      <c r="CY58" s="120" t="n">
        <f aca="true">AVERAGE(OFFSET($CX$3,0,0,'Données projet'!$E$13+1,1))-AVERAGE(OFFSET($H$3,0,0,'Données projet'!$E$13+1,1))</f>
        <v>207.023069645676</v>
      </c>
      <c r="CZ58" s="120" t="n">
        <f aca="false">$CZ$3</f>
        <v>342.068879333518</v>
      </c>
      <c r="DA58" s="121" t="n">
        <f aca="false">IF(ISNA(VLOOKUP(A58,'Données projet'!$A$139:$I$159,3,0)),0,VLOOKUP(A58,'Données projet'!$A$139:$I$159,3,0))</f>
        <v>0</v>
      </c>
      <c r="DB58" s="121" t="n">
        <f aca="false">IF(ISNA(VLOOKUP(A58,'Données projet'!$A$139:$I$159,4,0)),0,VLOOKUP(A58,'Données projet'!$A$139:$I$159,4,0))</f>
        <v>0</v>
      </c>
      <c r="DC58" s="122" t="n">
        <f aca="false">IF(ISNA(VLOOKUP(A58,'Données projet'!$A$139:$I$159,5,0)),0%,VLOOKUP(A58,'Données projet'!$A$139:$I$159,5,0)*VLOOKUP('Données projet'!$B$13,Paramètres!$A$1:$I$89,7,0))</f>
        <v>0</v>
      </c>
      <c r="DD58" s="122" t="n">
        <f aca="false">IF(ISNA(VLOOKUP(A58,'Données projet'!$A$139:$I$159,6,0)),0%,VLOOKUP(A58,'Données projet'!$A$139:$I$159,6,0)*VLOOKUP('Données projet'!$B$13,Paramètres!$A$1:$I$89,7,0))</f>
        <v>0</v>
      </c>
      <c r="DE58" s="122" t="n">
        <f aca="false">IF(ISNA(VLOOKUP(A58,'Données projet'!$A$139:$I$159,7,0)),0%,VLOOKUP(A58,'Données projet'!$A$139:$I$159,7,0))</f>
        <v>0</v>
      </c>
      <c r="DF58" s="129" t="n">
        <f aca="false">EXP(-LN(2)/35)*DF57+(1-EXP(-LN(2)/35))/(LN(2)/35)*DB58*DC58*VLOOKUP('Données projet'!$B$13,Paramètres!$A$1:$I$89,3,0)*0.475*44/12</f>
        <v>4.02619135501993</v>
      </c>
      <c r="DG58" s="129" t="n">
        <f aca="false">EXP(-LN(2)/25)*DG57+(1-EXP(-LN(2)/25))/(LN(2)/25)*Calculateur!DB58*Calculateur!DD58*VLOOKUP('Données projet'!$B$13,Paramètres!$A$1:$I$89,3,0)*0.475*44/12</f>
        <v>19.4598268222192</v>
      </c>
      <c r="DH58" s="129" t="n">
        <f aca="false">EXP(-LN(2)/2)*DH57+(1-EXP(-LN(2)/2))/(LN(2)/2)*DB58*DE58*VLOOKUP('Données projet'!$B$13,Paramètres!$A$1:$I$89,3,0)*0.475*44/12</f>
        <v>0.00229154601181183</v>
      </c>
      <c r="DI58" s="130" t="n">
        <f aca="false">SUM(DF58:DH58)</f>
        <v>23.488309723251</v>
      </c>
      <c r="DJ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8" t="e">
        <f aca="false">VLOOKUP(A58,'Données projet'!$A$165:$I$185,2,0)</f>
        <v>#N/A</v>
      </c>
      <c r="DM58" s="118" t="e">
        <f aca="false">VLOOKUP(A58,'Données projet'!$A$165:$I$185,9,0)</f>
        <v>#N/A</v>
      </c>
      <c r="DN58" s="118" t="n">
        <f aca="false" t="array" ref="DN58:DN58">INDEX(DM:DM,MIN(IF(ISNUMBER(DM58:DM254),ROW(DM58:DM254),"")))</f>
        <v>2.625</v>
      </c>
      <c r="DO58" s="118" t="n">
        <f aca="false">IF('Données projet'!$A$166&gt;35,DO57+DN58-DW57,IF(A58&lt;'Données projet'!$A$166,$DL$205^A58,IF(A58='Données projet'!$A$166,'Données projet'!$B$166,DO57+DN58-DW57)))</f>
        <v>297.625</v>
      </c>
      <c r="DP58" s="125" t="n">
        <f aca="false">DO58*VLOOKUP('Données projet'!$B$14,Paramètres!$A$1:$I$89,3,0)*VLOOKUP('Données projet'!$B$14,Paramètres!$A$1:$I$89,5,0)</f>
        <v>177.97975</v>
      </c>
      <c r="DQ58" s="117" t="n">
        <f aca="false">EXP(-1.0587+0.8836*LN(DP58)+0.284)</f>
        <v>44.8724229297297</v>
      </c>
      <c r="DR58" s="128" t="n">
        <f aca="false">(DP58+DQ58)*0.475*44/12</f>
        <v>388.134201185946</v>
      </c>
      <c r="DS58" s="120" t="n">
        <f aca="false">DR58+(DJ58+DK58)*44/12</f>
        <v>681.467534519279</v>
      </c>
      <c r="DT58" s="120" t="n">
        <f aca="true">AVERAGE(OFFSET($DS$3,0,0,'Données projet'!$E$14+1,1))-AVERAGE(OFFSET($H$3,0,0,'Données projet'!$E$14+1,1))</f>
        <v>549.432320957297</v>
      </c>
      <c r="DU58" s="120" t="n">
        <f aca="false">$DU$3</f>
        <v>280.26155987301</v>
      </c>
      <c r="DV58" s="121" t="n">
        <f aca="false">IF(ISNA(VLOOKUP(A58,'Données projet'!$A$165:$I$185,3,0)),0,VLOOKUP(A58,'Données projet'!$A$165:$I$185,3,0))</f>
        <v>0</v>
      </c>
      <c r="DW58" s="121" t="n">
        <f aca="false">IF(ISNA(VLOOKUP(A58,'Données projet'!$A$165:$I$185,4,0)),0,VLOOKUP(A58,'Données projet'!$A$165:$I$185,4,0))</f>
        <v>0</v>
      </c>
      <c r="DX58" s="122" t="n">
        <f aca="false">IF(ISNA(VLOOKUP(A58,'Données projet'!$A$165:$I$185,5,0)),0%,VLOOKUP(A58,'Données projet'!$A$165:$I$185,5,0)*VLOOKUP('Données projet'!$B$14,Paramètres!$A$1:$I$89,7,0))</f>
        <v>0</v>
      </c>
      <c r="DY58" s="122" t="n">
        <f aca="false">IF(ISNA(VLOOKUP(A58,'Données projet'!$A$165:$I$185,6,0)),0%,VLOOKUP(A58,'Données projet'!$A$165:$I$185,6,0)*VLOOKUP('Données projet'!$B$14,Paramètres!$A$1:$I$89,7,0))</f>
        <v>0</v>
      </c>
      <c r="DZ58" s="122" t="n">
        <f aca="false">IF(ISNA(VLOOKUP(A58,'Données projet'!$A$165:$I$185,7,0)),0%,VLOOKUP(A58,'Données projet'!$A$165:$I$185,7,0))</f>
        <v>0</v>
      </c>
      <c r="EA58" s="129" t="n">
        <f aca="false">EXP(-LN(2)/35)*EA57+(1-EXP(-LN(2)/35))/(LN(2)/35)*DW58*DX58*VLOOKUP('Données projet'!$B$14,Paramètres!$A$1:$I$89,3,0)*0.475*44/12</f>
        <v>1.46391868730547</v>
      </c>
      <c r="EB58" s="129" t="n">
        <f aca="false">EXP(-LN(2)/25)*EB57+(1-EXP(-LN(2)/25))/(LN(2)/25)*Calculateur!DW58*Calculateur!DY58*VLOOKUP('Données projet'!$B$14,Paramètres!$A$1:$I$89,3,0)*0.475*44/12</f>
        <v>3.87678143862111</v>
      </c>
      <c r="EC58" s="129" t="n">
        <f aca="false">EXP(-LN(2)/2)*EC57+(1-EXP(-LN(2)/2))/(LN(2)/2)*DW58*DZ58*VLOOKUP('Données projet'!$B$14,Paramètres!$A$1:$I$89,3,0)*0.475*44/12</f>
        <v>0.00105635547531863</v>
      </c>
      <c r="ED58" s="130" t="n">
        <f aca="false">SUM(EA58:EC58)</f>
        <v>5.34175648140189</v>
      </c>
      <c r="EE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8" t="e">
        <f aca="false">VLOOKUP(A58,'Données projet'!$A$191:$I$211,2,0)</f>
        <v>#N/A</v>
      </c>
      <c r="EH58" s="118" t="e">
        <f aca="false">VLOOKUP(A58,'Données projet'!$A$191:$I$211,9,0)</f>
        <v>#N/A</v>
      </c>
      <c r="EI58" s="118" t="n">
        <f aca="false" t="array" ref="EI58:EI58">INDEX(EH:EH,MIN(IF(ISNUMBER(EH58:EH254),ROW(EH58:EH254),"")))</f>
        <v>0</v>
      </c>
      <c r="EJ58" s="118" t="n">
        <f aca="false">IF('Données projet'!$A$192&gt;35,EJ57+EI58-ER57,IF(A58&lt;'Données projet'!$A$192,$EG$205^A58,IF(A58='Données projet'!$A$192,'Données projet'!$B$192,EJ57+EI58-ER57)))</f>
        <v>0</v>
      </c>
      <c r="EK58" s="125" t="e">
        <f aca="false">EJ58*VLOOKUP('Données projet'!$B$15,Paramètres!$A$1:$I$89,3,0)*VLOOKUP('Données projet'!$B$15,Paramètres!$A$1:$I$89,5,0)</f>
        <v>#N/A</v>
      </c>
      <c r="EL58" s="117" t="e">
        <f aca="false">EXP(-1.0587+0.8836*LN(EK58)+0.284)</f>
        <v>#N/A</v>
      </c>
      <c r="EM58" s="128" t="e">
        <f aca="false">(EK58+EL58)*0.475*44/12</f>
        <v>#N/A</v>
      </c>
      <c r="EN58" s="120" t="e">
        <f aca="false">EM58+(EE58+EF58)*44/12</f>
        <v>#N/A</v>
      </c>
      <c r="EO58" s="120" t="e">
        <f aca="true">AVERAGE(OFFSET($EN$3,0,0,'Données projet'!$E$15+1,1))-AVERAGE(OFFSET($H$3,0,0,'Données projet'!$E$15+1,1))</f>
        <v>#N/A</v>
      </c>
      <c r="EP58" s="120" t="e">
        <f aca="false">$EP$3</f>
        <v>#N/A</v>
      </c>
      <c r="EQ58" s="121" t="n">
        <f aca="false">IF(ISNA(VLOOKUP(A58,'Données projet'!$A$191:$I$211,3,0)),0,VLOOKUP(A58,'Données projet'!$A$191:$I$211,3,0))</f>
        <v>0</v>
      </c>
      <c r="ER58" s="121" t="n">
        <f aca="false">IF(ISNA(VLOOKUP(A58,'Données projet'!$A$191:$I$211,4,0)),0,VLOOKUP(A58,'Données projet'!$A$191:$I$211,4,0))</f>
        <v>0</v>
      </c>
      <c r="ES58" s="122" t="n">
        <f aca="false">IF(ISNA(VLOOKUP(A58,'Données projet'!$A$191:$I$211,5,0)),0%,VLOOKUP(A58,'Données projet'!$A$191:$I$211,5,0)*VLOOKUP('Données projet'!$B$15,Paramètres!$A$1:$I$89,7,0))</f>
        <v>0</v>
      </c>
      <c r="ET58" s="122" t="n">
        <f aca="false">IF(ISNA(VLOOKUP(A58,'Données projet'!$A$191:$I$211,6,0)),0%,VLOOKUP(A58,'Données projet'!$A$191:$I$211,6,0)*VLOOKUP('Données projet'!$B$15,Paramètres!$A$1:$I$89,7,0))</f>
        <v>0</v>
      </c>
      <c r="EU58" s="122" t="n">
        <f aca="false">IF(ISNA(VLOOKUP(A58,'Données projet'!$A$191:$I$211,7,0)),0%,VLOOKUP(A58,'Données projet'!$A$191:$I$211,7,0))</f>
        <v>0</v>
      </c>
      <c r="EV58" s="129" t="e">
        <f aca="false">EXP(-LN(2)/35)*EV57+(1-EXP(-LN(2)/35))/(LN(2)/35)*ER58*ES58*VLOOKUP('Données projet'!$B$15,Paramètres!$A$1:$I$89,3,0)*0.475*44/12</f>
        <v>#N/A</v>
      </c>
      <c r="EW58" s="129" t="e">
        <f aca="false">EXP(-LN(2)/25)*EW57+(1-EXP(-LN(2)/25))/(LN(2)/25)*Calculateur!ER58*Calculateur!ET58*VLOOKUP('Données projet'!$B$15,Paramètres!$A$1:$I$89,3,0)*0.475*44/12</f>
        <v>#N/A</v>
      </c>
      <c r="EX58" s="129" t="e">
        <f aca="false">EXP(-LN(2)/2)*EX57+(1-EXP(-LN(2)/2))/(LN(2)/2)*ER58*EU58*VLOOKUP('Données projet'!$B$15,Paramètres!$A$1:$I$89,3,0)*0.475*44/12</f>
        <v>#N/A</v>
      </c>
      <c r="EY58" s="130" t="e">
        <f aca="false">SUM(EV58:EX58)</f>
        <v>#N/A</v>
      </c>
      <c r="EZ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8" t="e">
        <f aca="false">VLOOKUP(A58,'Données projet'!$A$217:$I$237,2,0)</f>
        <v>#N/A</v>
      </c>
      <c r="FC58" s="118" t="e">
        <f aca="false">VLOOKUP(A58,'Données projet'!$A$217:$I$237,9,0)</f>
        <v>#N/A</v>
      </c>
      <c r="FD58" s="118" t="n">
        <f aca="false" t="array" ref="FD58:FD58">INDEX(FC:FC,MIN(IF(ISNUMBER(FC58:FC254),ROW(FC58:FC254),"")))</f>
        <v>0</v>
      </c>
      <c r="FE58" s="118" t="n">
        <f aca="false">IF('Données projet'!$A$218&gt;35,FE57+FD58-FM57,IF(A58&lt;'Données projet'!$A$218,$FB$205^A58,IF(A58='Données projet'!$A$218,'Données projet'!$B$218,FE57+FD58-FM57)))</f>
        <v>0</v>
      </c>
      <c r="FF58" s="125" t="e">
        <f aca="false">FE58*VLOOKUP('Données projet'!$B$16,Paramètres!$A$1:$I$89,3,0)*VLOOKUP('Données projet'!$B$16,Paramètres!$A$1:$I$89,5,0)</f>
        <v>#N/A</v>
      </c>
      <c r="FG58" s="117" t="e">
        <f aca="false">EXP(-1.0587+0.8836*LN(FF58)+0.284)</f>
        <v>#N/A</v>
      </c>
      <c r="FH58" s="128" t="e">
        <f aca="false">(FF58+FG58)*0.475*44/12</f>
        <v>#N/A</v>
      </c>
      <c r="FI58" s="120" t="e">
        <f aca="false">FH58+(EZ58+FA58)*44/12</f>
        <v>#N/A</v>
      </c>
      <c r="FJ58" s="120" t="e">
        <f aca="true">AVERAGE(OFFSET($FI$3,0,0,'Données projet'!$E$16+1,1))-AVERAGE(OFFSET($H$3,0,0,'Données projet'!$E$16+1,1))</f>
        <v>#N/A</v>
      </c>
      <c r="FK58" s="120" t="e">
        <f aca="false">$FK$3</f>
        <v>#N/A</v>
      </c>
      <c r="FL58" s="121" t="n">
        <f aca="false">IF(ISNA(VLOOKUP(A58,'Données projet'!$A$217:$I$237,3,0)),0,VLOOKUP(A58,'Données projet'!$A$217:$I$237,3,0))</f>
        <v>0</v>
      </c>
      <c r="FM58" s="121" t="n">
        <f aca="false">IF(ISNA(VLOOKUP(A58,'Données projet'!$A$217:$I$237,4,0)),0,VLOOKUP(A58,'Données projet'!$A$217:$I$237,4,0))</f>
        <v>0</v>
      </c>
      <c r="FN58" s="122" t="n">
        <f aca="false">IF(ISNA(VLOOKUP(A58,'Données projet'!$A$217:$I$237,5,0)),0%,VLOOKUP(A58,'Données projet'!$A$217:$I$237,5,0)*VLOOKUP('Données projet'!$B$16,Paramètres!$A$1:$I$89,7,0))</f>
        <v>0</v>
      </c>
      <c r="FO58" s="122" t="n">
        <f aca="false">IF(ISNA(VLOOKUP(A58,'Données projet'!$A$217:$I$237,6,0)),0%,VLOOKUP(A58,'Données projet'!$A$217:$I$237,6,0)*VLOOKUP('Données projet'!$B$16,Paramètres!$A$1:$I$89,7,0))</f>
        <v>0</v>
      </c>
      <c r="FP58" s="122" t="n">
        <f aca="false">IF(ISNA(VLOOKUP(A58,'Données projet'!$A$217:$I$237,7,0)),0%,VLOOKUP(A58,'Données projet'!$A$217:$I$237,7,0))</f>
        <v>0</v>
      </c>
      <c r="FQ58" s="129" t="e">
        <f aca="false">EXP(-LN(2)/35)*FQ57+(1-EXP(-LN(2)/35))/(LN(2)/35)*FM58*FN58*VLOOKUP('Données projet'!$B$16,Paramètres!$A$1:$I$89,3,0)*0.475*44/12</f>
        <v>#N/A</v>
      </c>
      <c r="FR58" s="129" t="e">
        <f aca="false">EXP(-LN(2)/25)*FR57+(1-EXP(-LN(2)/25))/(LN(2)/25)*Calculateur!FM58*Calculateur!FO58*VLOOKUP('Données projet'!$B$16,Paramètres!$A$1:$I$89,3,0)*0.475*44/12</f>
        <v>#N/A</v>
      </c>
      <c r="FS58" s="129" t="e">
        <f aca="false">EXP(-LN(2)/2)*FS57+(1-EXP(-LN(2)/2))/(LN(2)/2)*FM58*FP58*VLOOKUP('Données projet'!$B$16,Paramètres!$A$1:$I$89,3,0)*0.475*44/12</f>
        <v>#N/A</v>
      </c>
      <c r="FT58" s="130" t="e">
        <f aca="false">SUM(FQ58:FS58)</f>
        <v>#N/A</v>
      </c>
      <c r="FU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8" t="e">
        <f aca="false">VLOOKUP(A58,'Données projet'!$A$243:$I$263,2,0)</f>
        <v>#N/A</v>
      </c>
      <c r="FX58" s="118" t="e">
        <f aca="false">VLOOKUP(A58,'Données projet'!$A$243:$I$263,9,0)</f>
        <v>#N/A</v>
      </c>
      <c r="FY58" s="118" t="n">
        <f aca="false" t="array" ref="FY58:FY58">INDEX(FX:FX,MIN(IF(ISNUMBER(FX58:FX254),ROW(FX58:FX254),"")))</f>
        <v>0</v>
      </c>
      <c r="FZ58" s="118" t="n">
        <f aca="false">IF('Données projet'!$A$244&gt;35,FZ57+FY58-GH57,IF(A58&lt;'Données projet'!$A$244,$FW$205^A58,IF(A58='Données projet'!$A$244,'Données projet'!$B$244,FZ57+FY58-GH57)))</f>
        <v>0</v>
      </c>
      <c r="GA58" s="125" t="e">
        <f aca="false">FZ58*VLOOKUP('Données projet'!$B$17,Paramètres!$A$1:$I$89,3,0)*VLOOKUP('Données projet'!$B$17,Paramètres!$A$1:$I$89,5,0)</f>
        <v>#N/A</v>
      </c>
      <c r="GB58" s="117" t="e">
        <f aca="false">EXP(-1.0587+0.8836*LN(GA58)+0.284)</f>
        <v>#N/A</v>
      </c>
      <c r="GC58" s="128" t="e">
        <f aca="false">(GA58+GB58)*0.475*44/12</f>
        <v>#N/A</v>
      </c>
      <c r="GD58" s="120" t="e">
        <f aca="false">GC58+(FU58+FV58)*44/12</f>
        <v>#N/A</v>
      </c>
      <c r="GE58" s="120" t="e">
        <f aca="true">AVERAGE(OFFSET($GD$3,0,0,'Données projet'!$E$17+1,1))-AVERAGE(OFFSET($H$3,0,0,'Données projet'!$E$17+1,1))</f>
        <v>#N/A</v>
      </c>
      <c r="GF58" s="120" t="e">
        <f aca="false">$GF$3</f>
        <v>#N/A</v>
      </c>
      <c r="GG58" s="121" t="n">
        <f aca="false">IF(ISNA(VLOOKUP(A58,'Données projet'!$A$243:$I$263,3,0)),0,VLOOKUP(A58,'Données projet'!$A$243:$I$263,3,0))</f>
        <v>0</v>
      </c>
      <c r="GH58" s="121" t="n">
        <f aca="false">IF(ISNA(VLOOKUP(A58,'Données projet'!$A$243:$I$263,4,0)),0,VLOOKUP(A58,'Données projet'!$A$243:$I$263,4,0))</f>
        <v>0</v>
      </c>
      <c r="GI58" s="122" t="n">
        <f aca="false">IF(ISNA(VLOOKUP(A58,'Données projet'!$A$243:$I$263,5,0)),0%,VLOOKUP(A58,'Données projet'!$A$243:$I$263,5,0)*VLOOKUP('Données projet'!$B$17,Paramètres!$A$1:$I$89,7,0))</f>
        <v>0</v>
      </c>
      <c r="GJ58" s="122" t="n">
        <f aca="false">IF(ISNA(VLOOKUP(A58,'Données projet'!$A$243:$I$263,6,0)),0%,VLOOKUP(A58,'Données projet'!$A$243:$I$263,6,0)*VLOOKUP('Données projet'!$B$17,Paramètres!$A$1:$I$89,7,0))</f>
        <v>0</v>
      </c>
      <c r="GK58" s="122" t="n">
        <f aca="false">IF(ISNA(VLOOKUP(A58,'Données projet'!$A$243:$I$263,7,0)),0%,VLOOKUP(A58,'Données projet'!$A$243:$I$263,7,0))</f>
        <v>0</v>
      </c>
      <c r="GL58" s="129" t="e">
        <f aca="false">EXP(-LN(2)/35)*GL57+(1-EXP(-LN(2)/35))/(LN(2)/35)*GH58*GI58*VLOOKUP('Données projet'!$B$17,Paramètres!$A$1:$I$89,3,0)*0.475*44/12</f>
        <v>#N/A</v>
      </c>
      <c r="GM58" s="129" t="e">
        <f aca="false">EXP(-LN(2)/25)*GM57+(1-EXP(-LN(2)/25))/(LN(2)/25)*Calculateur!GH58*Calculateur!GJ58*VLOOKUP('Données projet'!$B$17,Paramètres!$A$1:$I$89,3,0)*0.475*44/12</f>
        <v>#N/A</v>
      </c>
      <c r="GN58" s="129" t="e">
        <f aca="false">EXP(-LN(2)/2)*GN57+(1-EXP(-LN(2)/2))/(LN(2)/2)*GH58*GK58*VLOOKUP('Données projet'!$B$17,Paramètres!$A$1:$I$89,3,0)*0.475*44/12</f>
        <v>#N/A</v>
      </c>
      <c r="GO58" s="129" t="e">
        <f aca="false">SUM(GL58:GN58)</f>
        <v>#N/A</v>
      </c>
      <c r="GP58" s="126" t="n">
        <f aca="false"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8" t="n">
        <f aca="false"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8" t="e">
        <f aca="false">VLOOKUP(A58,'Données projet'!$A$269:$I$289,2,0)</f>
        <v>#N/A</v>
      </c>
      <c r="GS58" s="118" t="e">
        <f aca="false">VLOOKUP(A58,'Données projet'!$A$269:$I$289,9,0)</f>
        <v>#N/A</v>
      </c>
      <c r="GT58" s="118" t="n">
        <f aca="false" t="array" ref="GT58:GT58">INDEX(GS:GS,MIN(IF(ISNUMBER(GS58:GS254),ROW(GS58:GS254),"")))</f>
        <v>0</v>
      </c>
      <c r="GU58" s="118" t="n">
        <f aca="false">IF('Données projet'!$A$270&gt;35,GU57+GT58-HC57,IF(A58&lt;'Données projet'!$A$270,$GR$205^A58,IF(A58='Données projet'!$A$270,'Données projet'!$B$270,GU57+GT58-HC57)))</f>
        <v>0</v>
      </c>
      <c r="GV58" s="125" t="e">
        <f aca="false">GU58*VLOOKUP('Données projet'!$B$18,Paramètres!$A$1:$I$89,3,0)*VLOOKUP('Données projet'!$B$18,Paramètres!$A$1:$I$89,5,0)</f>
        <v>#N/A</v>
      </c>
      <c r="GW58" s="117" t="e">
        <f aca="false">EXP(-1.0587+0.8836*LN(GV58)+0.284)</f>
        <v>#N/A</v>
      </c>
      <c r="GX58" s="128" t="e">
        <f aca="false">(GV58+GW58)*0.475*44/12</f>
        <v>#N/A</v>
      </c>
      <c r="GY58" s="120" t="e">
        <f aca="false">GX58+(GP58+GQ58)*44/12</f>
        <v>#N/A</v>
      </c>
      <c r="GZ58" s="120" t="e">
        <f aca="true">AVERAGE(OFFSET($GY$3,0,0,'Données projet'!$E$18+1,1))-AVERAGE(OFFSET($H$3,0,0,'Données projet'!$E$18+1,1))</f>
        <v>#N/A</v>
      </c>
      <c r="HA58" s="120" t="e">
        <f aca="false">$HA$3</f>
        <v>#N/A</v>
      </c>
      <c r="HB58" s="121" t="n">
        <f aca="false">IF(ISNA(VLOOKUP(A58,'Données projet'!$A$269:$I$289,3,0)),0,VLOOKUP(A58,'Données projet'!$A$269:$I$289,3,0))</f>
        <v>0</v>
      </c>
      <c r="HC58" s="121" t="n">
        <f aca="false">IF(ISNA(VLOOKUP(A58,'Données projet'!$A$269:$I$289,4,0)),0,VLOOKUP(A58,'Données projet'!$A$269:$I$289,4,0))</f>
        <v>0</v>
      </c>
      <c r="HD58" s="122" t="n">
        <f aca="false">IF(ISNA(VLOOKUP(A58,'Données projet'!$A$269:$I$289,5,0)),0%,VLOOKUP(A58,'Données projet'!$A$269:$I$289,5,0)*VLOOKUP('Données projet'!$B$18,Paramètres!$A$1:$I$89,7,0))</f>
        <v>0</v>
      </c>
      <c r="HE58" s="122" t="n">
        <f aca="false">IF(ISNA(VLOOKUP(A58,'Données projet'!$A$269:$I$289,6,0)),0%,VLOOKUP(A58,'Données projet'!$A$269:$I$289,6,0)*VLOOKUP('Données projet'!$B$18,Paramètres!$A$1:$I$89,7,0))</f>
        <v>0</v>
      </c>
      <c r="HF58" s="122" t="n">
        <f aca="false">IF(ISNA(VLOOKUP(A58,'Données projet'!$A$269:$I$289,7,0)),0%,VLOOKUP(A58,'Données projet'!$A$269:$I$289,7,0))</f>
        <v>0</v>
      </c>
      <c r="HG58" s="129" t="e">
        <f aca="false">EXP(-LN(2)/35)*HG57+(1-EXP(-LN(2)/35))/(LN(2)/35)*HC58*HD58*VLOOKUP('Données projet'!$B$18,Paramètres!$A$1:$I$89,3,0)*0.475*44/12</f>
        <v>#N/A</v>
      </c>
      <c r="HH58" s="129" t="e">
        <f aca="false">EXP(-LN(2)/25)*HH57+(1-EXP(-LN(2)/25))/(LN(2)/25)*Calculateur!HC58*Calculateur!HE58*VLOOKUP('Données projet'!$B$18,Paramètres!$A$1:$I$89,3,0)*0.475*44/12</f>
        <v>#N/A</v>
      </c>
      <c r="HI58" s="129" t="e">
        <f aca="false">EXP(-LN(2)/2)*HI57+(1-EXP(-LN(2)/2))/(LN(2)/2)*HC58*HF58*VLOOKUP('Données projet'!$B$18,Paramètres!$A$1:$I$89,3,0)*0.475*44/12</f>
        <v>#N/A</v>
      </c>
      <c r="HJ58" s="130" t="e">
        <f aca="false">SUM(HG58:HI58)</f>
        <v>#N/A</v>
      </c>
    </row>
    <row r="59" customFormat="false" ht="14.25" hidden="false" customHeight="false" outlineLevel="0" collapsed="false">
      <c r="A59" s="112" t="n">
        <f aca="false">A58+1</f>
        <v>56</v>
      </c>
      <c r="B59" s="113" t="n">
        <f aca="false">'Scénario référence'!$B$16*5+'Scénario référence'!$B$17*0+'Scénario référence'!$B$18*5</f>
        <v>0</v>
      </c>
      <c r="C59" s="127" t="n">
        <f aca="false"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4" t="n">
        <f aca="false">IFERROR(EXP(-1.0587+0.8836*LN(C59)+0.284),0)</f>
        <v>0</v>
      </c>
      <c r="E5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59" s="114" t="n">
        <f aca="false">IF(OR('Scénario référence'!$F$8&gt;0,'Scénario référence'!$F$9&gt;0),('Scénario référence'!$F$8+'Scénario référence'!$F$9)*10,0)</f>
        <v>0</v>
      </c>
      <c r="G59" s="114" t="n">
        <f aca="false"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15" t="n">
        <f aca="false">(B59+E59+F59)*44/12+(C59+D59)*0.475*44/12</f>
        <v>256.666666666667</v>
      </c>
      <c r="I59" s="11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7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8" t="e">
        <f aca="false">VLOOKUP(A59,'Données projet'!$A$35:$I$55,2,0)</f>
        <v>#N/A</v>
      </c>
      <c r="L59" s="118" t="e">
        <f aca="false">VLOOKUP(A59,'Données projet'!$A$35:$I$55,9,0)</f>
        <v>#N/A</v>
      </c>
      <c r="M59" s="118" t="n">
        <f aca="false" t="array" ref="M59:M59">INDEX(L:L,MIN(IF(ISNUMBER(L59:L255),ROW(L59:L255),"")))</f>
        <v>13.5</v>
      </c>
      <c r="N59" s="117" t="n">
        <f aca="false">IF('Données projet'!$A$36&gt;35,N58+M59-V58,IF(A59&lt;'Données projet'!$A$36,$K$205^A59,IF(A59='Données projet'!$A$36,'Données projet'!$B$36,N58+M59-V58)))</f>
        <v>294.5</v>
      </c>
      <c r="O59" s="117" t="n">
        <f aca="false">N59*VLOOKUP('Données projet'!$B$9,Paramètres!$A$1:$I$89,3,0)*VLOOKUP('Données projet'!$B$9,Paramètres!$A$1:$I$89,5,0)</f>
        <v>137.826</v>
      </c>
      <c r="P59" s="117" t="n">
        <f aca="false">EXP(-1.0587+0.8836*LN(O59)+0.284)</f>
        <v>35.7985198971155</v>
      </c>
      <c r="Q59" s="128" t="n">
        <f aca="false">(O59+P59)*0.475*44/12</f>
        <v>302.396038820809</v>
      </c>
      <c r="R59" s="120" t="n">
        <f aca="false">Q59+(I59+J59)*44/12</f>
        <v>595.729372154143</v>
      </c>
      <c r="S59" s="120" t="n">
        <f aca="true">AVERAGE(OFFSET($R$3,0,0,'Données projet'!$E$9+1,1))-AVERAGE(OFFSET($H$3,0,0,'Données projet'!$E$9+1,1))</f>
        <v>319.229030946746</v>
      </c>
      <c r="T59" s="120" t="n">
        <f aca="false">$T$3</f>
        <v>254.586909731428</v>
      </c>
      <c r="U59" s="121" t="n">
        <f aca="false">IF(ISNA(VLOOKUP(A59,'Données projet'!$A$35:$I$55,3,0)),0,VLOOKUP(A59,'Données projet'!$A$35:$I$55,3,0))</f>
        <v>0</v>
      </c>
      <c r="V59" s="121" t="n">
        <f aca="false">IF(ISNA(VLOOKUP(A59,'Données projet'!$A$35:$I$55,4,0)),0,VLOOKUP(A59,'Données projet'!$A$35:$I$55,4,0))</f>
        <v>0</v>
      </c>
      <c r="W59" s="122" t="n">
        <f aca="false">IF(ISNA(VLOOKUP(A59,'Données projet'!$A$35:$I$55,5,0)),0%,VLOOKUP(A59,'Données projet'!$A$35:$I$55,5,0)*VLOOKUP('Données projet'!$B$9,Paramètres!$A$1:$I$89,7,0))</f>
        <v>0</v>
      </c>
      <c r="X59" s="122" t="n">
        <f aca="false">IF(ISNA(VLOOKUP(A59,'Données projet'!$A$35:$I$55,6,0)),0%,VLOOKUP(A59,'Données projet'!$A$35:$I$55,6,0)*VLOOKUP('Données projet'!$B$9,Paramètres!$A$1:$I$89,7,0))</f>
        <v>0</v>
      </c>
      <c r="Y59" s="122" t="n">
        <f aca="false">IF(ISNA(VLOOKUP(A59,'Données projet'!$A$35:$I$55,7,0)),0%,VLOOKUP(A59,'Données projet'!$A$35:$I$55,7,0))</f>
        <v>0</v>
      </c>
      <c r="Z59" s="129" t="n">
        <f aca="false">EXP(-LN(2)/35)*Z58+(1-EXP(-LN(2)/35))/(LN(2)/35)*V59*W59*VLOOKUP('Données projet'!$B$9,Paramètres!$A$1:$I$89,3,0)*0.475*44/12</f>
        <v>5.42350696470136</v>
      </c>
      <c r="AA59" s="129" t="n">
        <f aca="false">EXP(-LN(2)/25)*AA58+(1-EXP(-LN(2)/25))/(LN(2)/25)*Calculateur!V59*Calculateur!X59*VLOOKUP('Données projet'!$B$9,Paramètres!$A$1:$I$89,3,0)*0.475*44/12</f>
        <v>5.42319338947105</v>
      </c>
      <c r="AB59" s="129" t="n">
        <f aca="false">EXP(-LN(2)/2)*AB58+(1-EXP(-LN(2)/2))/(LN(2)/2)*V59*Y59*VLOOKUP('Données projet'!$B$9,Paramètres!$A$1:$I$89,3,0)*0.475*44/12</f>
        <v>0.00134803816450175</v>
      </c>
      <c r="AC59" s="130" t="n">
        <f aca="false">SUM(Z59:AB59)</f>
        <v>10.8480483923369</v>
      </c>
      <c r="AD59" s="117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7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8" t="e">
        <f aca="false">VLOOKUP(A59,'Données projet'!$A$61:$I$81,2,0)</f>
        <v>#N/A</v>
      </c>
      <c r="AG59" s="118" t="e">
        <f aca="false">VLOOKUP(A59,'Données projet'!$A$61:$I$81,9,0)</f>
        <v>#N/A</v>
      </c>
      <c r="AH59" s="118" t="n">
        <f aca="false" t="array" ref="AH59:AH59">INDEX(AG:AG,MIN(IF(ISNUMBER(AG59:AG255),ROW(AG59:AG255),"")))</f>
        <v>7.8</v>
      </c>
      <c r="AI59" s="117" t="n">
        <f aca="false">IF('Données projet'!$A$62&gt;35,AI58+AH59-AQ58,IF(A59&lt;'Données projet'!$A$62,$AF$205^A59,IF(A59='Données projet'!$A$62,'Données projet'!$B$62,AI58+AH59-AQ58)))</f>
        <v>535.8</v>
      </c>
      <c r="AJ59" s="117" t="n">
        <f aca="false">AI59*VLOOKUP('Données projet'!$B$10,Paramètres!$A$1:$I$89,3,0)*VLOOKUP('Données projet'!$B$10,Paramètres!$A$1:$I$89,5,0)</f>
        <v>299.5122</v>
      </c>
      <c r="AK59" s="117" t="n">
        <f aca="false">EXP(-1.0587+0.8836*LN(AJ59)+0.284)</f>
        <v>71.074192175879</v>
      </c>
      <c r="AL59" s="128" t="n">
        <f aca="false">(AJ59+AK59)*0.475*44/12</f>
        <v>645.43796637299</v>
      </c>
      <c r="AM59" s="120" t="n">
        <f aca="false">AL59+(AD59+AE59)*44/12</f>
        <v>938.771299706323</v>
      </c>
      <c r="AN59" s="120" t="n">
        <f aca="true">AVERAGE(OFFSET($AM$3,0,0,'Données projet'!$E$10+1,1))-AVERAGE(OFFSET($H$3,0,0,'Données projet'!$E$10+1,1))</f>
        <v>365.705101827279</v>
      </c>
      <c r="AO59" s="120" t="n">
        <f aca="false">$AO$3</f>
        <v>436.238338449625</v>
      </c>
      <c r="AP59" s="121" t="n">
        <f aca="false">IF(ISNA(VLOOKUP(A59,'Données projet'!$A$61:$I$81,3,0)),0,VLOOKUP(A59,'Données projet'!$A$61:$I$81,3,0))</f>
        <v>0</v>
      </c>
      <c r="AQ59" s="121" t="n">
        <f aca="false">IF(ISNA(VLOOKUP(A59,'Données projet'!$A$61:$I$81,4,0)),0,VLOOKUP(A59,'Données projet'!$A$61:$I$81,4,0))</f>
        <v>0</v>
      </c>
      <c r="AR59" s="122" t="n">
        <f aca="false">IF(ISNA(VLOOKUP(A59,'Données projet'!$A$61:$I$81,5,0)),0%,VLOOKUP(A59,'Données projet'!$A$61:$I$81,5,0)*VLOOKUP('Données projet'!$B$10,Paramètres!$A$1:$I$89,7,0))</f>
        <v>0</v>
      </c>
      <c r="AS59" s="122" t="n">
        <f aca="false">IF(ISNA(VLOOKUP(A59,'Données projet'!$A$61:$I$81,6,0)),0%,VLOOKUP(A59,'Données projet'!$A$61:$I$81,6,0)*VLOOKUP('Données projet'!$B$10,Paramètres!$A$1:$I$89,7,0))</f>
        <v>0</v>
      </c>
      <c r="AT59" s="122" t="n">
        <f aca="false">IF(ISNA(VLOOKUP(A59,'Données projet'!$A$61:$I$81,7,0)),0%,VLOOKUP(A59,'Données projet'!$A$61:$I$81,7,0))</f>
        <v>0</v>
      </c>
      <c r="AU59" s="129" t="n">
        <f aca="false">EXP(-LN(2)/35)*AU58+(1-EXP(-LN(2)/35))/(LN(2)/35)*AQ59*AR59*VLOOKUP('Données projet'!$B$10,Paramètres!$A$1:$I$89,3,0)*0.475*44/12</f>
        <v>2.04719804143366</v>
      </c>
      <c r="AV59" s="129" t="n">
        <f aca="false">EXP(-LN(2)/25)*AV58+(1-EXP(-LN(2)/25))/(LN(2)/25)*Calculateur!AQ59*Calculateur!AS59*VLOOKUP('Données projet'!$B$10,Paramètres!$A$1:$I$89,3,0)*0.475*44/12</f>
        <v>6.42347933842942</v>
      </c>
      <c r="AW59" s="129" t="n">
        <f aca="false">EXP(-LN(2)/2)*AW58+(1-EXP(-LN(2)/2))/(LN(2)/2)*AQ59*AT59*VLOOKUP('Données projet'!$B$10,Paramètres!$A$1:$I$89,3,0)*0.475*44/12</f>
        <v>0.000725472007528783</v>
      </c>
      <c r="AX59" s="129" t="n">
        <f aca="false">SUM(AU59:AW59)</f>
        <v>8.4714028518706</v>
      </c>
      <c r="AY59" s="124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8" t="e">
        <f aca="false">VLOOKUP(A59,'Données projet'!$A$87:$I$107,2,0)</f>
        <v>#N/A</v>
      </c>
      <c r="BB59" s="118" t="e">
        <f aca="false">VLOOKUP(A59,'Données projet'!$A$87:$I$107,9,0)</f>
        <v>#N/A</v>
      </c>
      <c r="BC59" s="118" t="n">
        <f aca="false" t="array" ref="BC59:BC59">INDEX(BB:BB,MIN(IF(ISNUMBER(BB59:BB255),ROW(BB59:BB255),"")))</f>
        <v>6.8</v>
      </c>
      <c r="BD59" s="118" t="n">
        <f aca="false">IF('Données projet'!$A$88&gt;35,BD58+BC59-BL58,IF(A59&lt;'Données projet'!$A$88,$BA$205^A59,IF(A59='Données projet'!$A$88,'Données projet'!$B$88,BD58+BC59-BL58)))</f>
        <v>214.8</v>
      </c>
      <c r="BE59" s="117" t="n">
        <f aca="false">BD59*VLOOKUP('Données projet'!$B$11,Paramètres!$A$1:$I$89,3,0)*VLOOKUP('Données projet'!$B$11,Paramètres!$A$1:$I$89,5,0)</f>
        <v>187.64928</v>
      </c>
      <c r="BF59" s="117" t="n">
        <f aca="false">EXP(-1.0587+0.8836*LN(BE59)+0.284)</f>
        <v>47.0198660765676</v>
      </c>
      <c r="BG59" s="128" t="n">
        <f aca="false">(BE59+BF59)*0.475*44/12</f>
        <v>408.715429416689</v>
      </c>
      <c r="BH59" s="120" t="n">
        <f aca="false">BG59+(AY59+AZ59)*44/12</f>
        <v>702.048762750022</v>
      </c>
      <c r="BI59" s="120" t="n">
        <f aca="true">AVERAGE(OFFSET($BH$3,0,0,'Données projet'!$E$11+1,1))-AVERAGE(OFFSET($H$3,0,0,'Données projet'!$E$11+1,1))</f>
        <v>321.235999689929</v>
      </c>
      <c r="BJ59" s="120" t="n">
        <f aca="false">$BJ$3</f>
        <v>388.051958478005</v>
      </c>
      <c r="BK59" s="121" t="n">
        <f aca="false">IF(ISNA(VLOOKUP(A59,'Données projet'!$A$87:$I$107,3,0)),0,VLOOKUP(A59,'Données projet'!$A$87:$I$107,3,0))</f>
        <v>0</v>
      </c>
      <c r="BL59" s="121" t="n">
        <f aca="false">IF(ISNA(VLOOKUP(A59,'Données projet'!$A$87:$I$107,4,0)),0,VLOOKUP(A59,'Données projet'!$A$87:$I$107,4,0))</f>
        <v>0</v>
      </c>
      <c r="BM59" s="122" t="n">
        <f aca="false">IF(ISNA(VLOOKUP(A59,'Données projet'!$A$87:$I$107,5,0)),0%,VLOOKUP(A59,'Données projet'!$A$87:$I$107,5,0)*VLOOKUP('Données projet'!$B$11,Paramètres!$A$1:$I$89,7,0))</f>
        <v>0</v>
      </c>
      <c r="BN59" s="122" t="n">
        <f aca="false">IF(ISNA(VLOOKUP(A59,'Données projet'!$A$87:$I$107,6,0)),0%,VLOOKUP(A59,'Données projet'!$A$87:$I$107,6,0)*VLOOKUP('Données projet'!$B$11,Paramètres!$A$1:$I$89,7,0))</f>
        <v>0</v>
      </c>
      <c r="BO59" s="122" t="n">
        <f aca="false">IF(ISNA(VLOOKUP(A59,'Données projet'!$A$87:$I$107,7,0)),0%,VLOOKUP(A59,'Données projet'!$A$87:$I$107,7,0))</f>
        <v>0</v>
      </c>
      <c r="BP59" s="129" t="n">
        <f aca="false">EXP(-LN(2)/35)*BP58+(1-EXP(-LN(2)/35))/(LN(2)/35)*BL59*BM59*VLOOKUP('Données projet'!$B$11,Paramètres!$A$1:$I$89,3,0)*0.475*44/12</f>
        <v>5.13973911449518</v>
      </c>
      <c r="BQ59" s="129" t="n">
        <f aca="false">EXP(-LN(2)/25)*BQ58+(1-EXP(-LN(2)/25))/(LN(2)/25)*Calculateur!BL59*Calculateur!BN59*VLOOKUP('Données projet'!$B$11,Paramètres!$A$1:$I$89,3,0)*0.475*44/12</f>
        <v>6.55670617758499</v>
      </c>
      <c r="BR59" s="129" t="n">
        <f aca="false">EXP(-LN(2)/2)*BR58+(1-EXP(-LN(2)/2))/(LN(2)/2)*BL59*BO59*VLOOKUP('Données projet'!$B$11,Paramètres!$A$1:$I$89,3,0)*0.475*44/12</f>
        <v>0.000737427216466642</v>
      </c>
      <c r="BS59" s="130" t="n">
        <f aca="false">SUM(BP59:BR59)</f>
        <v>11.6971827192966</v>
      </c>
      <c r="BT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8" t="e">
        <f aca="false">VLOOKUP(A59,'Données projet'!$A$113:$I$133,2,0)</f>
        <v>#N/A</v>
      </c>
      <c r="BW59" s="118" t="e">
        <f aca="false">VLOOKUP(A59,'Données projet'!$A$113:$I$133,9,0)</f>
        <v>#N/A</v>
      </c>
      <c r="BX59" s="118" t="n">
        <f aca="false" t="array" ref="BX59:BX59">INDEX(BW:BW,MIN(IF(ISNUMBER(BW59:BW255),ROW(BW59:BW255),"")))</f>
        <v>9.75</v>
      </c>
      <c r="BY59" s="118" t="n">
        <f aca="false">IF('Données projet'!$A$114&gt;35,BY58+BX59-CG58,IF(A59&lt;'Données projet'!$A$114,$BV$205^A59,IF(A59='Données projet'!$A$114,'Données projet'!$B$114,BY58+BX59-CG58)))</f>
        <v>265</v>
      </c>
      <c r="BZ59" s="117" t="n">
        <f aca="false">BY59*VLOOKUP('Données projet'!$B$12,Paramètres!$A$1:$I$89,3,0)*VLOOKUP('Données projet'!$B$12,Paramètres!$A$1:$I$89,5,0)</f>
        <v>165.36</v>
      </c>
      <c r="CA59" s="117" t="n">
        <f aca="false">EXP(-1.0587+0.8836*LN(BZ59)+0.284)</f>
        <v>42.0491501278421</v>
      </c>
      <c r="CB59" s="128" t="n">
        <f aca="false">(BZ59+CA59)*0.475*44/12</f>
        <v>361.237603139325</v>
      </c>
      <c r="CC59" s="120" t="n">
        <f aca="false">CB59+(BT59+BU59)*44/12</f>
        <v>654.570936472658</v>
      </c>
      <c r="CD59" s="120" t="n">
        <f aca="true">AVERAGE(OFFSET($CC$3,0,0,'Données projet'!$E$12+1,1))-AVERAGE(OFFSET($H$3,0,0,'Données projet'!$E$12+1,1))</f>
        <v>240.228848647662</v>
      </c>
      <c r="CE59" s="120" t="n">
        <f aca="false">$CE$3</f>
        <v>343.237768841432</v>
      </c>
      <c r="CF59" s="121" t="n">
        <f aca="false">IF(ISNA(VLOOKUP(A59,'Données projet'!$A$113:$I$133,3,0)),0,VLOOKUP(A59,'Données projet'!$A$113:$I$133,3,0))</f>
        <v>0</v>
      </c>
      <c r="CG59" s="121" t="n">
        <f aca="false">IF(ISNA(VLOOKUP(A59,'Données projet'!$A$113:$I$133,4,0)),0,VLOOKUP(A59,'Données projet'!$A$113:$I$133,4,0))</f>
        <v>0</v>
      </c>
      <c r="CH59" s="122" t="n">
        <f aca="false">IF(ISNA(VLOOKUP(A59,'Données projet'!$A$113:$I$133,5,0)),0%,VLOOKUP(A59,'Données projet'!$A$113:$I$133,5,0)*VLOOKUP('Données projet'!$B$12,Paramètres!$A$1:$I$89,7,0))</f>
        <v>0</v>
      </c>
      <c r="CI59" s="122" t="n">
        <f aca="false">IF(ISNA(VLOOKUP(A59,'Données projet'!$A$113:$I$133,6,0)),0%,VLOOKUP(A59,'Données projet'!$A$113:$I$133,6,0)*VLOOKUP('Données projet'!$B$12,Paramètres!$A$1:$I$89,7,0))</f>
        <v>0</v>
      </c>
      <c r="CJ59" s="122" t="n">
        <f aca="false">IF(ISNA(VLOOKUP(A59,'Données projet'!$A$113:$I$133,7,0)),0%,VLOOKUP(A59,'Données projet'!$A$113:$I$133,7,0))</f>
        <v>0</v>
      </c>
      <c r="CK59" s="129" t="n">
        <f aca="false">EXP(-LN(2)/35)*CK58+(1-EXP(-LN(2)/35))/(LN(2)/35)*CG59*CH59*VLOOKUP('Données projet'!$B$12,Paramètres!$A$1:$I$89,3,0)*0.475*44/12</f>
        <v>3.14592075953321</v>
      </c>
      <c r="CL59" s="129" t="n">
        <f aca="false">EXP(-LN(2)/25)*CL58+(1-EXP(-LN(2)/25))/(LN(2)/25)*Calculateur!CG59*Calculateur!CI59*VLOOKUP('Données projet'!$B$12,Paramètres!$A$1:$I$89,3,0)*0.475*44/12</f>
        <v>11.5795226765927</v>
      </c>
      <c r="CM59" s="129" t="n">
        <f aca="false">EXP(-LN(2)/2)*CM58+(1-EXP(-LN(2)/2))/(LN(2)/2)*CG59*CJ59*VLOOKUP('Données projet'!$B$12,Paramètres!$A$1:$I$89,3,0)*0.475*44/12</f>
        <v>0.00117673723949754</v>
      </c>
      <c r="CN59" s="130" t="n">
        <f aca="false">SUM(CK59:CM59)</f>
        <v>14.7266201733654</v>
      </c>
      <c r="CO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8" t="e">
        <f aca="false">VLOOKUP(A59,'Données projet'!$A$139:$I$159,2,0)</f>
        <v>#N/A</v>
      </c>
      <c r="CR59" s="118" t="e">
        <f aca="false">VLOOKUP(A59,'Données projet'!$A$139:$I$159,9,0)</f>
        <v>#N/A</v>
      </c>
      <c r="CS59" s="118" t="n">
        <f aca="false" t="array" ref="CS59:CS59">INDEX(CR:CR,MIN(IF(ISNUMBER(CR59:CR255),ROW(CR59:CR255),"")))</f>
        <v>0</v>
      </c>
      <c r="CT59" s="118" t="n">
        <f aca="false">IF('Données projet'!$A$140&gt;35,CT58+CS59-DB58,IF(A59&lt;'Données projet'!$A$140,$CQ$205^A59,IF(A59='Données projet'!$A$140,'Données projet'!$B$140,CT58+CS59-DB58)))</f>
        <v>-5.6843418860808E-014</v>
      </c>
      <c r="CU59" s="125" t="n">
        <f aca="false">CT59*VLOOKUP('Données projet'!$B$13,Paramètres!$A$1:$I$89,3,0)*VLOOKUP('Données projet'!$B$13,Paramètres!$A$1:$I$89,5,0)</f>
        <v>-3.10365066980012E-014</v>
      </c>
      <c r="CV59" s="117" t="e">
        <f aca="false">EXP(-1.0587+0.8836*LN(CU59)+0.284)</f>
        <v>#VALUE!</v>
      </c>
      <c r="CW59" s="128" t="e">
        <f aca="false">(CU59+CV59)*0.475*44/12</f>
        <v>#VALUE!</v>
      </c>
      <c r="CX59" s="120" t="e">
        <f aca="false">CW59+(CO59+CP59)*44/12</f>
        <v>#VALUE!</v>
      </c>
      <c r="CY59" s="120" t="n">
        <f aca="true">AVERAGE(OFFSET($CX$3,0,0,'Données projet'!$E$13+1,1))-AVERAGE(OFFSET($H$3,0,0,'Données projet'!$E$13+1,1))</f>
        <v>207.023069645676</v>
      </c>
      <c r="CZ59" s="120" t="n">
        <f aca="false">$CZ$3</f>
        <v>342.068879333518</v>
      </c>
      <c r="DA59" s="121" t="n">
        <f aca="false">IF(ISNA(VLOOKUP(A59,'Données projet'!$A$139:$I$159,3,0)),0,VLOOKUP(A59,'Données projet'!$A$139:$I$159,3,0))</f>
        <v>0</v>
      </c>
      <c r="DB59" s="121" t="n">
        <f aca="false">IF(ISNA(VLOOKUP(A59,'Données projet'!$A$139:$I$159,4,0)),0,VLOOKUP(A59,'Données projet'!$A$139:$I$159,4,0))</f>
        <v>0</v>
      </c>
      <c r="DC59" s="122" t="n">
        <f aca="false">IF(ISNA(VLOOKUP(A59,'Données projet'!$A$139:$I$159,5,0)),0%,VLOOKUP(A59,'Données projet'!$A$139:$I$159,5,0)*VLOOKUP('Données projet'!$B$13,Paramètres!$A$1:$I$89,7,0))</f>
        <v>0</v>
      </c>
      <c r="DD59" s="122" t="n">
        <f aca="false">IF(ISNA(VLOOKUP(A59,'Données projet'!$A$139:$I$159,6,0)),0%,VLOOKUP(A59,'Données projet'!$A$139:$I$159,6,0)*VLOOKUP('Données projet'!$B$13,Paramètres!$A$1:$I$89,7,0))</f>
        <v>0</v>
      </c>
      <c r="DE59" s="122" t="n">
        <f aca="false">IF(ISNA(VLOOKUP(A59,'Données projet'!$A$139:$I$159,7,0)),0%,VLOOKUP(A59,'Données projet'!$A$139:$I$159,7,0))</f>
        <v>0</v>
      </c>
      <c r="DF59" s="129" t="n">
        <f aca="false">EXP(-LN(2)/35)*DF58+(1-EXP(-LN(2)/35))/(LN(2)/35)*DB59*DC59*VLOOKUP('Données projet'!$B$13,Paramètres!$A$1:$I$89,3,0)*0.475*44/12</f>
        <v>3.94724019828223</v>
      </c>
      <c r="DG59" s="129" t="n">
        <f aca="false">EXP(-LN(2)/25)*DG58+(1-EXP(-LN(2)/25))/(LN(2)/25)*Calculateur!DB59*Calculateur!DD59*VLOOKUP('Données projet'!$B$13,Paramètres!$A$1:$I$89,3,0)*0.475*44/12</f>
        <v>18.9276968344178</v>
      </c>
      <c r="DH59" s="129" t="n">
        <f aca="false">EXP(-LN(2)/2)*DH58+(1-EXP(-LN(2)/2))/(LN(2)/2)*DB59*DE59*VLOOKUP('Données projet'!$B$13,Paramètres!$A$1:$I$89,3,0)*0.475*44/12</f>
        <v>0.00162036772435313</v>
      </c>
      <c r="DI59" s="130" t="n">
        <f aca="false">SUM(DF59:DH59)</f>
        <v>22.8765574004244</v>
      </c>
      <c r="DJ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8" t="e">
        <f aca="false">VLOOKUP(A59,'Données projet'!$A$165:$I$185,2,0)</f>
        <v>#N/A</v>
      </c>
      <c r="DM59" s="118" t="e">
        <f aca="false">VLOOKUP(A59,'Données projet'!$A$165:$I$185,9,0)</f>
        <v>#N/A</v>
      </c>
      <c r="DN59" s="118" t="n">
        <f aca="false" t="array" ref="DN59:DN59">INDEX(DM:DM,MIN(IF(ISNUMBER(DM59:DM255),ROW(DM59:DM255),"")))</f>
        <v>2.625</v>
      </c>
      <c r="DO59" s="118" t="n">
        <f aca="false">IF('Données projet'!$A$166&gt;35,DO58+DN59-DW58,IF(A59&lt;'Données projet'!$A$166,$DL$205^A59,IF(A59='Données projet'!$A$166,'Données projet'!$B$166,DO58+DN59-DW58)))</f>
        <v>300.25</v>
      </c>
      <c r="DP59" s="125" t="n">
        <f aca="false">DO59*VLOOKUP('Données projet'!$B$14,Paramètres!$A$1:$I$89,3,0)*VLOOKUP('Données projet'!$B$14,Paramètres!$A$1:$I$89,5,0)</f>
        <v>179.5495</v>
      </c>
      <c r="DQ59" s="117" t="n">
        <f aca="false">EXP(-1.0587+0.8836*LN(DP59)+0.284)</f>
        <v>45.2219436035484</v>
      </c>
      <c r="DR59" s="128" t="n">
        <f aca="false">(DP59+DQ59)*0.475*44/12</f>
        <v>391.476930942847</v>
      </c>
      <c r="DS59" s="120" t="n">
        <f aca="false">DR59+(DJ59+DK59)*44/12</f>
        <v>684.81026427618</v>
      </c>
      <c r="DT59" s="120" t="n">
        <f aca="true">AVERAGE(OFFSET($DS$3,0,0,'Données projet'!$E$14+1,1))-AVERAGE(OFFSET($H$3,0,0,'Données projet'!$E$14+1,1))</f>
        <v>549.432320957297</v>
      </c>
      <c r="DU59" s="120" t="n">
        <f aca="false">$DU$3</f>
        <v>280.26155987301</v>
      </c>
      <c r="DV59" s="121" t="n">
        <f aca="false">IF(ISNA(VLOOKUP(A59,'Données projet'!$A$165:$I$185,3,0)),0,VLOOKUP(A59,'Données projet'!$A$165:$I$185,3,0))</f>
        <v>0</v>
      </c>
      <c r="DW59" s="121" t="n">
        <f aca="false">IF(ISNA(VLOOKUP(A59,'Données projet'!$A$165:$I$185,4,0)),0,VLOOKUP(A59,'Données projet'!$A$165:$I$185,4,0))</f>
        <v>0</v>
      </c>
      <c r="DX59" s="122" t="n">
        <f aca="false">IF(ISNA(VLOOKUP(A59,'Données projet'!$A$165:$I$185,5,0)),0%,VLOOKUP(A59,'Données projet'!$A$165:$I$185,5,0)*VLOOKUP('Données projet'!$B$14,Paramètres!$A$1:$I$89,7,0))</f>
        <v>0</v>
      </c>
      <c r="DY59" s="122" t="n">
        <f aca="false">IF(ISNA(VLOOKUP(A59,'Données projet'!$A$165:$I$185,6,0)),0%,VLOOKUP(A59,'Données projet'!$A$165:$I$185,6,0)*VLOOKUP('Données projet'!$B$14,Paramètres!$A$1:$I$89,7,0))</f>
        <v>0</v>
      </c>
      <c r="DZ59" s="122" t="n">
        <f aca="false">IF(ISNA(VLOOKUP(A59,'Données projet'!$A$165:$I$185,7,0)),0%,VLOOKUP(A59,'Données projet'!$A$165:$I$185,7,0))</f>
        <v>0</v>
      </c>
      <c r="EA59" s="129" t="n">
        <f aca="false">EXP(-LN(2)/35)*EA58+(1-EXP(-LN(2)/35))/(LN(2)/35)*DW59*DX59*VLOOKUP('Données projet'!$B$14,Paramètres!$A$1:$I$89,3,0)*0.475*44/12</f>
        <v>1.43521213474964</v>
      </c>
      <c r="EB59" s="129" t="n">
        <f aca="false">EXP(-LN(2)/25)*EB58+(1-EXP(-LN(2)/25))/(LN(2)/25)*Calculateur!DW59*Calculateur!DY59*VLOOKUP('Données projet'!$B$14,Paramètres!$A$1:$I$89,3,0)*0.475*44/12</f>
        <v>3.77077064631094</v>
      </c>
      <c r="EC59" s="129" t="n">
        <f aca="false">EXP(-LN(2)/2)*EC58+(1-EXP(-LN(2)/2))/(LN(2)/2)*DW59*DZ59*VLOOKUP('Données projet'!$B$14,Paramètres!$A$1:$I$89,3,0)*0.475*44/12</f>
        <v>0.000746956119941342</v>
      </c>
      <c r="ED59" s="130" t="n">
        <f aca="false">SUM(EA59:EC59)</f>
        <v>5.20672973718052</v>
      </c>
      <c r="EE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8" t="e">
        <f aca="false">VLOOKUP(A59,'Données projet'!$A$191:$I$211,2,0)</f>
        <v>#N/A</v>
      </c>
      <c r="EH59" s="118" t="e">
        <f aca="false">VLOOKUP(A59,'Données projet'!$A$191:$I$211,9,0)</f>
        <v>#N/A</v>
      </c>
      <c r="EI59" s="118" t="n">
        <f aca="false" t="array" ref="EI59:EI59">INDEX(EH:EH,MIN(IF(ISNUMBER(EH59:EH255),ROW(EH59:EH255),"")))</f>
        <v>0</v>
      </c>
      <c r="EJ59" s="118" t="n">
        <f aca="false">IF('Données projet'!$A$192&gt;35,EJ58+EI59-ER58,IF(A59&lt;'Données projet'!$A$192,$EG$205^A59,IF(A59='Données projet'!$A$192,'Données projet'!$B$192,EJ58+EI59-ER58)))</f>
        <v>0</v>
      </c>
      <c r="EK59" s="125" t="e">
        <f aca="false">EJ59*VLOOKUP('Données projet'!$B$15,Paramètres!$A$1:$I$89,3,0)*VLOOKUP('Données projet'!$B$15,Paramètres!$A$1:$I$89,5,0)</f>
        <v>#N/A</v>
      </c>
      <c r="EL59" s="117" t="e">
        <f aca="false">EXP(-1.0587+0.8836*LN(EK59)+0.284)</f>
        <v>#N/A</v>
      </c>
      <c r="EM59" s="128" t="e">
        <f aca="false">(EK59+EL59)*0.475*44/12</f>
        <v>#N/A</v>
      </c>
      <c r="EN59" s="120" t="e">
        <f aca="false">EM59+(EE59+EF59)*44/12</f>
        <v>#N/A</v>
      </c>
      <c r="EO59" s="120" t="e">
        <f aca="true">AVERAGE(OFFSET($EN$3,0,0,'Données projet'!$E$15+1,1))-AVERAGE(OFFSET($H$3,0,0,'Données projet'!$E$15+1,1))</f>
        <v>#N/A</v>
      </c>
      <c r="EP59" s="120" t="e">
        <f aca="false">$EP$3</f>
        <v>#N/A</v>
      </c>
      <c r="EQ59" s="121" t="n">
        <f aca="false">IF(ISNA(VLOOKUP(A59,'Données projet'!$A$191:$I$211,3,0)),0,VLOOKUP(A59,'Données projet'!$A$191:$I$211,3,0))</f>
        <v>0</v>
      </c>
      <c r="ER59" s="121" t="n">
        <f aca="false">IF(ISNA(VLOOKUP(A59,'Données projet'!$A$191:$I$211,4,0)),0,VLOOKUP(A59,'Données projet'!$A$191:$I$211,4,0))</f>
        <v>0</v>
      </c>
      <c r="ES59" s="122" t="n">
        <f aca="false">IF(ISNA(VLOOKUP(A59,'Données projet'!$A$191:$I$211,5,0)),0%,VLOOKUP(A59,'Données projet'!$A$191:$I$211,5,0)*VLOOKUP('Données projet'!$B$15,Paramètres!$A$1:$I$89,7,0))</f>
        <v>0</v>
      </c>
      <c r="ET59" s="122" t="n">
        <f aca="false">IF(ISNA(VLOOKUP(A59,'Données projet'!$A$191:$I$211,6,0)),0%,VLOOKUP(A59,'Données projet'!$A$191:$I$211,6,0)*VLOOKUP('Données projet'!$B$15,Paramètres!$A$1:$I$89,7,0))</f>
        <v>0</v>
      </c>
      <c r="EU59" s="122" t="n">
        <f aca="false">IF(ISNA(VLOOKUP(A59,'Données projet'!$A$191:$I$211,7,0)),0%,VLOOKUP(A59,'Données projet'!$A$191:$I$211,7,0))</f>
        <v>0</v>
      </c>
      <c r="EV59" s="129" t="e">
        <f aca="false">EXP(-LN(2)/35)*EV58+(1-EXP(-LN(2)/35))/(LN(2)/35)*ER59*ES59*VLOOKUP('Données projet'!$B$15,Paramètres!$A$1:$I$89,3,0)*0.475*44/12</f>
        <v>#N/A</v>
      </c>
      <c r="EW59" s="129" t="e">
        <f aca="false">EXP(-LN(2)/25)*EW58+(1-EXP(-LN(2)/25))/(LN(2)/25)*Calculateur!ER59*Calculateur!ET59*VLOOKUP('Données projet'!$B$15,Paramètres!$A$1:$I$89,3,0)*0.475*44/12</f>
        <v>#N/A</v>
      </c>
      <c r="EX59" s="129" t="e">
        <f aca="false">EXP(-LN(2)/2)*EX58+(1-EXP(-LN(2)/2))/(LN(2)/2)*ER59*EU59*VLOOKUP('Données projet'!$B$15,Paramètres!$A$1:$I$89,3,0)*0.475*44/12</f>
        <v>#N/A</v>
      </c>
      <c r="EY59" s="130" t="e">
        <f aca="false">SUM(EV59:EX59)</f>
        <v>#N/A</v>
      </c>
      <c r="EZ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8" t="e">
        <f aca="false">VLOOKUP(A59,'Données projet'!$A$217:$I$237,2,0)</f>
        <v>#N/A</v>
      </c>
      <c r="FC59" s="118" t="e">
        <f aca="false">VLOOKUP(A59,'Données projet'!$A$217:$I$237,9,0)</f>
        <v>#N/A</v>
      </c>
      <c r="FD59" s="118" t="n">
        <f aca="false" t="array" ref="FD59:FD59">INDEX(FC:FC,MIN(IF(ISNUMBER(FC59:FC255),ROW(FC59:FC255),"")))</f>
        <v>0</v>
      </c>
      <c r="FE59" s="118" t="n">
        <f aca="false">IF('Données projet'!$A$218&gt;35,FE58+FD59-FM58,IF(A59&lt;'Données projet'!$A$218,$FB$205^A59,IF(A59='Données projet'!$A$218,'Données projet'!$B$218,FE58+FD59-FM58)))</f>
        <v>0</v>
      </c>
      <c r="FF59" s="125" t="e">
        <f aca="false">FE59*VLOOKUP('Données projet'!$B$16,Paramètres!$A$1:$I$89,3,0)*VLOOKUP('Données projet'!$B$16,Paramètres!$A$1:$I$89,5,0)</f>
        <v>#N/A</v>
      </c>
      <c r="FG59" s="117" t="e">
        <f aca="false">EXP(-1.0587+0.8836*LN(FF59)+0.284)</f>
        <v>#N/A</v>
      </c>
      <c r="FH59" s="128" t="e">
        <f aca="false">(FF59+FG59)*0.475*44/12</f>
        <v>#N/A</v>
      </c>
      <c r="FI59" s="120" t="e">
        <f aca="false">FH59+(EZ59+FA59)*44/12</f>
        <v>#N/A</v>
      </c>
      <c r="FJ59" s="120" t="e">
        <f aca="true">AVERAGE(OFFSET($FI$3,0,0,'Données projet'!$E$16+1,1))-AVERAGE(OFFSET($H$3,0,0,'Données projet'!$E$16+1,1))</f>
        <v>#N/A</v>
      </c>
      <c r="FK59" s="120" t="e">
        <f aca="false">$FK$3</f>
        <v>#N/A</v>
      </c>
      <c r="FL59" s="121" t="n">
        <f aca="false">IF(ISNA(VLOOKUP(A59,'Données projet'!$A$217:$I$237,3,0)),0,VLOOKUP(A59,'Données projet'!$A$217:$I$237,3,0))</f>
        <v>0</v>
      </c>
      <c r="FM59" s="121" t="n">
        <f aca="false">IF(ISNA(VLOOKUP(A59,'Données projet'!$A$217:$I$237,4,0)),0,VLOOKUP(A59,'Données projet'!$A$217:$I$237,4,0))</f>
        <v>0</v>
      </c>
      <c r="FN59" s="122" t="n">
        <f aca="false">IF(ISNA(VLOOKUP(A59,'Données projet'!$A$217:$I$237,5,0)),0%,VLOOKUP(A59,'Données projet'!$A$217:$I$237,5,0)*VLOOKUP('Données projet'!$B$16,Paramètres!$A$1:$I$89,7,0))</f>
        <v>0</v>
      </c>
      <c r="FO59" s="122" t="n">
        <f aca="false">IF(ISNA(VLOOKUP(A59,'Données projet'!$A$217:$I$237,6,0)),0%,VLOOKUP(A59,'Données projet'!$A$217:$I$237,6,0)*VLOOKUP('Données projet'!$B$16,Paramètres!$A$1:$I$89,7,0))</f>
        <v>0</v>
      </c>
      <c r="FP59" s="122" t="n">
        <f aca="false">IF(ISNA(VLOOKUP(A59,'Données projet'!$A$217:$I$237,7,0)),0%,VLOOKUP(A59,'Données projet'!$A$217:$I$237,7,0))</f>
        <v>0</v>
      </c>
      <c r="FQ59" s="129" t="e">
        <f aca="false">EXP(-LN(2)/35)*FQ58+(1-EXP(-LN(2)/35))/(LN(2)/35)*FM59*FN59*VLOOKUP('Données projet'!$B$16,Paramètres!$A$1:$I$89,3,0)*0.475*44/12</f>
        <v>#N/A</v>
      </c>
      <c r="FR59" s="129" t="e">
        <f aca="false">EXP(-LN(2)/25)*FR58+(1-EXP(-LN(2)/25))/(LN(2)/25)*Calculateur!FM59*Calculateur!FO59*VLOOKUP('Données projet'!$B$16,Paramètres!$A$1:$I$89,3,0)*0.475*44/12</f>
        <v>#N/A</v>
      </c>
      <c r="FS59" s="129" t="e">
        <f aca="false">EXP(-LN(2)/2)*FS58+(1-EXP(-LN(2)/2))/(LN(2)/2)*FM59*FP59*VLOOKUP('Données projet'!$B$16,Paramètres!$A$1:$I$89,3,0)*0.475*44/12</f>
        <v>#N/A</v>
      </c>
      <c r="FT59" s="130" t="e">
        <f aca="false">SUM(FQ59:FS59)</f>
        <v>#N/A</v>
      </c>
      <c r="FU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8" t="e">
        <f aca="false">VLOOKUP(A59,'Données projet'!$A$243:$I$263,2,0)</f>
        <v>#N/A</v>
      </c>
      <c r="FX59" s="118" t="e">
        <f aca="false">VLOOKUP(A59,'Données projet'!$A$243:$I$263,9,0)</f>
        <v>#N/A</v>
      </c>
      <c r="FY59" s="118" t="n">
        <f aca="false" t="array" ref="FY59:FY59">INDEX(FX:FX,MIN(IF(ISNUMBER(FX59:FX255),ROW(FX59:FX255),"")))</f>
        <v>0</v>
      </c>
      <c r="FZ59" s="118" t="n">
        <f aca="false">IF('Données projet'!$A$244&gt;35,FZ58+FY59-GH58,IF(A59&lt;'Données projet'!$A$244,$FW$205^A59,IF(A59='Données projet'!$A$244,'Données projet'!$B$244,FZ58+FY59-GH58)))</f>
        <v>0</v>
      </c>
      <c r="GA59" s="125" t="e">
        <f aca="false">FZ59*VLOOKUP('Données projet'!$B$17,Paramètres!$A$1:$I$89,3,0)*VLOOKUP('Données projet'!$B$17,Paramètres!$A$1:$I$89,5,0)</f>
        <v>#N/A</v>
      </c>
      <c r="GB59" s="117" t="e">
        <f aca="false">EXP(-1.0587+0.8836*LN(GA59)+0.284)</f>
        <v>#N/A</v>
      </c>
      <c r="GC59" s="128" t="e">
        <f aca="false">(GA59+GB59)*0.475*44/12</f>
        <v>#N/A</v>
      </c>
      <c r="GD59" s="120" t="e">
        <f aca="false">GC59+(FU59+FV59)*44/12</f>
        <v>#N/A</v>
      </c>
      <c r="GE59" s="120" t="e">
        <f aca="true">AVERAGE(OFFSET($GD$3,0,0,'Données projet'!$E$17+1,1))-AVERAGE(OFFSET($H$3,0,0,'Données projet'!$E$17+1,1))</f>
        <v>#N/A</v>
      </c>
      <c r="GF59" s="120" t="e">
        <f aca="false">$GF$3</f>
        <v>#N/A</v>
      </c>
      <c r="GG59" s="121" t="n">
        <f aca="false">IF(ISNA(VLOOKUP(A59,'Données projet'!$A$243:$I$263,3,0)),0,VLOOKUP(A59,'Données projet'!$A$243:$I$263,3,0))</f>
        <v>0</v>
      </c>
      <c r="GH59" s="121" t="n">
        <f aca="false">IF(ISNA(VLOOKUP(A59,'Données projet'!$A$243:$I$263,4,0)),0,VLOOKUP(A59,'Données projet'!$A$243:$I$263,4,0))</f>
        <v>0</v>
      </c>
      <c r="GI59" s="122" t="n">
        <f aca="false">IF(ISNA(VLOOKUP(A59,'Données projet'!$A$243:$I$263,5,0)),0%,VLOOKUP(A59,'Données projet'!$A$243:$I$263,5,0)*VLOOKUP('Données projet'!$B$17,Paramètres!$A$1:$I$89,7,0))</f>
        <v>0</v>
      </c>
      <c r="GJ59" s="122" t="n">
        <f aca="false">IF(ISNA(VLOOKUP(A59,'Données projet'!$A$243:$I$263,6,0)),0%,VLOOKUP(A59,'Données projet'!$A$243:$I$263,6,0)*VLOOKUP('Données projet'!$B$17,Paramètres!$A$1:$I$89,7,0))</f>
        <v>0</v>
      </c>
      <c r="GK59" s="122" t="n">
        <f aca="false">IF(ISNA(VLOOKUP(A59,'Données projet'!$A$243:$I$263,7,0)),0%,VLOOKUP(A59,'Données projet'!$A$243:$I$263,7,0))</f>
        <v>0</v>
      </c>
      <c r="GL59" s="129" t="e">
        <f aca="false">EXP(-LN(2)/35)*GL58+(1-EXP(-LN(2)/35))/(LN(2)/35)*GH59*GI59*VLOOKUP('Données projet'!$B$17,Paramètres!$A$1:$I$89,3,0)*0.475*44/12</f>
        <v>#N/A</v>
      </c>
      <c r="GM59" s="129" t="e">
        <f aca="false">EXP(-LN(2)/25)*GM58+(1-EXP(-LN(2)/25))/(LN(2)/25)*Calculateur!GH59*Calculateur!GJ59*VLOOKUP('Données projet'!$B$17,Paramètres!$A$1:$I$89,3,0)*0.475*44/12</f>
        <v>#N/A</v>
      </c>
      <c r="GN59" s="129" t="e">
        <f aca="false">EXP(-LN(2)/2)*GN58+(1-EXP(-LN(2)/2))/(LN(2)/2)*GH59*GK59*VLOOKUP('Données projet'!$B$17,Paramètres!$A$1:$I$89,3,0)*0.475*44/12</f>
        <v>#N/A</v>
      </c>
      <c r="GO59" s="129" t="e">
        <f aca="false">SUM(GL59:GN59)</f>
        <v>#N/A</v>
      </c>
      <c r="GP59" s="126" t="n">
        <f aca="false"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8" t="n">
        <f aca="false"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8" t="e">
        <f aca="false">VLOOKUP(A59,'Données projet'!$A$269:$I$289,2,0)</f>
        <v>#N/A</v>
      </c>
      <c r="GS59" s="118" t="e">
        <f aca="false">VLOOKUP(A59,'Données projet'!$A$269:$I$289,9,0)</f>
        <v>#N/A</v>
      </c>
      <c r="GT59" s="118" t="n">
        <f aca="false" t="array" ref="GT59:GT59">INDEX(GS:GS,MIN(IF(ISNUMBER(GS59:GS255),ROW(GS59:GS255),"")))</f>
        <v>0</v>
      </c>
      <c r="GU59" s="118" t="n">
        <f aca="false">IF('Données projet'!$A$270&gt;35,GU58+GT59-HC58,IF(A59&lt;'Données projet'!$A$270,$GR$205^A59,IF(A59='Données projet'!$A$270,'Données projet'!$B$270,GU58+GT59-HC58)))</f>
        <v>0</v>
      </c>
      <c r="GV59" s="125" t="e">
        <f aca="false">GU59*VLOOKUP('Données projet'!$B$18,Paramètres!$A$1:$I$89,3,0)*VLOOKUP('Données projet'!$B$18,Paramètres!$A$1:$I$89,5,0)</f>
        <v>#N/A</v>
      </c>
      <c r="GW59" s="117" t="e">
        <f aca="false">EXP(-1.0587+0.8836*LN(GV59)+0.284)</f>
        <v>#N/A</v>
      </c>
      <c r="GX59" s="128" t="e">
        <f aca="false">(GV59+GW59)*0.475*44/12</f>
        <v>#N/A</v>
      </c>
      <c r="GY59" s="120" t="e">
        <f aca="false">GX59+(GP59+GQ59)*44/12</f>
        <v>#N/A</v>
      </c>
      <c r="GZ59" s="120" t="e">
        <f aca="true">AVERAGE(OFFSET($GY$3,0,0,'Données projet'!$E$18+1,1))-AVERAGE(OFFSET($H$3,0,0,'Données projet'!$E$18+1,1))</f>
        <v>#N/A</v>
      </c>
      <c r="HA59" s="120" t="e">
        <f aca="false">$HA$3</f>
        <v>#N/A</v>
      </c>
      <c r="HB59" s="121" t="n">
        <f aca="false">IF(ISNA(VLOOKUP(A59,'Données projet'!$A$269:$I$289,3,0)),0,VLOOKUP(A59,'Données projet'!$A$269:$I$289,3,0))</f>
        <v>0</v>
      </c>
      <c r="HC59" s="121" t="n">
        <f aca="false">IF(ISNA(VLOOKUP(A59,'Données projet'!$A$269:$I$289,4,0)),0,VLOOKUP(A59,'Données projet'!$A$269:$I$289,4,0))</f>
        <v>0</v>
      </c>
      <c r="HD59" s="122" t="n">
        <f aca="false">IF(ISNA(VLOOKUP(A59,'Données projet'!$A$269:$I$289,5,0)),0%,VLOOKUP(A59,'Données projet'!$A$269:$I$289,5,0)*VLOOKUP('Données projet'!$B$18,Paramètres!$A$1:$I$89,7,0))</f>
        <v>0</v>
      </c>
      <c r="HE59" s="122" t="n">
        <f aca="false">IF(ISNA(VLOOKUP(A59,'Données projet'!$A$269:$I$289,6,0)),0%,VLOOKUP(A59,'Données projet'!$A$269:$I$289,6,0)*VLOOKUP('Données projet'!$B$18,Paramètres!$A$1:$I$89,7,0))</f>
        <v>0</v>
      </c>
      <c r="HF59" s="122" t="n">
        <f aca="false">IF(ISNA(VLOOKUP(A59,'Données projet'!$A$269:$I$289,7,0)),0%,VLOOKUP(A59,'Données projet'!$A$269:$I$289,7,0))</f>
        <v>0</v>
      </c>
      <c r="HG59" s="129" t="e">
        <f aca="false">EXP(-LN(2)/35)*HG58+(1-EXP(-LN(2)/35))/(LN(2)/35)*HC59*HD59*VLOOKUP('Données projet'!$B$18,Paramètres!$A$1:$I$89,3,0)*0.475*44/12</f>
        <v>#N/A</v>
      </c>
      <c r="HH59" s="129" t="e">
        <f aca="false">EXP(-LN(2)/25)*HH58+(1-EXP(-LN(2)/25))/(LN(2)/25)*Calculateur!HC59*Calculateur!HE59*VLOOKUP('Données projet'!$B$18,Paramètres!$A$1:$I$89,3,0)*0.475*44/12</f>
        <v>#N/A</v>
      </c>
      <c r="HI59" s="129" t="e">
        <f aca="false">EXP(-LN(2)/2)*HI58+(1-EXP(-LN(2)/2))/(LN(2)/2)*HC59*HF59*VLOOKUP('Données projet'!$B$18,Paramètres!$A$1:$I$89,3,0)*0.475*44/12</f>
        <v>#N/A</v>
      </c>
      <c r="HJ59" s="130" t="e">
        <f aca="false">SUM(HG59:HI59)</f>
        <v>#N/A</v>
      </c>
    </row>
    <row r="60" customFormat="false" ht="14.25" hidden="false" customHeight="false" outlineLevel="0" collapsed="false">
      <c r="A60" s="112" t="n">
        <f aca="false">A59+1</f>
        <v>57</v>
      </c>
      <c r="B60" s="113" t="n">
        <f aca="false">'Scénario référence'!$B$16*5+'Scénario référence'!$B$17*0+'Scénario référence'!$B$18*5</f>
        <v>0</v>
      </c>
      <c r="C60" s="127" t="n">
        <f aca="false"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4" t="n">
        <f aca="false">IFERROR(EXP(-1.0587+0.8836*LN(C60)+0.284),0)</f>
        <v>0</v>
      </c>
      <c r="E6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0" s="114" t="n">
        <f aca="false">IF(OR('Scénario référence'!$F$8&gt;0,'Scénario référence'!$F$9&gt;0),('Scénario référence'!$F$8+'Scénario référence'!$F$9)*10,0)</f>
        <v>0</v>
      </c>
      <c r="G60" s="114" t="n">
        <f aca="false"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15" t="n">
        <f aca="false">(B60+E60+F60)*44/12+(C60+D60)*0.475*44/12</f>
        <v>256.666666666667</v>
      </c>
      <c r="I60" s="11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7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8" t="e">
        <f aca="false">VLOOKUP(A60,'Données projet'!$A$35:$I$55,2,0)</f>
        <v>#N/A</v>
      </c>
      <c r="L60" s="118" t="e">
        <f aca="false">VLOOKUP(A60,'Données projet'!$A$35:$I$55,9,0)</f>
        <v>#N/A</v>
      </c>
      <c r="M60" s="118" t="n">
        <f aca="false" t="array" ref="M60:M60">INDEX(L:L,MIN(IF(ISNUMBER(L60:L256),ROW(L60:L256),"")))</f>
        <v>13.5</v>
      </c>
      <c r="N60" s="117" t="n">
        <f aca="false">IF('Données projet'!$A$36&gt;35,N59+M60-V59,IF(A60&lt;'Données projet'!$A$36,$K$205^A60,IF(A60='Données projet'!$A$36,'Données projet'!$B$36,N59+M60-V59)))</f>
        <v>308</v>
      </c>
      <c r="O60" s="117" t="n">
        <f aca="false">N60*VLOOKUP('Données projet'!$B$9,Paramètres!$A$1:$I$89,3,0)*VLOOKUP('Données projet'!$B$9,Paramètres!$A$1:$I$89,5,0)</f>
        <v>144.144</v>
      </c>
      <c r="P60" s="117" t="n">
        <f aca="false">EXP(-1.0587+0.8836*LN(O60)+0.284)</f>
        <v>37.2447200069762</v>
      </c>
      <c r="Q60" s="128" t="n">
        <f aca="false">(O60+P60)*0.475*44/12</f>
        <v>315.918687345483</v>
      </c>
      <c r="R60" s="120" t="n">
        <f aca="false">Q60+(I60+J60)*44/12</f>
        <v>609.252020678817</v>
      </c>
      <c r="S60" s="120" t="n">
        <f aca="true">AVERAGE(OFFSET($R$3,0,0,'Données projet'!$E$9+1,1))-AVERAGE(OFFSET($H$3,0,0,'Données projet'!$E$9+1,1))</f>
        <v>319.229030946746</v>
      </c>
      <c r="T60" s="120" t="n">
        <f aca="false">$T$3</f>
        <v>254.586909731428</v>
      </c>
      <c r="U60" s="121" t="n">
        <f aca="false">IF(ISNA(VLOOKUP(A60,'Données projet'!$A$35:$I$55,3,0)),0,VLOOKUP(A60,'Données projet'!$A$35:$I$55,3,0))</f>
        <v>0</v>
      </c>
      <c r="V60" s="121" t="n">
        <f aca="false">IF(ISNA(VLOOKUP(A60,'Données projet'!$A$35:$I$55,4,0)),0,VLOOKUP(A60,'Données projet'!$A$35:$I$55,4,0))</f>
        <v>0</v>
      </c>
      <c r="W60" s="122" t="n">
        <f aca="false">IF(ISNA(VLOOKUP(A60,'Données projet'!$A$35:$I$55,5,0)),0%,VLOOKUP(A60,'Données projet'!$A$35:$I$55,5,0)*VLOOKUP('Données projet'!$B$9,Paramètres!$A$1:$I$89,7,0))</f>
        <v>0</v>
      </c>
      <c r="X60" s="122" t="n">
        <f aca="false">IF(ISNA(VLOOKUP(A60,'Données projet'!$A$35:$I$55,6,0)),0%,VLOOKUP(A60,'Données projet'!$A$35:$I$55,6,0)*VLOOKUP('Données projet'!$B$9,Paramètres!$A$1:$I$89,7,0))</f>
        <v>0</v>
      </c>
      <c r="Y60" s="122" t="n">
        <f aca="false">IF(ISNA(VLOOKUP(A60,'Données projet'!$A$35:$I$55,7,0)),0%,VLOOKUP(A60,'Données projet'!$A$35:$I$55,7,0))</f>
        <v>0</v>
      </c>
      <c r="Z60" s="129" t="n">
        <f aca="false">EXP(-LN(2)/35)*Z59+(1-EXP(-LN(2)/35))/(LN(2)/35)*V60*W60*VLOOKUP('Données projet'!$B$9,Paramètres!$A$1:$I$89,3,0)*0.475*44/12</f>
        <v>5.31715530113618</v>
      </c>
      <c r="AA60" s="129" t="n">
        <f aca="false">EXP(-LN(2)/25)*AA59+(1-EXP(-LN(2)/25))/(LN(2)/25)*Calculateur!V60*Calculateur!X60*VLOOKUP('Données projet'!$B$9,Paramètres!$A$1:$I$89,3,0)*0.475*44/12</f>
        <v>5.27489588104262</v>
      </c>
      <c r="AB60" s="129" t="n">
        <f aca="false">EXP(-LN(2)/2)*AB59+(1-EXP(-LN(2)/2))/(LN(2)/2)*V60*Y60*VLOOKUP('Données projet'!$B$9,Paramètres!$A$1:$I$89,3,0)*0.475*44/12</f>
        <v>0.000953206927417457</v>
      </c>
      <c r="AC60" s="130" t="n">
        <f aca="false">SUM(Z60:AB60)</f>
        <v>10.5930043891062</v>
      </c>
      <c r="AD60" s="117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7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8" t="e">
        <f aca="false">VLOOKUP(A60,'Données projet'!$A$61:$I$81,2,0)</f>
        <v>#N/A</v>
      </c>
      <c r="AG60" s="118" t="e">
        <f aca="false">VLOOKUP(A60,'Données projet'!$A$61:$I$81,9,0)</f>
        <v>#N/A</v>
      </c>
      <c r="AH60" s="118" t="n">
        <f aca="false" t="array" ref="AH60:AH60">INDEX(AG:AG,MIN(IF(ISNUMBER(AG60:AG256),ROW(AG60:AG256),"")))</f>
        <v>7.8</v>
      </c>
      <c r="AI60" s="117" t="n">
        <f aca="false">IF('Données projet'!$A$62&gt;35,AI59+AH60-AQ59,IF(A60&lt;'Données projet'!$A$62,$AF$205^A60,IF(A60='Données projet'!$A$62,'Données projet'!$B$62,AI59+AH60-AQ59)))</f>
        <v>543.6</v>
      </c>
      <c r="AJ60" s="117" t="n">
        <f aca="false">AI60*VLOOKUP('Données projet'!$B$10,Paramètres!$A$1:$I$89,3,0)*VLOOKUP('Données projet'!$B$10,Paramètres!$A$1:$I$89,5,0)</f>
        <v>303.8724</v>
      </c>
      <c r="AK60" s="117" t="n">
        <f aca="false">EXP(-1.0587+0.8836*LN(AJ60)+0.284)</f>
        <v>71.9876603018273</v>
      </c>
      <c r="AL60" s="128" t="n">
        <f aca="false">(AJ60+AK60)*0.475*44/12</f>
        <v>654.622938359016</v>
      </c>
      <c r="AM60" s="120" t="n">
        <f aca="false">AL60+(AD60+AE60)*44/12</f>
        <v>947.956271692349</v>
      </c>
      <c r="AN60" s="120" t="n">
        <f aca="true">AVERAGE(OFFSET($AM$3,0,0,'Données projet'!$E$10+1,1))-AVERAGE(OFFSET($H$3,0,0,'Données projet'!$E$10+1,1))</f>
        <v>365.705101827279</v>
      </c>
      <c r="AO60" s="120" t="n">
        <f aca="false">$AO$3</f>
        <v>436.238338449625</v>
      </c>
      <c r="AP60" s="121" t="n">
        <f aca="false">IF(ISNA(VLOOKUP(A60,'Données projet'!$A$61:$I$81,3,0)),0,VLOOKUP(A60,'Données projet'!$A$61:$I$81,3,0))</f>
        <v>0</v>
      </c>
      <c r="AQ60" s="121" t="n">
        <f aca="false">IF(ISNA(VLOOKUP(A60,'Données projet'!$A$61:$I$81,4,0)),0,VLOOKUP(A60,'Données projet'!$A$61:$I$81,4,0))</f>
        <v>0</v>
      </c>
      <c r="AR60" s="122" t="n">
        <f aca="false">IF(ISNA(VLOOKUP(A60,'Données projet'!$A$61:$I$81,5,0)),0%,VLOOKUP(A60,'Données projet'!$A$61:$I$81,5,0)*VLOOKUP('Données projet'!$B$10,Paramètres!$A$1:$I$89,7,0))</f>
        <v>0</v>
      </c>
      <c r="AS60" s="122" t="n">
        <f aca="false">IF(ISNA(VLOOKUP(A60,'Données projet'!$A$61:$I$81,6,0)),0%,VLOOKUP(A60,'Données projet'!$A$61:$I$81,6,0)*VLOOKUP('Données projet'!$B$10,Paramètres!$A$1:$I$89,7,0))</f>
        <v>0</v>
      </c>
      <c r="AT60" s="122" t="n">
        <f aca="false">IF(ISNA(VLOOKUP(A60,'Données projet'!$A$61:$I$81,7,0)),0%,VLOOKUP(A60,'Données projet'!$A$61:$I$81,7,0))</f>
        <v>0</v>
      </c>
      <c r="AU60" s="129" t="n">
        <f aca="false">EXP(-LN(2)/35)*AU59+(1-EXP(-LN(2)/35))/(LN(2)/35)*AQ60*AR60*VLOOKUP('Données projet'!$B$10,Paramètres!$A$1:$I$89,3,0)*0.475*44/12</f>
        <v>2.00705373650865</v>
      </c>
      <c r="AV60" s="129" t="n">
        <f aca="false">EXP(-LN(2)/25)*AV59+(1-EXP(-LN(2)/25))/(LN(2)/25)*Calculateur!AQ60*Calculateur!AS60*VLOOKUP('Données projet'!$B$10,Paramètres!$A$1:$I$89,3,0)*0.475*44/12</f>
        <v>6.24782895812397</v>
      </c>
      <c r="AW60" s="129" t="n">
        <f aca="false">EXP(-LN(2)/2)*AW59+(1-EXP(-LN(2)/2))/(LN(2)/2)*AQ60*AT60*VLOOKUP('Données projet'!$B$10,Paramètres!$A$1:$I$89,3,0)*0.475*44/12</f>
        <v>0.000512986176084621</v>
      </c>
      <c r="AX60" s="129" t="n">
        <f aca="false">SUM(AU60:AW60)</f>
        <v>8.25539568080871</v>
      </c>
      <c r="AY60" s="124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8" t="e">
        <f aca="false">VLOOKUP(A60,'Données projet'!$A$87:$I$107,2,0)</f>
        <v>#N/A</v>
      </c>
      <c r="BB60" s="118" t="e">
        <f aca="false">VLOOKUP(A60,'Données projet'!$A$87:$I$107,9,0)</f>
        <v>#N/A</v>
      </c>
      <c r="BC60" s="118" t="n">
        <f aca="false" t="array" ref="BC60:BC60">INDEX(BB:BB,MIN(IF(ISNUMBER(BB60:BB256),ROW(BB60:BB256),"")))</f>
        <v>6.8</v>
      </c>
      <c r="BD60" s="118" t="n">
        <f aca="false">IF('Données projet'!$A$88&gt;35,BD59+BC60-BL59,IF(A60&lt;'Données projet'!$A$88,$BA$205^A60,IF(A60='Données projet'!$A$88,'Données projet'!$B$88,BD59+BC60-BL59)))</f>
        <v>221.6</v>
      </c>
      <c r="BE60" s="117" t="n">
        <f aca="false">BD60*VLOOKUP('Données projet'!$B$11,Paramètres!$A$1:$I$89,3,0)*VLOOKUP('Données projet'!$B$11,Paramètres!$A$1:$I$89,5,0)</f>
        <v>193.58976</v>
      </c>
      <c r="BF60" s="117" t="n">
        <f aca="false">EXP(-1.0587+0.8836*LN(BE60)+0.284)</f>
        <v>48.3327312020871</v>
      </c>
      <c r="BG60" s="128" t="n">
        <f aca="false">(BE60+BF60)*0.475*44/12</f>
        <v>421.348338843635</v>
      </c>
      <c r="BH60" s="120" t="n">
        <f aca="false">BG60+(AY60+AZ60)*44/12</f>
        <v>714.681672176969</v>
      </c>
      <c r="BI60" s="120" t="n">
        <f aca="true">AVERAGE(OFFSET($BH$3,0,0,'Données projet'!$E$11+1,1))-AVERAGE(OFFSET($H$3,0,0,'Données projet'!$E$11+1,1))</f>
        <v>321.235999689929</v>
      </c>
      <c r="BJ60" s="120" t="n">
        <f aca="false">$BJ$3</f>
        <v>388.051958478005</v>
      </c>
      <c r="BK60" s="121" t="n">
        <f aca="false">IF(ISNA(VLOOKUP(A60,'Données projet'!$A$87:$I$107,3,0)),0,VLOOKUP(A60,'Données projet'!$A$87:$I$107,3,0))</f>
        <v>0</v>
      </c>
      <c r="BL60" s="121" t="n">
        <f aca="false">IF(ISNA(VLOOKUP(A60,'Données projet'!$A$87:$I$107,4,0)),0,VLOOKUP(A60,'Données projet'!$A$87:$I$107,4,0))</f>
        <v>0</v>
      </c>
      <c r="BM60" s="122" t="n">
        <f aca="false">IF(ISNA(VLOOKUP(A60,'Données projet'!$A$87:$I$107,5,0)),0%,VLOOKUP(A60,'Données projet'!$A$87:$I$107,5,0)*VLOOKUP('Données projet'!$B$11,Paramètres!$A$1:$I$89,7,0))</f>
        <v>0</v>
      </c>
      <c r="BN60" s="122" t="n">
        <f aca="false">IF(ISNA(VLOOKUP(A60,'Données projet'!$A$87:$I$107,6,0)),0%,VLOOKUP(A60,'Données projet'!$A$87:$I$107,6,0)*VLOOKUP('Données projet'!$B$11,Paramètres!$A$1:$I$89,7,0))</f>
        <v>0</v>
      </c>
      <c r="BO60" s="122" t="n">
        <f aca="false">IF(ISNA(VLOOKUP(A60,'Données projet'!$A$87:$I$107,7,0)),0%,VLOOKUP(A60,'Données projet'!$A$87:$I$107,7,0))</f>
        <v>0</v>
      </c>
      <c r="BP60" s="129" t="n">
        <f aca="false">EXP(-LN(2)/35)*BP59+(1-EXP(-LN(2)/35))/(LN(2)/35)*BL60*BM60*VLOOKUP('Données projet'!$B$11,Paramètres!$A$1:$I$89,3,0)*0.475*44/12</f>
        <v>5.03895196539124</v>
      </c>
      <c r="BQ60" s="129" t="n">
        <f aca="false">EXP(-LN(2)/25)*BQ59+(1-EXP(-LN(2)/25))/(LN(2)/25)*Calculateur!BL60*Calculateur!BN60*VLOOKUP('Données projet'!$B$11,Paramètres!$A$1:$I$89,3,0)*0.475*44/12</f>
        <v>6.37741270235673</v>
      </c>
      <c r="BR60" s="129" t="n">
        <f aca="false">EXP(-LN(2)/2)*BR59+(1-EXP(-LN(2)/2))/(LN(2)/2)*BL60*BO60*VLOOKUP('Données projet'!$B$11,Paramètres!$A$1:$I$89,3,0)*0.475*44/12</f>
        <v>0.000521439785395083</v>
      </c>
      <c r="BS60" s="130" t="n">
        <f aca="false">SUM(BP60:BR60)</f>
        <v>11.4168861075334</v>
      </c>
      <c r="BT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8" t="e">
        <f aca="false">VLOOKUP(A60,'Données projet'!$A$113:$I$133,2,0)</f>
        <v>#N/A</v>
      </c>
      <c r="BW60" s="118" t="e">
        <f aca="false">VLOOKUP(A60,'Données projet'!$A$113:$I$133,9,0)</f>
        <v>#N/A</v>
      </c>
      <c r="BX60" s="118" t="n">
        <f aca="false" t="array" ref="BX60:BX60">INDEX(BW:BW,MIN(IF(ISNUMBER(BW60:BW256),ROW(BW60:BW256),"")))</f>
        <v>9.75</v>
      </c>
      <c r="BY60" s="118" t="n">
        <f aca="false">IF('Données projet'!$A$114&gt;35,BY59+BX60-CG59,IF(A60&lt;'Données projet'!$A$114,$BV$205^A60,IF(A60='Données projet'!$A$114,'Données projet'!$B$114,BY59+BX60-CG59)))</f>
        <v>274.75</v>
      </c>
      <c r="BZ60" s="117" t="n">
        <f aca="false">BY60*VLOOKUP('Données projet'!$B$12,Paramètres!$A$1:$I$89,3,0)*VLOOKUP('Données projet'!$B$12,Paramètres!$A$1:$I$89,5,0)</f>
        <v>171.444</v>
      </c>
      <c r="CA60" s="117" t="n">
        <f aca="false">EXP(-1.0587+0.8836*LN(BZ60)+0.284)</f>
        <v>43.4132721736272</v>
      </c>
      <c r="CB60" s="128" t="n">
        <f aca="false">(BZ60+CA60)*0.475*44/12</f>
        <v>374.209749035734</v>
      </c>
      <c r="CC60" s="120" t="n">
        <f aca="false">CB60+(BT60+BU60)*44/12</f>
        <v>667.543082369067</v>
      </c>
      <c r="CD60" s="120" t="n">
        <f aca="true">AVERAGE(OFFSET($CC$3,0,0,'Données projet'!$E$12+1,1))-AVERAGE(OFFSET($H$3,0,0,'Données projet'!$E$12+1,1))</f>
        <v>240.228848647662</v>
      </c>
      <c r="CE60" s="120" t="n">
        <f aca="false">$CE$3</f>
        <v>343.237768841432</v>
      </c>
      <c r="CF60" s="121" t="n">
        <f aca="false">IF(ISNA(VLOOKUP(A60,'Données projet'!$A$113:$I$133,3,0)),0,VLOOKUP(A60,'Données projet'!$A$113:$I$133,3,0))</f>
        <v>0</v>
      </c>
      <c r="CG60" s="121" t="n">
        <f aca="false">IF(ISNA(VLOOKUP(A60,'Données projet'!$A$113:$I$133,4,0)),0,VLOOKUP(A60,'Données projet'!$A$113:$I$133,4,0))</f>
        <v>0</v>
      </c>
      <c r="CH60" s="122" t="n">
        <f aca="false">IF(ISNA(VLOOKUP(A60,'Données projet'!$A$113:$I$133,5,0)),0%,VLOOKUP(A60,'Données projet'!$A$113:$I$133,5,0)*VLOOKUP('Données projet'!$B$12,Paramètres!$A$1:$I$89,7,0))</f>
        <v>0</v>
      </c>
      <c r="CI60" s="122" t="n">
        <f aca="false">IF(ISNA(VLOOKUP(A60,'Données projet'!$A$113:$I$133,6,0)),0%,VLOOKUP(A60,'Données projet'!$A$113:$I$133,6,0)*VLOOKUP('Données projet'!$B$12,Paramètres!$A$1:$I$89,7,0))</f>
        <v>0</v>
      </c>
      <c r="CJ60" s="122" t="n">
        <f aca="false">IF(ISNA(VLOOKUP(A60,'Données projet'!$A$113:$I$133,7,0)),0%,VLOOKUP(A60,'Données projet'!$A$113:$I$133,7,0))</f>
        <v>0</v>
      </c>
      <c r="CK60" s="129" t="n">
        <f aca="false">EXP(-LN(2)/35)*CK59+(1-EXP(-LN(2)/35))/(LN(2)/35)*CG60*CH60*VLOOKUP('Données projet'!$B$12,Paramètres!$A$1:$I$89,3,0)*0.475*44/12</f>
        <v>3.08423117226096</v>
      </c>
      <c r="CL60" s="129" t="n">
        <f aca="false">EXP(-LN(2)/25)*CL59+(1-EXP(-LN(2)/25))/(LN(2)/25)*Calculateur!CG60*Calculateur!CI60*VLOOKUP('Données projet'!$B$12,Paramètres!$A$1:$I$89,3,0)*0.475*44/12</f>
        <v>11.2628800200607</v>
      </c>
      <c r="CM60" s="129" t="n">
        <f aca="false">EXP(-LN(2)/2)*CM59+(1-EXP(-LN(2)/2))/(LN(2)/2)*CG60*CJ60*VLOOKUP('Données projet'!$B$12,Paramètres!$A$1:$I$89,3,0)*0.475*44/12</f>
        <v>0.000832078881723446</v>
      </c>
      <c r="CN60" s="130" t="n">
        <f aca="false">SUM(CK60:CM60)</f>
        <v>14.3479432712033</v>
      </c>
      <c r="CO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8" t="e">
        <f aca="false">VLOOKUP(A60,'Données projet'!$A$139:$I$159,2,0)</f>
        <v>#N/A</v>
      </c>
      <c r="CR60" s="118" t="e">
        <f aca="false">VLOOKUP(A60,'Données projet'!$A$139:$I$159,9,0)</f>
        <v>#N/A</v>
      </c>
      <c r="CS60" s="118" t="n">
        <f aca="false" t="array" ref="CS60:CS60">INDEX(CR:CR,MIN(IF(ISNUMBER(CR60:CR256),ROW(CR60:CR256),"")))</f>
        <v>0</v>
      </c>
      <c r="CT60" s="118" t="n">
        <f aca="false">IF('Données projet'!$A$140&gt;35,CT59+CS60-DB59,IF(A60&lt;'Données projet'!$A$140,$CQ$205^A60,IF(A60='Données projet'!$A$140,'Données projet'!$B$140,CT59+CS60-DB59)))</f>
        <v>-5.6843418860808E-014</v>
      </c>
      <c r="CU60" s="125" t="n">
        <f aca="false">CT60*VLOOKUP('Données projet'!$B$13,Paramètres!$A$1:$I$89,3,0)*VLOOKUP('Données projet'!$B$13,Paramètres!$A$1:$I$89,5,0)</f>
        <v>-3.10365066980012E-014</v>
      </c>
      <c r="CV60" s="117" t="e">
        <f aca="false">EXP(-1.0587+0.8836*LN(CU60)+0.284)</f>
        <v>#VALUE!</v>
      </c>
      <c r="CW60" s="128" t="e">
        <f aca="false">(CU60+CV60)*0.475*44/12</f>
        <v>#VALUE!</v>
      </c>
      <c r="CX60" s="120" t="e">
        <f aca="false">CW60+(CO60+CP60)*44/12</f>
        <v>#VALUE!</v>
      </c>
      <c r="CY60" s="120" t="n">
        <f aca="true">AVERAGE(OFFSET($CX$3,0,0,'Données projet'!$E$13+1,1))-AVERAGE(OFFSET($H$3,0,0,'Données projet'!$E$13+1,1))</f>
        <v>207.023069645676</v>
      </c>
      <c r="CZ60" s="120" t="n">
        <f aca="false">$CZ$3</f>
        <v>342.068879333518</v>
      </c>
      <c r="DA60" s="121" t="n">
        <f aca="false">IF(ISNA(VLOOKUP(A60,'Données projet'!$A$139:$I$159,3,0)),0,VLOOKUP(A60,'Données projet'!$A$139:$I$159,3,0))</f>
        <v>0</v>
      </c>
      <c r="DB60" s="121" t="n">
        <f aca="false">IF(ISNA(VLOOKUP(A60,'Données projet'!$A$139:$I$159,4,0)),0,VLOOKUP(A60,'Données projet'!$A$139:$I$159,4,0))</f>
        <v>0</v>
      </c>
      <c r="DC60" s="122" t="n">
        <f aca="false">IF(ISNA(VLOOKUP(A60,'Données projet'!$A$139:$I$159,5,0)),0%,VLOOKUP(A60,'Données projet'!$A$139:$I$159,5,0)*VLOOKUP('Données projet'!$B$13,Paramètres!$A$1:$I$89,7,0))</f>
        <v>0</v>
      </c>
      <c r="DD60" s="122" t="n">
        <f aca="false">IF(ISNA(VLOOKUP(A60,'Données projet'!$A$139:$I$159,6,0)),0%,VLOOKUP(A60,'Données projet'!$A$139:$I$159,6,0)*VLOOKUP('Données projet'!$B$13,Paramètres!$A$1:$I$89,7,0))</f>
        <v>0</v>
      </c>
      <c r="DE60" s="122" t="n">
        <f aca="false">IF(ISNA(VLOOKUP(A60,'Données projet'!$A$139:$I$159,7,0)),0%,VLOOKUP(A60,'Données projet'!$A$139:$I$159,7,0))</f>
        <v>0</v>
      </c>
      <c r="DF60" s="129" t="n">
        <f aca="false">EXP(-LN(2)/35)*DF59+(1-EXP(-LN(2)/35))/(LN(2)/35)*DB60*DC60*VLOOKUP('Données projet'!$B$13,Paramètres!$A$1:$I$89,3,0)*0.475*44/12</f>
        <v>3.86983722557271</v>
      </c>
      <c r="DG60" s="129" t="n">
        <f aca="false">EXP(-LN(2)/25)*DG59+(1-EXP(-LN(2)/25))/(LN(2)/25)*Calculateur!DB60*Calculateur!DD60*VLOOKUP('Données projet'!$B$13,Paramètres!$A$1:$I$89,3,0)*0.475*44/12</f>
        <v>18.4101179691163</v>
      </c>
      <c r="DH60" s="129" t="n">
        <f aca="false">EXP(-LN(2)/2)*DH59+(1-EXP(-LN(2)/2))/(LN(2)/2)*DB60*DE60*VLOOKUP('Données projet'!$B$13,Paramètres!$A$1:$I$89,3,0)*0.475*44/12</f>
        <v>0.00114577300590591</v>
      </c>
      <c r="DI60" s="130" t="n">
        <f aca="false">SUM(DF60:DH60)</f>
        <v>22.281100967695</v>
      </c>
      <c r="DJ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8" t="e">
        <f aca="false">VLOOKUP(A60,'Données projet'!$A$165:$I$185,2,0)</f>
        <v>#N/A</v>
      </c>
      <c r="DM60" s="118" t="e">
        <f aca="false">VLOOKUP(A60,'Données projet'!$A$165:$I$185,9,0)</f>
        <v>#N/A</v>
      </c>
      <c r="DN60" s="118" t="n">
        <f aca="false" t="array" ref="DN60:DN60">INDEX(DM:DM,MIN(IF(ISNUMBER(DM60:DM256),ROW(DM60:DM256),"")))</f>
        <v>2.625</v>
      </c>
      <c r="DO60" s="118" t="n">
        <f aca="false">IF('Données projet'!$A$166&gt;35,DO59+DN60-DW59,IF(A60&lt;'Données projet'!$A$166,$DL$205^A60,IF(A60='Données projet'!$A$166,'Données projet'!$B$166,DO59+DN60-DW59)))</f>
        <v>302.875</v>
      </c>
      <c r="DP60" s="125" t="n">
        <f aca="false">DO60*VLOOKUP('Données projet'!$B$14,Paramètres!$A$1:$I$89,3,0)*VLOOKUP('Données projet'!$B$14,Paramètres!$A$1:$I$89,5,0)</f>
        <v>181.11925</v>
      </c>
      <c r="DQ60" s="117" t="n">
        <f aca="false">EXP(-1.0587+0.8836*LN(DP60)+0.284)</f>
        <v>45.5711087631024</v>
      </c>
      <c r="DR60" s="128" t="n">
        <f aca="false">(DP60+DQ60)*0.475*44/12</f>
        <v>394.819041512403</v>
      </c>
      <c r="DS60" s="120" t="n">
        <f aca="false">DR60+(DJ60+DK60)*44/12</f>
        <v>688.152374845737</v>
      </c>
      <c r="DT60" s="120" t="n">
        <f aca="true">AVERAGE(OFFSET($DS$3,0,0,'Données projet'!$E$14+1,1))-AVERAGE(OFFSET($H$3,0,0,'Données projet'!$E$14+1,1))</f>
        <v>549.432320957297</v>
      </c>
      <c r="DU60" s="120" t="n">
        <f aca="false">$DU$3</f>
        <v>280.26155987301</v>
      </c>
      <c r="DV60" s="121" t="n">
        <f aca="false">IF(ISNA(VLOOKUP(A60,'Données projet'!$A$165:$I$185,3,0)),0,VLOOKUP(A60,'Données projet'!$A$165:$I$185,3,0))</f>
        <v>0</v>
      </c>
      <c r="DW60" s="121" t="n">
        <f aca="false">IF(ISNA(VLOOKUP(A60,'Données projet'!$A$165:$I$185,4,0)),0,VLOOKUP(A60,'Données projet'!$A$165:$I$185,4,0))</f>
        <v>0</v>
      </c>
      <c r="DX60" s="122" t="n">
        <f aca="false">IF(ISNA(VLOOKUP(A60,'Données projet'!$A$165:$I$185,5,0)),0%,VLOOKUP(A60,'Données projet'!$A$165:$I$185,5,0)*VLOOKUP('Données projet'!$B$14,Paramètres!$A$1:$I$89,7,0))</f>
        <v>0</v>
      </c>
      <c r="DY60" s="122" t="n">
        <f aca="false">IF(ISNA(VLOOKUP(A60,'Données projet'!$A$165:$I$185,6,0)),0%,VLOOKUP(A60,'Données projet'!$A$165:$I$185,6,0)*VLOOKUP('Données projet'!$B$14,Paramètres!$A$1:$I$89,7,0))</f>
        <v>0</v>
      </c>
      <c r="DZ60" s="122" t="n">
        <f aca="false">IF(ISNA(VLOOKUP(A60,'Données projet'!$A$165:$I$185,7,0)),0%,VLOOKUP(A60,'Données projet'!$A$165:$I$185,7,0))</f>
        <v>0</v>
      </c>
      <c r="EA60" s="129" t="n">
        <f aca="false">EXP(-LN(2)/35)*EA59+(1-EXP(-LN(2)/35))/(LN(2)/35)*DW60*DX60*VLOOKUP('Données projet'!$B$14,Paramètres!$A$1:$I$89,3,0)*0.475*44/12</f>
        <v>1.40706850018016</v>
      </c>
      <c r="EB60" s="129" t="n">
        <f aca="false">EXP(-LN(2)/25)*EB59+(1-EXP(-LN(2)/25))/(LN(2)/25)*Calculateur!DW60*Calculateur!DY60*VLOOKUP('Données projet'!$B$14,Paramètres!$A$1:$I$89,3,0)*0.475*44/12</f>
        <v>3.66765872469136</v>
      </c>
      <c r="EC60" s="129" t="n">
        <f aca="false">EXP(-LN(2)/2)*EC59+(1-EXP(-LN(2)/2))/(LN(2)/2)*DW60*DZ60*VLOOKUP('Données projet'!$B$14,Paramètres!$A$1:$I$89,3,0)*0.475*44/12</f>
        <v>0.000528177737659315</v>
      </c>
      <c r="ED60" s="130" t="n">
        <f aca="false">SUM(EA60:EC60)</f>
        <v>5.07525540260918</v>
      </c>
      <c r="EE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8" t="e">
        <f aca="false">VLOOKUP(A60,'Données projet'!$A$191:$I$211,2,0)</f>
        <v>#N/A</v>
      </c>
      <c r="EH60" s="118" t="e">
        <f aca="false">VLOOKUP(A60,'Données projet'!$A$191:$I$211,9,0)</f>
        <v>#N/A</v>
      </c>
      <c r="EI60" s="118" t="n">
        <f aca="false" t="array" ref="EI60:EI60">INDEX(EH:EH,MIN(IF(ISNUMBER(EH60:EH256),ROW(EH60:EH256),"")))</f>
        <v>0</v>
      </c>
      <c r="EJ60" s="118" t="n">
        <f aca="false">IF('Données projet'!$A$192&gt;35,EJ59+EI60-ER59,IF(A60&lt;'Données projet'!$A$192,$EG$205^A60,IF(A60='Données projet'!$A$192,'Données projet'!$B$192,EJ59+EI60-ER59)))</f>
        <v>0</v>
      </c>
      <c r="EK60" s="125" t="e">
        <f aca="false">EJ60*VLOOKUP('Données projet'!$B$15,Paramètres!$A$1:$I$89,3,0)*VLOOKUP('Données projet'!$B$15,Paramètres!$A$1:$I$89,5,0)</f>
        <v>#N/A</v>
      </c>
      <c r="EL60" s="117" t="e">
        <f aca="false">EXP(-1.0587+0.8836*LN(EK60)+0.284)</f>
        <v>#N/A</v>
      </c>
      <c r="EM60" s="128" t="e">
        <f aca="false">(EK60+EL60)*0.475*44/12</f>
        <v>#N/A</v>
      </c>
      <c r="EN60" s="120" t="e">
        <f aca="false">EM60+(EE60+EF60)*44/12</f>
        <v>#N/A</v>
      </c>
      <c r="EO60" s="120" t="e">
        <f aca="true">AVERAGE(OFFSET($EN$3,0,0,'Données projet'!$E$15+1,1))-AVERAGE(OFFSET($H$3,0,0,'Données projet'!$E$15+1,1))</f>
        <v>#N/A</v>
      </c>
      <c r="EP60" s="120" t="e">
        <f aca="false">$EP$3</f>
        <v>#N/A</v>
      </c>
      <c r="EQ60" s="121" t="n">
        <f aca="false">IF(ISNA(VLOOKUP(A60,'Données projet'!$A$191:$I$211,3,0)),0,VLOOKUP(A60,'Données projet'!$A$191:$I$211,3,0))</f>
        <v>0</v>
      </c>
      <c r="ER60" s="121" t="n">
        <f aca="false">IF(ISNA(VLOOKUP(A60,'Données projet'!$A$191:$I$211,4,0)),0,VLOOKUP(A60,'Données projet'!$A$191:$I$211,4,0))</f>
        <v>0</v>
      </c>
      <c r="ES60" s="122" t="n">
        <f aca="false">IF(ISNA(VLOOKUP(A60,'Données projet'!$A$191:$I$211,5,0)),0%,VLOOKUP(A60,'Données projet'!$A$191:$I$211,5,0)*VLOOKUP('Données projet'!$B$15,Paramètres!$A$1:$I$89,7,0))</f>
        <v>0</v>
      </c>
      <c r="ET60" s="122" t="n">
        <f aca="false">IF(ISNA(VLOOKUP(A60,'Données projet'!$A$191:$I$211,6,0)),0%,VLOOKUP(A60,'Données projet'!$A$191:$I$211,6,0)*VLOOKUP('Données projet'!$B$15,Paramètres!$A$1:$I$89,7,0))</f>
        <v>0</v>
      </c>
      <c r="EU60" s="122" t="n">
        <f aca="false">IF(ISNA(VLOOKUP(A60,'Données projet'!$A$191:$I$211,7,0)),0%,VLOOKUP(A60,'Données projet'!$A$191:$I$211,7,0))</f>
        <v>0</v>
      </c>
      <c r="EV60" s="129" t="e">
        <f aca="false">EXP(-LN(2)/35)*EV59+(1-EXP(-LN(2)/35))/(LN(2)/35)*ER60*ES60*VLOOKUP('Données projet'!$B$15,Paramètres!$A$1:$I$89,3,0)*0.475*44/12</f>
        <v>#N/A</v>
      </c>
      <c r="EW60" s="129" t="e">
        <f aca="false">EXP(-LN(2)/25)*EW59+(1-EXP(-LN(2)/25))/(LN(2)/25)*Calculateur!ER60*Calculateur!ET60*VLOOKUP('Données projet'!$B$15,Paramètres!$A$1:$I$89,3,0)*0.475*44/12</f>
        <v>#N/A</v>
      </c>
      <c r="EX60" s="129" t="e">
        <f aca="false">EXP(-LN(2)/2)*EX59+(1-EXP(-LN(2)/2))/(LN(2)/2)*ER60*EU60*VLOOKUP('Données projet'!$B$15,Paramètres!$A$1:$I$89,3,0)*0.475*44/12</f>
        <v>#N/A</v>
      </c>
      <c r="EY60" s="130" t="e">
        <f aca="false">SUM(EV60:EX60)</f>
        <v>#N/A</v>
      </c>
      <c r="EZ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8" t="e">
        <f aca="false">VLOOKUP(A60,'Données projet'!$A$217:$I$237,2,0)</f>
        <v>#N/A</v>
      </c>
      <c r="FC60" s="118" t="e">
        <f aca="false">VLOOKUP(A60,'Données projet'!$A$217:$I$237,9,0)</f>
        <v>#N/A</v>
      </c>
      <c r="FD60" s="118" t="n">
        <f aca="false" t="array" ref="FD60:FD60">INDEX(FC:FC,MIN(IF(ISNUMBER(FC60:FC256),ROW(FC60:FC256),"")))</f>
        <v>0</v>
      </c>
      <c r="FE60" s="118" t="n">
        <f aca="false">IF('Données projet'!$A$218&gt;35,FE59+FD60-FM59,IF(A60&lt;'Données projet'!$A$218,$FB$205^A60,IF(A60='Données projet'!$A$218,'Données projet'!$B$218,FE59+FD60-FM59)))</f>
        <v>0</v>
      </c>
      <c r="FF60" s="125" t="e">
        <f aca="false">FE60*VLOOKUP('Données projet'!$B$16,Paramètres!$A$1:$I$89,3,0)*VLOOKUP('Données projet'!$B$16,Paramètres!$A$1:$I$89,5,0)</f>
        <v>#N/A</v>
      </c>
      <c r="FG60" s="117" t="e">
        <f aca="false">EXP(-1.0587+0.8836*LN(FF60)+0.284)</f>
        <v>#N/A</v>
      </c>
      <c r="FH60" s="128" t="e">
        <f aca="false">(FF60+FG60)*0.475*44/12</f>
        <v>#N/A</v>
      </c>
      <c r="FI60" s="120" t="e">
        <f aca="false">FH60+(EZ60+FA60)*44/12</f>
        <v>#N/A</v>
      </c>
      <c r="FJ60" s="120" t="e">
        <f aca="true">AVERAGE(OFFSET($FI$3,0,0,'Données projet'!$E$16+1,1))-AVERAGE(OFFSET($H$3,0,0,'Données projet'!$E$16+1,1))</f>
        <v>#N/A</v>
      </c>
      <c r="FK60" s="120" t="e">
        <f aca="false">$FK$3</f>
        <v>#N/A</v>
      </c>
      <c r="FL60" s="121" t="n">
        <f aca="false">IF(ISNA(VLOOKUP(A60,'Données projet'!$A$217:$I$237,3,0)),0,VLOOKUP(A60,'Données projet'!$A$217:$I$237,3,0))</f>
        <v>0</v>
      </c>
      <c r="FM60" s="121" t="n">
        <f aca="false">IF(ISNA(VLOOKUP(A60,'Données projet'!$A$217:$I$237,4,0)),0,VLOOKUP(A60,'Données projet'!$A$217:$I$237,4,0))</f>
        <v>0</v>
      </c>
      <c r="FN60" s="122" t="n">
        <f aca="false">IF(ISNA(VLOOKUP(A60,'Données projet'!$A$217:$I$237,5,0)),0%,VLOOKUP(A60,'Données projet'!$A$217:$I$237,5,0)*VLOOKUP('Données projet'!$B$16,Paramètres!$A$1:$I$89,7,0))</f>
        <v>0</v>
      </c>
      <c r="FO60" s="122" t="n">
        <f aca="false">IF(ISNA(VLOOKUP(A60,'Données projet'!$A$217:$I$237,6,0)),0%,VLOOKUP(A60,'Données projet'!$A$217:$I$237,6,0)*VLOOKUP('Données projet'!$B$16,Paramètres!$A$1:$I$89,7,0))</f>
        <v>0</v>
      </c>
      <c r="FP60" s="122" t="n">
        <f aca="false">IF(ISNA(VLOOKUP(A60,'Données projet'!$A$217:$I$237,7,0)),0%,VLOOKUP(A60,'Données projet'!$A$217:$I$237,7,0))</f>
        <v>0</v>
      </c>
      <c r="FQ60" s="129" t="e">
        <f aca="false">EXP(-LN(2)/35)*FQ59+(1-EXP(-LN(2)/35))/(LN(2)/35)*FM60*FN60*VLOOKUP('Données projet'!$B$16,Paramètres!$A$1:$I$89,3,0)*0.475*44/12</f>
        <v>#N/A</v>
      </c>
      <c r="FR60" s="129" t="e">
        <f aca="false">EXP(-LN(2)/25)*FR59+(1-EXP(-LN(2)/25))/(LN(2)/25)*Calculateur!FM60*Calculateur!FO60*VLOOKUP('Données projet'!$B$16,Paramètres!$A$1:$I$89,3,0)*0.475*44/12</f>
        <v>#N/A</v>
      </c>
      <c r="FS60" s="129" t="e">
        <f aca="false">EXP(-LN(2)/2)*FS59+(1-EXP(-LN(2)/2))/(LN(2)/2)*FM60*FP60*VLOOKUP('Données projet'!$B$16,Paramètres!$A$1:$I$89,3,0)*0.475*44/12</f>
        <v>#N/A</v>
      </c>
      <c r="FT60" s="130" t="e">
        <f aca="false">SUM(FQ60:FS60)</f>
        <v>#N/A</v>
      </c>
      <c r="FU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8" t="e">
        <f aca="false">VLOOKUP(A60,'Données projet'!$A$243:$I$263,2,0)</f>
        <v>#N/A</v>
      </c>
      <c r="FX60" s="118" t="e">
        <f aca="false">VLOOKUP(A60,'Données projet'!$A$243:$I$263,9,0)</f>
        <v>#N/A</v>
      </c>
      <c r="FY60" s="118" t="n">
        <f aca="false" t="array" ref="FY60:FY60">INDEX(FX:FX,MIN(IF(ISNUMBER(FX60:FX256),ROW(FX60:FX256),"")))</f>
        <v>0</v>
      </c>
      <c r="FZ60" s="118" t="n">
        <f aca="false">IF('Données projet'!$A$244&gt;35,FZ59+FY60-GH59,IF(A60&lt;'Données projet'!$A$244,$FW$205^A60,IF(A60='Données projet'!$A$244,'Données projet'!$B$244,FZ59+FY60-GH59)))</f>
        <v>0</v>
      </c>
      <c r="GA60" s="125" t="e">
        <f aca="false">FZ60*VLOOKUP('Données projet'!$B$17,Paramètres!$A$1:$I$89,3,0)*VLOOKUP('Données projet'!$B$17,Paramètres!$A$1:$I$89,5,0)</f>
        <v>#N/A</v>
      </c>
      <c r="GB60" s="117" t="e">
        <f aca="false">EXP(-1.0587+0.8836*LN(GA60)+0.284)</f>
        <v>#N/A</v>
      </c>
      <c r="GC60" s="128" t="e">
        <f aca="false">(GA60+GB60)*0.475*44/12</f>
        <v>#N/A</v>
      </c>
      <c r="GD60" s="120" t="e">
        <f aca="false">GC60+(FU60+FV60)*44/12</f>
        <v>#N/A</v>
      </c>
      <c r="GE60" s="120" t="e">
        <f aca="true">AVERAGE(OFFSET($GD$3,0,0,'Données projet'!$E$17+1,1))-AVERAGE(OFFSET($H$3,0,0,'Données projet'!$E$17+1,1))</f>
        <v>#N/A</v>
      </c>
      <c r="GF60" s="120" t="e">
        <f aca="false">$GF$3</f>
        <v>#N/A</v>
      </c>
      <c r="GG60" s="121" t="n">
        <f aca="false">IF(ISNA(VLOOKUP(A60,'Données projet'!$A$243:$I$263,3,0)),0,VLOOKUP(A60,'Données projet'!$A$243:$I$263,3,0))</f>
        <v>0</v>
      </c>
      <c r="GH60" s="121" t="n">
        <f aca="false">IF(ISNA(VLOOKUP(A60,'Données projet'!$A$243:$I$263,4,0)),0,VLOOKUP(A60,'Données projet'!$A$243:$I$263,4,0))</f>
        <v>0</v>
      </c>
      <c r="GI60" s="122" t="n">
        <f aca="false">IF(ISNA(VLOOKUP(A60,'Données projet'!$A$243:$I$263,5,0)),0%,VLOOKUP(A60,'Données projet'!$A$243:$I$263,5,0)*VLOOKUP('Données projet'!$B$17,Paramètres!$A$1:$I$89,7,0))</f>
        <v>0</v>
      </c>
      <c r="GJ60" s="122" t="n">
        <f aca="false">IF(ISNA(VLOOKUP(A60,'Données projet'!$A$243:$I$263,6,0)),0%,VLOOKUP(A60,'Données projet'!$A$243:$I$263,6,0)*VLOOKUP('Données projet'!$B$17,Paramètres!$A$1:$I$89,7,0))</f>
        <v>0</v>
      </c>
      <c r="GK60" s="122" t="n">
        <f aca="false">IF(ISNA(VLOOKUP(A60,'Données projet'!$A$243:$I$263,7,0)),0%,VLOOKUP(A60,'Données projet'!$A$243:$I$263,7,0))</f>
        <v>0</v>
      </c>
      <c r="GL60" s="129" t="e">
        <f aca="false">EXP(-LN(2)/35)*GL59+(1-EXP(-LN(2)/35))/(LN(2)/35)*GH60*GI60*VLOOKUP('Données projet'!$B$17,Paramètres!$A$1:$I$89,3,0)*0.475*44/12</f>
        <v>#N/A</v>
      </c>
      <c r="GM60" s="129" t="e">
        <f aca="false">EXP(-LN(2)/25)*GM59+(1-EXP(-LN(2)/25))/(LN(2)/25)*Calculateur!GH60*Calculateur!GJ60*VLOOKUP('Données projet'!$B$17,Paramètres!$A$1:$I$89,3,0)*0.475*44/12</f>
        <v>#N/A</v>
      </c>
      <c r="GN60" s="129" t="e">
        <f aca="false">EXP(-LN(2)/2)*GN59+(1-EXP(-LN(2)/2))/(LN(2)/2)*GH60*GK60*VLOOKUP('Données projet'!$B$17,Paramètres!$A$1:$I$89,3,0)*0.475*44/12</f>
        <v>#N/A</v>
      </c>
      <c r="GO60" s="129" t="e">
        <f aca="false">SUM(GL60:GN60)</f>
        <v>#N/A</v>
      </c>
      <c r="GP60" s="126" t="n">
        <f aca="false"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8" t="n">
        <f aca="false"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8" t="e">
        <f aca="false">VLOOKUP(A60,'Données projet'!$A$269:$I$289,2,0)</f>
        <v>#N/A</v>
      </c>
      <c r="GS60" s="118" t="e">
        <f aca="false">VLOOKUP(A60,'Données projet'!$A$269:$I$289,9,0)</f>
        <v>#N/A</v>
      </c>
      <c r="GT60" s="118" t="n">
        <f aca="false" t="array" ref="GT60:GT60">INDEX(GS:GS,MIN(IF(ISNUMBER(GS60:GS256),ROW(GS60:GS256),"")))</f>
        <v>0</v>
      </c>
      <c r="GU60" s="118" t="n">
        <f aca="false">IF('Données projet'!$A$270&gt;35,GU59+GT60-HC59,IF(A60&lt;'Données projet'!$A$270,$GR$205^A60,IF(A60='Données projet'!$A$270,'Données projet'!$B$270,GU59+GT60-HC59)))</f>
        <v>0</v>
      </c>
      <c r="GV60" s="125" t="e">
        <f aca="false">GU60*VLOOKUP('Données projet'!$B$18,Paramètres!$A$1:$I$89,3,0)*VLOOKUP('Données projet'!$B$18,Paramètres!$A$1:$I$89,5,0)</f>
        <v>#N/A</v>
      </c>
      <c r="GW60" s="117" t="e">
        <f aca="false">EXP(-1.0587+0.8836*LN(GV60)+0.284)</f>
        <v>#N/A</v>
      </c>
      <c r="GX60" s="128" t="e">
        <f aca="false">(GV60+GW60)*0.475*44/12</f>
        <v>#N/A</v>
      </c>
      <c r="GY60" s="120" t="e">
        <f aca="false">GX60+(GP60+GQ60)*44/12</f>
        <v>#N/A</v>
      </c>
      <c r="GZ60" s="120" t="e">
        <f aca="true">AVERAGE(OFFSET($GY$3,0,0,'Données projet'!$E$18+1,1))-AVERAGE(OFFSET($H$3,0,0,'Données projet'!$E$18+1,1))</f>
        <v>#N/A</v>
      </c>
      <c r="HA60" s="120" t="e">
        <f aca="false">$HA$3</f>
        <v>#N/A</v>
      </c>
      <c r="HB60" s="121" t="n">
        <f aca="false">IF(ISNA(VLOOKUP(A60,'Données projet'!$A$269:$I$289,3,0)),0,VLOOKUP(A60,'Données projet'!$A$269:$I$289,3,0))</f>
        <v>0</v>
      </c>
      <c r="HC60" s="121" t="n">
        <f aca="false">IF(ISNA(VLOOKUP(A60,'Données projet'!$A$269:$I$289,4,0)),0,VLOOKUP(A60,'Données projet'!$A$269:$I$289,4,0))</f>
        <v>0</v>
      </c>
      <c r="HD60" s="122" t="n">
        <f aca="false">IF(ISNA(VLOOKUP(A60,'Données projet'!$A$269:$I$289,5,0)),0%,VLOOKUP(A60,'Données projet'!$A$269:$I$289,5,0)*VLOOKUP('Données projet'!$B$18,Paramètres!$A$1:$I$89,7,0))</f>
        <v>0</v>
      </c>
      <c r="HE60" s="122" t="n">
        <f aca="false">IF(ISNA(VLOOKUP(A60,'Données projet'!$A$269:$I$289,6,0)),0%,VLOOKUP(A60,'Données projet'!$A$269:$I$289,6,0)*VLOOKUP('Données projet'!$B$18,Paramètres!$A$1:$I$89,7,0))</f>
        <v>0</v>
      </c>
      <c r="HF60" s="122" t="n">
        <f aca="false">IF(ISNA(VLOOKUP(A60,'Données projet'!$A$269:$I$289,7,0)),0%,VLOOKUP(A60,'Données projet'!$A$269:$I$289,7,0))</f>
        <v>0</v>
      </c>
      <c r="HG60" s="129" t="e">
        <f aca="false">EXP(-LN(2)/35)*HG59+(1-EXP(-LN(2)/35))/(LN(2)/35)*HC60*HD60*VLOOKUP('Données projet'!$B$18,Paramètres!$A$1:$I$89,3,0)*0.475*44/12</f>
        <v>#N/A</v>
      </c>
      <c r="HH60" s="129" t="e">
        <f aca="false">EXP(-LN(2)/25)*HH59+(1-EXP(-LN(2)/25))/(LN(2)/25)*Calculateur!HC60*Calculateur!HE60*VLOOKUP('Données projet'!$B$18,Paramètres!$A$1:$I$89,3,0)*0.475*44/12</f>
        <v>#N/A</v>
      </c>
      <c r="HI60" s="129" t="e">
        <f aca="false">EXP(-LN(2)/2)*HI59+(1-EXP(-LN(2)/2))/(LN(2)/2)*HC60*HF60*VLOOKUP('Données projet'!$B$18,Paramètres!$A$1:$I$89,3,0)*0.475*44/12</f>
        <v>#N/A</v>
      </c>
      <c r="HJ60" s="130" t="e">
        <f aca="false">SUM(HG60:HI60)</f>
        <v>#N/A</v>
      </c>
    </row>
    <row r="61" customFormat="false" ht="14.25" hidden="false" customHeight="false" outlineLevel="0" collapsed="false">
      <c r="A61" s="112" t="n">
        <f aca="false">A60+1</f>
        <v>58</v>
      </c>
      <c r="B61" s="113" t="n">
        <f aca="false">'Scénario référence'!$B$16*5+'Scénario référence'!$B$17*0+'Scénario référence'!$B$18*5</f>
        <v>0</v>
      </c>
      <c r="C61" s="127" t="n">
        <f aca="false"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4" t="n">
        <f aca="false">IFERROR(EXP(-1.0587+0.8836*LN(C61)+0.284),0)</f>
        <v>0</v>
      </c>
      <c r="E6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1" s="114" t="n">
        <f aca="false">IF(OR('Scénario référence'!$F$8&gt;0,'Scénario référence'!$F$9&gt;0),('Scénario référence'!$F$8+'Scénario référence'!$F$9)*10,0)</f>
        <v>0</v>
      </c>
      <c r="G61" s="114" t="n">
        <f aca="false"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15" t="n">
        <f aca="false">(B61+E61+F61)*44/12+(C61+D61)*0.475*44/12</f>
        <v>256.666666666667</v>
      </c>
      <c r="I61" s="11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7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8" t="e">
        <f aca="false">VLOOKUP(A61,'Données projet'!$A$35:$I$55,2,0)</f>
        <v>#N/A</v>
      </c>
      <c r="L61" s="118" t="e">
        <f aca="false">VLOOKUP(A61,'Données projet'!$A$35:$I$55,9,0)</f>
        <v>#N/A</v>
      </c>
      <c r="M61" s="118" t="n">
        <f aca="false" t="array" ref="M61:M61">INDEX(L:L,MIN(IF(ISNUMBER(L61:L257),ROW(L61:L257),"")))</f>
        <v>13.5</v>
      </c>
      <c r="N61" s="117" t="n">
        <f aca="false">IF('Données projet'!$A$36&gt;35,N60+M61-V60,IF(A61&lt;'Données projet'!$A$36,$K$205^A61,IF(A61='Données projet'!$A$36,'Données projet'!$B$36,N60+M61-V60)))</f>
        <v>321.5</v>
      </c>
      <c r="O61" s="117" t="n">
        <f aca="false">N61*VLOOKUP('Données projet'!$B$9,Paramètres!$A$1:$I$89,3,0)*VLOOKUP('Données projet'!$B$9,Paramètres!$A$1:$I$89,5,0)</f>
        <v>150.462</v>
      </c>
      <c r="P61" s="117" t="n">
        <f aca="false">EXP(-1.0587+0.8836*LN(O61)+0.284)</f>
        <v>38.683557979919</v>
      </c>
      <c r="Q61" s="128" t="n">
        <f aca="false">(O61+P61)*0.475*44/12</f>
        <v>329.428513481692</v>
      </c>
      <c r="R61" s="120" t="n">
        <f aca="false">Q61+(I61+J61)*44/12</f>
        <v>622.761846815025</v>
      </c>
      <c r="S61" s="120" t="n">
        <f aca="true">AVERAGE(OFFSET($R$3,0,0,'Données projet'!$E$9+1,1))-AVERAGE(OFFSET($H$3,0,0,'Données projet'!$E$9+1,1))</f>
        <v>319.229030946746</v>
      </c>
      <c r="T61" s="120" t="n">
        <f aca="false">$T$3</f>
        <v>254.586909731428</v>
      </c>
      <c r="U61" s="121" t="n">
        <f aca="false">IF(ISNA(VLOOKUP(A61,'Données projet'!$A$35:$I$55,3,0)),0,VLOOKUP(A61,'Données projet'!$A$35:$I$55,3,0))</f>
        <v>0</v>
      </c>
      <c r="V61" s="121" t="n">
        <f aca="false">IF(ISNA(VLOOKUP(A61,'Données projet'!$A$35:$I$55,4,0)),0,VLOOKUP(A61,'Données projet'!$A$35:$I$55,4,0))</f>
        <v>0</v>
      </c>
      <c r="W61" s="122" t="n">
        <f aca="false">IF(ISNA(VLOOKUP(A61,'Données projet'!$A$35:$I$55,5,0)),0%,VLOOKUP(A61,'Données projet'!$A$35:$I$55,5,0)*VLOOKUP('Données projet'!$B$9,Paramètres!$A$1:$I$89,7,0))</f>
        <v>0</v>
      </c>
      <c r="X61" s="122" t="n">
        <f aca="false">IF(ISNA(VLOOKUP(A61,'Données projet'!$A$35:$I$55,6,0)),0%,VLOOKUP(A61,'Données projet'!$A$35:$I$55,6,0)*VLOOKUP('Données projet'!$B$9,Paramètres!$A$1:$I$89,7,0))</f>
        <v>0</v>
      </c>
      <c r="Y61" s="122" t="n">
        <f aca="false">IF(ISNA(VLOOKUP(A61,'Données projet'!$A$35:$I$55,7,0)),0%,VLOOKUP(A61,'Données projet'!$A$35:$I$55,7,0))</f>
        <v>0</v>
      </c>
      <c r="Z61" s="129" t="n">
        <f aca="false">EXP(-LN(2)/35)*Z60+(1-EXP(-LN(2)/35))/(LN(2)/35)*V61*W61*VLOOKUP('Données projet'!$B$9,Paramètres!$A$1:$I$89,3,0)*0.475*44/12</f>
        <v>5.2128891288254</v>
      </c>
      <c r="AA61" s="129" t="n">
        <f aca="false">EXP(-LN(2)/25)*AA60+(1-EXP(-LN(2)/25))/(LN(2)/25)*Calculateur!V61*Calculateur!X61*VLOOKUP('Données projet'!$B$9,Paramètres!$A$1:$I$89,3,0)*0.475*44/12</f>
        <v>5.13065357578079</v>
      </c>
      <c r="AB61" s="129" t="n">
        <f aca="false">EXP(-LN(2)/2)*AB60+(1-EXP(-LN(2)/2))/(LN(2)/2)*V61*Y61*VLOOKUP('Données projet'!$B$9,Paramètres!$A$1:$I$89,3,0)*0.475*44/12</f>
        <v>0.000674019082250877</v>
      </c>
      <c r="AC61" s="130" t="n">
        <f aca="false">SUM(Z61:AB61)</f>
        <v>10.3442167236884</v>
      </c>
      <c r="AD61" s="117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7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8" t="e">
        <f aca="false">VLOOKUP(A61,'Données projet'!$A$61:$I$81,2,0)</f>
        <v>#N/A</v>
      </c>
      <c r="AG61" s="118" t="e">
        <f aca="false">VLOOKUP(A61,'Données projet'!$A$61:$I$81,9,0)</f>
        <v>#N/A</v>
      </c>
      <c r="AH61" s="118" t="n">
        <f aca="false" t="array" ref="AH61:AH61">INDEX(AG:AG,MIN(IF(ISNUMBER(AG61:AG257),ROW(AG61:AG257),"")))</f>
        <v>7.8</v>
      </c>
      <c r="AI61" s="117" t="n">
        <f aca="false">IF('Données projet'!$A$62&gt;35,AI60+AH61-AQ60,IF(A61&lt;'Données projet'!$A$62,$AF$205^A61,IF(A61='Données projet'!$A$62,'Données projet'!$B$62,AI60+AH61-AQ60)))</f>
        <v>551.4</v>
      </c>
      <c r="AJ61" s="117" t="n">
        <f aca="false">AI61*VLOOKUP('Données projet'!$B$10,Paramètres!$A$1:$I$89,3,0)*VLOOKUP('Données projet'!$B$10,Paramètres!$A$1:$I$89,5,0)</f>
        <v>308.2326</v>
      </c>
      <c r="AK61" s="117" t="n">
        <f aca="false">EXP(-1.0587+0.8836*LN(AJ61)+0.284)</f>
        <v>72.8996039725892</v>
      </c>
      <c r="AL61" s="128" t="n">
        <f aca="false">(AJ61+AK61)*0.475*44/12</f>
        <v>663.80525525226</v>
      </c>
      <c r="AM61" s="120" t="n">
        <f aca="false">AL61+(AD61+AE61)*44/12</f>
        <v>957.138588585593</v>
      </c>
      <c r="AN61" s="120" t="n">
        <f aca="true">AVERAGE(OFFSET($AM$3,0,0,'Données projet'!$E$10+1,1))-AVERAGE(OFFSET($H$3,0,0,'Données projet'!$E$10+1,1))</f>
        <v>365.705101827279</v>
      </c>
      <c r="AO61" s="120" t="n">
        <f aca="false">$AO$3</f>
        <v>436.238338449625</v>
      </c>
      <c r="AP61" s="121" t="n">
        <f aca="false">IF(ISNA(VLOOKUP(A61,'Données projet'!$A$61:$I$81,3,0)),0,VLOOKUP(A61,'Données projet'!$A$61:$I$81,3,0))</f>
        <v>0</v>
      </c>
      <c r="AQ61" s="121" t="n">
        <f aca="false">IF(ISNA(VLOOKUP(A61,'Données projet'!$A$61:$I$81,4,0)),0,VLOOKUP(A61,'Données projet'!$A$61:$I$81,4,0))</f>
        <v>0</v>
      </c>
      <c r="AR61" s="122" t="n">
        <f aca="false">IF(ISNA(VLOOKUP(A61,'Données projet'!$A$61:$I$81,5,0)),0%,VLOOKUP(A61,'Données projet'!$A$61:$I$81,5,0)*VLOOKUP('Données projet'!$B$10,Paramètres!$A$1:$I$89,7,0))</f>
        <v>0</v>
      </c>
      <c r="AS61" s="122" t="n">
        <f aca="false">IF(ISNA(VLOOKUP(A61,'Données projet'!$A$61:$I$81,6,0)),0%,VLOOKUP(A61,'Données projet'!$A$61:$I$81,6,0)*VLOOKUP('Données projet'!$B$10,Paramètres!$A$1:$I$89,7,0))</f>
        <v>0</v>
      </c>
      <c r="AT61" s="122" t="n">
        <f aca="false">IF(ISNA(VLOOKUP(A61,'Données projet'!$A$61:$I$81,7,0)),0%,VLOOKUP(A61,'Données projet'!$A$61:$I$81,7,0))</f>
        <v>0</v>
      </c>
      <c r="AU61" s="129" t="n">
        <f aca="false">EXP(-LN(2)/35)*AU60+(1-EXP(-LN(2)/35))/(LN(2)/35)*AQ61*AR61*VLOOKUP('Données projet'!$B$10,Paramètres!$A$1:$I$89,3,0)*0.475*44/12</f>
        <v>1.96769663691762</v>
      </c>
      <c r="AV61" s="129" t="n">
        <f aca="false">EXP(-LN(2)/25)*AV60+(1-EXP(-LN(2)/25))/(LN(2)/25)*Calculateur!AQ61*Calculateur!AS61*VLOOKUP('Données projet'!$B$10,Paramètres!$A$1:$I$89,3,0)*0.475*44/12</f>
        <v>6.07698174670502</v>
      </c>
      <c r="AW61" s="129" t="n">
        <f aca="false">EXP(-LN(2)/2)*AW60+(1-EXP(-LN(2)/2))/(LN(2)/2)*AQ61*AT61*VLOOKUP('Données projet'!$B$10,Paramètres!$A$1:$I$89,3,0)*0.475*44/12</f>
        <v>0.000362736003764392</v>
      </c>
      <c r="AX61" s="129" t="n">
        <f aca="false">SUM(AU61:AW61)</f>
        <v>8.04504111962641</v>
      </c>
      <c r="AY61" s="124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8" t="e">
        <f aca="false">VLOOKUP(A61,'Données projet'!$A$87:$I$107,2,0)</f>
        <v>#N/A</v>
      </c>
      <c r="BB61" s="118" t="e">
        <f aca="false">VLOOKUP(A61,'Données projet'!$A$87:$I$107,9,0)</f>
        <v>#N/A</v>
      </c>
      <c r="BC61" s="118" t="n">
        <f aca="false" t="array" ref="BC61:BC61">INDEX(BB:BB,MIN(IF(ISNUMBER(BB61:BB257),ROW(BB61:BB257),"")))</f>
        <v>6.8</v>
      </c>
      <c r="BD61" s="118" t="n">
        <f aca="false">IF('Données projet'!$A$88&gt;35,BD60+BC61-BL60,IF(A61&lt;'Données projet'!$A$88,$BA$205^A61,IF(A61='Données projet'!$A$88,'Données projet'!$B$88,BD60+BC61-BL60)))</f>
        <v>228.4</v>
      </c>
      <c r="BE61" s="117" t="n">
        <f aca="false">BD61*VLOOKUP('Données projet'!$B$11,Paramètres!$A$1:$I$89,3,0)*VLOOKUP('Données projet'!$B$11,Paramètres!$A$1:$I$89,5,0)</f>
        <v>199.53024</v>
      </c>
      <c r="BF61" s="117" t="n">
        <f aca="false">EXP(-1.0587+0.8836*LN(BE61)+0.284)</f>
        <v>49.6409145704613</v>
      </c>
      <c r="BG61" s="128" t="n">
        <f aca="false">(BE61+BF61)*0.475*44/12</f>
        <v>433.97309421022</v>
      </c>
      <c r="BH61" s="120" t="n">
        <f aca="false">BG61+(AY61+AZ61)*44/12</f>
        <v>727.306427543554</v>
      </c>
      <c r="BI61" s="120" t="n">
        <f aca="true">AVERAGE(OFFSET($BH$3,0,0,'Données projet'!$E$11+1,1))-AVERAGE(OFFSET($H$3,0,0,'Données projet'!$E$11+1,1))</f>
        <v>321.235999689929</v>
      </c>
      <c r="BJ61" s="120" t="n">
        <f aca="false">$BJ$3</f>
        <v>388.051958478005</v>
      </c>
      <c r="BK61" s="121" t="n">
        <f aca="false">IF(ISNA(VLOOKUP(A61,'Données projet'!$A$87:$I$107,3,0)),0,VLOOKUP(A61,'Données projet'!$A$87:$I$107,3,0))</f>
        <v>0</v>
      </c>
      <c r="BL61" s="121" t="n">
        <f aca="false">IF(ISNA(VLOOKUP(A61,'Données projet'!$A$87:$I$107,4,0)),0,VLOOKUP(A61,'Données projet'!$A$87:$I$107,4,0))</f>
        <v>0</v>
      </c>
      <c r="BM61" s="122" t="n">
        <f aca="false">IF(ISNA(VLOOKUP(A61,'Données projet'!$A$87:$I$107,5,0)),0%,VLOOKUP(A61,'Données projet'!$A$87:$I$107,5,0)*VLOOKUP('Données projet'!$B$11,Paramètres!$A$1:$I$89,7,0))</f>
        <v>0</v>
      </c>
      <c r="BN61" s="122" t="n">
        <f aca="false">IF(ISNA(VLOOKUP(A61,'Données projet'!$A$87:$I$107,6,0)),0%,VLOOKUP(A61,'Données projet'!$A$87:$I$107,6,0)*VLOOKUP('Données projet'!$B$11,Paramètres!$A$1:$I$89,7,0))</f>
        <v>0</v>
      </c>
      <c r="BO61" s="122" t="n">
        <f aca="false">IF(ISNA(VLOOKUP(A61,'Données projet'!$A$87:$I$107,7,0)),0%,VLOOKUP(A61,'Données projet'!$A$87:$I$107,7,0))</f>
        <v>0</v>
      </c>
      <c r="BP61" s="129" t="n">
        <f aca="false">EXP(-LN(2)/35)*BP60+(1-EXP(-LN(2)/35))/(LN(2)/35)*BL61*BM61*VLOOKUP('Données projet'!$B$11,Paramètres!$A$1:$I$89,3,0)*0.475*44/12</f>
        <v>4.94014119080714</v>
      </c>
      <c r="BQ61" s="129" t="n">
        <f aca="false">EXP(-LN(2)/25)*BQ60+(1-EXP(-LN(2)/25))/(LN(2)/25)*Calculateur!BL61*Calculateur!BN61*VLOOKUP('Données projet'!$B$11,Paramètres!$A$1:$I$89,3,0)*0.475*44/12</f>
        <v>6.20302201663723</v>
      </c>
      <c r="BR61" s="129" t="n">
        <f aca="false">EXP(-LN(2)/2)*BR60+(1-EXP(-LN(2)/2))/(LN(2)/2)*BL61*BO61*VLOOKUP('Données projet'!$B$11,Paramètres!$A$1:$I$89,3,0)*0.475*44/12</f>
        <v>0.000368713608233321</v>
      </c>
      <c r="BS61" s="130" t="n">
        <f aca="false">SUM(BP61:BR61)</f>
        <v>11.1435319210526</v>
      </c>
      <c r="BT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8" t="e">
        <f aca="false">VLOOKUP(A61,'Données projet'!$A$113:$I$133,2,0)</f>
        <v>#N/A</v>
      </c>
      <c r="BW61" s="118" t="e">
        <f aca="false">VLOOKUP(A61,'Données projet'!$A$113:$I$133,9,0)</f>
        <v>#N/A</v>
      </c>
      <c r="BX61" s="118" t="n">
        <f aca="false" t="array" ref="BX61:BX61">INDEX(BW:BW,MIN(IF(ISNUMBER(BW61:BW257),ROW(BW61:BW257),"")))</f>
        <v>9.75</v>
      </c>
      <c r="BY61" s="118" t="n">
        <f aca="false">IF('Données projet'!$A$114&gt;35,BY60+BX61-CG60,IF(A61&lt;'Données projet'!$A$114,$BV$205^A61,IF(A61='Données projet'!$A$114,'Données projet'!$B$114,BY60+BX61-CG60)))</f>
        <v>284.5</v>
      </c>
      <c r="BZ61" s="117" t="n">
        <f aca="false">BY61*VLOOKUP('Données projet'!$B$12,Paramètres!$A$1:$I$89,3,0)*VLOOKUP('Données projet'!$B$12,Paramètres!$A$1:$I$89,5,0)</f>
        <v>177.528</v>
      </c>
      <c r="CA61" s="117" t="n">
        <f aca="false">EXP(-1.0587+0.8836*LN(BZ61)+0.284)</f>
        <v>44.7717698638637</v>
      </c>
      <c r="CB61" s="128" t="n">
        <f aca="false">(BZ61+CA61)*0.475*44/12</f>
        <v>387.172099179563</v>
      </c>
      <c r="CC61" s="120" t="n">
        <f aca="false">CB61+(BT61+BU61)*44/12</f>
        <v>680.505432512896</v>
      </c>
      <c r="CD61" s="120" t="n">
        <f aca="true">AVERAGE(OFFSET($CC$3,0,0,'Données projet'!$E$12+1,1))-AVERAGE(OFFSET($H$3,0,0,'Données projet'!$E$12+1,1))</f>
        <v>240.228848647662</v>
      </c>
      <c r="CE61" s="120" t="n">
        <f aca="false">$CE$3</f>
        <v>343.237768841432</v>
      </c>
      <c r="CF61" s="121" t="n">
        <f aca="false">IF(ISNA(VLOOKUP(A61,'Données projet'!$A$113:$I$133,3,0)),0,VLOOKUP(A61,'Données projet'!$A$113:$I$133,3,0))</f>
        <v>0</v>
      </c>
      <c r="CG61" s="121" t="n">
        <f aca="false">IF(ISNA(VLOOKUP(A61,'Données projet'!$A$113:$I$133,4,0)),0,VLOOKUP(A61,'Données projet'!$A$113:$I$133,4,0))</f>
        <v>0</v>
      </c>
      <c r="CH61" s="122" t="n">
        <f aca="false">IF(ISNA(VLOOKUP(A61,'Données projet'!$A$113:$I$133,5,0)),0%,VLOOKUP(A61,'Données projet'!$A$113:$I$133,5,0)*VLOOKUP('Données projet'!$B$12,Paramètres!$A$1:$I$89,7,0))</f>
        <v>0</v>
      </c>
      <c r="CI61" s="122" t="n">
        <f aca="false">IF(ISNA(VLOOKUP(A61,'Données projet'!$A$113:$I$133,6,0)),0%,VLOOKUP(A61,'Données projet'!$A$113:$I$133,6,0)*VLOOKUP('Données projet'!$B$12,Paramètres!$A$1:$I$89,7,0))</f>
        <v>0</v>
      </c>
      <c r="CJ61" s="122" t="n">
        <f aca="false">IF(ISNA(VLOOKUP(A61,'Données projet'!$A$113:$I$133,7,0)),0%,VLOOKUP(A61,'Données projet'!$A$113:$I$133,7,0))</f>
        <v>0</v>
      </c>
      <c r="CK61" s="129" t="n">
        <f aca="false">EXP(-LN(2)/35)*CK60+(1-EXP(-LN(2)/35))/(LN(2)/35)*CG61*CH61*VLOOKUP('Données projet'!$B$12,Paramètres!$A$1:$I$89,3,0)*0.475*44/12</f>
        <v>3.02375128016818</v>
      </c>
      <c r="CL61" s="129" t="n">
        <f aca="false">EXP(-LN(2)/25)*CL60+(1-EXP(-LN(2)/25))/(LN(2)/25)*Calculateur!CG61*Calculateur!CI61*VLOOKUP('Données projet'!$B$12,Paramètres!$A$1:$I$89,3,0)*0.475*44/12</f>
        <v>10.954895973623</v>
      </c>
      <c r="CM61" s="129" t="n">
        <f aca="false">EXP(-LN(2)/2)*CM60+(1-EXP(-LN(2)/2))/(LN(2)/2)*CG61*CJ61*VLOOKUP('Données projet'!$B$12,Paramètres!$A$1:$I$89,3,0)*0.475*44/12</f>
        <v>0.000588368619748768</v>
      </c>
      <c r="CN61" s="130" t="n">
        <f aca="false">SUM(CK61:CM61)</f>
        <v>13.9792356224109</v>
      </c>
      <c r="CO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8" t="e">
        <f aca="false">VLOOKUP(A61,'Données projet'!$A$139:$I$159,2,0)</f>
        <v>#N/A</v>
      </c>
      <c r="CR61" s="118" t="e">
        <f aca="false">VLOOKUP(A61,'Données projet'!$A$139:$I$159,9,0)</f>
        <v>#N/A</v>
      </c>
      <c r="CS61" s="118" t="n">
        <f aca="false" t="array" ref="CS61:CS61">INDEX(CR:CR,MIN(IF(ISNUMBER(CR61:CR257),ROW(CR61:CR257),"")))</f>
        <v>0</v>
      </c>
      <c r="CT61" s="118" t="n">
        <f aca="false">IF('Données projet'!$A$140&gt;35,CT60+CS61-DB60,IF(A61&lt;'Données projet'!$A$140,$CQ$205^A61,IF(A61='Données projet'!$A$140,'Données projet'!$B$140,CT60+CS61-DB60)))</f>
        <v>-5.6843418860808E-014</v>
      </c>
      <c r="CU61" s="125" t="n">
        <f aca="false">CT61*VLOOKUP('Données projet'!$B$13,Paramètres!$A$1:$I$89,3,0)*VLOOKUP('Données projet'!$B$13,Paramètres!$A$1:$I$89,5,0)</f>
        <v>-3.10365066980012E-014</v>
      </c>
      <c r="CV61" s="117" t="e">
        <f aca="false">EXP(-1.0587+0.8836*LN(CU61)+0.284)</f>
        <v>#VALUE!</v>
      </c>
      <c r="CW61" s="128" t="e">
        <f aca="false">(CU61+CV61)*0.475*44/12</f>
        <v>#VALUE!</v>
      </c>
      <c r="CX61" s="120" t="e">
        <f aca="false">CW61+(CO61+CP61)*44/12</f>
        <v>#VALUE!</v>
      </c>
      <c r="CY61" s="120" t="n">
        <f aca="true">AVERAGE(OFFSET($CX$3,0,0,'Données projet'!$E$13+1,1))-AVERAGE(OFFSET($H$3,0,0,'Données projet'!$E$13+1,1))</f>
        <v>207.023069645676</v>
      </c>
      <c r="CZ61" s="120" t="n">
        <f aca="false">$CZ$3</f>
        <v>342.068879333518</v>
      </c>
      <c r="DA61" s="121" t="n">
        <f aca="false">IF(ISNA(VLOOKUP(A61,'Données projet'!$A$139:$I$159,3,0)),0,VLOOKUP(A61,'Données projet'!$A$139:$I$159,3,0))</f>
        <v>0</v>
      </c>
      <c r="DB61" s="121" t="n">
        <f aca="false">IF(ISNA(VLOOKUP(A61,'Données projet'!$A$139:$I$159,4,0)),0,VLOOKUP(A61,'Données projet'!$A$139:$I$159,4,0))</f>
        <v>0</v>
      </c>
      <c r="DC61" s="122" t="n">
        <f aca="false">IF(ISNA(VLOOKUP(A61,'Données projet'!$A$139:$I$159,5,0)),0%,VLOOKUP(A61,'Données projet'!$A$139:$I$159,5,0)*VLOOKUP('Données projet'!$B$13,Paramètres!$A$1:$I$89,7,0))</f>
        <v>0</v>
      </c>
      <c r="DD61" s="122" t="n">
        <f aca="false">IF(ISNA(VLOOKUP(A61,'Données projet'!$A$139:$I$159,6,0)),0%,VLOOKUP(A61,'Données projet'!$A$139:$I$159,6,0)*VLOOKUP('Données projet'!$B$13,Paramètres!$A$1:$I$89,7,0))</f>
        <v>0</v>
      </c>
      <c r="DE61" s="122" t="n">
        <f aca="false">IF(ISNA(VLOOKUP(A61,'Données projet'!$A$139:$I$159,7,0)),0%,VLOOKUP(A61,'Données projet'!$A$139:$I$159,7,0))</f>
        <v>0</v>
      </c>
      <c r="DF61" s="129" t="n">
        <f aca="false">EXP(-LN(2)/35)*DF60+(1-EXP(-LN(2)/35))/(LN(2)/35)*DB61*DC61*VLOOKUP('Données projet'!$B$13,Paramètres!$A$1:$I$89,3,0)*0.475*44/12</f>
        <v>3.79395207794687</v>
      </c>
      <c r="DG61" s="129" t="n">
        <f aca="false">EXP(-LN(2)/25)*DG60+(1-EXP(-LN(2)/25))/(LN(2)/25)*Calculateur!DB61*Calculateur!DD61*VLOOKUP('Données projet'!$B$13,Paramètres!$A$1:$I$89,3,0)*0.475*44/12</f>
        <v>17.9066923251048</v>
      </c>
      <c r="DH61" s="129" t="n">
        <f aca="false">EXP(-LN(2)/2)*DH60+(1-EXP(-LN(2)/2))/(LN(2)/2)*DB61*DE61*VLOOKUP('Données projet'!$B$13,Paramètres!$A$1:$I$89,3,0)*0.475*44/12</f>
        <v>0.000810183862176565</v>
      </c>
      <c r="DI61" s="130" t="n">
        <f aca="false">SUM(DF61:DH61)</f>
        <v>21.7014545869139</v>
      </c>
      <c r="DJ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8" t="e">
        <f aca="false">VLOOKUP(A61,'Données projet'!$A$165:$I$185,2,0)</f>
        <v>#N/A</v>
      </c>
      <c r="DM61" s="118" t="e">
        <f aca="false">VLOOKUP(A61,'Données projet'!$A$165:$I$185,9,0)</f>
        <v>#N/A</v>
      </c>
      <c r="DN61" s="118" t="n">
        <f aca="false" t="array" ref="DN61:DN61">INDEX(DM:DM,MIN(IF(ISNUMBER(DM61:DM257),ROW(DM61:DM257),"")))</f>
        <v>2.625</v>
      </c>
      <c r="DO61" s="118" t="n">
        <f aca="false">IF('Données projet'!$A$166&gt;35,DO60+DN61-DW60,IF(A61&lt;'Données projet'!$A$166,$DL$205^A61,IF(A61='Données projet'!$A$166,'Données projet'!$B$166,DO60+DN61-DW60)))</f>
        <v>305.5</v>
      </c>
      <c r="DP61" s="125" t="n">
        <f aca="false">DO61*VLOOKUP('Données projet'!$B$14,Paramètres!$A$1:$I$89,3,0)*VLOOKUP('Données projet'!$B$14,Paramètres!$A$1:$I$89,5,0)</f>
        <v>182.689</v>
      </c>
      <c r="DQ61" s="117" t="n">
        <f aca="false">EXP(-1.0587+0.8836*LN(DP61)+0.284)</f>
        <v>45.9199218466192</v>
      </c>
      <c r="DR61" s="128" t="n">
        <f aca="false">(DP61+DQ61)*0.475*44/12</f>
        <v>398.160538882862</v>
      </c>
      <c r="DS61" s="120" t="n">
        <f aca="false">DR61+(DJ61+DK61)*44/12</f>
        <v>691.493872216195</v>
      </c>
      <c r="DT61" s="120" t="n">
        <f aca="true">AVERAGE(OFFSET($DS$3,0,0,'Données projet'!$E$14+1,1))-AVERAGE(OFFSET($H$3,0,0,'Données projet'!$E$14+1,1))</f>
        <v>549.432320957297</v>
      </c>
      <c r="DU61" s="120" t="n">
        <f aca="false">$DU$3</f>
        <v>280.26155987301</v>
      </c>
      <c r="DV61" s="121" t="n">
        <f aca="false">IF(ISNA(VLOOKUP(A61,'Données projet'!$A$165:$I$185,3,0)),0,VLOOKUP(A61,'Données projet'!$A$165:$I$185,3,0))</f>
        <v>0</v>
      </c>
      <c r="DW61" s="121" t="n">
        <f aca="false">IF(ISNA(VLOOKUP(A61,'Données projet'!$A$165:$I$185,4,0)),0,VLOOKUP(A61,'Données projet'!$A$165:$I$185,4,0))</f>
        <v>0</v>
      </c>
      <c r="DX61" s="122" t="n">
        <f aca="false">IF(ISNA(VLOOKUP(A61,'Données projet'!$A$165:$I$185,5,0)),0%,VLOOKUP(A61,'Données projet'!$A$165:$I$185,5,0)*VLOOKUP('Données projet'!$B$14,Paramètres!$A$1:$I$89,7,0))</f>
        <v>0</v>
      </c>
      <c r="DY61" s="122" t="n">
        <f aca="false">IF(ISNA(VLOOKUP(A61,'Données projet'!$A$165:$I$185,6,0)),0%,VLOOKUP(A61,'Données projet'!$A$165:$I$185,6,0)*VLOOKUP('Données projet'!$B$14,Paramètres!$A$1:$I$89,7,0))</f>
        <v>0</v>
      </c>
      <c r="DZ61" s="122" t="n">
        <f aca="false">IF(ISNA(VLOOKUP(A61,'Données projet'!$A$165:$I$185,7,0)),0%,VLOOKUP(A61,'Données projet'!$A$165:$I$185,7,0))</f>
        <v>0</v>
      </c>
      <c r="EA61" s="129" t="n">
        <f aca="false">EXP(-LN(2)/35)*EA60+(1-EXP(-LN(2)/35))/(LN(2)/35)*DW61*DX61*VLOOKUP('Données projet'!$B$14,Paramètres!$A$1:$I$89,3,0)*0.475*44/12</f>
        <v>1.37947674511867</v>
      </c>
      <c r="EB61" s="129" t="n">
        <f aca="false">EXP(-LN(2)/25)*EB60+(1-EXP(-LN(2)/25))/(LN(2)/25)*Calculateur!DW61*Calculateur!DY61*VLOOKUP('Données projet'!$B$14,Paramètres!$A$1:$I$89,3,0)*0.475*44/12</f>
        <v>3.56736640399088</v>
      </c>
      <c r="EC61" s="129" t="n">
        <f aca="false">EXP(-LN(2)/2)*EC60+(1-EXP(-LN(2)/2))/(LN(2)/2)*DW61*DZ61*VLOOKUP('Données projet'!$B$14,Paramètres!$A$1:$I$89,3,0)*0.475*44/12</f>
        <v>0.000373478059970671</v>
      </c>
      <c r="ED61" s="130" t="n">
        <f aca="false">SUM(EA61:EC61)</f>
        <v>4.94721662716952</v>
      </c>
      <c r="EE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8" t="e">
        <f aca="false">VLOOKUP(A61,'Données projet'!$A$191:$I$211,2,0)</f>
        <v>#N/A</v>
      </c>
      <c r="EH61" s="118" t="e">
        <f aca="false">VLOOKUP(A61,'Données projet'!$A$191:$I$211,9,0)</f>
        <v>#N/A</v>
      </c>
      <c r="EI61" s="118" t="n">
        <f aca="false" t="array" ref="EI61:EI61">INDEX(EH:EH,MIN(IF(ISNUMBER(EH61:EH257),ROW(EH61:EH257),"")))</f>
        <v>0</v>
      </c>
      <c r="EJ61" s="118" t="n">
        <f aca="false">IF('Données projet'!$A$192&gt;35,EJ60+EI61-ER60,IF(A61&lt;'Données projet'!$A$192,$EG$205^A61,IF(A61='Données projet'!$A$192,'Données projet'!$B$192,EJ60+EI61-ER60)))</f>
        <v>0</v>
      </c>
      <c r="EK61" s="125" t="e">
        <f aca="false">EJ61*VLOOKUP('Données projet'!$B$15,Paramètres!$A$1:$I$89,3,0)*VLOOKUP('Données projet'!$B$15,Paramètres!$A$1:$I$89,5,0)</f>
        <v>#N/A</v>
      </c>
      <c r="EL61" s="117" t="e">
        <f aca="false">EXP(-1.0587+0.8836*LN(EK61)+0.284)</f>
        <v>#N/A</v>
      </c>
      <c r="EM61" s="128" t="e">
        <f aca="false">(EK61+EL61)*0.475*44/12</f>
        <v>#N/A</v>
      </c>
      <c r="EN61" s="120" t="e">
        <f aca="false">EM61+(EE61+EF61)*44/12</f>
        <v>#N/A</v>
      </c>
      <c r="EO61" s="120" t="e">
        <f aca="true">AVERAGE(OFFSET($EN$3,0,0,'Données projet'!$E$15+1,1))-AVERAGE(OFFSET($H$3,0,0,'Données projet'!$E$15+1,1))</f>
        <v>#N/A</v>
      </c>
      <c r="EP61" s="120" t="e">
        <f aca="false">$EP$3</f>
        <v>#N/A</v>
      </c>
      <c r="EQ61" s="121" t="n">
        <f aca="false">IF(ISNA(VLOOKUP(A61,'Données projet'!$A$191:$I$211,3,0)),0,VLOOKUP(A61,'Données projet'!$A$191:$I$211,3,0))</f>
        <v>0</v>
      </c>
      <c r="ER61" s="121" t="n">
        <f aca="false">IF(ISNA(VLOOKUP(A61,'Données projet'!$A$191:$I$211,4,0)),0,VLOOKUP(A61,'Données projet'!$A$191:$I$211,4,0))</f>
        <v>0</v>
      </c>
      <c r="ES61" s="122" t="n">
        <f aca="false">IF(ISNA(VLOOKUP(A61,'Données projet'!$A$191:$I$211,5,0)),0%,VLOOKUP(A61,'Données projet'!$A$191:$I$211,5,0)*VLOOKUP('Données projet'!$B$15,Paramètres!$A$1:$I$89,7,0))</f>
        <v>0</v>
      </c>
      <c r="ET61" s="122" t="n">
        <f aca="false">IF(ISNA(VLOOKUP(A61,'Données projet'!$A$191:$I$211,6,0)),0%,VLOOKUP(A61,'Données projet'!$A$191:$I$211,6,0)*VLOOKUP('Données projet'!$B$15,Paramètres!$A$1:$I$89,7,0))</f>
        <v>0</v>
      </c>
      <c r="EU61" s="122" t="n">
        <f aca="false">IF(ISNA(VLOOKUP(A61,'Données projet'!$A$191:$I$211,7,0)),0%,VLOOKUP(A61,'Données projet'!$A$191:$I$211,7,0))</f>
        <v>0</v>
      </c>
      <c r="EV61" s="129" t="e">
        <f aca="false">EXP(-LN(2)/35)*EV60+(1-EXP(-LN(2)/35))/(LN(2)/35)*ER61*ES61*VLOOKUP('Données projet'!$B$15,Paramètres!$A$1:$I$89,3,0)*0.475*44/12</f>
        <v>#N/A</v>
      </c>
      <c r="EW61" s="129" t="e">
        <f aca="false">EXP(-LN(2)/25)*EW60+(1-EXP(-LN(2)/25))/(LN(2)/25)*Calculateur!ER61*Calculateur!ET61*VLOOKUP('Données projet'!$B$15,Paramètres!$A$1:$I$89,3,0)*0.475*44/12</f>
        <v>#N/A</v>
      </c>
      <c r="EX61" s="129" t="e">
        <f aca="false">EXP(-LN(2)/2)*EX60+(1-EXP(-LN(2)/2))/(LN(2)/2)*ER61*EU61*VLOOKUP('Données projet'!$B$15,Paramètres!$A$1:$I$89,3,0)*0.475*44/12</f>
        <v>#N/A</v>
      </c>
      <c r="EY61" s="130" t="e">
        <f aca="false">SUM(EV61:EX61)</f>
        <v>#N/A</v>
      </c>
      <c r="EZ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8" t="e">
        <f aca="false">VLOOKUP(A61,'Données projet'!$A$217:$I$237,2,0)</f>
        <v>#N/A</v>
      </c>
      <c r="FC61" s="118" t="e">
        <f aca="false">VLOOKUP(A61,'Données projet'!$A$217:$I$237,9,0)</f>
        <v>#N/A</v>
      </c>
      <c r="FD61" s="118" t="n">
        <f aca="false" t="array" ref="FD61:FD61">INDEX(FC:FC,MIN(IF(ISNUMBER(FC61:FC257),ROW(FC61:FC257),"")))</f>
        <v>0</v>
      </c>
      <c r="FE61" s="118" t="n">
        <f aca="false">IF('Données projet'!$A$218&gt;35,FE60+FD61-FM60,IF(A61&lt;'Données projet'!$A$218,$FB$205^A61,IF(A61='Données projet'!$A$218,'Données projet'!$B$218,FE60+FD61-FM60)))</f>
        <v>0</v>
      </c>
      <c r="FF61" s="125" t="e">
        <f aca="false">FE61*VLOOKUP('Données projet'!$B$16,Paramètres!$A$1:$I$89,3,0)*VLOOKUP('Données projet'!$B$16,Paramètres!$A$1:$I$89,5,0)</f>
        <v>#N/A</v>
      </c>
      <c r="FG61" s="117" t="e">
        <f aca="false">EXP(-1.0587+0.8836*LN(FF61)+0.284)</f>
        <v>#N/A</v>
      </c>
      <c r="FH61" s="128" t="e">
        <f aca="false">(FF61+FG61)*0.475*44/12</f>
        <v>#N/A</v>
      </c>
      <c r="FI61" s="120" t="e">
        <f aca="false">FH61+(EZ61+FA61)*44/12</f>
        <v>#N/A</v>
      </c>
      <c r="FJ61" s="120" t="e">
        <f aca="true">AVERAGE(OFFSET($FI$3,0,0,'Données projet'!$E$16+1,1))-AVERAGE(OFFSET($H$3,0,0,'Données projet'!$E$16+1,1))</f>
        <v>#N/A</v>
      </c>
      <c r="FK61" s="120" t="e">
        <f aca="false">$FK$3</f>
        <v>#N/A</v>
      </c>
      <c r="FL61" s="121" t="n">
        <f aca="false">IF(ISNA(VLOOKUP(A61,'Données projet'!$A$217:$I$237,3,0)),0,VLOOKUP(A61,'Données projet'!$A$217:$I$237,3,0))</f>
        <v>0</v>
      </c>
      <c r="FM61" s="121" t="n">
        <f aca="false">IF(ISNA(VLOOKUP(A61,'Données projet'!$A$217:$I$237,4,0)),0,VLOOKUP(A61,'Données projet'!$A$217:$I$237,4,0))</f>
        <v>0</v>
      </c>
      <c r="FN61" s="122" t="n">
        <f aca="false">IF(ISNA(VLOOKUP(A61,'Données projet'!$A$217:$I$237,5,0)),0%,VLOOKUP(A61,'Données projet'!$A$217:$I$237,5,0)*VLOOKUP('Données projet'!$B$16,Paramètres!$A$1:$I$89,7,0))</f>
        <v>0</v>
      </c>
      <c r="FO61" s="122" t="n">
        <f aca="false">IF(ISNA(VLOOKUP(A61,'Données projet'!$A$217:$I$237,6,0)),0%,VLOOKUP(A61,'Données projet'!$A$217:$I$237,6,0)*VLOOKUP('Données projet'!$B$16,Paramètres!$A$1:$I$89,7,0))</f>
        <v>0</v>
      </c>
      <c r="FP61" s="122" t="n">
        <f aca="false">IF(ISNA(VLOOKUP(A61,'Données projet'!$A$217:$I$237,7,0)),0%,VLOOKUP(A61,'Données projet'!$A$217:$I$237,7,0))</f>
        <v>0</v>
      </c>
      <c r="FQ61" s="129" t="e">
        <f aca="false">EXP(-LN(2)/35)*FQ60+(1-EXP(-LN(2)/35))/(LN(2)/35)*FM61*FN61*VLOOKUP('Données projet'!$B$16,Paramètres!$A$1:$I$89,3,0)*0.475*44/12</f>
        <v>#N/A</v>
      </c>
      <c r="FR61" s="129" t="e">
        <f aca="false">EXP(-LN(2)/25)*FR60+(1-EXP(-LN(2)/25))/(LN(2)/25)*Calculateur!FM61*Calculateur!FO61*VLOOKUP('Données projet'!$B$16,Paramètres!$A$1:$I$89,3,0)*0.475*44/12</f>
        <v>#N/A</v>
      </c>
      <c r="FS61" s="129" t="e">
        <f aca="false">EXP(-LN(2)/2)*FS60+(1-EXP(-LN(2)/2))/(LN(2)/2)*FM61*FP61*VLOOKUP('Données projet'!$B$16,Paramètres!$A$1:$I$89,3,0)*0.475*44/12</f>
        <v>#N/A</v>
      </c>
      <c r="FT61" s="130" t="e">
        <f aca="false">SUM(FQ61:FS61)</f>
        <v>#N/A</v>
      </c>
      <c r="FU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8" t="e">
        <f aca="false">VLOOKUP(A61,'Données projet'!$A$243:$I$263,2,0)</f>
        <v>#N/A</v>
      </c>
      <c r="FX61" s="118" t="e">
        <f aca="false">VLOOKUP(A61,'Données projet'!$A$243:$I$263,9,0)</f>
        <v>#N/A</v>
      </c>
      <c r="FY61" s="118" t="n">
        <f aca="false" t="array" ref="FY61:FY61">INDEX(FX:FX,MIN(IF(ISNUMBER(FX61:FX257),ROW(FX61:FX257),"")))</f>
        <v>0</v>
      </c>
      <c r="FZ61" s="118" t="n">
        <f aca="false">IF('Données projet'!$A$244&gt;35,FZ60+FY61-GH60,IF(A61&lt;'Données projet'!$A$244,$FW$205^A61,IF(A61='Données projet'!$A$244,'Données projet'!$B$244,FZ60+FY61-GH60)))</f>
        <v>0</v>
      </c>
      <c r="GA61" s="125" t="e">
        <f aca="false">FZ61*VLOOKUP('Données projet'!$B$17,Paramètres!$A$1:$I$89,3,0)*VLOOKUP('Données projet'!$B$17,Paramètres!$A$1:$I$89,5,0)</f>
        <v>#N/A</v>
      </c>
      <c r="GB61" s="117" t="e">
        <f aca="false">EXP(-1.0587+0.8836*LN(GA61)+0.284)</f>
        <v>#N/A</v>
      </c>
      <c r="GC61" s="128" t="e">
        <f aca="false">(GA61+GB61)*0.475*44/12</f>
        <v>#N/A</v>
      </c>
      <c r="GD61" s="120" t="e">
        <f aca="false">GC61+(FU61+FV61)*44/12</f>
        <v>#N/A</v>
      </c>
      <c r="GE61" s="120" t="e">
        <f aca="true">AVERAGE(OFFSET($GD$3,0,0,'Données projet'!$E$17+1,1))-AVERAGE(OFFSET($H$3,0,0,'Données projet'!$E$17+1,1))</f>
        <v>#N/A</v>
      </c>
      <c r="GF61" s="120" t="e">
        <f aca="false">$GF$3</f>
        <v>#N/A</v>
      </c>
      <c r="GG61" s="121" t="n">
        <f aca="false">IF(ISNA(VLOOKUP(A61,'Données projet'!$A$243:$I$263,3,0)),0,VLOOKUP(A61,'Données projet'!$A$243:$I$263,3,0))</f>
        <v>0</v>
      </c>
      <c r="GH61" s="121" t="n">
        <f aca="false">IF(ISNA(VLOOKUP(A61,'Données projet'!$A$243:$I$263,4,0)),0,VLOOKUP(A61,'Données projet'!$A$243:$I$263,4,0))</f>
        <v>0</v>
      </c>
      <c r="GI61" s="122" t="n">
        <f aca="false">IF(ISNA(VLOOKUP(A61,'Données projet'!$A$243:$I$263,5,0)),0%,VLOOKUP(A61,'Données projet'!$A$243:$I$263,5,0)*VLOOKUP('Données projet'!$B$17,Paramètres!$A$1:$I$89,7,0))</f>
        <v>0</v>
      </c>
      <c r="GJ61" s="122" t="n">
        <f aca="false">IF(ISNA(VLOOKUP(A61,'Données projet'!$A$243:$I$263,6,0)),0%,VLOOKUP(A61,'Données projet'!$A$243:$I$263,6,0)*VLOOKUP('Données projet'!$B$17,Paramètres!$A$1:$I$89,7,0))</f>
        <v>0</v>
      </c>
      <c r="GK61" s="122" t="n">
        <f aca="false">IF(ISNA(VLOOKUP(A61,'Données projet'!$A$243:$I$263,7,0)),0%,VLOOKUP(A61,'Données projet'!$A$243:$I$263,7,0))</f>
        <v>0</v>
      </c>
      <c r="GL61" s="129" t="e">
        <f aca="false">EXP(-LN(2)/35)*GL60+(1-EXP(-LN(2)/35))/(LN(2)/35)*GH61*GI61*VLOOKUP('Données projet'!$B$17,Paramètres!$A$1:$I$89,3,0)*0.475*44/12</f>
        <v>#N/A</v>
      </c>
      <c r="GM61" s="129" t="e">
        <f aca="false">EXP(-LN(2)/25)*GM60+(1-EXP(-LN(2)/25))/(LN(2)/25)*Calculateur!GH61*Calculateur!GJ61*VLOOKUP('Données projet'!$B$17,Paramètres!$A$1:$I$89,3,0)*0.475*44/12</f>
        <v>#N/A</v>
      </c>
      <c r="GN61" s="129" t="e">
        <f aca="false">EXP(-LN(2)/2)*GN60+(1-EXP(-LN(2)/2))/(LN(2)/2)*GH61*GK61*VLOOKUP('Données projet'!$B$17,Paramètres!$A$1:$I$89,3,0)*0.475*44/12</f>
        <v>#N/A</v>
      </c>
      <c r="GO61" s="129" t="e">
        <f aca="false">SUM(GL61:GN61)</f>
        <v>#N/A</v>
      </c>
      <c r="GP61" s="126" t="n">
        <f aca="false"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8" t="n">
        <f aca="false"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8" t="e">
        <f aca="false">VLOOKUP(A61,'Données projet'!$A$269:$I$289,2,0)</f>
        <v>#N/A</v>
      </c>
      <c r="GS61" s="118" t="e">
        <f aca="false">VLOOKUP(A61,'Données projet'!$A$269:$I$289,9,0)</f>
        <v>#N/A</v>
      </c>
      <c r="GT61" s="118" t="n">
        <f aca="false" t="array" ref="GT61:GT61">INDEX(GS:GS,MIN(IF(ISNUMBER(GS61:GS257),ROW(GS61:GS257),"")))</f>
        <v>0</v>
      </c>
      <c r="GU61" s="118" t="n">
        <f aca="false">IF('Données projet'!$A$270&gt;35,GU60+GT61-HC60,IF(A61&lt;'Données projet'!$A$270,$GR$205^A61,IF(A61='Données projet'!$A$270,'Données projet'!$B$270,GU60+GT61-HC60)))</f>
        <v>0</v>
      </c>
      <c r="GV61" s="125" t="e">
        <f aca="false">GU61*VLOOKUP('Données projet'!$B$18,Paramètres!$A$1:$I$89,3,0)*VLOOKUP('Données projet'!$B$18,Paramètres!$A$1:$I$89,5,0)</f>
        <v>#N/A</v>
      </c>
      <c r="GW61" s="117" t="e">
        <f aca="false">EXP(-1.0587+0.8836*LN(GV61)+0.284)</f>
        <v>#N/A</v>
      </c>
      <c r="GX61" s="128" t="e">
        <f aca="false">(GV61+GW61)*0.475*44/12</f>
        <v>#N/A</v>
      </c>
      <c r="GY61" s="120" t="e">
        <f aca="false">GX61+(GP61+GQ61)*44/12</f>
        <v>#N/A</v>
      </c>
      <c r="GZ61" s="120" t="e">
        <f aca="true">AVERAGE(OFFSET($GY$3,0,0,'Données projet'!$E$18+1,1))-AVERAGE(OFFSET($H$3,0,0,'Données projet'!$E$18+1,1))</f>
        <v>#N/A</v>
      </c>
      <c r="HA61" s="120" t="e">
        <f aca="false">$HA$3</f>
        <v>#N/A</v>
      </c>
      <c r="HB61" s="121" t="n">
        <f aca="false">IF(ISNA(VLOOKUP(A61,'Données projet'!$A$269:$I$289,3,0)),0,VLOOKUP(A61,'Données projet'!$A$269:$I$289,3,0))</f>
        <v>0</v>
      </c>
      <c r="HC61" s="121" t="n">
        <f aca="false">IF(ISNA(VLOOKUP(A61,'Données projet'!$A$269:$I$289,4,0)),0,VLOOKUP(A61,'Données projet'!$A$269:$I$289,4,0))</f>
        <v>0</v>
      </c>
      <c r="HD61" s="122" t="n">
        <f aca="false">IF(ISNA(VLOOKUP(A61,'Données projet'!$A$269:$I$289,5,0)),0%,VLOOKUP(A61,'Données projet'!$A$269:$I$289,5,0)*VLOOKUP('Données projet'!$B$18,Paramètres!$A$1:$I$89,7,0))</f>
        <v>0</v>
      </c>
      <c r="HE61" s="122" t="n">
        <f aca="false">IF(ISNA(VLOOKUP(A61,'Données projet'!$A$269:$I$289,6,0)),0%,VLOOKUP(A61,'Données projet'!$A$269:$I$289,6,0)*VLOOKUP('Données projet'!$B$18,Paramètres!$A$1:$I$89,7,0))</f>
        <v>0</v>
      </c>
      <c r="HF61" s="122" t="n">
        <f aca="false">IF(ISNA(VLOOKUP(A61,'Données projet'!$A$269:$I$289,7,0)),0%,VLOOKUP(A61,'Données projet'!$A$269:$I$289,7,0))</f>
        <v>0</v>
      </c>
      <c r="HG61" s="129" t="e">
        <f aca="false">EXP(-LN(2)/35)*HG60+(1-EXP(-LN(2)/35))/(LN(2)/35)*HC61*HD61*VLOOKUP('Données projet'!$B$18,Paramètres!$A$1:$I$89,3,0)*0.475*44/12</f>
        <v>#N/A</v>
      </c>
      <c r="HH61" s="129" t="e">
        <f aca="false">EXP(-LN(2)/25)*HH60+(1-EXP(-LN(2)/25))/(LN(2)/25)*Calculateur!HC61*Calculateur!HE61*VLOOKUP('Données projet'!$B$18,Paramètres!$A$1:$I$89,3,0)*0.475*44/12</f>
        <v>#N/A</v>
      </c>
      <c r="HI61" s="129" t="e">
        <f aca="false">EXP(-LN(2)/2)*HI60+(1-EXP(-LN(2)/2))/(LN(2)/2)*HC61*HF61*VLOOKUP('Données projet'!$B$18,Paramètres!$A$1:$I$89,3,0)*0.475*44/12</f>
        <v>#N/A</v>
      </c>
      <c r="HJ61" s="130" t="e">
        <f aca="false">SUM(HG61:HI61)</f>
        <v>#N/A</v>
      </c>
    </row>
    <row r="62" customFormat="false" ht="14.25" hidden="false" customHeight="false" outlineLevel="0" collapsed="false">
      <c r="A62" s="112" t="n">
        <f aca="false">A61+1</f>
        <v>59</v>
      </c>
      <c r="B62" s="113" t="n">
        <f aca="false">'Scénario référence'!$B$16*5+'Scénario référence'!$B$17*0+'Scénario référence'!$B$18*5</f>
        <v>0</v>
      </c>
      <c r="C62" s="127" t="n">
        <f aca="false"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4" t="n">
        <f aca="false">IFERROR(EXP(-1.0587+0.8836*LN(C62)+0.284),0)</f>
        <v>0</v>
      </c>
      <c r="E6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2" s="114" t="n">
        <f aca="false">IF(OR('Scénario référence'!$F$8&gt;0,'Scénario référence'!$F$9&gt;0),('Scénario référence'!$F$8+'Scénario référence'!$F$9)*10,0)</f>
        <v>0</v>
      </c>
      <c r="G62" s="114" t="n">
        <f aca="false"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15" t="n">
        <f aca="false">(B62+E62+F62)*44/12+(C62+D62)*0.475*44/12</f>
        <v>256.666666666667</v>
      </c>
      <c r="I62" s="11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7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8" t="e">
        <f aca="false">VLOOKUP(A62,'Données projet'!$A$35:$I$55,2,0)</f>
        <v>#N/A</v>
      </c>
      <c r="L62" s="118" t="e">
        <f aca="false">VLOOKUP(A62,'Données projet'!$A$35:$I$55,9,0)</f>
        <v>#N/A</v>
      </c>
      <c r="M62" s="118" t="n">
        <f aca="false" t="array" ref="M62:M62">INDEX(L:L,MIN(IF(ISNUMBER(L62:L258),ROW(L62:L258),"")))</f>
        <v>13.5</v>
      </c>
      <c r="N62" s="117" t="n">
        <f aca="false">IF('Données projet'!$A$36&gt;35,N61+M62-V61,IF(A62&lt;'Données projet'!$A$36,$K$205^A62,IF(A62='Données projet'!$A$36,'Données projet'!$B$36,N61+M62-V61)))</f>
        <v>335</v>
      </c>
      <c r="O62" s="117" t="n">
        <f aca="false">N62*VLOOKUP('Données projet'!$B$9,Paramètres!$A$1:$I$89,3,0)*VLOOKUP('Données projet'!$B$9,Paramètres!$A$1:$I$89,5,0)</f>
        <v>156.78</v>
      </c>
      <c r="P62" s="117" t="n">
        <f aca="false">EXP(-1.0587+0.8836*LN(O62)+0.284)</f>
        <v>40.1153783054579</v>
      </c>
      <c r="Q62" s="128" t="n">
        <f aca="false">(O62+P62)*0.475*44/12</f>
        <v>342.926117215339</v>
      </c>
      <c r="R62" s="120" t="n">
        <f aca="false">Q62+(I62+J62)*44/12</f>
        <v>636.259450548673</v>
      </c>
      <c r="S62" s="120" t="n">
        <f aca="true">AVERAGE(OFFSET($R$3,0,0,'Données projet'!$E$9+1,1))-AVERAGE(OFFSET($H$3,0,0,'Données projet'!$E$9+1,1))</f>
        <v>319.229030946746</v>
      </c>
      <c r="T62" s="120" t="n">
        <f aca="false">$T$3</f>
        <v>254.586909731428</v>
      </c>
      <c r="U62" s="121" t="n">
        <f aca="false">IF(ISNA(VLOOKUP(A62,'Données projet'!$A$35:$I$55,3,0)),0,VLOOKUP(A62,'Données projet'!$A$35:$I$55,3,0))</f>
        <v>0</v>
      </c>
      <c r="V62" s="121" t="n">
        <f aca="false">IF(ISNA(VLOOKUP(A62,'Données projet'!$A$35:$I$55,4,0)),0,VLOOKUP(A62,'Données projet'!$A$35:$I$55,4,0))</f>
        <v>0</v>
      </c>
      <c r="W62" s="122" t="n">
        <f aca="false">IF(ISNA(VLOOKUP(A62,'Données projet'!$A$35:$I$55,5,0)),0%,VLOOKUP(A62,'Données projet'!$A$35:$I$55,5,0)*VLOOKUP('Données projet'!$B$9,Paramètres!$A$1:$I$89,7,0))</f>
        <v>0</v>
      </c>
      <c r="X62" s="122" t="n">
        <f aca="false">IF(ISNA(VLOOKUP(A62,'Données projet'!$A$35:$I$55,6,0)),0%,VLOOKUP(A62,'Données projet'!$A$35:$I$55,6,0)*VLOOKUP('Données projet'!$B$9,Paramètres!$A$1:$I$89,7,0))</f>
        <v>0</v>
      </c>
      <c r="Y62" s="122" t="n">
        <f aca="false">IF(ISNA(VLOOKUP(A62,'Données projet'!$A$35:$I$55,7,0)),0%,VLOOKUP(A62,'Données projet'!$A$35:$I$55,7,0))</f>
        <v>0</v>
      </c>
      <c r="Z62" s="129" t="n">
        <f aca="false">EXP(-LN(2)/35)*Z61+(1-EXP(-LN(2)/35))/(LN(2)/35)*V62*W62*VLOOKUP('Données projet'!$B$9,Paramètres!$A$1:$I$89,3,0)*0.475*44/12</f>
        <v>5.11066755255755</v>
      </c>
      <c r="AA62" s="129" t="n">
        <f aca="false">EXP(-LN(2)/25)*AA61+(1-EXP(-LN(2)/25))/(LN(2)/25)*Calculateur!V62*Calculateur!X62*VLOOKUP('Données projet'!$B$9,Paramètres!$A$1:$I$89,3,0)*0.475*44/12</f>
        <v>4.99035558394172</v>
      </c>
      <c r="AB62" s="129" t="n">
        <f aca="false">EXP(-LN(2)/2)*AB61+(1-EXP(-LN(2)/2))/(LN(2)/2)*V62*Y62*VLOOKUP('Données projet'!$B$9,Paramètres!$A$1:$I$89,3,0)*0.475*44/12</f>
        <v>0.000476603463708729</v>
      </c>
      <c r="AC62" s="130" t="n">
        <f aca="false">SUM(Z62:AB62)</f>
        <v>10.101499739963</v>
      </c>
      <c r="AD62" s="117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7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8" t="e">
        <f aca="false">VLOOKUP(A62,'Données projet'!$A$61:$I$81,2,0)</f>
        <v>#N/A</v>
      </c>
      <c r="AG62" s="118" t="e">
        <f aca="false">VLOOKUP(A62,'Données projet'!$A$61:$I$81,9,0)</f>
        <v>#N/A</v>
      </c>
      <c r="AH62" s="118" t="n">
        <f aca="false" t="array" ref="AH62:AH62">INDEX(AG:AG,MIN(IF(ISNUMBER(AG62:AG258),ROW(AG62:AG258),"")))</f>
        <v>7.8</v>
      </c>
      <c r="AI62" s="117" t="n">
        <f aca="false">IF('Données projet'!$A$62&gt;35,AI61+AH62-AQ61,IF(A62&lt;'Données projet'!$A$62,$AF$205^A62,IF(A62='Données projet'!$A$62,'Données projet'!$B$62,AI61+AH62-AQ61)))</f>
        <v>559.2</v>
      </c>
      <c r="AJ62" s="117" t="n">
        <f aca="false">AI62*VLOOKUP('Données projet'!$B$10,Paramètres!$A$1:$I$89,3,0)*VLOOKUP('Données projet'!$B$10,Paramètres!$A$1:$I$89,5,0)</f>
        <v>312.5928</v>
      </c>
      <c r="AK62" s="117" t="n">
        <f aca="false">EXP(-1.0587+0.8836*LN(AJ62)+0.284)</f>
        <v>73.8100472447501</v>
      </c>
      <c r="AL62" s="128" t="n">
        <f aca="false">(AJ62+AK62)*0.475*44/12</f>
        <v>672.984958951273</v>
      </c>
      <c r="AM62" s="120" t="n">
        <f aca="false">AL62+(AD62+AE62)*44/12</f>
        <v>966.318292284607</v>
      </c>
      <c r="AN62" s="120" t="n">
        <f aca="true">AVERAGE(OFFSET($AM$3,0,0,'Données projet'!$E$10+1,1))-AVERAGE(OFFSET($H$3,0,0,'Données projet'!$E$10+1,1))</f>
        <v>365.705101827279</v>
      </c>
      <c r="AO62" s="120" t="n">
        <f aca="false">$AO$3</f>
        <v>436.238338449625</v>
      </c>
      <c r="AP62" s="121" t="n">
        <f aca="false">IF(ISNA(VLOOKUP(A62,'Données projet'!$A$61:$I$81,3,0)),0,VLOOKUP(A62,'Données projet'!$A$61:$I$81,3,0))</f>
        <v>0</v>
      </c>
      <c r="AQ62" s="121" t="n">
        <f aca="false">IF(ISNA(VLOOKUP(A62,'Données projet'!$A$61:$I$81,4,0)),0,VLOOKUP(A62,'Données projet'!$A$61:$I$81,4,0))</f>
        <v>0</v>
      </c>
      <c r="AR62" s="122" t="n">
        <f aca="false">IF(ISNA(VLOOKUP(A62,'Données projet'!$A$61:$I$81,5,0)),0%,VLOOKUP(A62,'Données projet'!$A$61:$I$81,5,0)*VLOOKUP('Données projet'!$B$10,Paramètres!$A$1:$I$89,7,0))</f>
        <v>0</v>
      </c>
      <c r="AS62" s="122" t="n">
        <f aca="false">IF(ISNA(VLOOKUP(A62,'Données projet'!$A$61:$I$81,6,0)),0%,VLOOKUP(A62,'Données projet'!$A$61:$I$81,6,0)*VLOOKUP('Données projet'!$B$10,Paramètres!$A$1:$I$89,7,0))</f>
        <v>0</v>
      </c>
      <c r="AT62" s="122" t="n">
        <f aca="false">IF(ISNA(VLOOKUP(A62,'Données projet'!$A$61:$I$81,7,0)),0%,VLOOKUP(A62,'Données projet'!$A$61:$I$81,7,0))</f>
        <v>0</v>
      </c>
      <c r="AU62" s="129" t="n">
        <f aca="false">EXP(-LN(2)/35)*AU61+(1-EXP(-LN(2)/35))/(LN(2)/35)*AQ62*AR62*VLOOKUP('Données projet'!$B$10,Paramètres!$A$1:$I$89,3,0)*0.475*44/12</f>
        <v>1.9291113060441</v>
      </c>
      <c r="AV62" s="129" t="n">
        <f aca="false">EXP(-LN(2)/25)*AV61+(1-EXP(-LN(2)/25))/(LN(2)/25)*Calculateur!AQ62*Calculateur!AS62*VLOOKUP('Données projet'!$B$10,Paramètres!$A$1:$I$89,3,0)*0.475*44/12</f>
        <v>5.91080636126679</v>
      </c>
      <c r="AW62" s="129" t="n">
        <f aca="false">EXP(-LN(2)/2)*AW61+(1-EXP(-LN(2)/2))/(LN(2)/2)*AQ62*AT62*VLOOKUP('Données projet'!$B$10,Paramètres!$A$1:$I$89,3,0)*0.475*44/12</f>
        <v>0.00025649308804231</v>
      </c>
      <c r="AX62" s="129" t="n">
        <f aca="false">SUM(AU62:AW62)</f>
        <v>7.84017416039894</v>
      </c>
      <c r="AY62" s="124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8" t="e">
        <f aca="false">VLOOKUP(A62,'Données projet'!$A$87:$I$107,2,0)</f>
        <v>#N/A</v>
      </c>
      <c r="BB62" s="118" t="e">
        <f aca="false">VLOOKUP(A62,'Données projet'!$A$87:$I$107,9,0)</f>
        <v>#N/A</v>
      </c>
      <c r="BC62" s="118" t="n">
        <f aca="false" t="array" ref="BC62:BC62">INDEX(BB:BB,MIN(IF(ISNUMBER(BB62:BB258),ROW(BB62:BB258),"")))</f>
        <v>6.8</v>
      </c>
      <c r="BD62" s="118" t="n">
        <f aca="false">IF('Données projet'!$A$88&gt;35,BD61+BC62-BL61,IF(A62&lt;'Données projet'!$A$88,$BA$205^A62,IF(A62='Données projet'!$A$88,'Données projet'!$B$88,BD61+BC62-BL61)))</f>
        <v>235.2</v>
      </c>
      <c r="BE62" s="117" t="n">
        <f aca="false">BD62*VLOOKUP('Données projet'!$B$11,Paramètres!$A$1:$I$89,3,0)*VLOOKUP('Données projet'!$B$11,Paramètres!$A$1:$I$89,5,0)</f>
        <v>205.47072</v>
      </c>
      <c r="BF62" s="117" t="n">
        <f aca="false">EXP(-1.0587+0.8836*LN(BE62)+0.284)</f>
        <v>50.9445715703528</v>
      </c>
      <c r="BG62" s="128" t="n">
        <f aca="false">(BE62+BF62)*0.475*44/12</f>
        <v>446.589966151698</v>
      </c>
      <c r="BH62" s="120" t="n">
        <f aca="false">BG62+(AY62+AZ62)*44/12</f>
        <v>739.923299485031</v>
      </c>
      <c r="BI62" s="120" t="n">
        <f aca="true">AVERAGE(OFFSET($BH$3,0,0,'Données projet'!$E$11+1,1))-AVERAGE(OFFSET($H$3,0,0,'Données projet'!$E$11+1,1))</f>
        <v>321.235999689929</v>
      </c>
      <c r="BJ62" s="120" t="n">
        <f aca="false">$BJ$3</f>
        <v>388.051958478005</v>
      </c>
      <c r="BK62" s="121" t="n">
        <f aca="false">IF(ISNA(VLOOKUP(A62,'Données projet'!$A$87:$I$107,3,0)),0,VLOOKUP(A62,'Données projet'!$A$87:$I$107,3,0))</f>
        <v>0</v>
      </c>
      <c r="BL62" s="121" t="n">
        <f aca="false">IF(ISNA(VLOOKUP(A62,'Données projet'!$A$87:$I$107,4,0)),0,VLOOKUP(A62,'Données projet'!$A$87:$I$107,4,0))</f>
        <v>0</v>
      </c>
      <c r="BM62" s="122" t="n">
        <f aca="false">IF(ISNA(VLOOKUP(A62,'Données projet'!$A$87:$I$107,5,0)),0%,VLOOKUP(A62,'Données projet'!$A$87:$I$107,5,0)*VLOOKUP('Données projet'!$B$11,Paramètres!$A$1:$I$89,7,0))</f>
        <v>0</v>
      </c>
      <c r="BN62" s="122" t="n">
        <f aca="false">IF(ISNA(VLOOKUP(A62,'Données projet'!$A$87:$I$107,6,0)),0%,VLOOKUP(A62,'Données projet'!$A$87:$I$107,6,0)*VLOOKUP('Données projet'!$B$11,Paramètres!$A$1:$I$89,7,0))</f>
        <v>0</v>
      </c>
      <c r="BO62" s="122" t="n">
        <f aca="false">IF(ISNA(VLOOKUP(A62,'Données projet'!$A$87:$I$107,7,0)),0%,VLOOKUP(A62,'Données projet'!$A$87:$I$107,7,0))</f>
        <v>0</v>
      </c>
      <c r="BP62" s="129" t="n">
        <f aca="false">EXP(-LN(2)/35)*BP61+(1-EXP(-LN(2)/35))/(LN(2)/35)*BL62*BM62*VLOOKUP('Données projet'!$B$11,Paramètres!$A$1:$I$89,3,0)*0.475*44/12</f>
        <v>4.84326803524401</v>
      </c>
      <c r="BQ62" s="129" t="n">
        <f aca="false">EXP(-LN(2)/25)*BQ61+(1-EXP(-LN(2)/25))/(LN(2)/25)*Calculateur!BL62*Calculateur!BN62*VLOOKUP('Données projet'!$B$11,Paramètres!$A$1:$I$89,3,0)*0.475*44/12</f>
        <v>6.03340005338954</v>
      </c>
      <c r="BR62" s="129" t="n">
        <f aca="false">EXP(-LN(2)/2)*BR61+(1-EXP(-LN(2)/2))/(LN(2)/2)*BL62*BO62*VLOOKUP('Données projet'!$B$11,Paramètres!$A$1:$I$89,3,0)*0.475*44/12</f>
        <v>0.000260719892697541</v>
      </c>
      <c r="BS62" s="130" t="n">
        <f aca="false">SUM(BP62:BR62)</f>
        <v>10.8769288085262</v>
      </c>
      <c r="BT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8" t="e">
        <f aca="false">VLOOKUP(A62,'Données projet'!$A$113:$I$133,2,0)</f>
        <v>#N/A</v>
      </c>
      <c r="BW62" s="118" t="e">
        <f aca="false">VLOOKUP(A62,'Données projet'!$A$113:$I$133,9,0)</f>
        <v>#N/A</v>
      </c>
      <c r="BX62" s="118" t="n">
        <f aca="false" t="array" ref="BX62:BX62">INDEX(BW:BW,MIN(IF(ISNUMBER(BW62:BW258),ROW(BW62:BW258),"")))</f>
        <v>9.75</v>
      </c>
      <c r="BY62" s="118" t="n">
        <f aca="false">IF('Données projet'!$A$114&gt;35,BY61+BX62-CG61,IF(A62&lt;'Données projet'!$A$114,$BV$205^A62,IF(A62='Données projet'!$A$114,'Données projet'!$B$114,BY61+BX62-CG61)))</f>
        <v>294.25</v>
      </c>
      <c r="BZ62" s="117" t="n">
        <f aca="false">BY62*VLOOKUP('Données projet'!$B$12,Paramètres!$A$1:$I$89,3,0)*VLOOKUP('Données projet'!$B$12,Paramètres!$A$1:$I$89,5,0)</f>
        <v>183.612</v>
      </c>
      <c r="CA62" s="117" t="n">
        <f aca="false">EXP(-1.0587+0.8836*LN(BZ62)+0.284)</f>
        <v>46.1248580418393</v>
      </c>
      <c r="CB62" s="128" t="n">
        <f aca="false">(BZ62+CA62)*0.475*44/12</f>
        <v>400.125027756204</v>
      </c>
      <c r="CC62" s="120" t="n">
        <f aca="false">CB62+(BT62+BU62)*44/12</f>
        <v>693.458361089537</v>
      </c>
      <c r="CD62" s="120" t="n">
        <f aca="true">AVERAGE(OFFSET($CC$3,0,0,'Données projet'!$E$12+1,1))-AVERAGE(OFFSET($H$3,0,0,'Données projet'!$E$12+1,1))</f>
        <v>240.228848647662</v>
      </c>
      <c r="CE62" s="120" t="n">
        <f aca="false">$CE$3</f>
        <v>343.237768841432</v>
      </c>
      <c r="CF62" s="121" t="n">
        <f aca="false">IF(ISNA(VLOOKUP(A62,'Données projet'!$A$113:$I$133,3,0)),0,VLOOKUP(A62,'Données projet'!$A$113:$I$133,3,0))</f>
        <v>0</v>
      </c>
      <c r="CG62" s="121" t="n">
        <f aca="false">IF(ISNA(VLOOKUP(A62,'Données projet'!$A$113:$I$133,4,0)),0,VLOOKUP(A62,'Données projet'!$A$113:$I$133,4,0))</f>
        <v>0</v>
      </c>
      <c r="CH62" s="122" t="n">
        <f aca="false">IF(ISNA(VLOOKUP(A62,'Données projet'!$A$113:$I$133,5,0)),0%,VLOOKUP(A62,'Données projet'!$A$113:$I$133,5,0)*VLOOKUP('Données projet'!$B$12,Paramètres!$A$1:$I$89,7,0))</f>
        <v>0</v>
      </c>
      <c r="CI62" s="122" t="n">
        <f aca="false">IF(ISNA(VLOOKUP(A62,'Données projet'!$A$113:$I$133,6,0)),0%,VLOOKUP(A62,'Données projet'!$A$113:$I$133,6,0)*VLOOKUP('Données projet'!$B$12,Paramètres!$A$1:$I$89,7,0))</f>
        <v>0</v>
      </c>
      <c r="CJ62" s="122" t="n">
        <f aca="false">IF(ISNA(VLOOKUP(A62,'Données projet'!$A$113:$I$133,7,0)),0%,VLOOKUP(A62,'Données projet'!$A$113:$I$133,7,0))</f>
        <v>0</v>
      </c>
      <c r="CK62" s="129" t="n">
        <f aca="false">EXP(-LN(2)/35)*CK61+(1-EXP(-LN(2)/35))/(LN(2)/35)*CG62*CH62*VLOOKUP('Données projet'!$B$12,Paramètres!$A$1:$I$89,3,0)*0.475*44/12</f>
        <v>2.96445736187025</v>
      </c>
      <c r="CL62" s="129" t="n">
        <f aca="false">EXP(-LN(2)/25)*CL61+(1-EXP(-LN(2)/25))/(LN(2)/25)*Calculateur!CG62*Calculateur!CI62*VLOOKUP('Données projet'!$B$12,Paramètres!$A$1:$I$89,3,0)*0.475*44/12</f>
        <v>10.6553337671313</v>
      </c>
      <c r="CM62" s="129" t="n">
        <f aca="false">EXP(-LN(2)/2)*CM61+(1-EXP(-LN(2)/2))/(LN(2)/2)*CG62*CJ62*VLOOKUP('Données projet'!$B$12,Paramètres!$A$1:$I$89,3,0)*0.475*44/12</f>
        <v>0.000416039440861723</v>
      </c>
      <c r="CN62" s="130" t="n">
        <f aca="false">SUM(CK62:CM62)</f>
        <v>13.6202071684424</v>
      </c>
      <c r="CO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8" t="e">
        <f aca="false">VLOOKUP(A62,'Données projet'!$A$139:$I$159,2,0)</f>
        <v>#N/A</v>
      </c>
      <c r="CR62" s="118" t="e">
        <f aca="false">VLOOKUP(A62,'Données projet'!$A$139:$I$159,9,0)</f>
        <v>#N/A</v>
      </c>
      <c r="CS62" s="118" t="n">
        <f aca="false" t="array" ref="CS62:CS62">INDEX(CR:CR,MIN(IF(ISNUMBER(CR62:CR258),ROW(CR62:CR258),"")))</f>
        <v>0</v>
      </c>
      <c r="CT62" s="118" t="n">
        <f aca="false">IF('Données projet'!$A$140&gt;35,CT61+CS62-DB61,IF(A62&lt;'Données projet'!$A$140,$CQ$205^A62,IF(A62='Données projet'!$A$140,'Données projet'!$B$140,CT61+CS62-DB61)))</f>
        <v>-5.6843418860808E-014</v>
      </c>
      <c r="CU62" s="125" t="n">
        <f aca="false">CT62*VLOOKUP('Données projet'!$B$13,Paramètres!$A$1:$I$89,3,0)*VLOOKUP('Données projet'!$B$13,Paramètres!$A$1:$I$89,5,0)</f>
        <v>-3.10365066980012E-014</v>
      </c>
      <c r="CV62" s="117" t="e">
        <f aca="false">EXP(-1.0587+0.8836*LN(CU62)+0.284)</f>
        <v>#VALUE!</v>
      </c>
      <c r="CW62" s="128" t="e">
        <f aca="false">(CU62+CV62)*0.475*44/12</f>
        <v>#VALUE!</v>
      </c>
      <c r="CX62" s="120" t="e">
        <f aca="false">CW62+(CO62+CP62)*44/12</f>
        <v>#VALUE!</v>
      </c>
      <c r="CY62" s="120" t="n">
        <f aca="true">AVERAGE(OFFSET($CX$3,0,0,'Données projet'!$E$13+1,1))-AVERAGE(OFFSET($H$3,0,0,'Données projet'!$E$13+1,1))</f>
        <v>207.023069645676</v>
      </c>
      <c r="CZ62" s="120" t="n">
        <f aca="false">$CZ$3</f>
        <v>342.068879333518</v>
      </c>
      <c r="DA62" s="121" t="n">
        <f aca="false">IF(ISNA(VLOOKUP(A62,'Données projet'!$A$139:$I$159,3,0)),0,VLOOKUP(A62,'Données projet'!$A$139:$I$159,3,0))</f>
        <v>0</v>
      </c>
      <c r="DB62" s="121" t="n">
        <f aca="false">IF(ISNA(VLOOKUP(A62,'Données projet'!$A$139:$I$159,4,0)),0,VLOOKUP(A62,'Données projet'!$A$139:$I$159,4,0))</f>
        <v>0</v>
      </c>
      <c r="DC62" s="122" t="n">
        <f aca="false">IF(ISNA(VLOOKUP(A62,'Données projet'!$A$139:$I$159,5,0)),0%,VLOOKUP(A62,'Données projet'!$A$139:$I$159,5,0)*VLOOKUP('Données projet'!$B$13,Paramètres!$A$1:$I$89,7,0))</f>
        <v>0</v>
      </c>
      <c r="DD62" s="122" t="n">
        <f aca="false">IF(ISNA(VLOOKUP(A62,'Données projet'!$A$139:$I$159,6,0)),0%,VLOOKUP(A62,'Données projet'!$A$139:$I$159,6,0)*VLOOKUP('Données projet'!$B$13,Paramètres!$A$1:$I$89,7,0))</f>
        <v>0</v>
      </c>
      <c r="DE62" s="122" t="n">
        <f aca="false">IF(ISNA(VLOOKUP(A62,'Données projet'!$A$139:$I$159,7,0)),0%,VLOOKUP(A62,'Données projet'!$A$139:$I$159,7,0))</f>
        <v>0</v>
      </c>
      <c r="DF62" s="129" t="n">
        <f aca="false">EXP(-LN(2)/35)*DF61+(1-EXP(-LN(2)/35))/(LN(2)/35)*DB62*DC62*VLOOKUP('Données projet'!$B$13,Paramètres!$A$1:$I$89,3,0)*0.475*44/12</f>
        <v>3.7195549917806</v>
      </c>
      <c r="DG62" s="129" t="n">
        <f aca="false">EXP(-LN(2)/25)*DG61+(1-EXP(-LN(2)/25))/(LN(2)/25)*Calculateur!DB62*Calculateur!DD62*VLOOKUP('Données projet'!$B$13,Paramètres!$A$1:$I$89,3,0)*0.475*44/12</f>
        <v>17.4170328818028</v>
      </c>
      <c r="DH62" s="129" t="n">
        <f aca="false">EXP(-LN(2)/2)*DH61+(1-EXP(-LN(2)/2))/(LN(2)/2)*DB62*DE62*VLOOKUP('Données projet'!$B$13,Paramètres!$A$1:$I$89,3,0)*0.475*44/12</f>
        <v>0.000572886502952956</v>
      </c>
      <c r="DI62" s="130" t="n">
        <f aca="false">SUM(DF62:DH62)</f>
        <v>21.1371607600864</v>
      </c>
      <c r="DJ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8" t="e">
        <f aca="false">VLOOKUP(A62,'Données projet'!$A$165:$I$185,2,0)</f>
        <v>#N/A</v>
      </c>
      <c r="DM62" s="118" t="e">
        <f aca="false">VLOOKUP(A62,'Données projet'!$A$165:$I$185,9,0)</f>
        <v>#N/A</v>
      </c>
      <c r="DN62" s="118" t="n">
        <f aca="false" t="array" ref="DN62:DN62">INDEX(DM:DM,MIN(IF(ISNUMBER(DM62:DM258),ROW(DM62:DM258),"")))</f>
        <v>2.625</v>
      </c>
      <c r="DO62" s="118" t="n">
        <f aca="false">IF('Données projet'!$A$166&gt;35,DO61+DN62-DW61,IF(A62&lt;'Données projet'!$A$166,$DL$205^A62,IF(A62='Données projet'!$A$166,'Données projet'!$B$166,DO61+DN62-DW61)))</f>
        <v>308.125</v>
      </c>
      <c r="DP62" s="125" t="n">
        <f aca="false">DO62*VLOOKUP('Données projet'!$B$14,Paramètres!$A$1:$I$89,3,0)*VLOOKUP('Données projet'!$B$14,Paramètres!$A$1:$I$89,5,0)</f>
        <v>184.25875</v>
      </c>
      <c r="DQ62" s="117" t="n">
        <f aca="false">EXP(-1.0587+0.8836*LN(DP62)+0.284)</f>
        <v>46.2683862298308</v>
      </c>
      <c r="DR62" s="128" t="n">
        <f aca="false">(DP62+DQ62)*0.475*44/12</f>
        <v>401.501428933622</v>
      </c>
      <c r="DS62" s="120" t="n">
        <f aca="false">DR62+(DJ62+DK62)*44/12</f>
        <v>694.834762266955</v>
      </c>
      <c r="DT62" s="120" t="n">
        <f aca="true">AVERAGE(OFFSET($DS$3,0,0,'Données projet'!$E$14+1,1))-AVERAGE(OFFSET($H$3,0,0,'Données projet'!$E$14+1,1))</f>
        <v>549.432320957297</v>
      </c>
      <c r="DU62" s="120" t="n">
        <f aca="false">$DU$3</f>
        <v>280.26155987301</v>
      </c>
      <c r="DV62" s="121" t="n">
        <f aca="false">IF(ISNA(VLOOKUP(A62,'Données projet'!$A$165:$I$185,3,0)),0,VLOOKUP(A62,'Données projet'!$A$165:$I$185,3,0))</f>
        <v>0</v>
      </c>
      <c r="DW62" s="121" t="n">
        <f aca="false">IF(ISNA(VLOOKUP(A62,'Données projet'!$A$165:$I$185,4,0)),0,VLOOKUP(A62,'Données projet'!$A$165:$I$185,4,0))</f>
        <v>0</v>
      </c>
      <c r="DX62" s="122" t="n">
        <f aca="false">IF(ISNA(VLOOKUP(A62,'Données projet'!$A$165:$I$185,5,0)),0%,VLOOKUP(A62,'Données projet'!$A$165:$I$185,5,0)*VLOOKUP('Données projet'!$B$14,Paramètres!$A$1:$I$89,7,0))</f>
        <v>0</v>
      </c>
      <c r="DY62" s="122" t="n">
        <f aca="false">IF(ISNA(VLOOKUP(A62,'Données projet'!$A$165:$I$185,6,0)),0%,VLOOKUP(A62,'Données projet'!$A$165:$I$185,6,0)*VLOOKUP('Données projet'!$B$14,Paramètres!$A$1:$I$89,7,0))</f>
        <v>0</v>
      </c>
      <c r="DZ62" s="122" t="n">
        <f aca="false">IF(ISNA(VLOOKUP(A62,'Données projet'!$A$165:$I$185,7,0)),0%,VLOOKUP(A62,'Données projet'!$A$165:$I$185,7,0))</f>
        <v>0</v>
      </c>
      <c r="EA62" s="129" t="n">
        <f aca="false">EXP(-LN(2)/35)*EA61+(1-EXP(-LN(2)/35))/(LN(2)/35)*DW62*DX62*VLOOKUP('Données projet'!$B$14,Paramètres!$A$1:$I$89,3,0)*0.475*44/12</f>
        <v>1.35242604754463</v>
      </c>
      <c r="EB62" s="129" t="n">
        <f aca="false">EXP(-LN(2)/25)*EB61+(1-EXP(-LN(2)/25))/(LN(2)/25)*Calculateur!DW62*Calculateur!DY62*VLOOKUP('Données projet'!$B$14,Paramètres!$A$1:$I$89,3,0)*0.475*44/12</f>
        <v>3.46981658207411</v>
      </c>
      <c r="EC62" s="129" t="n">
        <f aca="false">EXP(-LN(2)/2)*EC61+(1-EXP(-LN(2)/2))/(LN(2)/2)*DW62*DZ62*VLOOKUP('Données projet'!$B$14,Paramètres!$A$1:$I$89,3,0)*0.475*44/12</f>
        <v>0.000264088868829658</v>
      </c>
      <c r="ED62" s="130" t="n">
        <f aca="false">SUM(EA62:EC62)</f>
        <v>4.82250671848756</v>
      </c>
      <c r="EE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8" t="e">
        <f aca="false">VLOOKUP(A62,'Données projet'!$A$191:$I$211,2,0)</f>
        <v>#N/A</v>
      </c>
      <c r="EH62" s="118" t="e">
        <f aca="false">VLOOKUP(A62,'Données projet'!$A$191:$I$211,9,0)</f>
        <v>#N/A</v>
      </c>
      <c r="EI62" s="118" t="n">
        <f aca="false" t="array" ref="EI62:EI62">INDEX(EH:EH,MIN(IF(ISNUMBER(EH62:EH258),ROW(EH62:EH258),"")))</f>
        <v>0</v>
      </c>
      <c r="EJ62" s="118" t="n">
        <f aca="false">IF('Données projet'!$A$192&gt;35,EJ61+EI62-ER61,IF(A62&lt;'Données projet'!$A$192,$EG$205^A62,IF(A62='Données projet'!$A$192,'Données projet'!$B$192,EJ61+EI62-ER61)))</f>
        <v>0</v>
      </c>
      <c r="EK62" s="125" t="e">
        <f aca="false">EJ62*VLOOKUP('Données projet'!$B$15,Paramètres!$A$1:$I$89,3,0)*VLOOKUP('Données projet'!$B$15,Paramètres!$A$1:$I$89,5,0)</f>
        <v>#N/A</v>
      </c>
      <c r="EL62" s="117" t="e">
        <f aca="false">EXP(-1.0587+0.8836*LN(EK62)+0.284)</f>
        <v>#N/A</v>
      </c>
      <c r="EM62" s="128" t="e">
        <f aca="false">(EK62+EL62)*0.475*44/12</f>
        <v>#N/A</v>
      </c>
      <c r="EN62" s="120" t="e">
        <f aca="false">EM62+(EE62+EF62)*44/12</f>
        <v>#N/A</v>
      </c>
      <c r="EO62" s="120" t="e">
        <f aca="true">AVERAGE(OFFSET($EN$3,0,0,'Données projet'!$E$15+1,1))-AVERAGE(OFFSET($H$3,0,0,'Données projet'!$E$15+1,1))</f>
        <v>#N/A</v>
      </c>
      <c r="EP62" s="120" t="e">
        <f aca="false">$EP$3</f>
        <v>#N/A</v>
      </c>
      <c r="EQ62" s="121" t="n">
        <f aca="false">IF(ISNA(VLOOKUP(A62,'Données projet'!$A$191:$I$211,3,0)),0,VLOOKUP(A62,'Données projet'!$A$191:$I$211,3,0))</f>
        <v>0</v>
      </c>
      <c r="ER62" s="121" t="n">
        <f aca="false">IF(ISNA(VLOOKUP(A62,'Données projet'!$A$191:$I$211,4,0)),0,VLOOKUP(A62,'Données projet'!$A$191:$I$211,4,0))</f>
        <v>0</v>
      </c>
      <c r="ES62" s="122" t="n">
        <f aca="false">IF(ISNA(VLOOKUP(A62,'Données projet'!$A$191:$I$211,5,0)),0%,VLOOKUP(A62,'Données projet'!$A$191:$I$211,5,0)*VLOOKUP('Données projet'!$B$15,Paramètres!$A$1:$I$89,7,0))</f>
        <v>0</v>
      </c>
      <c r="ET62" s="122" t="n">
        <f aca="false">IF(ISNA(VLOOKUP(A62,'Données projet'!$A$191:$I$211,6,0)),0%,VLOOKUP(A62,'Données projet'!$A$191:$I$211,6,0)*VLOOKUP('Données projet'!$B$15,Paramètres!$A$1:$I$89,7,0))</f>
        <v>0</v>
      </c>
      <c r="EU62" s="122" t="n">
        <f aca="false">IF(ISNA(VLOOKUP(A62,'Données projet'!$A$191:$I$211,7,0)),0%,VLOOKUP(A62,'Données projet'!$A$191:$I$211,7,0))</f>
        <v>0</v>
      </c>
      <c r="EV62" s="129" t="e">
        <f aca="false">EXP(-LN(2)/35)*EV61+(1-EXP(-LN(2)/35))/(LN(2)/35)*ER62*ES62*VLOOKUP('Données projet'!$B$15,Paramètres!$A$1:$I$89,3,0)*0.475*44/12</f>
        <v>#N/A</v>
      </c>
      <c r="EW62" s="129" t="e">
        <f aca="false">EXP(-LN(2)/25)*EW61+(1-EXP(-LN(2)/25))/(LN(2)/25)*Calculateur!ER62*Calculateur!ET62*VLOOKUP('Données projet'!$B$15,Paramètres!$A$1:$I$89,3,0)*0.475*44/12</f>
        <v>#N/A</v>
      </c>
      <c r="EX62" s="129" t="e">
        <f aca="false">EXP(-LN(2)/2)*EX61+(1-EXP(-LN(2)/2))/(LN(2)/2)*ER62*EU62*VLOOKUP('Données projet'!$B$15,Paramètres!$A$1:$I$89,3,0)*0.475*44/12</f>
        <v>#N/A</v>
      </c>
      <c r="EY62" s="130" t="e">
        <f aca="false">SUM(EV62:EX62)</f>
        <v>#N/A</v>
      </c>
      <c r="EZ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8" t="e">
        <f aca="false">VLOOKUP(A62,'Données projet'!$A$217:$I$237,2,0)</f>
        <v>#N/A</v>
      </c>
      <c r="FC62" s="118" t="e">
        <f aca="false">VLOOKUP(A62,'Données projet'!$A$217:$I$237,9,0)</f>
        <v>#N/A</v>
      </c>
      <c r="FD62" s="118" t="n">
        <f aca="false" t="array" ref="FD62:FD62">INDEX(FC:FC,MIN(IF(ISNUMBER(FC62:FC258),ROW(FC62:FC258),"")))</f>
        <v>0</v>
      </c>
      <c r="FE62" s="118" t="n">
        <f aca="false">IF('Données projet'!$A$218&gt;35,FE61+FD62-FM61,IF(A62&lt;'Données projet'!$A$218,$FB$205^A62,IF(A62='Données projet'!$A$218,'Données projet'!$B$218,FE61+FD62-FM61)))</f>
        <v>0</v>
      </c>
      <c r="FF62" s="125" t="e">
        <f aca="false">FE62*VLOOKUP('Données projet'!$B$16,Paramètres!$A$1:$I$89,3,0)*VLOOKUP('Données projet'!$B$16,Paramètres!$A$1:$I$89,5,0)</f>
        <v>#N/A</v>
      </c>
      <c r="FG62" s="117" t="e">
        <f aca="false">EXP(-1.0587+0.8836*LN(FF62)+0.284)</f>
        <v>#N/A</v>
      </c>
      <c r="FH62" s="128" t="e">
        <f aca="false">(FF62+FG62)*0.475*44/12</f>
        <v>#N/A</v>
      </c>
      <c r="FI62" s="120" t="e">
        <f aca="false">FH62+(EZ62+FA62)*44/12</f>
        <v>#N/A</v>
      </c>
      <c r="FJ62" s="120" t="e">
        <f aca="true">AVERAGE(OFFSET($FI$3,0,0,'Données projet'!$E$16+1,1))-AVERAGE(OFFSET($H$3,0,0,'Données projet'!$E$16+1,1))</f>
        <v>#N/A</v>
      </c>
      <c r="FK62" s="120" t="e">
        <f aca="false">$FK$3</f>
        <v>#N/A</v>
      </c>
      <c r="FL62" s="121" t="n">
        <f aca="false">IF(ISNA(VLOOKUP(A62,'Données projet'!$A$217:$I$237,3,0)),0,VLOOKUP(A62,'Données projet'!$A$217:$I$237,3,0))</f>
        <v>0</v>
      </c>
      <c r="FM62" s="121" t="n">
        <f aca="false">IF(ISNA(VLOOKUP(A62,'Données projet'!$A$217:$I$237,4,0)),0,VLOOKUP(A62,'Données projet'!$A$217:$I$237,4,0))</f>
        <v>0</v>
      </c>
      <c r="FN62" s="122" t="n">
        <f aca="false">IF(ISNA(VLOOKUP(A62,'Données projet'!$A$217:$I$237,5,0)),0%,VLOOKUP(A62,'Données projet'!$A$217:$I$237,5,0)*VLOOKUP('Données projet'!$B$16,Paramètres!$A$1:$I$89,7,0))</f>
        <v>0</v>
      </c>
      <c r="FO62" s="122" t="n">
        <f aca="false">IF(ISNA(VLOOKUP(A62,'Données projet'!$A$217:$I$237,6,0)),0%,VLOOKUP(A62,'Données projet'!$A$217:$I$237,6,0)*VLOOKUP('Données projet'!$B$16,Paramètres!$A$1:$I$89,7,0))</f>
        <v>0</v>
      </c>
      <c r="FP62" s="122" t="n">
        <f aca="false">IF(ISNA(VLOOKUP(A62,'Données projet'!$A$217:$I$237,7,0)),0%,VLOOKUP(A62,'Données projet'!$A$217:$I$237,7,0))</f>
        <v>0</v>
      </c>
      <c r="FQ62" s="129" t="e">
        <f aca="false">EXP(-LN(2)/35)*FQ61+(1-EXP(-LN(2)/35))/(LN(2)/35)*FM62*FN62*VLOOKUP('Données projet'!$B$16,Paramètres!$A$1:$I$89,3,0)*0.475*44/12</f>
        <v>#N/A</v>
      </c>
      <c r="FR62" s="129" t="e">
        <f aca="false">EXP(-LN(2)/25)*FR61+(1-EXP(-LN(2)/25))/(LN(2)/25)*Calculateur!FM62*Calculateur!FO62*VLOOKUP('Données projet'!$B$16,Paramètres!$A$1:$I$89,3,0)*0.475*44/12</f>
        <v>#N/A</v>
      </c>
      <c r="FS62" s="129" t="e">
        <f aca="false">EXP(-LN(2)/2)*FS61+(1-EXP(-LN(2)/2))/(LN(2)/2)*FM62*FP62*VLOOKUP('Données projet'!$B$16,Paramètres!$A$1:$I$89,3,0)*0.475*44/12</f>
        <v>#N/A</v>
      </c>
      <c r="FT62" s="130" t="e">
        <f aca="false">SUM(FQ62:FS62)</f>
        <v>#N/A</v>
      </c>
      <c r="FU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8" t="e">
        <f aca="false">VLOOKUP(A62,'Données projet'!$A$243:$I$263,2,0)</f>
        <v>#N/A</v>
      </c>
      <c r="FX62" s="118" t="e">
        <f aca="false">VLOOKUP(A62,'Données projet'!$A$243:$I$263,9,0)</f>
        <v>#N/A</v>
      </c>
      <c r="FY62" s="118" t="n">
        <f aca="false" t="array" ref="FY62:FY62">INDEX(FX:FX,MIN(IF(ISNUMBER(FX62:FX258),ROW(FX62:FX258),"")))</f>
        <v>0</v>
      </c>
      <c r="FZ62" s="118" t="n">
        <f aca="false">IF('Données projet'!$A$244&gt;35,FZ61+FY62-GH61,IF(A62&lt;'Données projet'!$A$244,$FW$205^A62,IF(A62='Données projet'!$A$244,'Données projet'!$B$244,FZ61+FY62-GH61)))</f>
        <v>0</v>
      </c>
      <c r="GA62" s="125" t="e">
        <f aca="false">FZ62*VLOOKUP('Données projet'!$B$17,Paramètres!$A$1:$I$89,3,0)*VLOOKUP('Données projet'!$B$17,Paramètres!$A$1:$I$89,5,0)</f>
        <v>#N/A</v>
      </c>
      <c r="GB62" s="117" t="e">
        <f aca="false">EXP(-1.0587+0.8836*LN(GA62)+0.284)</f>
        <v>#N/A</v>
      </c>
      <c r="GC62" s="128" t="e">
        <f aca="false">(GA62+GB62)*0.475*44/12</f>
        <v>#N/A</v>
      </c>
      <c r="GD62" s="120" t="e">
        <f aca="false">GC62+(FU62+FV62)*44/12</f>
        <v>#N/A</v>
      </c>
      <c r="GE62" s="120" t="e">
        <f aca="true">AVERAGE(OFFSET($GD$3,0,0,'Données projet'!$E$17+1,1))-AVERAGE(OFFSET($H$3,0,0,'Données projet'!$E$17+1,1))</f>
        <v>#N/A</v>
      </c>
      <c r="GF62" s="120" t="e">
        <f aca="false">$GF$3</f>
        <v>#N/A</v>
      </c>
      <c r="GG62" s="121" t="n">
        <f aca="false">IF(ISNA(VLOOKUP(A62,'Données projet'!$A$243:$I$263,3,0)),0,VLOOKUP(A62,'Données projet'!$A$243:$I$263,3,0))</f>
        <v>0</v>
      </c>
      <c r="GH62" s="121" t="n">
        <f aca="false">IF(ISNA(VLOOKUP(A62,'Données projet'!$A$243:$I$263,4,0)),0,VLOOKUP(A62,'Données projet'!$A$243:$I$263,4,0))</f>
        <v>0</v>
      </c>
      <c r="GI62" s="122" t="n">
        <f aca="false">IF(ISNA(VLOOKUP(A62,'Données projet'!$A$243:$I$263,5,0)),0%,VLOOKUP(A62,'Données projet'!$A$243:$I$263,5,0)*VLOOKUP('Données projet'!$B$17,Paramètres!$A$1:$I$89,7,0))</f>
        <v>0</v>
      </c>
      <c r="GJ62" s="122" t="n">
        <f aca="false">IF(ISNA(VLOOKUP(A62,'Données projet'!$A$243:$I$263,6,0)),0%,VLOOKUP(A62,'Données projet'!$A$243:$I$263,6,0)*VLOOKUP('Données projet'!$B$17,Paramètres!$A$1:$I$89,7,0))</f>
        <v>0</v>
      </c>
      <c r="GK62" s="122" t="n">
        <f aca="false">IF(ISNA(VLOOKUP(A62,'Données projet'!$A$243:$I$263,7,0)),0%,VLOOKUP(A62,'Données projet'!$A$243:$I$263,7,0))</f>
        <v>0</v>
      </c>
      <c r="GL62" s="129" t="e">
        <f aca="false">EXP(-LN(2)/35)*GL61+(1-EXP(-LN(2)/35))/(LN(2)/35)*GH62*GI62*VLOOKUP('Données projet'!$B$17,Paramètres!$A$1:$I$89,3,0)*0.475*44/12</f>
        <v>#N/A</v>
      </c>
      <c r="GM62" s="129" t="e">
        <f aca="false">EXP(-LN(2)/25)*GM61+(1-EXP(-LN(2)/25))/(LN(2)/25)*Calculateur!GH62*Calculateur!GJ62*VLOOKUP('Données projet'!$B$17,Paramètres!$A$1:$I$89,3,0)*0.475*44/12</f>
        <v>#N/A</v>
      </c>
      <c r="GN62" s="129" t="e">
        <f aca="false">EXP(-LN(2)/2)*GN61+(1-EXP(-LN(2)/2))/(LN(2)/2)*GH62*GK62*VLOOKUP('Données projet'!$B$17,Paramètres!$A$1:$I$89,3,0)*0.475*44/12</f>
        <v>#N/A</v>
      </c>
      <c r="GO62" s="129" t="e">
        <f aca="false">SUM(GL62:GN62)</f>
        <v>#N/A</v>
      </c>
      <c r="GP62" s="126" t="n">
        <f aca="false"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8" t="n">
        <f aca="false"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8" t="e">
        <f aca="false">VLOOKUP(A62,'Données projet'!$A$269:$I$289,2,0)</f>
        <v>#N/A</v>
      </c>
      <c r="GS62" s="118" t="e">
        <f aca="false">VLOOKUP(A62,'Données projet'!$A$269:$I$289,9,0)</f>
        <v>#N/A</v>
      </c>
      <c r="GT62" s="118" t="n">
        <f aca="false" t="array" ref="GT62:GT62">INDEX(GS:GS,MIN(IF(ISNUMBER(GS62:GS258),ROW(GS62:GS258),"")))</f>
        <v>0</v>
      </c>
      <c r="GU62" s="118" t="n">
        <f aca="false">IF('Données projet'!$A$270&gt;35,GU61+GT62-HC61,IF(A62&lt;'Données projet'!$A$270,$GR$205^A62,IF(A62='Données projet'!$A$270,'Données projet'!$B$270,GU61+GT62-HC61)))</f>
        <v>0</v>
      </c>
      <c r="GV62" s="125" t="e">
        <f aca="false">GU62*VLOOKUP('Données projet'!$B$18,Paramètres!$A$1:$I$89,3,0)*VLOOKUP('Données projet'!$B$18,Paramètres!$A$1:$I$89,5,0)</f>
        <v>#N/A</v>
      </c>
      <c r="GW62" s="117" t="e">
        <f aca="false">EXP(-1.0587+0.8836*LN(GV62)+0.284)</f>
        <v>#N/A</v>
      </c>
      <c r="GX62" s="128" t="e">
        <f aca="false">(GV62+GW62)*0.475*44/12</f>
        <v>#N/A</v>
      </c>
      <c r="GY62" s="120" t="e">
        <f aca="false">GX62+(GP62+GQ62)*44/12</f>
        <v>#N/A</v>
      </c>
      <c r="GZ62" s="120" t="e">
        <f aca="true">AVERAGE(OFFSET($GY$3,0,0,'Données projet'!$E$18+1,1))-AVERAGE(OFFSET($H$3,0,0,'Données projet'!$E$18+1,1))</f>
        <v>#N/A</v>
      </c>
      <c r="HA62" s="120" t="e">
        <f aca="false">$HA$3</f>
        <v>#N/A</v>
      </c>
      <c r="HB62" s="121" t="n">
        <f aca="false">IF(ISNA(VLOOKUP(A62,'Données projet'!$A$269:$I$289,3,0)),0,VLOOKUP(A62,'Données projet'!$A$269:$I$289,3,0))</f>
        <v>0</v>
      </c>
      <c r="HC62" s="121" t="n">
        <f aca="false">IF(ISNA(VLOOKUP(A62,'Données projet'!$A$269:$I$289,4,0)),0,VLOOKUP(A62,'Données projet'!$A$269:$I$289,4,0))</f>
        <v>0</v>
      </c>
      <c r="HD62" s="122" t="n">
        <f aca="false">IF(ISNA(VLOOKUP(A62,'Données projet'!$A$269:$I$289,5,0)),0%,VLOOKUP(A62,'Données projet'!$A$269:$I$289,5,0)*VLOOKUP('Données projet'!$B$18,Paramètres!$A$1:$I$89,7,0))</f>
        <v>0</v>
      </c>
      <c r="HE62" s="122" t="n">
        <f aca="false">IF(ISNA(VLOOKUP(A62,'Données projet'!$A$269:$I$289,6,0)),0%,VLOOKUP(A62,'Données projet'!$A$269:$I$289,6,0)*VLOOKUP('Données projet'!$B$18,Paramètres!$A$1:$I$89,7,0))</f>
        <v>0</v>
      </c>
      <c r="HF62" s="122" t="n">
        <f aca="false">IF(ISNA(VLOOKUP(A62,'Données projet'!$A$269:$I$289,7,0)),0%,VLOOKUP(A62,'Données projet'!$A$269:$I$289,7,0))</f>
        <v>0</v>
      </c>
      <c r="HG62" s="129" t="e">
        <f aca="false">EXP(-LN(2)/35)*HG61+(1-EXP(-LN(2)/35))/(LN(2)/35)*HC62*HD62*VLOOKUP('Données projet'!$B$18,Paramètres!$A$1:$I$89,3,0)*0.475*44/12</f>
        <v>#N/A</v>
      </c>
      <c r="HH62" s="129" t="e">
        <f aca="false">EXP(-LN(2)/25)*HH61+(1-EXP(-LN(2)/25))/(LN(2)/25)*Calculateur!HC62*Calculateur!HE62*VLOOKUP('Données projet'!$B$18,Paramètres!$A$1:$I$89,3,0)*0.475*44/12</f>
        <v>#N/A</v>
      </c>
      <c r="HI62" s="129" t="e">
        <f aca="false">EXP(-LN(2)/2)*HI61+(1-EXP(-LN(2)/2))/(LN(2)/2)*HC62*HF62*VLOOKUP('Données projet'!$B$18,Paramètres!$A$1:$I$89,3,0)*0.475*44/12</f>
        <v>#N/A</v>
      </c>
      <c r="HJ62" s="130" t="e">
        <f aca="false">SUM(HG62:HI62)</f>
        <v>#N/A</v>
      </c>
    </row>
    <row r="63" customFormat="false" ht="14.25" hidden="false" customHeight="false" outlineLevel="0" collapsed="false">
      <c r="A63" s="112" t="n">
        <f aca="false">A62+1</f>
        <v>60</v>
      </c>
      <c r="B63" s="113" t="n">
        <f aca="false">'Scénario référence'!$B$16*5+'Scénario référence'!$B$17*0+'Scénario référence'!$B$18*5</f>
        <v>0</v>
      </c>
      <c r="C63" s="127" t="n">
        <f aca="false"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4" t="n">
        <f aca="false">IFERROR(EXP(-1.0587+0.8836*LN(C63)+0.284),0)</f>
        <v>0</v>
      </c>
      <c r="E6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3" s="114" t="n">
        <f aca="false">IF(OR('Scénario référence'!$F$8&gt;0,'Scénario référence'!$F$9&gt;0),('Scénario référence'!$F$8+'Scénario référence'!$F$9)*10,0)</f>
        <v>0</v>
      </c>
      <c r="G63" s="114" t="n">
        <f aca="false"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15" t="n">
        <f aca="false">(B63+E63+F63)*44/12+(C63+D63)*0.475*44/12</f>
        <v>256.666666666667</v>
      </c>
      <c r="I63" s="11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7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8" t="n">
        <f aca="false">VLOOKUP(A63,'Données projet'!$A$35:$I$55,2,0)</f>
        <v>348.5</v>
      </c>
      <c r="L63" s="118" t="n">
        <f aca="false">VLOOKUP(A63,'Données projet'!$A$35:$I$55,9,0)</f>
        <v>13.5</v>
      </c>
      <c r="M63" s="118" t="n">
        <f aca="false" t="array" ref="M63:M63">INDEX(L:L,MIN(IF(ISNUMBER(L63:L259),ROW(L63:L259),"")))</f>
        <v>13.5</v>
      </c>
      <c r="N63" s="117" t="n">
        <f aca="false">IF('Données projet'!$A$36&gt;35,N62+M63-V62,IF(A63&lt;'Données projet'!$A$36,$K$205^A63,IF(A63='Données projet'!$A$36,'Données projet'!$B$36,N62+M63-V62)))</f>
        <v>348.5</v>
      </c>
      <c r="O63" s="117" t="n">
        <f aca="false">N63*VLOOKUP('Données projet'!$B$9,Paramètres!$A$1:$I$89,3,0)*VLOOKUP('Données projet'!$B$9,Paramètres!$A$1:$I$89,5,0)</f>
        <v>163.098</v>
      </c>
      <c r="P63" s="117" t="n">
        <f aca="false">EXP(-1.0587+0.8836*LN(O63)+0.284)</f>
        <v>41.5404961368451</v>
      </c>
      <c r="Q63" s="128" t="n">
        <f aca="false">(O63+P63)*0.475*44/12</f>
        <v>356.412047438338</v>
      </c>
      <c r="R63" s="120" t="n">
        <f aca="false">Q63+(I63+J63)*44/12</f>
        <v>649.745380771672</v>
      </c>
      <c r="S63" s="120" t="n">
        <f aca="true">AVERAGE(OFFSET($R$3,0,0,'Données projet'!$E$9+1,1))-AVERAGE(OFFSET($H$3,0,0,'Données projet'!$E$9+1,1))</f>
        <v>319.229030946746</v>
      </c>
      <c r="T63" s="120" t="n">
        <f aca="false">$T$3</f>
        <v>254.586909731428</v>
      </c>
      <c r="U63" s="121" t="n">
        <f aca="false">IF(ISNA(VLOOKUP(A63,'Données projet'!$A$35:$I$55,3,0)),0,VLOOKUP(A63,'Données projet'!$A$35:$I$55,3,0))</f>
        <v>5</v>
      </c>
      <c r="V63" s="121" t="n">
        <f aca="false">IF(ISNA(VLOOKUP(A63,'Données projet'!$A$35:$I$55,4,0)),0,VLOOKUP(A63,'Données projet'!$A$35:$I$55,4,0))</f>
        <v>80</v>
      </c>
      <c r="W63" s="122" t="n">
        <f aca="false">IF(ISNA(VLOOKUP(A63,'Données projet'!$A$35:$I$55,5,0)),0%,VLOOKUP(A63,'Données projet'!$A$35:$I$55,5,0)*VLOOKUP('Données projet'!$B$9,Paramètres!$A$1:$I$89,7,0))</f>
        <v>0</v>
      </c>
      <c r="X63" s="122" t="n">
        <f aca="false">IF(ISNA(VLOOKUP(A63,'Données projet'!$A$35:$I$55,6,0)),0%,VLOOKUP(A63,'Données projet'!$A$35:$I$55,6,0)*VLOOKUP('Données projet'!$B$9,Paramètres!$A$1:$I$89,7,0))</f>
        <v>0</v>
      </c>
      <c r="Y63" s="122" t="n">
        <f aca="false">IF(ISNA(VLOOKUP(A63,'Données projet'!$A$35:$I$55,7,0)),0%,VLOOKUP(A63,'Données projet'!$A$35:$I$55,7,0))</f>
        <v>0</v>
      </c>
      <c r="Z63" s="129" t="n">
        <f aca="false">EXP(-LN(2)/35)*Z62+(1-EXP(-LN(2)/35))/(LN(2)/35)*V63*W63*VLOOKUP('Données projet'!$B$9,Paramètres!$A$1:$I$89,3,0)*0.475*44/12</f>
        <v>5.0104504790513</v>
      </c>
      <c r="AA63" s="129" t="n">
        <f aca="false">EXP(-LN(2)/25)*AA62+(1-EXP(-LN(2)/25))/(LN(2)/25)*Calculateur!V63*Calculateur!X63*VLOOKUP('Données projet'!$B$9,Paramètres!$A$1:$I$89,3,0)*0.475*44/12</f>
        <v>4.85389404806744</v>
      </c>
      <c r="AB63" s="129" t="n">
        <f aca="false">EXP(-LN(2)/2)*AB62+(1-EXP(-LN(2)/2))/(LN(2)/2)*V63*Y63*VLOOKUP('Données projet'!$B$9,Paramètres!$A$1:$I$89,3,0)*0.475*44/12</f>
        <v>0.000337009541125439</v>
      </c>
      <c r="AC63" s="130" t="n">
        <f aca="false">SUM(Z63:AB63)</f>
        <v>9.86468153665987</v>
      </c>
      <c r="AD63" s="117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7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8" t="n">
        <f aca="false">VLOOKUP(A63,'Données projet'!$A$61:$I$81,2,0)</f>
        <v>567</v>
      </c>
      <c r="AG63" s="118" t="n">
        <f aca="false">VLOOKUP(A63,'Données projet'!$A$61:$I$81,9,0)</f>
        <v>7.8</v>
      </c>
      <c r="AH63" s="118" t="n">
        <f aca="false" t="array" ref="AH63:AH63">INDEX(AG:AG,MIN(IF(ISNUMBER(AG63:AG259),ROW(AG63:AG259),"")))</f>
        <v>7.8</v>
      </c>
      <c r="AI63" s="117" t="n">
        <f aca="false">IF('Données projet'!$A$62&gt;35,AI62+AH63-AQ62,IF(A63&lt;'Données projet'!$A$62,$AF$205^A63,IF(A63='Données projet'!$A$62,'Données projet'!$B$62,AI62+AH63-AQ62)))</f>
        <v>567</v>
      </c>
      <c r="AJ63" s="117" t="n">
        <f aca="false">AI63*VLOOKUP('Données projet'!$B$10,Paramètres!$A$1:$I$89,3,0)*VLOOKUP('Données projet'!$B$10,Paramètres!$A$1:$I$89,5,0)</f>
        <v>316.953</v>
      </c>
      <c r="AK63" s="117" t="n">
        <f aca="false">EXP(-1.0587+0.8836*LN(AJ63)+0.284)</f>
        <v>74.7190134652382</v>
      </c>
      <c r="AL63" s="128" t="n">
        <f aca="false">(AJ63+AK63)*0.475*44/12</f>
        <v>682.162090118623</v>
      </c>
      <c r="AM63" s="120" t="n">
        <f aca="false">AL63+(AD63+AE63)*44/12</f>
        <v>975.495423451957</v>
      </c>
      <c r="AN63" s="120" t="n">
        <f aca="true">AVERAGE(OFFSET($AM$3,0,0,'Données projet'!$E$10+1,1))-AVERAGE(OFFSET($H$3,0,0,'Données projet'!$E$10+1,1))</f>
        <v>365.705101827279</v>
      </c>
      <c r="AO63" s="120" t="n">
        <f aca="false">$AO$3</f>
        <v>436.238338449625</v>
      </c>
      <c r="AP63" s="121" t="n">
        <f aca="false">IF(ISNA(VLOOKUP(A63,'Données projet'!$A$61:$I$81,3,0)),0,VLOOKUP(A63,'Données projet'!$A$61:$I$81,3,0))</f>
        <v>9</v>
      </c>
      <c r="AQ63" s="121" t="n">
        <f aca="false">IF(ISNA(VLOOKUP(A63,'Données projet'!$A$61:$I$81,4,0)),0,VLOOKUP(A63,'Données projet'!$A$61:$I$81,4,0))</f>
        <v>567</v>
      </c>
      <c r="AR63" s="122" t="n">
        <f aca="false">IF(ISNA(VLOOKUP(A63,'Données projet'!$A$61:$I$81,5,0)),0%,VLOOKUP(A63,'Données projet'!$A$61:$I$81,5,0)*VLOOKUP('Données projet'!$B$10,Paramètres!$A$1:$I$89,7,0))</f>
        <v>0</v>
      </c>
      <c r="AS63" s="122" t="n">
        <f aca="false">IF(ISNA(VLOOKUP(A63,'Données projet'!$A$61:$I$81,6,0)),0%,VLOOKUP(A63,'Données projet'!$A$61:$I$81,6,0)*VLOOKUP('Données projet'!$B$10,Paramètres!$A$1:$I$89,7,0))</f>
        <v>0</v>
      </c>
      <c r="AT63" s="122" t="n">
        <f aca="false">IF(ISNA(VLOOKUP(A63,'Données projet'!$A$61:$I$81,7,0)),0%,VLOOKUP(A63,'Données projet'!$A$61:$I$81,7,0))</f>
        <v>0</v>
      </c>
      <c r="AU63" s="129" t="n">
        <f aca="false">EXP(-LN(2)/35)*AU62+(1-EXP(-LN(2)/35))/(LN(2)/35)*AQ63*AR63*VLOOKUP('Données projet'!$B$10,Paramètres!$A$1:$I$89,3,0)*0.475*44/12</f>
        <v>1.89128260997429</v>
      </c>
      <c r="AV63" s="129" t="n">
        <f aca="false">EXP(-LN(2)/25)*AV62+(1-EXP(-LN(2)/25))/(LN(2)/25)*Calculateur!AQ63*Calculateur!AS63*VLOOKUP('Données projet'!$B$10,Paramètres!$A$1:$I$89,3,0)*0.475*44/12</f>
        <v>5.74917505048216</v>
      </c>
      <c r="AW63" s="129" t="n">
        <f aca="false">EXP(-LN(2)/2)*AW62+(1-EXP(-LN(2)/2))/(LN(2)/2)*AQ63*AT63*VLOOKUP('Données projet'!$B$10,Paramètres!$A$1:$I$89,3,0)*0.475*44/12</f>
        <v>0.000181368001882196</v>
      </c>
      <c r="AX63" s="129" t="n">
        <f aca="false">SUM(AU63:AW63)</f>
        <v>7.64063902845833</v>
      </c>
      <c r="AY63" s="124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8" t="n">
        <f aca="false">VLOOKUP(A63,'Données projet'!$A$87:$I$107,2,0)</f>
        <v>242</v>
      </c>
      <c r="BB63" s="118" t="n">
        <f aca="false">VLOOKUP(A63,'Données projet'!$A$87:$I$107,9,0)</f>
        <v>6.8</v>
      </c>
      <c r="BC63" s="118" t="n">
        <f aca="false" t="array" ref="BC63:BC63">INDEX(BB:BB,MIN(IF(ISNUMBER(BB63:BB259),ROW(BB63:BB259),"")))</f>
        <v>6.8</v>
      </c>
      <c r="BD63" s="118" t="n">
        <f aca="false">IF('Données projet'!$A$88&gt;35,BD62+BC63-BL62,IF(A63&lt;'Données projet'!$A$88,$BA$205^A63,IF(A63='Données projet'!$A$88,'Données projet'!$B$88,BD62+BC63-BL62)))</f>
        <v>242</v>
      </c>
      <c r="BE63" s="117" t="n">
        <f aca="false">BD63*VLOOKUP('Données projet'!$B$11,Paramètres!$A$1:$I$89,3,0)*VLOOKUP('Données projet'!$B$11,Paramètres!$A$1:$I$89,5,0)</f>
        <v>211.4112</v>
      </c>
      <c r="BF63" s="117" t="n">
        <f aca="false">EXP(-1.0587+0.8836*LN(BE63)+0.284)</f>
        <v>52.2438480944112</v>
      </c>
      <c r="BG63" s="128" t="n">
        <f aca="false">(BE63+BF63)*0.475*44/12</f>
        <v>459.199208764433</v>
      </c>
      <c r="BH63" s="120" t="n">
        <f aca="false">BG63+(AY63+AZ63)*44/12</f>
        <v>752.532542097767</v>
      </c>
      <c r="BI63" s="120" t="n">
        <f aca="true">AVERAGE(OFFSET($BH$3,0,0,'Données projet'!$E$11+1,1))-AVERAGE(OFFSET($H$3,0,0,'Données projet'!$E$11+1,1))</f>
        <v>321.235999689929</v>
      </c>
      <c r="BJ63" s="120" t="n">
        <f aca="false">$BJ$3</f>
        <v>388.051958478005</v>
      </c>
      <c r="BK63" s="121" t="n">
        <f aca="false">IF(ISNA(VLOOKUP(A63,'Données projet'!$A$87:$I$107,3,0)),0,VLOOKUP(A63,'Données projet'!$A$87:$I$107,3,0))</f>
        <v>10</v>
      </c>
      <c r="BL63" s="121" t="n">
        <f aca="false">IF(ISNA(VLOOKUP(A63,'Données projet'!$A$87:$I$107,4,0)),0,VLOOKUP(A63,'Données projet'!$A$87:$I$107,4,0))</f>
        <v>26</v>
      </c>
      <c r="BM63" s="122" t="n">
        <f aca="false">IF(ISNA(VLOOKUP(A63,'Données projet'!$A$87:$I$107,5,0)),0%,VLOOKUP(A63,'Données projet'!$A$87:$I$107,5,0)*VLOOKUP('Données projet'!$B$11,Paramètres!$A$1:$I$89,7,0))</f>
        <v>0</v>
      </c>
      <c r="BN63" s="122" t="n">
        <f aca="false">IF(ISNA(VLOOKUP(A63,'Données projet'!$A$87:$I$107,6,0)),0%,VLOOKUP(A63,'Données projet'!$A$87:$I$107,6,0)*VLOOKUP('Données projet'!$B$11,Paramètres!$A$1:$I$89,7,0))</f>
        <v>0</v>
      </c>
      <c r="BO63" s="122" t="n">
        <f aca="false">IF(ISNA(VLOOKUP(A63,'Données projet'!$A$87:$I$107,7,0)),0%,VLOOKUP(A63,'Données projet'!$A$87:$I$107,7,0))</f>
        <v>0</v>
      </c>
      <c r="BP63" s="129" t="n">
        <f aca="false">EXP(-LN(2)/35)*BP62+(1-EXP(-LN(2)/35))/(LN(2)/35)*BL63*BM63*VLOOKUP('Données projet'!$B$11,Paramètres!$A$1:$I$89,3,0)*0.475*44/12</f>
        <v>4.74829450317468</v>
      </c>
      <c r="BQ63" s="129" t="n">
        <f aca="false">EXP(-LN(2)/25)*BQ62+(1-EXP(-LN(2)/25))/(LN(2)/25)*Calculateur!BL63*Calculateur!BN63*VLOOKUP('Données projet'!$B$11,Paramètres!$A$1:$I$89,3,0)*0.475*44/12</f>
        <v>5.86841641164688</v>
      </c>
      <c r="BR63" s="129" t="n">
        <f aca="false">EXP(-LN(2)/2)*BR62+(1-EXP(-LN(2)/2))/(LN(2)/2)*BL63*BO63*VLOOKUP('Données projet'!$B$11,Paramètres!$A$1:$I$89,3,0)*0.475*44/12</f>
        <v>0.000184356804116661</v>
      </c>
      <c r="BS63" s="130" t="n">
        <f aca="false">SUM(BP63:BR63)</f>
        <v>10.6168952716257</v>
      </c>
      <c r="BT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8" t="n">
        <f aca="false">VLOOKUP(A63,'Données projet'!$A$113:$I$133,2,0)</f>
        <v>304</v>
      </c>
      <c r="BW63" s="118" t="n">
        <f aca="false">VLOOKUP(A63,'Données projet'!$A$113:$I$133,9,0)</f>
        <v>9.75</v>
      </c>
      <c r="BX63" s="118" t="n">
        <f aca="false" t="array" ref="BX63:BX63">INDEX(BW:BW,MIN(IF(ISNUMBER(BW63:BW259),ROW(BW63:BW259),"")))</f>
        <v>9.75</v>
      </c>
      <c r="BY63" s="118" t="n">
        <f aca="false">IF('Données projet'!$A$114&gt;35,BY62+BX63-CG62,IF(A63&lt;'Données projet'!$A$114,$BV$205^A63,IF(A63='Données projet'!$A$114,'Données projet'!$B$114,BY62+BX63-CG62)))</f>
        <v>304</v>
      </c>
      <c r="BZ63" s="117" t="n">
        <f aca="false">BY63*VLOOKUP('Données projet'!$B$12,Paramètres!$A$1:$I$89,3,0)*VLOOKUP('Données projet'!$B$12,Paramètres!$A$1:$I$89,5,0)</f>
        <v>189.696</v>
      </c>
      <c r="CA63" s="117" t="n">
        <f aca="false">EXP(-1.0587+0.8836*LN(BZ63)+0.284)</f>
        <v>47.4727365051525</v>
      </c>
      <c r="CB63" s="128" t="n">
        <f aca="false">(BZ63+CA63)*0.475*44/12</f>
        <v>413.068882746474</v>
      </c>
      <c r="CC63" s="120" t="n">
        <f aca="false">CB63+(BT63+BU63)*44/12</f>
        <v>706.402216079807</v>
      </c>
      <c r="CD63" s="120" t="n">
        <f aca="true">AVERAGE(OFFSET($CC$3,0,0,'Données projet'!$E$12+1,1))-AVERAGE(OFFSET($H$3,0,0,'Données projet'!$E$12+1,1))</f>
        <v>240.228848647662</v>
      </c>
      <c r="CE63" s="120" t="n">
        <f aca="false">$CE$3</f>
        <v>343.237768841432</v>
      </c>
      <c r="CF63" s="121" t="n">
        <f aca="false">IF(ISNA(VLOOKUP(A63,'Données projet'!$A$113:$I$133,3,0)),0,VLOOKUP(A63,'Données projet'!$A$113:$I$133,3,0))</f>
        <v>8</v>
      </c>
      <c r="CG63" s="121" t="n">
        <f aca="false">IF(ISNA(VLOOKUP(A63,'Données projet'!$A$113:$I$133,4,0)),0,VLOOKUP(A63,'Données projet'!$A$113:$I$133,4,0))</f>
        <v>304</v>
      </c>
      <c r="CH63" s="122" t="n">
        <f aca="false">IF(ISNA(VLOOKUP(A63,'Données projet'!$A$113:$I$133,5,0)),0%,VLOOKUP(A63,'Données projet'!$A$113:$I$133,5,0)*VLOOKUP('Données projet'!$B$12,Paramètres!$A$1:$I$89,7,0))</f>
        <v>0</v>
      </c>
      <c r="CI63" s="122" t="n">
        <f aca="false">IF(ISNA(VLOOKUP(A63,'Données projet'!$A$113:$I$133,6,0)),0%,VLOOKUP(A63,'Données projet'!$A$113:$I$133,6,0)*VLOOKUP('Données projet'!$B$12,Paramètres!$A$1:$I$89,7,0))</f>
        <v>0</v>
      </c>
      <c r="CJ63" s="122" t="n">
        <f aca="false">IF(ISNA(VLOOKUP(A63,'Données projet'!$A$113:$I$133,7,0)),0%,VLOOKUP(A63,'Données projet'!$A$113:$I$133,7,0))</f>
        <v>0</v>
      </c>
      <c r="CK63" s="129" t="n">
        <f aca="false">EXP(-LN(2)/35)*CK62+(1-EXP(-LN(2)/35))/(LN(2)/35)*CG63*CH63*VLOOKUP('Données projet'!$B$12,Paramètres!$A$1:$I$89,3,0)*0.475*44/12</f>
        <v>2.90632616114443</v>
      </c>
      <c r="CL63" s="129" t="n">
        <f aca="false">EXP(-LN(2)/25)*CL62+(1-EXP(-LN(2)/25))/(LN(2)/25)*Calculateur!CG63*Calculateur!CI63*VLOOKUP('Données projet'!$B$12,Paramètres!$A$1:$I$89,3,0)*0.475*44/12</f>
        <v>10.3639631049295</v>
      </c>
      <c r="CM63" s="129" t="n">
        <f aca="false">EXP(-LN(2)/2)*CM62+(1-EXP(-LN(2)/2))/(LN(2)/2)*CG63*CJ63*VLOOKUP('Données projet'!$B$12,Paramètres!$A$1:$I$89,3,0)*0.475*44/12</f>
        <v>0.000294184309874384</v>
      </c>
      <c r="CN63" s="130" t="n">
        <f aca="false">SUM(CK63:CM63)</f>
        <v>13.2705834503838</v>
      </c>
      <c r="CO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8" t="e">
        <f aca="false">VLOOKUP(A63,'Données projet'!$A$139:$I$159,2,0)</f>
        <v>#N/A</v>
      </c>
      <c r="CR63" s="118" t="e">
        <f aca="false">VLOOKUP(A63,'Données projet'!$A$139:$I$159,9,0)</f>
        <v>#N/A</v>
      </c>
      <c r="CS63" s="118" t="n">
        <f aca="false" t="array" ref="CS63:CS63">INDEX(CR:CR,MIN(IF(ISNUMBER(CR63:CR259),ROW(CR63:CR259),"")))</f>
        <v>0</v>
      </c>
      <c r="CT63" s="118" t="n">
        <f aca="false">IF('Données projet'!$A$140&gt;35,CT62+CS63-DB62,IF(A63&lt;'Données projet'!$A$140,$CQ$205^A63,IF(A63='Données projet'!$A$140,'Données projet'!$B$140,CT62+CS63-DB62)))</f>
        <v>-5.6843418860808E-014</v>
      </c>
      <c r="CU63" s="125" t="n">
        <f aca="false">CT63*VLOOKUP('Données projet'!$B$13,Paramètres!$A$1:$I$89,3,0)*VLOOKUP('Données projet'!$B$13,Paramètres!$A$1:$I$89,5,0)</f>
        <v>-3.10365066980012E-014</v>
      </c>
      <c r="CV63" s="117" t="e">
        <f aca="false">EXP(-1.0587+0.8836*LN(CU63)+0.284)</f>
        <v>#VALUE!</v>
      </c>
      <c r="CW63" s="128" t="e">
        <f aca="false">(CU63+CV63)*0.475*44/12</f>
        <v>#VALUE!</v>
      </c>
      <c r="CX63" s="120" t="e">
        <f aca="false">CW63+(CO63+CP63)*44/12</f>
        <v>#VALUE!</v>
      </c>
      <c r="CY63" s="120" t="n">
        <f aca="true">AVERAGE(OFFSET($CX$3,0,0,'Données projet'!$E$13+1,1))-AVERAGE(OFFSET($H$3,0,0,'Données projet'!$E$13+1,1))</f>
        <v>207.023069645676</v>
      </c>
      <c r="CZ63" s="120" t="n">
        <f aca="false">$CZ$3</f>
        <v>342.068879333518</v>
      </c>
      <c r="DA63" s="121" t="n">
        <f aca="false">IF(ISNA(VLOOKUP(A63,'Données projet'!$A$139:$I$159,3,0)),0,VLOOKUP(A63,'Données projet'!$A$139:$I$159,3,0))</f>
        <v>0</v>
      </c>
      <c r="DB63" s="121" t="n">
        <f aca="false">IF(ISNA(VLOOKUP(A63,'Données projet'!$A$139:$I$159,4,0)),0,VLOOKUP(A63,'Données projet'!$A$139:$I$159,4,0))</f>
        <v>0</v>
      </c>
      <c r="DC63" s="122" t="n">
        <f aca="false">IF(ISNA(VLOOKUP(A63,'Données projet'!$A$139:$I$159,5,0)),0%,VLOOKUP(A63,'Données projet'!$A$139:$I$159,5,0)*VLOOKUP('Données projet'!$B$13,Paramètres!$A$1:$I$89,7,0))</f>
        <v>0</v>
      </c>
      <c r="DD63" s="122" t="n">
        <f aca="false">IF(ISNA(VLOOKUP(A63,'Données projet'!$A$139:$I$159,6,0)),0%,VLOOKUP(A63,'Données projet'!$A$139:$I$159,6,0)*VLOOKUP('Données projet'!$B$13,Paramètres!$A$1:$I$89,7,0))</f>
        <v>0</v>
      </c>
      <c r="DE63" s="122" t="n">
        <f aca="false">IF(ISNA(VLOOKUP(A63,'Données projet'!$A$139:$I$159,7,0)),0%,VLOOKUP(A63,'Données projet'!$A$139:$I$159,7,0))</f>
        <v>0</v>
      </c>
      <c r="DF63" s="129" t="n">
        <f aca="false">EXP(-LN(2)/35)*DF62+(1-EXP(-LN(2)/35))/(LN(2)/35)*DB63*DC63*VLOOKUP('Données projet'!$B$13,Paramètres!$A$1:$I$89,3,0)*0.475*44/12</f>
        <v>3.64661678709631</v>
      </c>
      <c r="DG63" s="129" t="n">
        <f aca="false">EXP(-LN(2)/25)*DG62+(1-EXP(-LN(2)/25))/(LN(2)/25)*Calculateur!DB63*Calculateur!DD63*VLOOKUP('Données projet'!$B$13,Paramètres!$A$1:$I$89,3,0)*0.475*44/12</f>
        <v>16.940763201728</v>
      </c>
      <c r="DH63" s="129" t="n">
        <f aca="false">EXP(-LN(2)/2)*DH62+(1-EXP(-LN(2)/2))/(LN(2)/2)*DB63*DE63*VLOOKUP('Données projet'!$B$13,Paramètres!$A$1:$I$89,3,0)*0.475*44/12</f>
        <v>0.000405091931088283</v>
      </c>
      <c r="DI63" s="130" t="n">
        <f aca="false">SUM(DF63:DH63)</f>
        <v>20.5877850807554</v>
      </c>
      <c r="DJ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8" t="e">
        <f aca="false">VLOOKUP(A63,'Données projet'!$A$165:$I$185,2,0)</f>
        <v>#N/A</v>
      </c>
      <c r="DM63" s="118" t="e">
        <f aca="false">VLOOKUP(A63,'Données projet'!$A$165:$I$185,9,0)</f>
        <v>#N/A</v>
      </c>
      <c r="DN63" s="118" t="n">
        <f aca="false" t="array" ref="DN63:DN63">INDEX(DM:DM,MIN(IF(ISNUMBER(DM63:DM259),ROW(DM63:DM259),"")))</f>
        <v>2.625</v>
      </c>
      <c r="DO63" s="118" t="n">
        <f aca="false">IF('Données projet'!$A$166&gt;35,DO62+DN63-DW62,IF(A63&lt;'Données projet'!$A$166,$DL$205^A63,IF(A63='Données projet'!$A$166,'Données projet'!$B$166,DO62+DN63-DW62)))</f>
        <v>310.75</v>
      </c>
      <c r="DP63" s="125" t="n">
        <f aca="false">DO63*VLOOKUP('Données projet'!$B$14,Paramètres!$A$1:$I$89,3,0)*VLOOKUP('Données projet'!$B$14,Paramètres!$A$1:$I$89,5,0)</f>
        <v>185.8285</v>
      </c>
      <c r="DQ63" s="117" t="n">
        <f aca="false">EXP(-1.0587+0.8836*LN(DP63)+0.284)</f>
        <v>46.6165052276319</v>
      </c>
      <c r="DR63" s="128" t="n">
        <f aca="false">(DP63+DQ63)*0.475*44/12</f>
        <v>404.841717438126</v>
      </c>
      <c r="DS63" s="120" t="n">
        <f aca="false">DR63+(DJ63+DK63)*44/12</f>
        <v>698.175050771459</v>
      </c>
      <c r="DT63" s="120" t="n">
        <f aca="true">AVERAGE(OFFSET($DS$3,0,0,'Données projet'!$E$14+1,1))-AVERAGE(OFFSET($H$3,0,0,'Données projet'!$E$14+1,1))</f>
        <v>549.432320957297</v>
      </c>
      <c r="DU63" s="120" t="n">
        <f aca="false">$DU$3</f>
        <v>280.26155987301</v>
      </c>
      <c r="DV63" s="121" t="n">
        <f aca="false">IF(ISNA(VLOOKUP(A63,'Données projet'!$A$165:$I$185,3,0)),0,VLOOKUP(A63,'Données projet'!$A$165:$I$185,3,0))</f>
        <v>0</v>
      </c>
      <c r="DW63" s="121" t="n">
        <f aca="false">IF(ISNA(VLOOKUP(A63,'Données projet'!$A$165:$I$185,4,0)),0,VLOOKUP(A63,'Données projet'!$A$165:$I$185,4,0))</f>
        <v>0</v>
      </c>
      <c r="DX63" s="122" t="n">
        <f aca="false">IF(ISNA(VLOOKUP(A63,'Données projet'!$A$165:$I$185,5,0)),0%,VLOOKUP(A63,'Données projet'!$A$165:$I$185,5,0)*VLOOKUP('Données projet'!$B$14,Paramètres!$A$1:$I$89,7,0))</f>
        <v>0</v>
      </c>
      <c r="DY63" s="122" t="n">
        <f aca="false">IF(ISNA(VLOOKUP(A63,'Données projet'!$A$165:$I$185,6,0)),0%,VLOOKUP(A63,'Données projet'!$A$165:$I$185,6,0)*VLOOKUP('Données projet'!$B$14,Paramètres!$A$1:$I$89,7,0))</f>
        <v>0</v>
      </c>
      <c r="DZ63" s="122" t="n">
        <f aca="false">IF(ISNA(VLOOKUP(A63,'Données projet'!$A$165:$I$185,7,0)),0%,VLOOKUP(A63,'Données projet'!$A$165:$I$185,7,0))</f>
        <v>0</v>
      </c>
      <c r="EA63" s="129" t="n">
        <f aca="false">EXP(-LN(2)/35)*EA62+(1-EXP(-LN(2)/35))/(LN(2)/35)*DW63*DX63*VLOOKUP('Données projet'!$B$14,Paramètres!$A$1:$I$89,3,0)*0.475*44/12</f>
        <v>1.32590579765071</v>
      </c>
      <c r="EB63" s="129" t="n">
        <f aca="false">EXP(-LN(2)/25)*EB62+(1-EXP(-LN(2)/25))/(LN(2)/25)*Calculateur!DW63*Calculateur!DY63*VLOOKUP('Données projet'!$B$14,Paramètres!$A$1:$I$89,3,0)*0.475*44/12</f>
        <v>3.37493426516757</v>
      </c>
      <c r="EC63" s="129" t="n">
        <f aca="false">EXP(-LN(2)/2)*EC62+(1-EXP(-LN(2)/2))/(LN(2)/2)*DW63*DZ63*VLOOKUP('Données projet'!$B$14,Paramètres!$A$1:$I$89,3,0)*0.475*44/12</f>
        <v>0.000186739029985336</v>
      </c>
      <c r="ED63" s="130" t="n">
        <f aca="false">SUM(EA63:EC63)</f>
        <v>4.70102680184827</v>
      </c>
      <c r="EE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8" t="e">
        <f aca="false">VLOOKUP(A63,'Données projet'!$A$191:$I$211,2,0)</f>
        <v>#N/A</v>
      </c>
      <c r="EH63" s="118" t="e">
        <f aca="false">VLOOKUP(A63,'Données projet'!$A$191:$I$211,9,0)</f>
        <v>#N/A</v>
      </c>
      <c r="EI63" s="118" t="n">
        <f aca="false" t="array" ref="EI63:EI63">INDEX(EH:EH,MIN(IF(ISNUMBER(EH63:EH259),ROW(EH63:EH259),"")))</f>
        <v>0</v>
      </c>
      <c r="EJ63" s="118" t="n">
        <f aca="false">IF('Données projet'!$A$192&gt;35,EJ62+EI63-ER62,IF(A63&lt;'Données projet'!$A$192,$EG$205^A63,IF(A63='Données projet'!$A$192,'Données projet'!$B$192,EJ62+EI63-ER62)))</f>
        <v>0</v>
      </c>
      <c r="EK63" s="125" t="e">
        <f aca="false">EJ63*VLOOKUP('Données projet'!$B$15,Paramètres!$A$1:$I$89,3,0)*VLOOKUP('Données projet'!$B$15,Paramètres!$A$1:$I$89,5,0)</f>
        <v>#N/A</v>
      </c>
      <c r="EL63" s="117" t="e">
        <f aca="false">EXP(-1.0587+0.8836*LN(EK63)+0.284)</f>
        <v>#N/A</v>
      </c>
      <c r="EM63" s="128" t="e">
        <f aca="false">(EK63+EL63)*0.475*44/12</f>
        <v>#N/A</v>
      </c>
      <c r="EN63" s="120" t="e">
        <f aca="false">EM63+(EE63+EF63)*44/12</f>
        <v>#N/A</v>
      </c>
      <c r="EO63" s="120" t="e">
        <f aca="true">AVERAGE(OFFSET($EN$3,0,0,'Données projet'!$E$15+1,1))-AVERAGE(OFFSET($H$3,0,0,'Données projet'!$E$15+1,1))</f>
        <v>#N/A</v>
      </c>
      <c r="EP63" s="120" t="e">
        <f aca="false">$EP$3</f>
        <v>#N/A</v>
      </c>
      <c r="EQ63" s="121" t="n">
        <f aca="false">IF(ISNA(VLOOKUP(A63,'Données projet'!$A$191:$I$211,3,0)),0,VLOOKUP(A63,'Données projet'!$A$191:$I$211,3,0))</f>
        <v>0</v>
      </c>
      <c r="ER63" s="121" t="n">
        <f aca="false">IF(ISNA(VLOOKUP(A63,'Données projet'!$A$191:$I$211,4,0)),0,VLOOKUP(A63,'Données projet'!$A$191:$I$211,4,0))</f>
        <v>0</v>
      </c>
      <c r="ES63" s="122" t="n">
        <f aca="false">IF(ISNA(VLOOKUP(A63,'Données projet'!$A$191:$I$211,5,0)),0%,VLOOKUP(A63,'Données projet'!$A$191:$I$211,5,0)*VLOOKUP('Données projet'!$B$15,Paramètres!$A$1:$I$89,7,0))</f>
        <v>0</v>
      </c>
      <c r="ET63" s="122" t="n">
        <f aca="false">IF(ISNA(VLOOKUP(A63,'Données projet'!$A$191:$I$211,6,0)),0%,VLOOKUP(A63,'Données projet'!$A$191:$I$211,6,0)*VLOOKUP('Données projet'!$B$15,Paramètres!$A$1:$I$89,7,0))</f>
        <v>0</v>
      </c>
      <c r="EU63" s="122" t="n">
        <f aca="false">IF(ISNA(VLOOKUP(A63,'Données projet'!$A$191:$I$211,7,0)),0%,VLOOKUP(A63,'Données projet'!$A$191:$I$211,7,0))</f>
        <v>0</v>
      </c>
      <c r="EV63" s="129" t="e">
        <f aca="false">EXP(-LN(2)/35)*EV62+(1-EXP(-LN(2)/35))/(LN(2)/35)*ER63*ES63*VLOOKUP('Données projet'!$B$15,Paramètres!$A$1:$I$89,3,0)*0.475*44/12</f>
        <v>#N/A</v>
      </c>
      <c r="EW63" s="129" t="e">
        <f aca="false">EXP(-LN(2)/25)*EW62+(1-EXP(-LN(2)/25))/(LN(2)/25)*Calculateur!ER63*Calculateur!ET63*VLOOKUP('Données projet'!$B$15,Paramètres!$A$1:$I$89,3,0)*0.475*44/12</f>
        <v>#N/A</v>
      </c>
      <c r="EX63" s="129" t="e">
        <f aca="false">EXP(-LN(2)/2)*EX62+(1-EXP(-LN(2)/2))/(LN(2)/2)*ER63*EU63*VLOOKUP('Données projet'!$B$15,Paramètres!$A$1:$I$89,3,0)*0.475*44/12</f>
        <v>#N/A</v>
      </c>
      <c r="EY63" s="130" t="e">
        <f aca="false">SUM(EV63:EX63)</f>
        <v>#N/A</v>
      </c>
      <c r="EZ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8" t="e">
        <f aca="false">VLOOKUP(A63,'Données projet'!$A$217:$I$237,2,0)</f>
        <v>#N/A</v>
      </c>
      <c r="FC63" s="118" t="e">
        <f aca="false">VLOOKUP(A63,'Données projet'!$A$217:$I$237,9,0)</f>
        <v>#N/A</v>
      </c>
      <c r="FD63" s="118" t="n">
        <f aca="false" t="array" ref="FD63:FD63">INDEX(FC:FC,MIN(IF(ISNUMBER(FC63:FC259),ROW(FC63:FC259),"")))</f>
        <v>0</v>
      </c>
      <c r="FE63" s="118" t="n">
        <f aca="false">IF('Données projet'!$A$218&gt;35,FE62+FD63-FM62,IF(A63&lt;'Données projet'!$A$218,$FB$205^A63,IF(A63='Données projet'!$A$218,'Données projet'!$B$218,FE62+FD63-FM62)))</f>
        <v>0</v>
      </c>
      <c r="FF63" s="125" t="e">
        <f aca="false">FE63*VLOOKUP('Données projet'!$B$16,Paramètres!$A$1:$I$89,3,0)*VLOOKUP('Données projet'!$B$16,Paramètres!$A$1:$I$89,5,0)</f>
        <v>#N/A</v>
      </c>
      <c r="FG63" s="117" t="e">
        <f aca="false">EXP(-1.0587+0.8836*LN(FF63)+0.284)</f>
        <v>#N/A</v>
      </c>
      <c r="FH63" s="128" t="e">
        <f aca="false">(FF63+FG63)*0.475*44/12</f>
        <v>#N/A</v>
      </c>
      <c r="FI63" s="120" t="e">
        <f aca="false">FH63+(EZ63+FA63)*44/12</f>
        <v>#N/A</v>
      </c>
      <c r="FJ63" s="120" t="e">
        <f aca="true">AVERAGE(OFFSET($FI$3,0,0,'Données projet'!$E$16+1,1))-AVERAGE(OFFSET($H$3,0,0,'Données projet'!$E$16+1,1))</f>
        <v>#N/A</v>
      </c>
      <c r="FK63" s="120" t="e">
        <f aca="false">$FK$3</f>
        <v>#N/A</v>
      </c>
      <c r="FL63" s="121" t="n">
        <f aca="false">IF(ISNA(VLOOKUP(A63,'Données projet'!$A$217:$I$237,3,0)),0,VLOOKUP(A63,'Données projet'!$A$217:$I$237,3,0))</f>
        <v>0</v>
      </c>
      <c r="FM63" s="121" t="n">
        <f aca="false">IF(ISNA(VLOOKUP(A63,'Données projet'!$A$217:$I$237,4,0)),0,VLOOKUP(A63,'Données projet'!$A$217:$I$237,4,0))</f>
        <v>0</v>
      </c>
      <c r="FN63" s="122" t="n">
        <f aca="false">IF(ISNA(VLOOKUP(A63,'Données projet'!$A$217:$I$237,5,0)),0%,VLOOKUP(A63,'Données projet'!$A$217:$I$237,5,0)*VLOOKUP('Données projet'!$B$16,Paramètres!$A$1:$I$89,7,0))</f>
        <v>0</v>
      </c>
      <c r="FO63" s="122" t="n">
        <f aca="false">IF(ISNA(VLOOKUP(A63,'Données projet'!$A$217:$I$237,6,0)),0%,VLOOKUP(A63,'Données projet'!$A$217:$I$237,6,0)*VLOOKUP('Données projet'!$B$16,Paramètres!$A$1:$I$89,7,0))</f>
        <v>0</v>
      </c>
      <c r="FP63" s="122" t="n">
        <f aca="false">IF(ISNA(VLOOKUP(A63,'Données projet'!$A$217:$I$237,7,0)),0%,VLOOKUP(A63,'Données projet'!$A$217:$I$237,7,0))</f>
        <v>0</v>
      </c>
      <c r="FQ63" s="129" t="e">
        <f aca="false">EXP(-LN(2)/35)*FQ62+(1-EXP(-LN(2)/35))/(LN(2)/35)*FM63*FN63*VLOOKUP('Données projet'!$B$16,Paramètres!$A$1:$I$89,3,0)*0.475*44/12</f>
        <v>#N/A</v>
      </c>
      <c r="FR63" s="129" t="e">
        <f aca="false">EXP(-LN(2)/25)*FR62+(1-EXP(-LN(2)/25))/(LN(2)/25)*Calculateur!FM63*Calculateur!FO63*VLOOKUP('Données projet'!$B$16,Paramètres!$A$1:$I$89,3,0)*0.475*44/12</f>
        <v>#N/A</v>
      </c>
      <c r="FS63" s="129" t="e">
        <f aca="false">EXP(-LN(2)/2)*FS62+(1-EXP(-LN(2)/2))/(LN(2)/2)*FM63*FP63*VLOOKUP('Données projet'!$B$16,Paramètres!$A$1:$I$89,3,0)*0.475*44/12</f>
        <v>#N/A</v>
      </c>
      <c r="FT63" s="130" t="e">
        <f aca="false">SUM(FQ63:FS63)</f>
        <v>#N/A</v>
      </c>
      <c r="FU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8" t="e">
        <f aca="false">VLOOKUP(A63,'Données projet'!$A$243:$I$263,2,0)</f>
        <v>#N/A</v>
      </c>
      <c r="FX63" s="118" t="e">
        <f aca="false">VLOOKUP(A63,'Données projet'!$A$243:$I$263,9,0)</f>
        <v>#N/A</v>
      </c>
      <c r="FY63" s="118" t="n">
        <f aca="false" t="array" ref="FY63:FY63">INDEX(FX:FX,MIN(IF(ISNUMBER(FX63:FX259),ROW(FX63:FX259),"")))</f>
        <v>0</v>
      </c>
      <c r="FZ63" s="118" t="n">
        <f aca="false">IF('Données projet'!$A$244&gt;35,FZ62+FY63-GH62,IF(A63&lt;'Données projet'!$A$244,$FW$205^A63,IF(A63='Données projet'!$A$244,'Données projet'!$B$244,FZ62+FY63-GH62)))</f>
        <v>0</v>
      </c>
      <c r="GA63" s="125" t="e">
        <f aca="false">FZ63*VLOOKUP('Données projet'!$B$17,Paramètres!$A$1:$I$89,3,0)*VLOOKUP('Données projet'!$B$17,Paramètres!$A$1:$I$89,5,0)</f>
        <v>#N/A</v>
      </c>
      <c r="GB63" s="117" t="e">
        <f aca="false">EXP(-1.0587+0.8836*LN(GA63)+0.284)</f>
        <v>#N/A</v>
      </c>
      <c r="GC63" s="128" t="e">
        <f aca="false">(GA63+GB63)*0.475*44/12</f>
        <v>#N/A</v>
      </c>
      <c r="GD63" s="120" t="e">
        <f aca="false">GC63+(FU63+FV63)*44/12</f>
        <v>#N/A</v>
      </c>
      <c r="GE63" s="120" t="e">
        <f aca="true">AVERAGE(OFFSET($GD$3,0,0,'Données projet'!$E$17+1,1))-AVERAGE(OFFSET($H$3,0,0,'Données projet'!$E$17+1,1))</f>
        <v>#N/A</v>
      </c>
      <c r="GF63" s="120" t="e">
        <f aca="false">$GF$3</f>
        <v>#N/A</v>
      </c>
      <c r="GG63" s="121" t="n">
        <f aca="false">IF(ISNA(VLOOKUP(A63,'Données projet'!$A$243:$I$263,3,0)),0,VLOOKUP(A63,'Données projet'!$A$243:$I$263,3,0))</f>
        <v>0</v>
      </c>
      <c r="GH63" s="121" t="n">
        <f aca="false">IF(ISNA(VLOOKUP(A63,'Données projet'!$A$243:$I$263,4,0)),0,VLOOKUP(A63,'Données projet'!$A$243:$I$263,4,0))</f>
        <v>0</v>
      </c>
      <c r="GI63" s="122" t="n">
        <f aca="false">IF(ISNA(VLOOKUP(A63,'Données projet'!$A$243:$I$263,5,0)),0%,VLOOKUP(A63,'Données projet'!$A$243:$I$263,5,0)*VLOOKUP('Données projet'!$B$17,Paramètres!$A$1:$I$89,7,0))</f>
        <v>0</v>
      </c>
      <c r="GJ63" s="122" t="n">
        <f aca="false">IF(ISNA(VLOOKUP(A63,'Données projet'!$A$243:$I$263,6,0)),0%,VLOOKUP(A63,'Données projet'!$A$243:$I$263,6,0)*VLOOKUP('Données projet'!$B$17,Paramètres!$A$1:$I$89,7,0))</f>
        <v>0</v>
      </c>
      <c r="GK63" s="122" t="n">
        <f aca="false">IF(ISNA(VLOOKUP(A63,'Données projet'!$A$243:$I$263,7,0)),0%,VLOOKUP(A63,'Données projet'!$A$243:$I$263,7,0))</f>
        <v>0</v>
      </c>
      <c r="GL63" s="129" t="e">
        <f aca="false">EXP(-LN(2)/35)*GL62+(1-EXP(-LN(2)/35))/(LN(2)/35)*GH63*GI63*VLOOKUP('Données projet'!$B$17,Paramètres!$A$1:$I$89,3,0)*0.475*44/12</f>
        <v>#N/A</v>
      </c>
      <c r="GM63" s="129" t="e">
        <f aca="false">EXP(-LN(2)/25)*GM62+(1-EXP(-LN(2)/25))/(LN(2)/25)*Calculateur!GH63*Calculateur!GJ63*VLOOKUP('Données projet'!$B$17,Paramètres!$A$1:$I$89,3,0)*0.475*44/12</f>
        <v>#N/A</v>
      </c>
      <c r="GN63" s="129" t="e">
        <f aca="false">EXP(-LN(2)/2)*GN62+(1-EXP(-LN(2)/2))/(LN(2)/2)*GH63*GK63*VLOOKUP('Données projet'!$B$17,Paramètres!$A$1:$I$89,3,0)*0.475*44/12</f>
        <v>#N/A</v>
      </c>
      <c r="GO63" s="129" t="e">
        <f aca="false">SUM(GL63:GN63)</f>
        <v>#N/A</v>
      </c>
      <c r="GP63" s="126" t="n">
        <f aca="false"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8" t="n">
        <f aca="false"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8" t="e">
        <f aca="false">VLOOKUP(A63,'Données projet'!$A$269:$I$289,2,0)</f>
        <v>#N/A</v>
      </c>
      <c r="GS63" s="118" t="e">
        <f aca="false">VLOOKUP(A63,'Données projet'!$A$269:$I$289,9,0)</f>
        <v>#N/A</v>
      </c>
      <c r="GT63" s="118" t="n">
        <f aca="false" t="array" ref="GT63:GT63">INDEX(GS:GS,MIN(IF(ISNUMBER(GS63:GS259),ROW(GS63:GS259),"")))</f>
        <v>0</v>
      </c>
      <c r="GU63" s="118" t="n">
        <f aca="false">IF('Données projet'!$A$270&gt;35,GU62+GT63-HC62,IF(A63&lt;'Données projet'!$A$270,$GR$205^A63,IF(A63='Données projet'!$A$270,'Données projet'!$B$270,GU62+GT63-HC62)))</f>
        <v>0</v>
      </c>
      <c r="GV63" s="125" t="e">
        <f aca="false">GU63*VLOOKUP('Données projet'!$B$18,Paramètres!$A$1:$I$89,3,0)*VLOOKUP('Données projet'!$B$18,Paramètres!$A$1:$I$89,5,0)</f>
        <v>#N/A</v>
      </c>
      <c r="GW63" s="117" t="e">
        <f aca="false">EXP(-1.0587+0.8836*LN(GV63)+0.284)</f>
        <v>#N/A</v>
      </c>
      <c r="GX63" s="128" t="e">
        <f aca="false">(GV63+GW63)*0.475*44/12</f>
        <v>#N/A</v>
      </c>
      <c r="GY63" s="120" t="e">
        <f aca="false">GX63+(GP63+GQ63)*44/12</f>
        <v>#N/A</v>
      </c>
      <c r="GZ63" s="120" t="e">
        <f aca="true">AVERAGE(OFFSET($GY$3,0,0,'Données projet'!$E$18+1,1))-AVERAGE(OFFSET($H$3,0,0,'Données projet'!$E$18+1,1))</f>
        <v>#N/A</v>
      </c>
      <c r="HA63" s="120" t="e">
        <f aca="false">$HA$3</f>
        <v>#N/A</v>
      </c>
      <c r="HB63" s="121" t="n">
        <f aca="false">IF(ISNA(VLOOKUP(A63,'Données projet'!$A$269:$I$289,3,0)),0,VLOOKUP(A63,'Données projet'!$A$269:$I$289,3,0))</f>
        <v>0</v>
      </c>
      <c r="HC63" s="121" t="n">
        <f aca="false">IF(ISNA(VLOOKUP(A63,'Données projet'!$A$269:$I$289,4,0)),0,VLOOKUP(A63,'Données projet'!$A$269:$I$289,4,0))</f>
        <v>0</v>
      </c>
      <c r="HD63" s="122" t="n">
        <f aca="false">IF(ISNA(VLOOKUP(A63,'Données projet'!$A$269:$I$289,5,0)),0%,VLOOKUP(A63,'Données projet'!$A$269:$I$289,5,0)*VLOOKUP('Données projet'!$B$18,Paramètres!$A$1:$I$89,7,0))</f>
        <v>0</v>
      </c>
      <c r="HE63" s="122" t="n">
        <f aca="false">IF(ISNA(VLOOKUP(A63,'Données projet'!$A$269:$I$289,6,0)),0%,VLOOKUP(A63,'Données projet'!$A$269:$I$289,6,0)*VLOOKUP('Données projet'!$B$18,Paramètres!$A$1:$I$89,7,0))</f>
        <v>0</v>
      </c>
      <c r="HF63" s="122" t="n">
        <f aca="false">IF(ISNA(VLOOKUP(A63,'Données projet'!$A$269:$I$289,7,0)),0%,VLOOKUP(A63,'Données projet'!$A$269:$I$289,7,0))</f>
        <v>0</v>
      </c>
      <c r="HG63" s="129" t="e">
        <f aca="false">EXP(-LN(2)/35)*HG62+(1-EXP(-LN(2)/35))/(LN(2)/35)*HC63*HD63*VLOOKUP('Données projet'!$B$18,Paramètres!$A$1:$I$89,3,0)*0.475*44/12</f>
        <v>#N/A</v>
      </c>
      <c r="HH63" s="129" t="e">
        <f aca="false">EXP(-LN(2)/25)*HH62+(1-EXP(-LN(2)/25))/(LN(2)/25)*Calculateur!HC63*Calculateur!HE63*VLOOKUP('Données projet'!$B$18,Paramètres!$A$1:$I$89,3,0)*0.475*44/12</f>
        <v>#N/A</v>
      </c>
      <c r="HI63" s="129" t="e">
        <f aca="false">EXP(-LN(2)/2)*HI62+(1-EXP(-LN(2)/2))/(LN(2)/2)*HC63*HF63*VLOOKUP('Données projet'!$B$18,Paramètres!$A$1:$I$89,3,0)*0.475*44/12</f>
        <v>#N/A</v>
      </c>
      <c r="HJ63" s="130" t="e">
        <f aca="false">SUM(HG63:HI63)</f>
        <v>#N/A</v>
      </c>
    </row>
    <row r="64" customFormat="false" ht="14.25" hidden="false" customHeight="false" outlineLevel="0" collapsed="false">
      <c r="A64" s="112" t="n">
        <f aca="false">A63+1</f>
        <v>61</v>
      </c>
      <c r="B64" s="113" t="n">
        <f aca="false">'Scénario référence'!$B$16*5+'Scénario référence'!$B$17*0+'Scénario référence'!$B$18*5</f>
        <v>0</v>
      </c>
      <c r="C64" s="127" t="n">
        <f aca="false"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4" t="n">
        <f aca="false">IFERROR(EXP(-1.0587+0.8836*LN(C64)+0.284),0)</f>
        <v>0</v>
      </c>
      <c r="E6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4" s="114" t="n">
        <f aca="false">IF(OR('Scénario référence'!$F$8&gt;0,'Scénario référence'!$F$9&gt;0),('Scénario référence'!$F$8+'Scénario référence'!$F$9)*10,0)</f>
        <v>0</v>
      </c>
      <c r="G64" s="114" t="n">
        <f aca="false"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15" t="n">
        <f aca="false">(B64+E64+F64)*44/12+(C64+D64)*0.475*44/12</f>
        <v>256.666666666667</v>
      </c>
      <c r="I64" s="11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7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8" t="e">
        <f aca="false">VLOOKUP(A64,'Données projet'!$A$35:$I$55,2,0)</f>
        <v>#N/A</v>
      </c>
      <c r="L64" s="118" t="e">
        <f aca="false">VLOOKUP(A64,'Données projet'!$A$35:$I$55,9,0)</f>
        <v>#N/A</v>
      </c>
      <c r="M64" s="118" t="n">
        <f aca="false" t="array" ref="M64:M64">INDEX(L:L,MIN(IF(ISNUMBER(L64:L260),ROW(L64:L260),"")))</f>
        <v>15.5</v>
      </c>
      <c r="N64" s="117" t="n">
        <f aca="false">IF('Données projet'!$A$36&gt;35,N63+M64-V63,IF(A64&lt;'Données projet'!$A$36,$K$205^A64,IF(A64='Données projet'!$A$36,'Données projet'!$B$36,N63+M64-V63)))</f>
        <v>284</v>
      </c>
      <c r="O64" s="117" t="n">
        <f aca="false">N64*VLOOKUP('Données projet'!$B$9,Paramètres!$A$1:$I$89,3,0)*VLOOKUP('Données projet'!$B$9,Paramètres!$A$1:$I$89,5,0)</f>
        <v>132.912</v>
      </c>
      <c r="P64" s="117" t="n">
        <f aca="false">EXP(-1.0587+0.8836*LN(O64)+0.284)</f>
        <v>34.6683670435466</v>
      </c>
      <c r="Q64" s="128" t="n">
        <f aca="false">(O64+P64)*0.475*44/12</f>
        <v>291.86913926751</v>
      </c>
      <c r="R64" s="120" t="n">
        <f aca="false">Q64+(I64+J64)*44/12</f>
        <v>585.202472600844</v>
      </c>
      <c r="S64" s="120" t="n">
        <f aca="true">AVERAGE(OFFSET($R$3,0,0,'Données projet'!$E$9+1,1))-AVERAGE(OFFSET($H$3,0,0,'Données projet'!$E$9+1,1))</f>
        <v>319.229030946746</v>
      </c>
      <c r="T64" s="120" t="n">
        <f aca="false">$T$3</f>
        <v>254.586909731428</v>
      </c>
      <c r="U64" s="121" t="n">
        <f aca="false">IF(ISNA(VLOOKUP(A64,'Données projet'!$A$35:$I$55,3,0)),0,VLOOKUP(A64,'Données projet'!$A$35:$I$55,3,0))</f>
        <v>0</v>
      </c>
      <c r="V64" s="121" t="n">
        <f aca="false">IF(ISNA(VLOOKUP(A64,'Données projet'!$A$35:$I$55,4,0)),0,VLOOKUP(A64,'Données projet'!$A$35:$I$55,4,0))</f>
        <v>0</v>
      </c>
      <c r="W64" s="122" t="n">
        <f aca="false">IF(ISNA(VLOOKUP(A64,'Données projet'!$A$35:$I$55,5,0)),0%,VLOOKUP(A64,'Données projet'!$A$35:$I$55,5,0)*VLOOKUP('Données projet'!$B$9,Paramètres!$A$1:$I$89,7,0))</f>
        <v>0</v>
      </c>
      <c r="X64" s="122" t="n">
        <f aca="false">IF(ISNA(VLOOKUP(A64,'Données projet'!$A$35:$I$55,6,0)),0%,VLOOKUP(A64,'Données projet'!$A$35:$I$55,6,0)*VLOOKUP('Données projet'!$B$9,Paramètres!$A$1:$I$89,7,0))</f>
        <v>0</v>
      </c>
      <c r="Y64" s="122" t="n">
        <f aca="false">IF(ISNA(VLOOKUP(A64,'Données projet'!$A$35:$I$55,7,0)),0%,VLOOKUP(A64,'Données projet'!$A$35:$I$55,7,0))</f>
        <v>0</v>
      </c>
      <c r="Z64" s="129" t="n">
        <f aca="false">EXP(-LN(2)/35)*Z63+(1-EXP(-LN(2)/35))/(LN(2)/35)*V64*W64*VLOOKUP('Données projet'!$B$9,Paramètres!$A$1:$I$89,3,0)*0.475*44/12</f>
        <v>4.91219860123014</v>
      </c>
      <c r="AA64" s="129" t="n">
        <f aca="false">EXP(-LN(2)/25)*AA63+(1-EXP(-LN(2)/25))/(LN(2)/25)*Calculateur!V64*Calculateur!X64*VLOOKUP('Données projet'!$B$9,Paramètres!$A$1:$I$89,3,0)*0.475*44/12</f>
        <v>4.72116406006784</v>
      </c>
      <c r="AB64" s="129" t="n">
        <f aca="false">EXP(-LN(2)/2)*AB63+(1-EXP(-LN(2)/2))/(LN(2)/2)*V64*Y64*VLOOKUP('Données projet'!$B$9,Paramètres!$A$1:$I$89,3,0)*0.475*44/12</f>
        <v>0.000238301731854364</v>
      </c>
      <c r="AC64" s="130" t="n">
        <f aca="false">SUM(Z64:AB64)</f>
        <v>9.63360096302983</v>
      </c>
      <c r="AD64" s="117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7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8" t="e">
        <f aca="false">VLOOKUP(A64,'Données projet'!$A$61:$I$81,2,0)</f>
        <v>#N/A</v>
      </c>
      <c r="AG64" s="118" t="e">
        <f aca="false">VLOOKUP(A64,'Données projet'!$A$61:$I$81,9,0)</f>
        <v>#N/A</v>
      </c>
      <c r="AH64" s="118" t="n">
        <f aca="false" t="array" ref="AH64:AH64">INDEX(AG:AG,MIN(IF(ISNUMBER(AG64:AG260),ROW(AG64:AG260),"")))</f>
        <v>0</v>
      </c>
      <c r="AI64" s="117" t="n">
        <f aca="false">IF('Données projet'!$A$62&gt;35,AI63+AH64-AQ63,IF(A64&lt;'Données projet'!$A$62,$AF$205^A64,IF(A64='Données projet'!$A$62,'Données projet'!$B$62,AI63+AH64-AQ63)))</f>
        <v>1.13686837721616E-013</v>
      </c>
      <c r="AJ64" s="117" t="n">
        <f aca="false">AI64*VLOOKUP('Données projet'!$B$10,Paramètres!$A$1:$I$89,3,0)*VLOOKUP('Données projet'!$B$10,Paramètres!$A$1:$I$89,5,0)</f>
        <v>6.35509422863834E-014</v>
      </c>
      <c r="AK64" s="117" t="n">
        <f aca="false">EXP(-1.0587+0.8836*LN(AJ64)+0.284)</f>
        <v>1.0064464192544E-012</v>
      </c>
      <c r="AL64" s="128" t="n">
        <f aca="false">(AJ64+AK64)*0.475*44/12</f>
        <v>1.86357873801686E-012</v>
      </c>
      <c r="AM64" s="120" t="n">
        <f aca="false">AL64+(AD64+AE64)*44/12</f>
        <v>293.333333333335</v>
      </c>
      <c r="AN64" s="120" t="n">
        <f aca="true">AVERAGE(OFFSET($AM$3,0,0,'Données projet'!$E$10+1,1))-AVERAGE(OFFSET($H$3,0,0,'Données projet'!$E$10+1,1))</f>
        <v>365.705101827279</v>
      </c>
      <c r="AO64" s="120" t="n">
        <f aca="false">$AO$3</f>
        <v>436.238338449625</v>
      </c>
      <c r="AP64" s="121" t="n">
        <f aca="false">IF(ISNA(VLOOKUP(A64,'Données projet'!$A$61:$I$81,3,0)),0,VLOOKUP(A64,'Données projet'!$A$61:$I$81,3,0))</f>
        <v>0</v>
      </c>
      <c r="AQ64" s="121" t="n">
        <f aca="false">IF(ISNA(VLOOKUP(A64,'Données projet'!$A$61:$I$81,4,0)),0,VLOOKUP(A64,'Données projet'!$A$61:$I$81,4,0))</f>
        <v>0</v>
      </c>
      <c r="AR64" s="122" t="n">
        <f aca="false">IF(ISNA(VLOOKUP(A64,'Données projet'!$A$61:$I$81,5,0)),0%,VLOOKUP(A64,'Données projet'!$A$61:$I$81,5,0)*VLOOKUP('Données projet'!$B$10,Paramètres!$A$1:$I$89,7,0))</f>
        <v>0</v>
      </c>
      <c r="AS64" s="122" t="n">
        <f aca="false">IF(ISNA(VLOOKUP(A64,'Données projet'!$A$61:$I$81,6,0)),0%,VLOOKUP(A64,'Données projet'!$A$61:$I$81,6,0)*VLOOKUP('Données projet'!$B$10,Paramètres!$A$1:$I$89,7,0))</f>
        <v>0</v>
      </c>
      <c r="AT64" s="122" t="n">
        <f aca="false">IF(ISNA(VLOOKUP(A64,'Données projet'!$A$61:$I$81,7,0)),0%,VLOOKUP(A64,'Données projet'!$A$61:$I$81,7,0))</f>
        <v>0</v>
      </c>
      <c r="AU64" s="129" t="n">
        <f aca="false">EXP(-LN(2)/35)*AU63+(1-EXP(-LN(2)/35))/(LN(2)/35)*AQ64*AR64*VLOOKUP('Données projet'!$B$10,Paramètres!$A$1:$I$89,3,0)*0.475*44/12</f>
        <v>1.85419571156118</v>
      </c>
      <c r="AV64" s="129" t="n">
        <f aca="false">EXP(-LN(2)/25)*AV63+(1-EXP(-LN(2)/25))/(LN(2)/25)*Calculateur!AQ64*Calculateur!AS64*VLOOKUP('Données projet'!$B$10,Paramètres!$A$1:$I$89,3,0)*0.475*44/12</f>
        <v>5.59196355639075</v>
      </c>
      <c r="AW64" s="129" t="n">
        <f aca="false">EXP(-LN(2)/2)*AW63+(1-EXP(-LN(2)/2))/(LN(2)/2)*AQ64*AT64*VLOOKUP('Données projet'!$B$10,Paramètres!$A$1:$I$89,3,0)*0.475*44/12</f>
        <v>0.000128246544021155</v>
      </c>
      <c r="AX64" s="129" t="n">
        <f aca="false">SUM(AU64:AW64)</f>
        <v>7.44628751449595</v>
      </c>
      <c r="AY64" s="124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8" t="e">
        <f aca="false">VLOOKUP(A64,'Données projet'!$A$87:$I$107,2,0)</f>
        <v>#N/A</v>
      </c>
      <c r="BB64" s="118" t="e">
        <f aca="false">VLOOKUP(A64,'Données projet'!$A$87:$I$107,9,0)</f>
        <v>#N/A</v>
      </c>
      <c r="BC64" s="118" t="n">
        <f aca="false" t="array" ref="BC64:BC64">INDEX(BB:BB,MIN(IF(ISNUMBER(BB64:BB260),ROW(BB64:BB260),"")))</f>
        <v>6</v>
      </c>
      <c r="BD64" s="118" t="n">
        <f aca="false">IF('Données projet'!$A$88&gt;35,BD63+BC64-BL63,IF(A64&lt;'Données projet'!$A$88,$BA$205^A64,IF(A64='Données projet'!$A$88,'Données projet'!$B$88,BD63+BC64-BL63)))</f>
        <v>222</v>
      </c>
      <c r="BE64" s="117" t="n">
        <f aca="false">BD64*VLOOKUP('Données projet'!$B$11,Paramètres!$A$1:$I$89,3,0)*VLOOKUP('Données projet'!$B$11,Paramètres!$A$1:$I$89,5,0)</f>
        <v>193.9392</v>
      </c>
      <c r="BF64" s="117" t="n">
        <f aca="false">EXP(-1.0587+0.8836*LN(BE64)+0.284)</f>
        <v>48.4098111980694</v>
      </c>
      <c r="BG64" s="128" t="n">
        <f aca="false">(BE64+BF64)*0.475*44/12</f>
        <v>422.091194503305</v>
      </c>
      <c r="BH64" s="120" t="n">
        <f aca="false">BG64+(AY64+AZ64)*44/12</f>
        <v>715.424527836638</v>
      </c>
      <c r="BI64" s="120" t="n">
        <f aca="true">AVERAGE(OFFSET($BH$3,0,0,'Données projet'!$E$11+1,1))-AVERAGE(OFFSET($H$3,0,0,'Données projet'!$E$11+1,1))</f>
        <v>321.235999689929</v>
      </c>
      <c r="BJ64" s="120" t="n">
        <f aca="false">$BJ$3</f>
        <v>388.051958478005</v>
      </c>
      <c r="BK64" s="121" t="n">
        <f aca="false">IF(ISNA(VLOOKUP(A64,'Données projet'!$A$87:$I$107,3,0)),0,VLOOKUP(A64,'Données projet'!$A$87:$I$107,3,0))</f>
        <v>0</v>
      </c>
      <c r="BL64" s="121" t="n">
        <f aca="false">IF(ISNA(VLOOKUP(A64,'Données projet'!$A$87:$I$107,4,0)),0,VLOOKUP(A64,'Données projet'!$A$87:$I$107,4,0))</f>
        <v>0</v>
      </c>
      <c r="BM64" s="122" t="n">
        <f aca="false">IF(ISNA(VLOOKUP(A64,'Données projet'!$A$87:$I$107,5,0)),0%,VLOOKUP(A64,'Données projet'!$A$87:$I$107,5,0)*VLOOKUP('Données projet'!$B$11,Paramètres!$A$1:$I$89,7,0))</f>
        <v>0</v>
      </c>
      <c r="BN64" s="122" t="n">
        <f aca="false">IF(ISNA(VLOOKUP(A64,'Données projet'!$A$87:$I$107,6,0)),0%,VLOOKUP(A64,'Données projet'!$A$87:$I$107,6,0)*VLOOKUP('Données projet'!$B$11,Paramètres!$A$1:$I$89,7,0))</f>
        <v>0</v>
      </c>
      <c r="BO64" s="122" t="n">
        <f aca="false">IF(ISNA(VLOOKUP(A64,'Données projet'!$A$87:$I$107,7,0)),0%,VLOOKUP(A64,'Données projet'!$A$87:$I$107,7,0))</f>
        <v>0</v>
      </c>
      <c r="BP64" s="129" t="n">
        <f aca="false">EXP(-LN(2)/35)*BP63+(1-EXP(-LN(2)/35))/(LN(2)/35)*BL64*BM64*VLOOKUP('Données projet'!$B$11,Paramètres!$A$1:$I$89,3,0)*0.475*44/12</f>
        <v>4.6551833441411</v>
      </c>
      <c r="BQ64" s="129" t="n">
        <f aca="false">EXP(-LN(2)/25)*BQ63+(1-EXP(-LN(2)/25))/(LN(2)/25)*Calculateur!BL64*Calculateur!BN64*VLOOKUP('Données projet'!$B$11,Paramètres!$A$1:$I$89,3,0)*0.475*44/12</f>
        <v>5.70794425626379</v>
      </c>
      <c r="BR64" s="129" t="n">
        <f aca="false">EXP(-LN(2)/2)*BR63+(1-EXP(-LN(2)/2))/(LN(2)/2)*BL64*BO64*VLOOKUP('Données projet'!$B$11,Paramètres!$A$1:$I$89,3,0)*0.475*44/12</f>
        <v>0.000130359946348771</v>
      </c>
      <c r="BS64" s="130" t="n">
        <f aca="false">SUM(BP64:BR64)</f>
        <v>10.3632579603512</v>
      </c>
      <c r="BT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8" t="e">
        <f aca="false">VLOOKUP(A64,'Données projet'!$A$113:$I$133,2,0)</f>
        <v>#N/A</v>
      </c>
      <c r="BW64" s="118" t="e">
        <f aca="false">VLOOKUP(A64,'Données projet'!$A$113:$I$133,9,0)</f>
        <v>#N/A</v>
      </c>
      <c r="BX64" s="118" t="n">
        <f aca="false" t="array" ref="BX64:BX64">INDEX(BW:BW,MIN(IF(ISNUMBER(BW64:BW260),ROW(BW64:BW260),"")))</f>
        <v>0</v>
      </c>
      <c r="BY64" s="118" t="n">
        <f aca="false">IF('Données projet'!$A$114&gt;35,BY63+BX64-CG63,IF(A64&lt;'Données projet'!$A$114,$BV$205^A64,IF(A64='Données projet'!$A$114,'Données projet'!$B$114,BY63+BX64-CG63)))</f>
        <v>0</v>
      </c>
      <c r="BZ64" s="117" t="n">
        <f aca="false">BY64*VLOOKUP('Données projet'!$B$12,Paramètres!$A$1:$I$89,3,0)*VLOOKUP('Données projet'!$B$12,Paramètres!$A$1:$I$89,5,0)</f>
        <v>0</v>
      </c>
      <c r="CA64" s="117" t="e">
        <f aca="false">EXP(-1.0587+0.8836*LN(BZ64)+0.284)</f>
        <v>#VALUE!</v>
      </c>
      <c r="CB64" s="128" t="e">
        <f aca="false">(BZ64+CA64)*0.475*44/12</f>
        <v>#VALUE!</v>
      </c>
      <c r="CC64" s="120" t="e">
        <f aca="false">CB64+(BT64+BU64)*44/12</f>
        <v>#VALUE!</v>
      </c>
      <c r="CD64" s="120" t="n">
        <f aca="true">AVERAGE(OFFSET($CC$3,0,0,'Données projet'!$E$12+1,1))-AVERAGE(OFFSET($H$3,0,0,'Données projet'!$E$12+1,1))</f>
        <v>240.228848647662</v>
      </c>
      <c r="CE64" s="120" t="n">
        <f aca="false">$CE$3</f>
        <v>343.237768841432</v>
      </c>
      <c r="CF64" s="121" t="n">
        <f aca="false">IF(ISNA(VLOOKUP(A64,'Données projet'!$A$113:$I$133,3,0)),0,VLOOKUP(A64,'Données projet'!$A$113:$I$133,3,0))</f>
        <v>0</v>
      </c>
      <c r="CG64" s="121" t="n">
        <f aca="false">IF(ISNA(VLOOKUP(A64,'Données projet'!$A$113:$I$133,4,0)),0,VLOOKUP(A64,'Données projet'!$A$113:$I$133,4,0))</f>
        <v>0</v>
      </c>
      <c r="CH64" s="122" t="n">
        <f aca="false">IF(ISNA(VLOOKUP(A64,'Données projet'!$A$113:$I$133,5,0)),0%,VLOOKUP(A64,'Données projet'!$A$113:$I$133,5,0)*VLOOKUP('Données projet'!$B$12,Paramètres!$A$1:$I$89,7,0))</f>
        <v>0</v>
      </c>
      <c r="CI64" s="122" t="n">
        <f aca="false">IF(ISNA(VLOOKUP(A64,'Données projet'!$A$113:$I$133,6,0)),0%,VLOOKUP(A64,'Données projet'!$A$113:$I$133,6,0)*VLOOKUP('Données projet'!$B$12,Paramètres!$A$1:$I$89,7,0))</f>
        <v>0</v>
      </c>
      <c r="CJ64" s="122" t="n">
        <f aca="false">IF(ISNA(VLOOKUP(A64,'Données projet'!$A$113:$I$133,7,0)),0%,VLOOKUP(A64,'Données projet'!$A$113:$I$133,7,0))</f>
        <v>0</v>
      </c>
      <c r="CK64" s="129" t="n">
        <f aca="false">EXP(-LN(2)/35)*CK63+(1-EXP(-LN(2)/35))/(LN(2)/35)*CG64*CH64*VLOOKUP('Données projet'!$B$12,Paramètres!$A$1:$I$89,3,0)*0.475*44/12</f>
        <v>2.84933487780831</v>
      </c>
      <c r="CL64" s="129" t="n">
        <f aca="false">EXP(-LN(2)/25)*CL63+(1-EXP(-LN(2)/25))/(LN(2)/25)*Calculateur!CG64*Calculateur!CI64*VLOOKUP('Données projet'!$B$12,Paramètres!$A$1:$I$89,3,0)*0.475*44/12</f>
        <v>10.080559988808</v>
      </c>
      <c r="CM64" s="129" t="n">
        <f aca="false">EXP(-LN(2)/2)*CM63+(1-EXP(-LN(2)/2))/(LN(2)/2)*CG64*CJ64*VLOOKUP('Données projet'!$B$12,Paramètres!$A$1:$I$89,3,0)*0.475*44/12</f>
        <v>0.000208019720430861</v>
      </c>
      <c r="CN64" s="130" t="n">
        <f aca="false">SUM(CK64:CM64)</f>
        <v>12.9301028863368</v>
      </c>
      <c r="CO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8" t="e">
        <f aca="false">VLOOKUP(A64,'Données projet'!$A$139:$I$159,2,0)</f>
        <v>#N/A</v>
      </c>
      <c r="CR64" s="118" t="e">
        <f aca="false">VLOOKUP(A64,'Données projet'!$A$139:$I$159,9,0)</f>
        <v>#N/A</v>
      </c>
      <c r="CS64" s="118" t="n">
        <f aca="false" t="array" ref="CS64:CS64">INDEX(CR:CR,MIN(IF(ISNUMBER(CR64:CR260),ROW(CR64:CR260),"")))</f>
        <v>0</v>
      </c>
      <c r="CT64" s="118" t="n">
        <f aca="false">IF('Données projet'!$A$140&gt;35,CT63+CS64-DB63,IF(A64&lt;'Données projet'!$A$140,$CQ$205^A64,IF(A64='Données projet'!$A$140,'Données projet'!$B$140,CT63+CS64-DB63)))</f>
        <v>-5.6843418860808E-014</v>
      </c>
      <c r="CU64" s="125" t="n">
        <f aca="false">CT64*VLOOKUP('Données projet'!$B$13,Paramètres!$A$1:$I$89,3,0)*VLOOKUP('Données projet'!$B$13,Paramètres!$A$1:$I$89,5,0)</f>
        <v>-3.10365066980012E-014</v>
      </c>
      <c r="CV64" s="117" t="e">
        <f aca="false">EXP(-1.0587+0.8836*LN(CU64)+0.284)</f>
        <v>#VALUE!</v>
      </c>
      <c r="CW64" s="128" t="e">
        <f aca="false">(CU64+CV64)*0.475*44/12</f>
        <v>#VALUE!</v>
      </c>
      <c r="CX64" s="120" t="e">
        <f aca="false">CW64+(CO64+CP64)*44/12</f>
        <v>#VALUE!</v>
      </c>
      <c r="CY64" s="120" t="n">
        <f aca="true">AVERAGE(OFFSET($CX$3,0,0,'Données projet'!$E$13+1,1))-AVERAGE(OFFSET($H$3,0,0,'Données projet'!$E$13+1,1))</f>
        <v>207.023069645676</v>
      </c>
      <c r="CZ64" s="120" t="n">
        <f aca="false">$CZ$3</f>
        <v>342.068879333518</v>
      </c>
      <c r="DA64" s="121" t="n">
        <f aca="false">IF(ISNA(VLOOKUP(A64,'Données projet'!$A$139:$I$159,3,0)),0,VLOOKUP(A64,'Données projet'!$A$139:$I$159,3,0))</f>
        <v>0</v>
      </c>
      <c r="DB64" s="121" t="n">
        <f aca="false">IF(ISNA(VLOOKUP(A64,'Données projet'!$A$139:$I$159,4,0)),0,VLOOKUP(A64,'Données projet'!$A$139:$I$159,4,0))</f>
        <v>0</v>
      </c>
      <c r="DC64" s="122" t="n">
        <f aca="false">IF(ISNA(VLOOKUP(A64,'Données projet'!$A$139:$I$159,5,0)),0%,VLOOKUP(A64,'Données projet'!$A$139:$I$159,5,0)*VLOOKUP('Données projet'!$B$13,Paramètres!$A$1:$I$89,7,0))</f>
        <v>0</v>
      </c>
      <c r="DD64" s="122" t="n">
        <f aca="false">IF(ISNA(VLOOKUP(A64,'Données projet'!$A$139:$I$159,6,0)),0%,VLOOKUP(A64,'Données projet'!$A$139:$I$159,6,0)*VLOOKUP('Données projet'!$B$13,Paramètres!$A$1:$I$89,7,0))</f>
        <v>0</v>
      </c>
      <c r="DE64" s="122" t="n">
        <f aca="false">IF(ISNA(VLOOKUP(A64,'Données projet'!$A$139:$I$159,7,0)),0%,VLOOKUP(A64,'Données projet'!$A$139:$I$159,7,0))</f>
        <v>0</v>
      </c>
      <c r="DF64" s="129" t="n">
        <f aca="false">EXP(-LN(2)/35)*DF63+(1-EXP(-LN(2)/35))/(LN(2)/35)*DB64*DC64*VLOOKUP('Données projet'!$B$13,Paramètres!$A$1:$I$89,3,0)*0.475*44/12</f>
        <v>3.57510885611797</v>
      </c>
      <c r="DG64" s="129" t="n">
        <f aca="false">EXP(-LN(2)/25)*DG63+(1-EXP(-LN(2)/25))/(LN(2)/25)*Calculateur!DB64*Calculateur!DD64*VLOOKUP('Données projet'!$B$13,Paramètres!$A$1:$I$89,3,0)*0.475*44/12</f>
        <v>16.4775171411007</v>
      </c>
      <c r="DH64" s="129" t="n">
        <f aca="false">EXP(-LN(2)/2)*DH63+(1-EXP(-LN(2)/2))/(LN(2)/2)*DB64*DE64*VLOOKUP('Données projet'!$B$13,Paramètres!$A$1:$I$89,3,0)*0.475*44/12</f>
        <v>0.000286443251476478</v>
      </c>
      <c r="DI64" s="130" t="n">
        <f aca="false">SUM(DF64:DH64)</f>
        <v>20.0529124404701</v>
      </c>
      <c r="DJ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8" t="e">
        <f aca="false">VLOOKUP(A64,'Données projet'!$A$165:$I$185,2,0)</f>
        <v>#N/A</v>
      </c>
      <c r="DM64" s="118" t="e">
        <f aca="false">VLOOKUP(A64,'Données projet'!$A$165:$I$185,9,0)</f>
        <v>#N/A</v>
      </c>
      <c r="DN64" s="118" t="n">
        <f aca="false" t="array" ref="DN64:DN64">INDEX(DM:DM,MIN(IF(ISNUMBER(DM64:DM260),ROW(DM64:DM260),"")))</f>
        <v>2.625</v>
      </c>
      <c r="DO64" s="118" t="n">
        <f aca="false">IF('Données projet'!$A$166&gt;35,DO63+DN64-DW63,IF(A64&lt;'Données projet'!$A$166,$DL$205^A64,IF(A64='Données projet'!$A$166,'Données projet'!$B$166,DO63+DN64-DW63)))</f>
        <v>313.375</v>
      </c>
      <c r="DP64" s="125" t="n">
        <f aca="false">DO64*VLOOKUP('Données projet'!$B$14,Paramètres!$A$1:$I$89,3,0)*VLOOKUP('Données projet'!$B$14,Paramètres!$A$1:$I$89,5,0)</f>
        <v>187.39825</v>
      </c>
      <c r="DQ64" s="117" t="n">
        <f aca="false">EXP(-1.0587+0.8836*LN(DP64)+0.284)</f>
        <v>46.9642820956814</v>
      </c>
      <c r="DR64" s="128" t="n">
        <f aca="false">(DP64+DQ64)*0.475*44/12</f>
        <v>408.181410066645</v>
      </c>
      <c r="DS64" s="120" t="n">
        <f aca="false">DR64+(DJ64+DK64)*44/12</f>
        <v>701.514743399978</v>
      </c>
      <c r="DT64" s="120" t="n">
        <f aca="true">AVERAGE(OFFSET($DS$3,0,0,'Données projet'!$E$14+1,1))-AVERAGE(OFFSET($H$3,0,0,'Données projet'!$E$14+1,1))</f>
        <v>549.432320957297</v>
      </c>
      <c r="DU64" s="120" t="n">
        <f aca="false">$DU$3</f>
        <v>280.26155987301</v>
      </c>
      <c r="DV64" s="121" t="n">
        <f aca="false">IF(ISNA(VLOOKUP(A64,'Données projet'!$A$165:$I$185,3,0)),0,VLOOKUP(A64,'Données projet'!$A$165:$I$185,3,0))</f>
        <v>0</v>
      </c>
      <c r="DW64" s="121" t="n">
        <f aca="false">IF(ISNA(VLOOKUP(A64,'Données projet'!$A$165:$I$185,4,0)),0,VLOOKUP(A64,'Données projet'!$A$165:$I$185,4,0))</f>
        <v>0</v>
      </c>
      <c r="DX64" s="122" t="n">
        <f aca="false">IF(ISNA(VLOOKUP(A64,'Données projet'!$A$165:$I$185,5,0)),0%,VLOOKUP(A64,'Données projet'!$A$165:$I$185,5,0)*VLOOKUP('Données projet'!$B$14,Paramètres!$A$1:$I$89,7,0))</f>
        <v>0</v>
      </c>
      <c r="DY64" s="122" t="n">
        <f aca="false">IF(ISNA(VLOOKUP(A64,'Données projet'!$A$165:$I$185,6,0)),0%,VLOOKUP(A64,'Données projet'!$A$165:$I$185,6,0)*VLOOKUP('Données projet'!$B$14,Paramètres!$A$1:$I$89,7,0))</f>
        <v>0</v>
      </c>
      <c r="DZ64" s="122" t="n">
        <f aca="false">IF(ISNA(VLOOKUP(A64,'Données projet'!$A$165:$I$185,7,0)),0%,VLOOKUP(A64,'Données projet'!$A$165:$I$185,7,0))</f>
        <v>0</v>
      </c>
      <c r="EA64" s="129" t="n">
        <f aca="false">EXP(-LN(2)/35)*EA63+(1-EXP(-LN(2)/35))/(LN(2)/35)*DW64*DX64*VLOOKUP('Données projet'!$B$14,Paramètres!$A$1:$I$89,3,0)*0.475*44/12</f>
        <v>1.29990559368147</v>
      </c>
      <c r="EB64" s="129" t="n">
        <f aca="false">EXP(-LN(2)/25)*EB63+(1-EXP(-LN(2)/25))/(LN(2)/25)*Calculateur!DW64*Calculateur!DY64*VLOOKUP('Données projet'!$B$14,Paramètres!$A$1:$I$89,3,0)*0.475*44/12</f>
        <v>3.28264651020648</v>
      </c>
      <c r="EC64" s="129" t="n">
        <f aca="false">EXP(-LN(2)/2)*EC63+(1-EXP(-LN(2)/2))/(LN(2)/2)*DW64*DZ64*VLOOKUP('Données projet'!$B$14,Paramètres!$A$1:$I$89,3,0)*0.475*44/12</f>
        <v>0.000132044434414829</v>
      </c>
      <c r="ED64" s="130" t="n">
        <f aca="false">SUM(EA64:EC64)</f>
        <v>4.58268414832236</v>
      </c>
      <c r="EE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8" t="e">
        <f aca="false">VLOOKUP(A64,'Données projet'!$A$191:$I$211,2,0)</f>
        <v>#N/A</v>
      </c>
      <c r="EH64" s="118" t="e">
        <f aca="false">VLOOKUP(A64,'Données projet'!$A$191:$I$211,9,0)</f>
        <v>#N/A</v>
      </c>
      <c r="EI64" s="118" t="n">
        <f aca="false" t="array" ref="EI64:EI64">INDEX(EH:EH,MIN(IF(ISNUMBER(EH64:EH260),ROW(EH64:EH260),"")))</f>
        <v>0</v>
      </c>
      <c r="EJ64" s="118" t="n">
        <f aca="false">IF('Données projet'!$A$192&gt;35,EJ63+EI64-ER63,IF(A64&lt;'Données projet'!$A$192,$EG$205^A64,IF(A64='Données projet'!$A$192,'Données projet'!$B$192,EJ63+EI64-ER63)))</f>
        <v>0</v>
      </c>
      <c r="EK64" s="125" t="e">
        <f aca="false">EJ64*VLOOKUP('Données projet'!$B$15,Paramètres!$A$1:$I$89,3,0)*VLOOKUP('Données projet'!$B$15,Paramètres!$A$1:$I$89,5,0)</f>
        <v>#N/A</v>
      </c>
      <c r="EL64" s="117" t="e">
        <f aca="false">EXP(-1.0587+0.8836*LN(EK64)+0.284)</f>
        <v>#N/A</v>
      </c>
      <c r="EM64" s="128" t="e">
        <f aca="false">(EK64+EL64)*0.475*44/12</f>
        <v>#N/A</v>
      </c>
      <c r="EN64" s="120" t="e">
        <f aca="false">EM64+(EE64+EF64)*44/12</f>
        <v>#N/A</v>
      </c>
      <c r="EO64" s="120" t="e">
        <f aca="true">AVERAGE(OFFSET($EN$3,0,0,'Données projet'!$E$15+1,1))-AVERAGE(OFFSET($H$3,0,0,'Données projet'!$E$15+1,1))</f>
        <v>#N/A</v>
      </c>
      <c r="EP64" s="120" t="e">
        <f aca="false">$EP$3</f>
        <v>#N/A</v>
      </c>
      <c r="EQ64" s="121" t="n">
        <f aca="false">IF(ISNA(VLOOKUP(A64,'Données projet'!$A$191:$I$211,3,0)),0,VLOOKUP(A64,'Données projet'!$A$191:$I$211,3,0))</f>
        <v>0</v>
      </c>
      <c r="ER64" s="121" t="n">
        <f aca="false">IF(ISNA(VLOOKUP(A64,'Données projet'!$A$191:$I$211,4,0)),0,VLOOKUP(A64,'Données projet'!$A$191:$I$211,4,0))</f>
        <v>0</v>
      </c>
      <c r="ES64" s="122" t="n">
        <f aca="false">IF(ISNA(VLOOKUP(A64,'Données projet'!$A$191:$I$211,5,0)),0%,VLOOKUP(A64,'Données projet'!$A$191:$I$211,5,0)*VLOOKUP('Données projet'!$B$15,Paramètres!$A$1:$I$89,7,0))</f>
        <v>0</v>
      </c>
      <c r="ET64" s="122" t="n">
        <f aca="false">IF(ISNA(VLOOKUP(A64,'Données projet'!$A$191:$I$211,6,0)),0%,VLOOKUP(A64,'Données projet'!$A$191:$I$211,6,0)*VLOOKUP('Données projet'!$B$15,Paramètres!$A$1:$I$89,7,0))</f>
        <v>0</v>
      </c>
      <c r="EU64" s="122" t="n">
        <f aca="false">IF(ISNA(VLOOKUP(A64,'Données projet'!$A$191:$I$211,7,0)),0%,VLOOKUP(A64,'Données projet'!$A$191:$I$211,7,0))</f>
        <v>0</v>
      </c>
      <c r="EV64" s="129" t="e">
        <f aca="false">EXP(-LN(2)/35)*EV63+(1-EXP(-LN(2)/35))/(LN(2)/35)*ER64*ES64*VLOOKUP('Données projet'!$B$15,Paramètres!$A$1:$I$89,3,0)*0.475*44/12</f>
        <v>#N/A</v>
      </c>
      <c r="EW64" s="129" t="e">
        <f aca="false">EXP(-LN(2)/25)*EW63+(1-EXP(-LN(2)/25))/(LN(2)/25)*Calculateur!ER64*Calculateur!ET64*VLOOKUP('Données projet'!$B$15,Paramètres!$A$1:$I$89,3,0)*0.475*44/12</f>
        <v>#N/A</v>
      </c>
      <c r="EX64" s="129" t="e">
        <f aca="false">EXP(-LN(2)/2)*EX63+(1-EXP(-LN(2)/2))/(LN(2)/2)*ER64*EU64*VLOOKUP('Données projet'!$B$15,Paramètres!$A$1:$I$89,3,0)*0.475*44/12</f>
        <v>#N/A</v>
      </c>
      <c r="EY64" s="130" t="e">
        <f aca="false">SUM(EV64:EX64)</f>
        <v>#N/A</v>
      </c>
      <c r="EZ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8" t="e">
        <f aca="false">VLOOKUP(A64,'Données projet'!$A$217:$I$237,2,0)</f>
        <v>#N/A</v>
      </c>
      <c r="FC64" s="118" t="e">
        <f aca="false">VLOOKUP(A64,'Données projet'!$A$217:$I$237,9,0)</f>
        <v>#N/A</v>
      </c>
      <c r="FD64" s="118" t="n">
        <f aca="false" t="array" ref="FD64:FD64">INDEX(FC:FC,MIN(IF(ISNUMBER(FC64:FC260),ROW(FC64:FC260),"")))</f>
        <v>0</v>
      </c>
      <c r="FE64" s="118" t="n">
        <f aca="false">IF('Données projet'!$A$218&gt;35,FE63+FD64-FM63,IF(A64&lt;'Données projet'!$A$218,$FB$205^A64,IF(A64='Données projet'!$A$218,'Données projet'!$B$218,FE63+FD64-FM63)))</f>
        <v>0</v>
      </c>
      <c r="FF64" s="125" t="e">
        <f aca="false">FE64*VLOOKUP('Données projet'!$B$16,Paramètres!$A$1:$I$89,3,0)*VLOOKUP('Données projet'!$B$16,Paramètres!$A$1:$I$89,5,0)</f>
        <v>#N/A</v>
      </c>
      <c r="FG64" s="117" t="e">
        <f aca="false">EXP(-1.0587+0.8836*LN(FF64)+0.284)</f>
        <v>#N/A</v>
      </c>
      <c r="FH64" s="128" t="e">
        <f aca="false">(FF64+FG64)*0.475*44/12</f>
        <v>#N/A</v>
      </c>
      <c r="FI64" s="120" t="e">
        <f aca="false">FH64+(EZ64+FA64)*44/12</f>
        <v>#N/A</v>
      </c>
      <c r="FJ64" s="120" t="e">
        <f aca="true">AVERAGE(OFFSET($FI$3,0,0,'Données projet'!$E$16+1,1))-AVERAGE(OFFSET($H$3,0,0,'Données projet'!$E$16+1,1))</f>
        <v>#N/A</v>
      </c>
      <c r="FK64" s="120" t="e">
        <f aca="false">$FK$3</f>
        <v>#N/A</v>
      </c>
      <c r="FL64" s="121" t="n">
        <f aca="false">IF(ISNA(VLOOKUP(A64,'Données projet'!$A$217:$I$237,3,0)),0,VLOOKUP(A64,'Données projet'!$A$217:$I$237,3,0))</f>
        <v>0</v>
      </c>
      <c r="FM64" s="121" t="n">
        <f aca="false">IF(ISNA(VLOOKUP(A64,'Données projet'!$A$217:$I$237,4,0)),0,VLOOKUP(A64,'Données projet'!$A$217:$I$237,4,0))</f>
        <v>0</v>
      </c>
      <c r="FN64" s="122" t="n">
        <f aca="false">IF(ISNA(VLOOKUP(A64,'Données projet'!$A$217:$I$237,5,0)),0%,VLOOKUP(A64,'Données projet'!$A$217:$I$237,5,0)*VLOOKUP('Données projet'!$B$16,Paramètres!$A$1:$I$89,7,0))</f>
        <v>0</v>
      </c>
      <c r="FO64" s="122" t="n">
        <f aca="false">IF(ISNA(VLOOKUP(A64,'Données projet'!$A$217:$I$237,6,0)),0%,VLOOKUP(A64,'Données projet'!$A$217:$I$237,6,0)*VLOOKUP('Données projet'!$B$16,Paramètres!$A$1:$I$89,7,0))</f>
        <v>0</v>
      </c>
      <c r="FP64" s="122" t="n">
        <f aca="false">IF(ISNA(VLOOKUP(A64,'Données projet'!$A$217:$I$237,7,0)),0%,VLOOKUP(A64,'Données projet'!$A$217:$I$237,7,0))</f>
        <v>0</v>
      </c>
      <c r="FQ64" s="129" t="e">
        <f aca="false">EXP(-LN(2)/35)*FQ63+(1-EXP(-LN(2)/35))/(LN(2)/35)*FM64*FN64*VLOOKUP('Données projet'!$B$16,Paramètres!$A$1:$I$89,3,0)*0.475*44/12</f>
        <v>#N/A</v>
      </c>
      <c r="FR64" s="129" t="e">
        <f aca="false">EXP(-LN(2)/25)*FR63+(1-EXP(-LN(2)/25))/(LN(2)/25)*Calculateur!FM64*Calculateur!FO64*VLOOKUP('Données projet'!$B$16,Paramètres!$A$1:$I$89,3,0)*0.475*44/12</f>
        <v>#N/A</v>
      </c>
      <c r="FS64" s="129" t="e">
        <f aca="false">EXP(-LN(2)/2)*FS63+(1-EXP(-LN(2)/2))/(LN(2)/2)*FM64*FP64*VLOOKUP('Données projet'!$B$16,Paramètres!$A$1:$I$89,3,0)*0.475*44/12</f>
        <v>#N/A</v>
      </c>
      <c r="FT64" s="130" t="e">
        <f aca="false">SUM(FQ64:FS64)</f>
        <v>#N/A</v>
      </c>
      <c r="FU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8" t="e">
        <f aca="false">VLOOKUP(A64,'Données projet'!$A$243:$I$263,2,0)</f>
        <v>#N/A</v>
      </c>
      <c r="FX64" s="118" t="e">
        <f aca="false">VLOOKUP(A64,'Données projet'!$A$243:$I$263,9,0)</f>
        <v>#N/A</v>
      </c>
      <c r="FY64" s="118" t="n">
        <f aca="false" t="array" ref="FY64:FY64">INDEX(FX:FX,MIN(IF(ISNUMBER(FX64:FX260),ROW(FX64:FX260),"")))</f>
        <v>0</v>
      </c>
      <c r="FZ64" s="118" t="n">
        <f aca="false">IF('Données projet'!$A$244&gt;35,FZ63+FY64-GH63,IF(A64&lt;'Données projet'!$A$244,$FW$205^A64,IF(A64='Données projet'!$A$244,'Données projet'!$B$244,FZ63+FY64-GH63)))</f>
        <v>0</v>
      </c>
      <c r="GA64" s="125" t="e">
        <f aca="false">FZ64*VLOOKUP('Données projet'!$B$17,Paramètres!$A$1:$I$89,3,0)*VLOOKUP('Données projet'!$B$17,Paramètres!$A$1:$I$89,5,0)</f>
        <v>#N/A</v>
      </c>
      <c r="GB64" s="117" t="e">
        <f aca="false">EXP(-1.0587+0.8836*LN(GA64)+0.284)</f>
        <v>#N/A</v>
      </c>
      <c r="GC64" s="128" t="e">
        <f aca="false">(GA64+GB64)*0.475*44/12</f>
        <v>#N/A</v>
      </c>
      <c r="GD64" s="120" t="e">
        <f aca="false">GC64+(FU64+FV64)*44/12</f>
        <v>#N/A</v>
      </c>
      <c r="GE64" s="120" t="e">
        <f aca="true">AVERAGE(OFFSET($GD$3,0,0,'Données projet'!$E$17+1,1))-AVERAGE(OFFSET($H$3,0,0,'Données projet'!$E$17+1,1))</f>
        <v>#N/A</v>
      </c>
      <c r="GF64" s="120" t="e">
        <f aca="false">$GF$3</f>
        <v>#N/A</v>
      </c>
      <c r="GG64" s="121" t="n">
        <f aca="false">IF(ISNA(VLOOKUP(A64,'Données projet'!$A$243:$I$263,3,0)),0,VLOOKUP(A64,'Données projet'!$A$243:$I$263,3,0))</f>
        <v>0</v>
      </c>
      <c r="GH64" s="121" t="n">
        <f aca="false">IF(ISNA(VLOOKUP(A64,'Données projet'!$A$243:$I$263,4,0)),0,VLOOKUP(A64,'Données projet'!$A$243:$I$263,4,0))</f>
        <v>0</v>
      </c>
      <c r="GI64" s="122" t="n">
        <f aca="false">IF(ISNA(VLOOKUP(A64,'Données projet'!$A$243:$I$263,5,0)),0%,VLOOKUP(A64,'Données projet'!$A$243:$I$263,5,0)*VLOOKUP('Données projet'!$B$17,Paramètres!$A$1:$I$89,7,0))</f>
        <v>0</v>
      </c>
      <c r="GJ64" s="122" t="n">
        <f aca="false">IF(ISNA(VLOOKUP(A64,'Données projet'!$A$243:$I$263,6,0)),0%,VLOOKUP(A64,'Données projet'!$A$243:$I$263,6,0)*VLOOKUP('Données projet'!$B$17,Paramètres!$A$1:$I$89,7,0))</f>
        <v>0</v>
      </c>
      <c r="GK64" s="122" t="n">
        <f aca="false">IF(ISNA(VLOOKUP(A64,'Données projet'!$A$243:$I$263,7,0)),0%,VLOOKUP(A64,'Données projet'!$A$243:$I$263,7,0))</f>
        <v>0</v>
      </c>
      <c r="GL64" s="129" t="e">
        <f aca="false">EXP(-LN(2)/35)*GL63+(1-EXP(-LN(2)/35))/(LN(2)/35)*GH64*GI64*VLOOKUP('Données projet'!$B$17,Paramètres!$A$1:$I$89,3,0)*0.475*44/12</f>
        <v>#N/A</v>
      </c>
      <c r="GM64" s="129" t="e">
        <f aca="false">EXP(-LN(2)/25)*GM63+(1-EXP(-LN(2)/25))/(LN(2)/25)*Calculateur!GH64*Calculateur!GJ64*VLOOKUP('Données projet'!$B$17,Paramètres!$A$1:$I$89,3,0)*0.475*44/12</f>
        <v>#N/A</v>
      </c>
      <c r="GN64" s="129" t="e">
        <f aca="false">EXP(-LN(2)/2)*GN63+(1-EXP(-LN(2)/2))/(LN(2)/2)*GH64*GK64*VLOOKUP('Données projet'!$B$17,Paramètres!$A$1:$I$89,3,0)*0.475*44/12</f>
        <v>#N/A</v>
      </c>
      <c r="GO64" s="129" t="e">
        <f aca="false">SUM(GL64:GN64)</f>
        <v>#N/A</v>
      </c>
      <c r="GP64" s="126" t="n">
        <f aca="false"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8" t="n">
        <f aca="false"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8" t="e">
        <f aca="false">VLOOKUP(A64,'Données projet'!$A$269:$I$289,2,0)</f>
        <v>#N/A</v>
      </c>
      <c r="GS64" s="118" t="e">
        <f aca="false">VLOOKUP(A64,'Données projet'!$A$269:$I$289,9,0)</f>
        <v>#N/A</v>
      </c>
      <c r="GT64" s="118" t="n">
        <f aca="false" t="array" ref="GT64:GT64">INDEX(GS:GS,MIN(IF(ISNUMBER(GS64:GS260),ROW(GS64:GS260),"")))</f>
        <v>0</v>
      </c>
      <c r="GU64" s="118" t="n">
        <f aca="false">IF('Données projet'!$A$270&gt;35,GU63+GT64-HC63,IF(A64&lt;'Données projet'!$A$270,$GR$205^A64,IF(A64='Données projet'!$A$270,'Données projet'!$B$270,GU63+GT64-HC63)))</f>
        <v>0</v>
      </c>
      <c r="GV64" s="125" t="e">
        <f aca="false">GU64*VLOOKUP('Données projet'!$B$18,Paramètres!$A$1:$I$89,3,0)*VLOOKUP('Données projet'!$B$18,Paramètres!$A$1:$I$89,5,0)</f>
        <v>#N/A</v>
      </c>
      <c r="GW64" s="117" t="e">
        <f aca="false">EXP(-1.0587+0.8836*LN(GV64)+0.284)</f>
        <v>#N/A</v>
      </c>
      <c r="GX64" s="128" t="e">
        <f aca="false">(GV64+GW64)*0.475*44/12</f>
        <v>#N/A</v>
      </c>
      <c r="GY64" s="120" t="e">
        <f aca="false">GX64+(GP64+GQ64)*44/12</f>
        <v>#N/A</v>
      </c>
      <c r="GZ64" s="120" t="e">
        <f aca="true">AVERAGE(OFFSET($GY$3,0,0,'Données projet'!$E$18+1,1))-AVERAGE(OFFSET($H$3,0,0,'Données projet'!$E$18+1,1))</f>
        <v>#N/A</v>
      </c>
      <c r="HA64" s="120" t="e">
        <f aca="false">$HA$3</f>
        <v>#N/A</v>
      </c>
      <c r="HB64" s="121" t="n">
        <f aca="false">IF(ISNA(VLOOKUP(A64,'Données projet'!$A$269:$I$289,3,0)),0,VLOOKUP(A64,'Données projet'!$A$269:$I$289,3,0))</f>
        <v>0</v>
      </c>
      <c r="HC64" s="121" t="n">
        <f aca="false">IF(ISNA(VLOOKUP(A64,'Données projet'!$A$269:$I$289,4,0)),0,VLOOKUP(A64,'Données projet'!$A$269:$I$289,4,0))</f>
        <v>0</v>
      </c>
      <c r="HD64" s="122" t="n">
        <f aca="false">IF(ISNA(VLOOKUP(A64,'Données projet'!$A$269:$I$289,5,0)),0%,VLOOKUP(A64,'Données projet'!$A$269:$I$289,5,0)*VLOOKUP('Données projet'!$B$18,Paramètres!$A$1:$I$89,7,0))</f>
        <v>0</v>
      </c>
      <c r="HE64" s="122" t="n">
        <f aca="false">IF(ISNA(VLOOKUP(A64,'Données projet'!$A$269:$I$289,6,0)),0%,VLOOKUP(A64,'Données projet'!$A$269:$I$289,6,0)*VLOOKUP('Données projet'!$B$18,Paramètres!$A$1:$I$89,7,0))</f>
        <v>0</v>
      </c>
      <c r="HF64" s="122" t="n">
        <f aca="false">IF(ISNA(VLOOKUP(A64,'Données projet'!$A$269:$I$289,7,0)),0%,VLOOKUP(A64,'Données projet'!$A$269:$I$289,7,0))</f>
        <v>0</v>
      </c>
      <c r="HG64" s="129" t="e">
        <f aca="false">EXP(-LN(2)/35)*HG63+(1-EXP(-LN(2)/35))/(LN(2)/35)*HC64*HD64*VLOOKUP('Données projet'!$B$18,Paramètres!$A$1:$I$89,3,0)*0.475*44/12</f>
        <v>#N/A</v>
      </c>
      <c r="HH64" s="129" t="e">
        <f aca="false">EXP(-LN(2)/25)*HH63+(1-EXP(-LN(2)/25))/(LN(2)/25)*Calculateur!HC64*Calculateur!HE64*VLOOKUP('Données projet'!$B$18,Paramètres!$A$1:$I$89,3,0)*0.475*44/12</f>
        <v>#N/A</v>
      </c>
      <c r="HI64" s="129" t="e">
        <f aca="false">EXP(-LN(2)/2)*HI63+(1-EXP(-LN(2)/2))/(LN(2)/2)*HC64*HF64*VLOOKUP('Données projet'!$B$18,Paramètres!$A$1:$I$89,3,0)*0.475*44/12</f>
        <v>#N/A</v>
      </c>
      <c r="HJ64" s="130" t="e">
        <f aca="false">SUM(HG64:HI64)</f>
        <v>#N/A</v>
      </c>
    </row>
    <row r="65" customFormat="false" ht="14.25" hidden="false" customHeight="false" outlineLevel="0" collapsed="false">
      <c r="A65" s="112" t="n">
        <f aca="false">A64+1</f>
        <v>62</v>
      </c>
      <c r="B65" s="113" t="n">
        <f aca="false">'Scénario référence'!$B$16*5+'Scénario référence'!$B$17*0+'Scénario référence'!$B$18*5</f>
        <v>0</v>
      </c>
      <c r="C65" s="127" t="n">
        <f aca="false"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4" t="n">
        <f aca="false">IFERROR(EXP(-1.0587+0.8836*LN(C65)+0.284),0)</f>
        <v>0</v>
      </c>
      <c r="E6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5" s="114" t="n">
        <f aca="false">IF(OR('Scénario référence'!$F$8&gt;0,'Scénario référence'!$F$9&gt;0),('Scénario référence'!$F$8+'Scénario référence'!$F$9)*10,0)</f>
        <v>0</v>
      </c>
      <c r="G65" s="114" t="n">
        <f aca="false"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15" t="n">
        <f aca="false">(B65+E65+F65)*44/12+(C65+D65)*0.475*44/12</f>
        <v>256.666666666667</v>
      </c>
      <c r="I65" s="11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7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8" t="e">
        <f aca="false">VLOOKUP(A65,'Données projet'!$A$35:$I$55,2,0)</f>
        <v>#N/A</v>
      </c>
      <c r="L65" s="118" t="e">
        <f aca="false">VLOOKUP(A65,'Données projet'!$A$35:$I$55,9,0)</f>
        <v>#N/A</v>
      </c>
      <c r="M65" s="118" t="n">
        <f aca="false" t="array" ref="M65:M65">INDEX(L:L,MIN(IF(ISNUMBER(L65:L261),ROW(L65:L261),"")))</f>
        <v>15.5</v>
      </c>
      <c r="N65" s="117" t="n">
        <f aca="false">IF('Données projet'!$A$36&gt;35,N64+M65-V64,IF(A65&lt;'Données projet'!$A$36,$K$205^A65,IF(A65='Données projet'!$A$36,'Données projet'!$B$36,N64+M65-V64)))</f>
        <v>299.5</v>
      </c>
      <c r="O65" s="117" t="n">
        <f aca="false">N65*VLOOKUP('Données projet'!$B$9,Paramètres!$A$1:$I$89,3,0)*VLOOKUP('Données projet'!$B$9,Paramètres!$A$1:$I$89,5,0)</f>
        <v>140.166</v>
      </c>
      <c r="P65" s="117" t="n">
        <f aca="false">EXP(-1.0587+0.8836*LN(O65)+0.284)</f>
        <v>36.3350311408401</v>
      </c>
      <c r="Q65" s="128" t="n">
        <f aca="false">(O65+P65)*0.475*44/12</f>
        <v>307.405962570296</v>
      </c>
      <c r="R65" s="120" t="n">
        <f aca="false">Q65+(I65+J65)*44/12</f>
        <v>600.73929590363</v>
      </c>
      <c r="S65" s="120" t="n">
        <f aca="true">AVERAGE(OFFSET($R$3,0,0,'Données projet'!$E$9+1,1))-AVERAGE(OFFSET($H$3,0,0,'Données projet'!$E$9+1,1))</f>
        <v>319.229030946746</v>
      </c>
      <c r="T65" s="120" t="n">
        <f aca="false">$T$3</f>
        <v>254.586909731428</v>
      </c>
      <c r="U65" s="121" t="n">
        <f aca="false">IF(ISNA(VLOOKUP(A65,'Données projet'!$A$35:$I$55,3,0)),0,VLOOKUP(A65,'Données projet'!$A$35:$I$55,3,0))</f>
        <v>0</v>
      </c>
      <c r="V65" s="121" t="n">
        <f aca="false">IF(ISNA(VLOOKUP(A65,'Données projet'!$A$35:$I$55,4,0)),0,VLOOKUP(A65,'Données projet'!$A$35:$I$55,4,0))</f>
        <v>0</v>
      </c>
      <c r="W65" s="122" t="n">
        <f aca="false">IF(ISNA(VLOOKUP(A65,'Données projet'!$A$35:$I$55,5,0)),0%,VLOOKUP(A65,'Données projet'!$A$35:$I$55,5,0)*VLOOKUP('Données projet'!$B$9,Paramètres!$A$1:$I$89,7,0))</f>
        <v>0</v>
      </c>
      <c r="X65" s="122" t="n">
        <f aca="false">IF(ISNA(VLOOKUP(A65,'Données projet'!$A$35:$I$55,6,0)),0%,VLOOKUP(A65,'Données projet'!$A$35:$I$55,6,0)*VLOOKUP('Données projet'!$B$9,Paramètres!$A$1:$I$89,7,0))</f>
        <v>0</v>
      </c>
      <c r="Y65" s="122" t="n">
        <f aca="false">IF(ISNA(VLOOKUP(A65,'Données projet'!$A$35:$I$55,7,0)),0%,VLOOKUP(A65,'Données projet'!$A$35:$I$55,7,0))</f>
        <v>0</v>
      </c>
      <c r="Z65" s="129" t="n">
        <f aca="false">EXP(-LN(2)/35)*Z64+(1-EXP(-LN(2)/35))/(LN(2)/35)*V65*W65*VLOOKUP('Données projet'!$B$9,Paramètres!$A$1:$I$89,3,0)*0.475*44/12</f>
        <v>4.81587338280531</v>
      </c>
      <c r="AA65" s="129" t="n">
        <f aca="false">EXP(-LN(2)/25)*AA64+(1-EXP(-LN(2)/25))/(LN(2)/25)*Calculateur!V65*Calculateur!X65*VLOOKUP('Données projet'!$B$9,Paramètres!$A$1:$I$89,3,0)*0.475*44/12</f>
        <v>4.59206358057006</v>
      </c>
      <c r="AB65" s="129" t="n">
        <f aca="false">EXP(-LN(2)/2)*AB64+(1-EXP(-LN(2)/2))/(LN(2)/2)*V65*Y65*VLOOKUP('Données projet'!$B$9,Paramètres!$A$1:$I$89,3,0)*0.475*44/12</f>
        <v>0.000168504770562719</v>
      </c>
      <c r="AC65" s="130" t="n">
        <f aca="false">SUM(Z65:AB65)</f>
        <v>9.40810546814594</v>
      </c>
      <c r="AD65" s="117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7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8" t="e">
        <f aca="false">VLOOKUP(A65,'Données projet'!$A$61:$I$81,2,0)</f>
        <v>#N/A</v>
      </c>
      <c r="AG65" s="118" t="e">
        <f aca="false">VLOOKUP(A65,'Données projet'!$A$61:$I$81,9,0)</f>
        <v>#N/A</v>
      </c>
      <c r="AH65" s="118" t="n">
        <f aca="false" t="array" ref="AH65:AH65">INDEX(AG:AG,MIN(IF(ISNUMBER(AG65:AG261),ROW(AG65:AG261),"")))</f>
        <v>0</v>
      </c>
      <c r="AI65" s="117" t="n">
        <f aca="false">IF('Données projet'!$A$62&gt;35,AI64+AH65-AQ64,IF(A65&lt;'Données projet'!$A$62,$AF$205^A65,IF(A65='Données projet'!$A$62,'Données projet'!$B$62,AI64+AH65-AQ64)))</f>
        <v>1.13686837721616E-013</v>
      </c>
      <c r="AJ65" s="117" t="n">
        <f aca="false">AI65*VLOOKUP('Données projet'!$B$10,Paramètres!$A$1:$I$89,3,0)*VLOOKUP('Données projet'!$B$10,Paramètres!$A$1:$I$89,5,0)</f>
        <v>6.35509422863834E-014</v>
      </c>
      <c r="AK65" s="117" t="n">
        <f aca="false">EXP(-1.0587+0.8836*LN(AJ65)+0.284)</f>
        <v>1.0064464192544E-012</v>
      </c>
      <c r="AL65" s="128" t="n">
        <f aca="false">(AJ65+AK65)*0.475*44/12</f>
        <v>1.86357873801686E-012</v>
      </c>
      <c r="AM65" s="120" t="n">
        <f aca="false">AL65+(AD65+AE65)*44/12</f>
        <v>293.333333333335</v>
      </c>
      <c r="AN65" s="120" t="n">
        <f aca="true">AVERAGE(OFFSET($AM$3,0,0,'Données projet'!$E$10+1,1))-AVERAGE(OFFSET($H$3,0,0,'Données projet'!$E$10+1,1))</f>
        <v>365.705101827279</v>
      </c>
      <c r="AO65" s="120" t="n">
        <f aca="false">$AO$3</f>
        <v>436.238338449625</v>
      </c>
      <c r="AP65" s="121" t="n">
        <f aca="false">IF(ISNA(VLOOKUP(A65,'Données projet'!$A$61:$I$81,3,0)),0,VLOOKUP(A65,'Données projet'!$A$61:$I$81,3,0))</f>
        <v>0</v>
      </c>
      <c r="AQ65" s="121" t="n">
        <f aca="false">IF(ISNA(VLOOKUP(A65,'Données projet'!$A$61:$I$81,4,0)),0,VLOOKUP(A65,'Données projet'!$A$61:$I$81,4,0))</f>
        <v>0</v>
      </c>
      <c r="AR65" s="122" t="n">
        <f aca="false">IF(ISNA(VLOOKUP(A65,'Données projet'!$A$61:$I$81,5,0)),0%,VLOOKUP(A65,'Données projet'!$A$61:$I$81,5,0)*VLOOKUP('Données projet'!$B$10,Paramètres!$A$1:$I$89,7,0))</f>
        <v>0</v>
      </c>
      <c r="AS65" s="122" t="n">
        <f aca="false">IF(ISNA(VLOOKUP(A65,'Données projet'!$A$61:$I$81,6,0)),0%,VLOOKUP(A65,'Données projet'!$A$61:$I$81,6,0)*VLOOKUP('Données projet'!$B$10,Paramètres!$A$1:$I$89,7,0))</f>
        <v>0</v>
      </c>
      <c r="AT65" s="122" t="n">
        <f aca="false">IF(ISNA(VLOOKUP(A65,'Données projet'!$A$61:$I$81,7,0)),0%,VLOOKUP(A65,'Données projet'!$A$61:$I$81,7,0))</f>
        <v>0</v>
      </c>
      <c r="AU65" s="129" t="n">
        <f aca="false">EXP(-LN(2)/35)*AU64+(1-EXP(-LN(2)/35))/(LN(2)/35)*AQ65*AR65*VLOOKUP('Données projet'!$B$10,Paramètres!$A$1:$I$89,3,0)*0.475*44/12</f>
        <v>1.81783606460518</v>
      </c>
      <c r="AV65" s="129" t="n">
        <f aca="false">EXP(-LN(2)/25)*AV64+(1-EXP(-LN(2)/25))/(LN(2)/25)*Calculateur!AQ65*Calculateur!AS65*VLOOKUP('Données projet'!$B$10,Paramètres!$A$1:$I$89,3,0)*0.475*44/12</f>
        <v>5.43905101887266</v>
      </c>
      <c r="AW65" s="129" t="n">
        <f aca="false">EXP(-LN(2)/2)*AW64+(1-EXP(-LN(2)/2))/(LN(2)/2)*AQ65*AT65*VLOOKUP('Données projet'!$B$10,Paramètres!$A$1:$I$89,3,0)*0.475*44/12</f>
        <v>9.06840009410979E-005</v>
      </c>
      <c r="AX65" s="129" t="n">
        <f aca="false">SUM(AU65:AW65)</f>
        <v>7.25697776747878</v>
      </c>
      <c r="AY65" s="124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8" t="e">
        <f aca="false">VLOOKUP(A65,'Données projet'!$A$87:$I$107,2,0)</f>
        <v>#N/A</v>
      </c>
      <c r="BB65" s="118" t="e">
        <f aca="false">VLOOKUP(A65,'Données projet'!$A$87:$I$107,9,0)</f>
        <v>#N/A</v>
      </c>
      <c r="BC65" s="118" t="n">
        <f aca="false" t="array" ref="BC65:BC65">INDEX(BB:BB,MIN(IF(ISNUMBER(BB65:BB261),ROW(BB65:BB261),"")))</f>
        <v>6</v>
      </c>
      <c r="BD65" s="118" t="n">
        <f aca="false">IF('Données projet'!$A$88&gt;35,BD64+BC65-BL64,IF(A65&lt;'Données projet'!$A$88,$BA$205^A65,IF(A65='Données projet'!$A$88,'Données projet'!$B$88,BD64+BC65-BL64)))</f>
        <v>228</v>
      </c>
      <c r="BE65" s="117" t="n">
        <f aca="false">BD65*VLOOKUP('Données projet'!$B$11,Paramètres!$A$1:$I$89,3,0)*VLOOKUP('Données projet'!$B$11,Paramètres!$A$1:$I$89,5,0)</f>
        <v>199.1808</v>
      </c>
      <c r="BF65" s="117" t="n">
        <f aca="false">EXP(-1.0587+0.8836*LN(BE65)+0.284)</f>
        <v>49.5640893764137</v>
      </c>
      <c r="BG65" s="128" t="n">
        <f aca="false">(BE65+BF65)*0.475*44/12</f>
        <v>433.230682330588</v>
      </c>
      <c r="BH65" s="120" t="n">
        <f aca="false">BG65+(AY65+AZ65)*44/12</f>
        <v>726.564015663921</v>
      </c>
      <c r="BI65" s="120" t="n">
        <f aca="true">AVERAGE(OFFSET($BH$3,0,0,'Données projet'!$E$11+1,1))-AVERAGE(OFFSET($H$3,0,0,'Données projet'!$E$11+1,1))</f>
        <v>321.235999689929</v>
      </c>
      <c r="BJ65" s="120" t="n">
        <f aca="false">$BJ$3</f>
        <v>388.051958478005</v>
      </c>
      <c r="BK65" s="121" t="n">
        <f aca="false">IF(ISNA(VLOOKUP(A65,'Données projet'!$A$87:$I$107,3,0)),0,VLOOKUP(A65,'Données projet'!$A$87:$I$107,3,0))</f>
        <v>0</v>
      </c>
      <c r="BL65" s="121" t="n">
        <f aca="false">IF(ISNA(VLOOKUP(A65,'Données projet'!$A$87:$I$107,4,0)),0,VLOOKUP(A65,'Données projet'!$A$87:$I$107,4,0))</f>
        <v>0</v>
      </c>
      <c r="BM65" s="122" t="n">
        <f aca="false">IF(ISNA(VLOOKUP(A65,'Données projet'!$A$87:$I$107,5,0)),0%,VLOOKUP(A65,'Données projet'!$A$87:$I$107,5,0)*VLOOKUP('Données projet'!$B$11,Paramètres!$A$1:$I$89,7,0))</f>
        <v>0</v>
      </c>
      <c r="BN65" s="122" t="n">
        <f aca="false">IF(ISNA(VLOOKUP(A65,'Données projet'!$A$87:$I$107,6,0)),0%,VLOOKUP(A65,'Données projet'!$A$87:$I$107,6,0)*VLOOKUP('Données projet'!$B$11,Paramètres!$A$1:$I$89,7,0))</f>
        <v>0</v>
      </c>
      <c r="BO65" s="122" t="n">
        <f aca="false">IF(ISNA(VLOOKUP(A65,'Données projet'!$A$87:$I$107,7,0)),0%,VLOOKUP(A65,'Données projet'!$A$87:$I$107,7,0))</f>
        <v>0</v>
      </c>
      <c r="BP65" s="129" t="n">
        <f aca="false">EXP(-LN(2)/35)*BP64+(1-EXP(-LN(2)/35))/(LN(2)/35)*BL65*BM65*VLOOKUP('Données projet'!$B$11,Paramètres!$A$1:$I$89,3,0)*0.475*44/12</f>
        <v>4.56389803814397</v>
      </c>
      <c r="BQ65" s="129" t="n">
        <f aca="false">EXP(-LN(2)/25)*BQ64+(1-EXP(-LN(2)/25))/(LN(2)/25)*Calculateur!BL65*Calculateur!BN65*VLOOKUP('Données projet'!$B$11,Paramètres!$A$1:$I$89,3,0)*0.475*44/12</f>
        <v>5.55186022040851</v>
      </c>
      <c r="BR65" s="129" t="n">
        <f aca="false">EXP(-LN(2)/2)*BR64+(1-EXP(-LN(2)/2))/(LN(2)/2)*BL65*BO65*VLOOKUP('Données projet'!$B$11,Paramètres!$A$1:$I$89,3,0)*0.475*44/12</f>
        <v>9.21784020583303E-005</v>
      </c>
      <c r="BS65" s="130" t="n">
        <f aca="false">SUM(BP65:BR65)</f>
        <v>10.1158504369545</v>
      </c>
      <c r="BT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8" t="e">
        <f aca="false">VLOOKUP(A65,'Données projet'!$A$113:$I$133,2,0)</f>
        <v>#N/A</v>
      </c>
      <c r="BW65" s="118" t="e">
        <f aca="false">VLOOKUP(A65,'Données projet'!$A$113:$I$133,9,0)</f>
        <v>#N/A</v>
      </c>
      <c r="BX65" s="118" t="n">
        <f aca="false" t="array" ref="BX65:BX65">INDEX(BW:BW,MIN(IF(ISNUMBER(BW65:BW261),ROW(BW65:BW261),"")))</f>
        <v>0</v>
      </c>
      <c r="BY65" s="118" t="n">
        <f aca="false">IF('Données projet'!$A$114&gt;35,BY64+BX65-CG64,IF(A65&lt;'Données projet'!$A$114,$BV$205^A65,IF(A65='Données projet'!$A$114,'Données projet'!$B$114,BY64+BX65-CG64)))</f>
        <v>0</v>
      </c>
      <c r="BZ65" s="117" t="n">
        <f aca="false">BY65*VLOOKUP('Données projet'!$B$12,Paramètres!$A$1:$I$89,3,0)*VLOOKUP('Données projet'!$B$12,Paramètres!$A$1:$I$89,5,0)</f>
        <v>0</v>
      </c>
      <c r="CA65" s="117" t="e">
        <f aca="false">EXP(-1.0587+0.8836*LN(BZ65)+0.284)</f>
        <v>#VALUE!</v>
      </c>
      <c r="CB65" s="128" t="e">
        <f aca="false">(BZ65+CA65)*0.475*44/12</f>
        <v>#VALUE!</v>
      </c>
      <c r="CC65" s="120" t="e">
        <f aca="false">CB65+(BT65+BU65)*44/12</f>
        <v>#VALUE!</v>
      </c>
      <c r="CD65" s="120" t="n">
        <f aca="true">AVERAGE(OFFSET($CC$3,0,0,'Données projet'!$E$12+1,1))-AVERAGE(OFFSET($H$3,0,0,'Données projet'!$E$12+1,1))</f>
        <v>240.228848647662</v>
      </c>
      <c r="CE65" s="120" t="n">
        <f aca="false">$CE$3</f>
        <v>343.237768841432</v>
      </c>
      <c r="CF65" s="121" t="n">
        <f aca="false">IF(ISNA(VLOOKUP(A65,'Données projet'!$A$113:$I$133,3,0)),0,VLOOKUP(A65,'Données projet'!$A$113:$I$133,3,0))</f>
        <v>0</v>
      </c>
      <c r="CG65" s="121" t="n">
        <f aca="false">IF(ISNA(VLOOKUP(A65,'Données projet'!$A$113:$I$133,4,0)),0,VLOOKUP(A65,'Données projet'!$A$113:$I$133,4,0))</f>
        <v>0</v>
      </c>
      <c r="CH65" s="122" t="n">
        <f aca="false">IF(ISNA(VLOOKUP(A65,'Données projet'!$A$113:$I$133,5,0)),0%,VLOOKUP(A65,'Données projet'!$A$113:$I$133,5,0)*VLOOKUP('Données projet'!$B$12,Paramètres!$A$1:$I$89,7,0))</f>
        <v>0</v>
      </c>
      <c r="CI65" s="122" t="n">
        <f aca="false">IF(ISNA(VLOOKUP(A65,'Données projet'!$A$113:$I$133,6,0)),0%,VLOOKUP(A65,'Données projet'!$A$113:$I$133,6,0)*VLOOKUP('Données projet'!$B$12,Paramètres!$A$1:$I$89,7,0))</f>
        <v>0</v>
      </c>
      <c r="CJ65" s="122" t="n">
        <f aca="false">IF(ISNA(VLOOKUP(A65,'Données projet'!$A$113:$I$133,7,0)),0%,VLOOKUP(A65,'Données projet'!$A$113:$I$133,7,0))</f>
        <v>0</v>
      </c>
      <c r="CK65" s="129" t="n">
        <f aca="false">EXP(-LN(2)/35)*CK64+(1-EXP(-LN(2)/35))/(LN(2)/35)*CG65*CH65*VLOOKUP('Données projet'!$B$12,Paramètres!$A$1:$I$89,3,0)*0.475*44/12</f>
        <v>2.79346115877716</v>
      </c>
      <c r="CL65" s="129" t="n">
        <f aca="false">EXP(-LN(2)/25)*CL64+(1-EXP(-LN(2)/25))/(LN(2)/25)*Calculateur!CG65*Calculateur!CI65*VLOOKUP('Données projet'!$B$12,Paramètres!$A$1:$I$89,3,0)*0.475*44/12</f>
        <v>9.80490654580047</v>
      </c>
      <c r="CM65" s="129" t="n">
        <f aca="false">EXP(-LN(2)/2)*CM64+(1-EXP(-LN(2)/2))/(LN(2)/2)*CG65*CJ65*VLOOKUP('Données projet'!$B$12,Paramètres!$A$1:$I$89,3,0)*0.475*44/12</f>
        <v>0.000147092154937192</v>
      </c>
      <c r="CN65" s="130" t="n">
        <f aca="false">SUM(CK65:CM65)</f>
        <v>12.5985147967326</v>
      </c>
      <c r="CO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8" t="e">
        <f aca="false">VLOOKUP(A65,'Données projet'!$A$139:$I$159,2,0)</f>
        <v>#N/A</v>
      </c>
      <c r="CR65" s="118" t="e">
        <f aca="false">VLOOKUP(A65,'Données projet'!$A$139:$I$159,9,0)</f>
        <v>#N/A</v>
      </c>
      <c r="CS65" s="118" t="n">
        <f aca="false" t="array" ref="CS65:CS65">INDEX(CR:CR,MIN(IF(ISNUMBER(CR65:CR261),ROW(CR65:CR261),"")))</f>
        <v>0</v>
      </c>
      <c r="CT65" s="118" t="n">
        <f aca="false">IF('Données projet'!$A$140&gt;35,CT64+CS65-DB64,IF(A65&lt;'Données projet'!$A$140,$CQ$205^A65,IF(A65='Données projet'!$A$140,'Données projet'!$B$140,CT64+CS65-DB64)))</f>
        <v>-5.6843418860808E-014</v>
      </c>
      <c r="CU65" s="125" t="n">
        <f aca="false">CT65*VLOOKUP('Données projet'!$B$13,Paramètres!$A$1:$I$89,3,0)*VLOOKUP('Données projet'!$B$13,Paramètres!$A$1:$I$89,5,0)</f>
        <v>-3.10365066980012E-014</v>
      </c>
      <c r="CV65" s="117" t="e">
        <f aca="false">EXP(-1.0587+0.8836*LN(CU65)+0.284)</f>
        <v>#VALUE!</v>
      </c>
      <c r="CW65" s="128" t="e">
        <f aca="false">(CU65+CV65)*0.475*44/12</f>
        <v>#VALUE!</v>
      </c>
      <c r="CX65" s="120" t="e">
        <f aca="false">CW65+(CO65+CP65)*44/12</f>
        <v>#VALUE!</v>
      </c>
      <c r="CY65" s="120" t="n">
        <f aca="true">AVERAGE(OFFSET($CX$3,0,0,'Données projet'!$E$13+1,1))-AVERAGE(OFFSET($H$3,0,0,'Données projet'!$E$13+1,1))</f>
        <v>207.023069645676</v>
      </c>
      <c r="CZ65" s="120" t="n">
        <f aca="false">$CZ$3</f>
        <v>342.068879333518</v>
      </c>
      <c r="DA65" s="121" t="n">
        <f aca="false">IF(ISNA(VLOOKUP(A65,'Données projet'!$A$139:$I$159,3,0)),0,VLOOKUP(A65,'Données projet'!$A$139:$I$159,3,0))</f>
        <v>0</v>
      </c>
      <c r="DB65" s="121" t="n">
        <f aca="false">IF(ISNA(VLOOKUP(A65,'Données projet'!$A$139:$I$159,4,0)),0,VLOOKUP(A65,'Données projet'!$A$139:$I$159,4,0))</f>
        <v>0</v>
      </c>
      <c r="DC65" s="122" t="n">
        <f aca="false">IF(ISNA(VLOOKUP(A65,'Données projet'!$A$139:$I$159,5,0)),0%,VLOOKUP(A65,'Données projet'!$A$139:$I$159,5,0)*VLOOKUP('Données projet'!$B$13,Paramètres!$A$1:$I$89,7,0))</f>
        <v>0</v>
      </c>
      <c r="DD65" s="122" t="n">
        <f aca="false">IF(ISNA(VLOOKUP(A65,'Données projet'!$A$139:$I$159,6,0)),0%,VLOOKUP(A65,'Données projet'!$A$139:$I$159,6,0)*VLOOKUP('Données projet'!$B$13,Paramètres!$A$1:$I$89,7,0))</f>
        <v>0</v>
      </c>
      <c r="DE65" s="122" t="n">
        <f aca="false">IF(ISNA(VLOOKUP(A65,'Données projet'!$A$139:$I$159,7,0)),0%,VLOOKUP(A65,'Données projet'!$A$139:$I$159,7,0))</f>
        <v>0</v>
      </c>
      <c r="DF65" s="129" t="n">
        <f aca="false">EXP(-LN(2)/35)*DF64+(1-EXP(-LN(2)/35))/(LN(2)/35)*DB65*DC65*VLOOKUP('Données projet'!$B$13,Paramètres!$A$1:$I$89,3,0)*0.475*44/12</f>
        <v>3.50500315205058</v>
      </c>
      <c r="DG65" s="129" t="n">
        <f aca="false">EXP(-LN(2)/25)*DG64+(1-EXP(-LN(2)/25))/(LN(2)/25)*Calculateur!DB65*Calculateur!DD65*VLOOKUP('Données projet'!$B$13,Paramètres!$A$1:$I$89,3,0)*0.475*44/12</f>
        <v>16.0269385683623</v>
      </c>
      <c r="DH65" s="129" t="n">
        <f aca="false">EXP(-LN(2)/2)*DH64+(1-EXP(-LN(2)/2))/(LN(2)/2)*DB65*DE65*VLOOKUP('Données projet'!$B$13,Paramètres!$A$1:$I$89,3,0)*0.475*44/12</f>
        <v>0.000202545965544141</v>
      </c>
      <c r="DI65" s="130" t="n">
        <f aca="false">SUM(DF65:DH65)</f>
        <v>19.5321442663785</v>
      </c>
      <c r="DJ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8" t="n">
        <f aca="false">VLOOKUP(A65,'Données projet'!$A$165:$I$185,2,0)</f>
        <v>316</v>
      </c>
      <c r="DM65" s="118" t="n">
        <f aca="false">VLOOKUP(A65,'Données projet'!$A$165:$I$185,9,0)</f>
        <v>2.625</v>
      </c>
      <c r="DN65" s="118" t="n">
        <f aca="false" t="array" ref="DN65:DN65">INDEX(DM:DM,MIN(IF(ISNUMBER(DM65:DM261),ROW(DM65:DM261),"")))</f>
        <v>2.625</v>
      </c>
      <c r="DO65" s="118" t="n">
        <f aca="false">IF('Données projet'!$A$166&gt;35,DO64+DN65-DW64,IF(A65&lt;'Données projet'!$A$166,$DL$205^A65,IF(A65='Données projet'!$A$166,'Données projet'!$B$166,DO64+DN65-DW64)))</f>
        <v>316</v>
      </c>
      <c r="DP65" s="125" t="n">
        <f aca="false">DO65*VLOOKUP('Données projet'!$B$14,Paramètres!$A$1:$I$89,3,0)*VLOOKUP('Données projet'!$B$14,Paramètres!$A$1:$I$89,5,0)</f>
        <v>188.968</v>
      </c>
      <c r="DQ65" s="117" t="n">
        <f aca="false">EXP(-1.0587+0.8836*LN(DP65)+0.284)</f>
        <v>47.3117200319471</v>
      </c>
      <c r="DR65" s="128" t="n">
        <f aca="false">(DP65+DQ65)*0.475*44/12</f>
        <v>411.520512388975</v>
      </c>
      <c r="DS65" s="120" t="n">
        <f aca="false">DR65+(DJ65+DK65)*44/12</f>
        <v>704.853845722308</v>
      </c>
      <c r="DT65" s="120" t="n">
        <f aca="true">AVERAGE(OFFSET($DS$3,0,0,'Données projet'!$E$14+1,1))-AVERAGE(OFFSET($H$3,0,0,'Données projet'!$E$14+1,1))</f>
        <v>549.432320957297</v>
      </c>
      <c r="DU65" s="120" t="n">
        <f aca="false">$DU$3</f>
        <v>280.26155987301</v>
      </c>
      <c r="DV65" s="121" t="n">
        <f aca="false">IF(ISNA(VLOOKUP(A65,'Données projet'!$A$165:$I$185,3,0)),0,VLOOKUP(A65,'Données projet'!$A$165:$I$185,3,0))</f>
        <v>10</v>
      </c>
      <c r="DW65" s="121" t="n">
        <f aca="false">IF(ISNA(VLOOKUP(A65,'Données projet'!$A$165:$I$185,4,0)),0,VLOOKUP(A65,'Données projet'!$A$165:$I$185,4,0))</f>
        <v>316</v>
      </c>
      <c r="DX65" s="122" t="n">
        <f aca="false">IF(ISNA(VLOOKUP(A65,'Données projet'!$A$165:$I$185,5,0)),0%,VLOOKUP(A65,'Données projet'!$A$165:$I$185,5,0)*VLOOKUP('Données projet'!$B$14,Paramètres!$A$1:$I$89,7,0))</f>
        <v>0</v>
      </c>
      <c r="DY65" s="122" t="n">
        <f aca="false">IF(ISNA(VLOOKUP(A65,'Données projet'!$A$165:$I$185,6,0)),0%,VLOOKUP(A65,'Données projet'!$A$165:$I$185,6,0)*VLOOKUP('Données projet'!$B$14,Paramètres!$A$1:$I$89,7,0))</f>
        <v>0</v>
      </c>
      <c r="DZ65" s="122" t="n">
        <f aca="false">IF(ISNA(VLOOKUP(A65,'Données projet'!$A$165:$I$185,7,0)),0%,VLOOKUP(A65,'Données projet'!$A$165:$I$185,7,0))</f>
        <v>0</v>
      </c>
      <c r="EA65" s="129" t="n">
        <f aca="false">EXP(-LN(2)/35)*EA64+(1-EXP(-LN(2)/35))/(LN(2)/35)*DW65*DX65*VLOOKUP('Données projet'!$B$14,Paramètres!$A$1:$I$89,3,0)*0.475*44/12</f>
        <v>1.2744152378535</v>
      </c>
      <c r="EB65" s="129" t="n">
        <f aca="false">EXP(-LN(2)/25)*EB64+(1-EXP(-LN(2)/25))/(LN(2)/25)*Calculateur!DW65*Calculateur!DY65*VLOOKUP('Données projet'!$B$14,Paramètres!$A$1:$I$89,3,0)*0.475*44/12</f>
        <v>3.192882368758</v>
      </c>
      <c r="EC65" s="129" t="n">
        <f aca="false">EXP(-LN(2)/2)*EC64+(1-EXP(-LN(2)/2))/(LN(2)/2)*DW65*DZ65*VLOOKUP('Données projet'!$B$14,Paramètres!$A$1:$I$89,3,0)*0.475*44/12</f>
        <v>9.33695149926678E-005</v>
      </c>
      <c r="ED65" s="130" t="n">
        <f aca="false">SUM(EA65:EC65)</f>
        <v>4.46739097612649</v>
      </c>
      <c r="EE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8" t="e">
        <f aca="false">VLOOKUP(A65,'Données projet'!$A$191:$I$211,2,0)</f>
        <v>#N/A</v>
      </c>
      <c r="EH65" s="118" t="e">
        <f aca="false">VLOOKUP(A65,'Données projet'!$A$191:$I$211,9,0)</f>
        <v>#N/A</v>
      </c>
      <c r="EI65" s="118" t="n">
        <f aca="false" t="array" ref="EI65:EI65">INDEX(EH:EH,MIN(IF(ISNUMBER(EH65:EH261),ROW(EH65:EH261),"")))</f>
        <v>0</v>
      </c>
      <c r="EJ65" s="118" t="n">
        <f aca="false">IF('Données projet'!$A$192&gt;35,EJ64+EI65-ER64,IF(A65&lt;'Données projet'!$A$192,$EG$205^A65,IF(A65='Données projet'!$A$192,'Données projet'!$B$192,EJ64+EI65-ER64)))</f>
        <v>0</v>
      </c>
      <c r="EK65" s="125" t="e">
        <f aca="false">EJ65*VLOOKUP('Données projet'!$B$15,Paramètres!$A$1:$I$89,3,0)*VLOOKUP('Données projet'!$B$15,Paramètres!$A$1:$I$89,5,0)</f>
        <v>#N/A</v>
      </c>
      <c r="EL65" s="117" t="e">
        <f aca="false">EXP(-1.0587+0.8836*LN(EK65)+0.284)</f>
        <v>#N/A</v>
      </c>
      <c r="EM65" s="128" t="e">
        <f aca="false">(EK65+EL65)*0.475*44/12</f>
        <v>#N/A</v>
      </c>
      <c r="EN65" s="120" t="e">
        <f aca="false">EM65+(EE65+EF65)*44/12</f>
        <v>#N/A</v>
      </c>
      <c r="EO65" s="120" t="e">
        <f aca="true">AVERAGE(OFFSET($EN$3,0,0,'Données projet'!$E$15+1,1))-AVERAGE(OFFSET($H$3,0,0,'Données projet'!$E$15+1,1))</f>
        <v>#N/A</v>
      </c>
      <c r="EP65" s="120" t="e">
        <f aca="false">$EP$3</f>
        <v>#N/A</v>
      </c>
      <c r="EQ65" s="121" t="n">
        <f aca="false">IF(ISNA(VLOOKUP(A65,'Données projet'!$A$191:$I$211,3,0)),0,VLOOKUP(A65,'Données projet'!$A$191:$I$211,3,0))</f>
        <v>0</v>
      </c>
      <c r="ER65" s="121" t="n">
        <f aca="false">IF(ISNA(VLOOKUP(A65,'Données projet'!$A$191:$I$211,4,0)),0,VLOOKUP(A65,'Données projet'!$A$191:$I$211,4,0))</f>
        <v>0</v>
      </c>
      <c r="ES65" s="122" t="n">
        <f aca="false">IF(ISNA(VLOOKUP(A65,'Données projet'!$A$191:$I$211,5,0)),0%,VLOOKUP(A65,'Données projet'!$A$191:$I$211,5,0)*VLOOKUP('Données projet'!$B$15,Paramètres!$A$1:$I$89,7,0))</f>
        <v>0</v>
      </c>
      <c r="ET65" s="122" t="n">
        <f aca="false">IF(ISNA(VLOOKUP(A65,'Données projet'!$A$191:$I$211,6,0)),0%,VLOOKUP(A65,'Données projet'!$A$191:$I$211,6,0)*VLOOKUP('Données projet'!$B$15,Paramètres!$A$1:$I$89,7,0))</f>
        <v>0</v>
      </c>
      <c r="EU65" s="122" t="n">
        <f aca="false">IF(ISNA(VLOOKUP(A65,'Données projet'!$A$191:$I$211,7,0)),0%,VLOOKUP(A65,'Données projet'!$A$191:$I$211,7,0))</f>
        <v>0</v>
      </c>
      <c r="EV65" s="129" t="e">
        <f aca="false">EXP(-LN(2)/35)*EV64+(1-EXP(-LN(2)/35))/(LN(2)/35)*ER65*ES65*VLOOKUP('Données projet'!$B$15,Paramètres!$A$1:$I$89,3,0)*0.475*44/12</f>
        <v>#N/A</v>
      </c>
      <c r="EW65" s="129" t="e">
        <f aca="false">EXP(-LN(2)/25)*EW64+(1-EXP(-LN(2)/25))/(LN(2)/25)*Calculateur!ER65*Calculateur!ET65*VLOOKUP('Données projet'!$B$15,Paramètres!$A$1:$I$89,3,0)*0.475*44/12</f>
        <v>#N/A</v>
      </c>
      <c r="EX65" s="129" t="e">
        <f aca="false">EXP(-LN(2)/2)*EX64+(1-EXP(-LN(2)/2))/(LN(2)/2)*ER65*EU65*VLOOKUP('Données projet'!$B$15,Paramètres!$A$1:$I$89,3,0)*0.475*44/12</f>
        <v>#N/A</v>
      </c>
      <c r="EY65" s="130" t="e">
        <f aca="false">SUM(EV65:EX65)</f>
        <v>#N/A</v>
      </c>
      <c r="EZ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8" t="e">
        <f aca="false">VLOOKUP(A65,'Données projet'!$A$217:$I$237,2,0)</f>
        <v>#N/A</v>
      </c>
      <c r="FC65" s="118" t="e">
        <f aca="false">VLOOKUP(A65,'Données projet'!$A$217:$I$237,9,0)</f>
        <v>#N/A</v>
      </c>
      <c r="FD65" s="118" t="n">
        <f aca="false" t="array" ref="FD65:FD65">INDEX(FC:FC,MIN(IF(ISNUMBER(FC65:FC261),ROW(FC65:FC261),"")))</f>
        <v>0</v>
      </c>
      <c r="FE65" s="118" t="n">
        <f aca="false">IF('Données projet'!$A$218&gt;35,FE64+FD65-FM64,IF(A65&lt;'Données projet'!$A$218,$FB$205^A65,IF(A65='Données projet'!$A$218,'Données projet'!$B$218,FE64+FD65-FM64)))</f>
        <v>0</v>
      </c>
      <c r="FF65" s="125" t="e">
        <f aca="false">FE65*VLOOKUP('Données projet'!$B$16,Paramètres!$A$1:$I$89,3,0)*VLOOKUP('Données projet'!$B$16,Paramètres!$A$1:$I$89,5,0)</f>
        <v>#N/A</v>
      </c>
      <c r="FG65" s="117" t="e">
        <f aca="false">EXP(-1.0587+0.8836*LN(FF65)+0.284)</f>
        <v>#N/A</v>
      </c>
      <c r="FH65" s="128" t="e">
        <f aca="false">(FF65+FG65)*0.475*44/12</f>
        <v>#N/A</v>
      </c>
      <c r="FI65" s="120" t="e">
        <f aca="false">FH65+(EZ65+FA65)*44/12</f>
        <v>#N/A</v>
      </c>
      <c r="FJ65" s="120" t="e">
        <f aca="true">AVERAGE(OFFSET($FI$3,0,0,'Données projet'!$E$16+1,1))-AVERAGE(OFFSET($H$3,0,0,'Données projet'!$E$16+1,1))</f>
        <v>#N/A</v>
      </c>
      <c r="FK65" s="120" t="e">
        <f aca="false">$FK$3</f>
        <v>#N/A</v>
      </c>
      <c r="FL65" s="121" t="n">
        <f aca="false">IF(ISNA(VLOOKUP(A65,'Données projet'!$A$217:$I$237,3,0)),0,VLOOKUP(A65,'Données projet'!$A$217:$I$237,3,0))</f>
        <v>0</v>
      </c>
      <c r="FM65" s="121" t="n">
        <f aca="false">IF(ISNA(VLOOKUP(A65,'Données projet'!$A$217:$I$237,4,0)),0,VLOOKUP(A65,'Données projet'!$A$217:$I$237,4,0))</f>
        <v>0</v>
      </c>
      <c r="FN65" s="122" t="n">
        <f aca="false">IF(ISNA(VLOOKUP(A65,'Données projet'!$A$217:$I$237,5,0)),0%,VLOOKUP(A65,'Données projet'!$A$217:$I$237,5,0)*VLOOKUP('Données projet'!$B$16,Paramètres!$A$1:$I$89,7,0))</f>
        <v>0</v>
      </c>
      <c r="FO65" s="122" t="n">
        <f aca="false">IF(ISNA(VLOOKUP(A65,'Données projet'!$A$217:$I$237,6,0)),0%,VLOOKUP(A65,'Données projet'!$A$217:$I$237,6,0)*VLOOKUP('Données projet'!$B$16,Paramètres!$A$1:$I$89,7,0))</f>
        <v>0</v>
      </c>
      <c r="FP65" s="122" t="n">
        <f aca="false">IF(ISNA(VLOOKUP(A65,'Données projet'!$A$217:$I$237,7,0)),0%,VLOOKUP(A65,'Données projet'!$A$217:$I$237,7,0))</f>
        <v>0</v>
      </c>
      <c r="FQ65" s="129" t="e">
        <f aca="false">EXP(-LN(2)/35)*FQ64+(1-EXP(-LN(2)/35))/(LN(2)/35)*FM65*FN65*VLOOKUP('Données projet'!$B$16,Paramètres!$A$1:$I$89,3,0)*0.475*44/12</f>
        <v>#N/A</v>
      </c>
      <c r="FR65" s="129" t="e">
        <f aca="false">EXP(-LN(2)/25)*FR64+(1-EXP(-LN(2)/25))/(LN(2)/25)*Calculateur!FM65*Calculateur!FO65*VLOOKUP('Données projet'!$B$16,Paramètres!$A$1:$I$89,3,0)*0.475*44/12</f>
        <v>#N/A</v>
      </c>
      <c r="FS65" s="129" t="e">
        <f aca="false">EXP(-LN(2)/2)*FS64+(1-EXP(-LN(2)/2))/(LN(2)/2)*FM65*FP65*VLOOKUP('Données projet'!$B$16,Paramètres!$A$1:$I$89,3,0)*0.475*44/12</f>
        <v>#N/A</v>
      </c>
      <c r="FT65" s="130" t="e">
        <f aca="false">SUM(FQ65:FS65)</f>
        <v>#N/A</v>
      </c>
      <c r="FU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8" t="e">
        <f aca="false">VLOOKUP(A65,'Données projet'!$A$243:$I$263,2,0)</f>
        <v>#N/A</v>
      </c>
      <c r="FX65" s="118" t="e">
        <f aca="false">VLOOKUP(A65,'Données projet'!$A$243:$I$263,9,0)</f>
        <v>#N/A</v>
      </c>
      <c r="FY65" s="118" t="n">
        <f aca="false" t="array" ref="FY65:FY65">INDEX(FX:FX,MIN(IF(ISNUMBER(FX65:FX261),ROW(FX65:FX261),"")))</f>
        <v>0</v>
      </c>
      <c r="FZ65" s="118" t="n">
        <f aca="false">IF('Données projet'!$A$244&gt;35,FZ64+FY65-GH64,IF(A65&lt;'Données projet'!$A$244,$FW$205^A65,IF(A65='Données projet'!$A$244,'Données projet'!$B$244,FZ64+FY65-GH64)))</f>
        <v>0</v>
      </c>
      <c r="GA65" s="125" t="e">
        <f aca="false">FZ65*VLOOKUP('Données projet'!$B$17,Paramètres!$A$1:$I$89,3,0)*VLOOKUP('Données projet'!$B$17,Paramètres!$A$1:$I$89,5,0)</f>
        <v>#N/A</v>
      </c>
      <c r="GB65" s="117" t="e">
        <f aca="false">EXP(-1.0587+0.8836*LN(GA65)+0.284)</f>
        <v>#N/A</v>
      </c>
      <c r="GC65" s="128" t="e">
        <f aca="false">(GA65+GB65)*0.475*44/12</f>
        <v>#N/A</v>
      </c>
      <c r="GD65" s="120" t="e">
        <f aca="false">GC65+(FU65+FV65)*44/12</f>
        <v>#N/A</v>
      </c>
      <c r="GE65" s="120" t="e">
        <f aca="true">AVERAGE(OFFSET($GD$3,0,0,'Données projet'!$E$17+1,1))-AVERAGE(OFFSET($H$3,0,0,'Données projet'!$E$17+1,1))</f>
        <v>#N/A</v>
      </c>
      <c r="GF65" s="120" t="e">
        <f aca="false">$GF$3</f>
        <v>#N/A</v>
      </c>
      <c r="GG65" s="121" t="n">
        <f aca="false">IF(ISNA(VLOOKUP(A65,'Données projet'!$A$243:$I$263,3,0)),0,VLOOKUP(A65,'Données projet'!$A$243:$I$263,3,0))</f>
        <v>0</v>
      </c>
      <c r="GH65" s="121" t="n">
        <f aca="false">IF(ISNA(VLOOKUP(A65,'Données projet'!$A$243:$I$263,4,0)),0,VLOOKUP(A65,'Données projet'!$A$243:$I$263,4,0))</f>
        <v>0</v>
      </c>
      <c r="GI65" s="122" t="n">
        <f aca="false">IF(ISNA(VLOOKUP(A65,'Données projet'!$A$243:$I$263,5,0)),0%,VLOOKUP(A65,'Données projet'!$A$243:$I$263,5,0)*VLOOKUP('Données projet'!$B$17,Paramètres!$A$1:$I$89,7,0))</f>
        <v>0</v>
      </c>
      <c r="GJ65" s="122" t="n">
        <f aca="false">IF(ISNA(VLOOKUP(A65,'Données projet'!$A$243:$I$263,6,0)),0%,VLOOKUP(A65,'Données projet'!$A$243:$I$263,6,0)*VLOOKUP('Données projet'!$B$17,Paramètres!$A$1:$I$89,7,0))</f>
        <v>0</v>
      </c>
      <c r="GK65" s="122" t="n">
        <f aca="false">IF(ISNA(VLOOKUP(A65,'Données projet'!$A$243:$I$263,7,0)),0%,VLOOKUP(A65,'Données projet'!$A$243:$I$263,7,0))</f>
        <v>0</v>
      </c>
      <c r="GL65" s="129" t="e">
        <f aca="false">EXP(-LN(2)/35)*GL64+(1-EXP(-LN(2)/35))/(LN(2)/35)*GH65*GI65*VLOOKUP('Données projet'!$B$17,Paramètres!$A$1:$I$89,3,0)*0.475*44/12</f>
        <v>#N/A</v>
      </c>
      <c r="GM65" s="129" t="e">
        <f aca="false">EXP(-LN(2)/25)*GM64+(1-EXP(-LN(2)/25))/(LN(2)/25)*Calculateur!GH65*Calculateur!GJ65*VLOOKUP('Données projet'!$B$17,Paramètres!$A$1:$I$89,3,0)*0.475*44/12</f>
        <v>#N/A</v>
      </c>
      <c r="GN65" s="129" t="e">
        <f aca="false">EXP(-LN(2)/2)*GN64+(1-EXP(-LN(2)/2))/(LN(2)/2)*GH65*GK65*VLOOKUP('Données projet'!$B$17,Paramètres!$A$1:$I$89,3,0)*0.475*44/12</f>
        <v>#N/A</v>
      </c>
      <c r="GO65" s="129" t="e">
        <f aca="false">SUM(GL65:GN65)</f>
        <v>#N/A</v>
      </c>
      <c r="GP65" s="126" t="n">
        <f aca="false"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8" t="n">
        <f aca="false"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8" t="e">
        <f aca="false">VLOOKUP(A65,'Données projet'!$A$269:$I$289,2,0)</f>
        <v>#N/A</v>
      </c>
      <c r="GS65" s="118" t="e">
        <f aca="false">VLOOKUP(A65,'Données projet'!$A$269:$I$289,9,0)</f>
        <v>#N/A</v>
      </c>
      <c r="GT65" s="118" t="n">
        <f aca="false" t="array" ref="GT65:GT65">INDEX(GS:GS,MIN(IF(ISNUMBER(GS65:GS261),ROW(GS65:GS261),"")))</f>
        <v>0</v>
      </c>
      <c r="GU65" s="118" t="n">
        <f aca="false">IF('Données projet'!$A$270&gt;35,GU64+GT65-HC64,IF(A65&lt;'Données projet'!$A$270,$GR$205^A65,IF(A65='Données projet'!$A$270,'Données projet'!$B$270,GU64+GT65-HC64)))</f>
        <v>0</v>
      </c>
      <c r="GV65" s="125" t="e">
        <f aca="false">GU65*VLOOKUP('Données projet'!$B$18,Paramètres!$A$1:$I$89,3,0)*VLOOKUP('Données projet'!$B$18,Paramètres!$A$1:$I$89,5,0)</f>
        <v>#N/A</v>
      </c>
      <c r="GW65" s="117" t="e">
        <f aca="false">EXP(-1.0587+0.8836*LN(GV65)+0.284)</f>
        <v>#N/A</v>
      </c>
      <c r="GX65" s="128" t="e">
        <f aca="false">(GV65+GW65)*0.475*44/12</f>
        <v>#N/A</v>
      </c>
      <c r="GY65" s="120" t="e">
        <f aca="false">GX65+(GP65+GQ65)*44/12</f>
        <v>#N/A</v>
      </c>
      <c r="GZ65" s="120" t="e">
        <f aca="true">AVERAGE(OFFSET($GY$3,0,0,'Données projet'!$E$18+1,1))-AVERAGE(OFFSET($H$3,0,0,'Données projet'!$E$18+1,1))</f>
        <v>#N/A</v>
      </c>
      <c r="HA65" s="120" t="e">
        <f aca="false">$HA$3</f>
        <v>#N/A</v>
      </c>
      <c r="HB65" s="121" t="n">
        <f aca="false">IF(ISNA(VLOOKUP(A65,'Données projet'!$A$269:$I$289,3,0)),0,VLOOKUP(A65,'Données projet'!$A$269:$I$289,3,0))</f>
        <v>0</v>
      </c>
      <c r="HC65" s="121" t="n">
        <f aca="false">IF(ISNA(VLOOKUP(A65,'Données projet'!$A$269:$I$289,4,0)),0,VLOOKUP(A65,'Données projet'!$A$269:$I$289,4,0))</f>
        <v>0</v>
      </c>
      <c r="HD65" s="122" t="n">
        <f aca="false">IF(ISNA(VLOOKUP(A65,'Données projet'!$A$269:$I$289,5,0)),0%,VLOOKUP(A65,'Données projet'!$A$269:$I$289,5,0)*VLOOKUP('Données projet'!$B$18,Paramètres!$A$1:$I$89,7,0))</f>
        <v>0</v>
      </c>
      <c r="HE65" s="122" t="n">
        <f aca="false">IF(ISNA(VLOOKUP(A65,'Données projet'!$A$269:$I$289,6,0)),0%,VLOOKUP(A65,'Données projet'!$A$269:$I$289,6,0)*VLOOKUP('Données projet'!$B$18,Paramètres!$A$1:$I$89,7,0))</f>
        <v>0</v>
      </c>
      <c r="HF65" s="122" t="n">
        <f aca="false">IF(ISNA(VLOOKUP(A65,'Données projet'!$A$269:$I$289,7,0)),0%,VLOOKUP(A65,'Données projet'!$A$269:$I$289,7,0))</f>
        <v>0</v>
      </c>
      <c r="HG65" s="129" t="e">
        <f aca="false">EXP(-LN(2)/35)*HG64+(1-EXP(-LN(2)/35))/(LN(2)/35)*HC65*HD65*VLOOKUP('Données projet'!$B$18,Paramètres!$A$1:$I$89,3,0)*0.475*44/12</f>
        <v>#N/A</v>
      </c>
      <c r="HH65" s="129" t="e">
        <f aca="false">EXP(-LN(2)/25)*HH64+(1-EXP(-LN(2)/25))/(LN(2)/25)*Calculateur!HC65*Calculateur!HE65*VLOOKUP('Données projet'!$B$18,Paramètres!$A$1:$I$89,3,0)*0.475*44/12</f>
        <v>#N/A</v>
      </c>
      <c r="HI65" s="129" t="e">
        <f aca="false">EXP(-LN(2)/2)*HI64+(1-EXP(-LN(2)/2))/(LN(2)/2)*HC65*HF65*VLOOKUP('Données projet'!$B$18,Paramètres!$A$1:$I$89,3,0)*0.475*44/12</f>
        <v>#N/A</v>
      </c>
      <c r="HJ65" s="130" t="e">
        <f aca="false">SUM(HG65:HI65)</f>
        <v>#N/A</v>
      </c>
    </row>
    <row r="66" customFormat="false" ht="14.25" hidden="false" customHeight="false" outlineLevel="0" collapsed="false">
      <c r="A66" s="112" t="n">
        <f aca="false">A65+1</f>
        <v>63</v>
      </c>
      <c r="B66" s="113" t="n">
        <f aca="false">'Scénario référence'!$B$16*5+'Scénario référence'!$B$17*0+'Scénario référence'!$B$18*5</f>
        <v>0</v>
      </c>
      <c r="C66" s="127" t="n">
        <f aca="false"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4" t="n">
        <f aca="false">IFERROR(EXP(-1.0587+0.8836*LN(C66)+0.284),0)</f>
        <v>0</v>
      </c>
      <c r="E6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6" s="114" t="n">
        <f aca="false">IF(OR('Scénario référence'!$F$8&gt;0,'Scénario référence'!$F$9&gt;0),('Scénario référence'!$F$8+'Scénario référence'!$F$9)*10,0)</f>
        <v>0</v>
      </c>
      <c r="G66" s="114" t="n">
        <f aca="false"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15" t="n">
        <f aca="false">(B66+E66+F66)*44/12+(C66+D66)*0.475*44/12</f>
        <v>256.666666666667</v>
      </c>
      <c r="I66" s="11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7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8" t="e">
        <f aca="false">VLOOKUP(A66,'Données projet'!$A$35:$I$55,2,0)</f>
        <v>#N/A</v>
      </c>
      <c r="L66" s="118" t="e">
        <f aca="false">VLOOKUP(A66,'Données projet'!$A$35:$I$55,9,0)</f>
        <v>#N/A</v>
      </c>
      <c r="M66" s="118" t="n">
        <f aca="false" t="array" ref="M66:M66">INDEX(L:L,MIN(IF(ISNUMBER(L66:L262),ROW(L66:L262),"")))</f>
        <v>15.5</v>
      </c>
      <c r="N66" s="117" t="n">
        <f aca="false">IF('Données projet'!$A$36&gt;35,N65+M66-V65,IF(A66&lt;'Données projet'!$A$36,$K$205^A66,IF(A66='Données projet'!$A$36,'Données projet'!$B$36,N65+M66-V65)))</f>
        <v>315</v>
      </c>
      <c r="O66" s="117" t="n">
        <f aca="false">N66*VLOOKUP('Données projet'!$B$9,Paramètres!$A$1:$I$89,3,0)*VLOOKUP('Données projet'!$B$9,Paramètres!$A$1:$I$89,5,0)</f>
        <v>147.42</v>
      </c>
      <c r="P66" s="117" t="n">
        <f aca="false">EXP(-1.0587+0.8836*LN(O66)+0.284)</f>
        <v>37.9916806475703</v>
      </c>
      <c r="Q66" s="128" t="n">
        <f aca="false">(O66+P66)*0.475*44/12</f>
        <v>322.925343794518</v>
      </c>
      <c r="R66" s="120" t="n">
        <f aca="false">Q66+(I66+J66)*44/12</f>
        <v>616.258677127852</v>
      </c>
      <c r="S66" s="120" t="n">
        <f aca="true">AVERAGE(OFFSET($R$3,0,0,'Données projet'!$E$9+1,1))-AVERAGE(OFFSET($H$3,0,0,'Données projet'!$E$9+1,1))</f>
        <v>319.229030946746</v>
      </c>
      <c r="T66" s="120" t="n">
        <f aca="false">$T$3</f>
        <v>254.586909731428</v>
      </c>
      <c r="U66" s="121" t="n">
        <f aca="false">IF(ISNA(VLOOKUP(A66,'Données projet'!$A$35:$I$55,3,0)),0,VLOOKUP(A66,'Données projet'!$A$35:$I$55,3,0))</f>
        <v>0</v>
      </c>
      <c r="V66" s="121" t="n">
        <f aca="false">IF(ISNA(VLOOKUP(A66,'Données projet'!$A$35:$I$55,4,0)),0,VLOOKUP(A66,'Données projet'!$A$35:$I$55,4,0))</f>
        <v>0</v>
      </c>
      <c r="W66" s="122" t="n">
        <f aca="false">IF(ISNA(VLOOKUP(A66,'Données projet'!$A$35:$I$55,5,0)),0%,VLOOKUP(A66,'Données projet'!$A$35:$I$55,5,0)*VLOOKUP('Données projet'!$B$9,Paramètres!$A$1:$I$89,7,0))</f>
        <v>0</v>
      </c>
      <c r="X66" s="122" t="n">
        <f aca="false">IF(ISNA(VLOOKUP(A66,'Données projet'!$A$35:$I$55,6,0)),0%,VLOOKUP(A66,'Données projet'!$A$35:$I$55,6,0)*VLOOKUP('Données projet'!$B$9,Paramètres!$A$1:$I$89,7,0))</f>
        <v>0</v>
      </c>
      <c r="Y66" s="122" t="n">
        <f aca="false">IF(ISNA(VLOOKUP(A66,'Données projet'!$A$35:$I$55,7,0)),0%,VLOOKUP(A66,'Données projet'!$A$35:$I$55,7,0))</f>
        <v>0</v>
      </c>
      <c r="Z66" s="129" t="n">
        <f aca="false">EXP(-LN(2)/35)*Z65+(1-EXP(-LN(2)/35))/(LN(2)/35)*V66*W66*VLOOKUP('Données projet'!$B$9,Paramètres!$A$1:$I$89,3,0)*0.475*44/12</f>
        <v>4.72143704316122</v>
      </c>
      <c r="AA66" s="129" t="n">
        <f aca="false">EXP(-LN(2)/25)*AA65+(1-EXP(-LN(2)/25))/(LN(2)/25)*Calculateur!V66*Calculateur!X66*VLOOKUP('Données projet'!$B$9,Paramètres!$A$1:$I$89,3,0)*0.475*44/12</f>
        <v>4.46649336047324</v>
      </c>
      <c r="AB66" s="129" t="n">
        <f aca="false">EXP(-LN(2)/2)*AB65+(1-EXP(-LN(2)/2))/(LN(2)/2)*V66*Y66*VLOOKUP('Données projet'!$B$9,Paramètres!$A$1:$I$89,3,0)*0.475*44/12</f>
        <v>0.000119150865927182</v>
      </c>
      <c r="AC66" s="130" t="n">
        <f aca="false">SUM(Z66:AB66)</f>
        <v>9.18804955450039</v>
      </c>
      <c r="AD66" s="117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7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8" t="e">
        <f aca="false">VLOOKUP(A66,'Données projet'!$A$61:$I$81,2,0)</f>
        <v>#N/A</v>
      </c>
      <c r="AG66" s="118" t="e">
        <f aca="false">VLOOKUP(A66,'Données projet'!$A$61:$I$81,9,0)</f>
        <v>#N/A</v>
      </c>
      <c r="AH66" s="118" t="n">
        <f aca="false" t="array" ref="AH66:AH66">INDEX(AG:AG,MIN(IF(ISNUMBER(AG66:AG262),ROW(AG66:AG262),"")))</f>
        <v>0</v>
      </c>
      <c r="AI66" s="117" t="n">
        <f aca="false">IF('Données projet'!$A$62&gt;35,AI65+AH66-AQ65,IF(A66&lt;'Données projet'!$A$62,$AF$205^A66,IF(A66='Données projet'!$A$62,'Données projet'!$B$62,AI65+AH66-AQ65)))</f>
        <v>1.13686837721616E-013</v>
      </c>
      <c r="AJ66" s="117" t="n">
        <f aca="false">AI66*VLOOKUP('Données projet'!$B$10,Paramètres!$A$1:$I$89,3,0)*VLOOKUP('Données projet'!$B$10,Paramètres!$A$1:$I$89,5,0)</f>
        <v>6.35509422863834E-014</v>
      </c>
      <c r="AK66" s="117" t="n">
        <f aca="false">EXP(-1.0587+0.8836*LN(AJ66)+0.284)</f>
        <v>1.0064464192544E-012</v>
      </c>
      <c r="AL66" s="128" t="n">
        <f aca="false">(AJ66+AK66)*0.475*44/12</f>
        <v>1.86357873801686E-012</v>
      </c>
      <c r="AM66" s="120" t="n">
        <f aca="false">AL66+(AD66+AE66)*44/12</f>
        <v>293.333333333335</v>
      </c>
      <c r="AN66" s="120" t="n">
        <f aca="true">AVERAGE(OFFSET($AM$3,0,0,'Données projet'!$E$10+1,1))-AVERAGE(OFFSET($H$3,0,0,'Données projet'!$E$10+1,1))</f>
        <v>365.705101827279</v>
      </c>
      <c r="AO66" s="120" t="n">
        <f aca="false">$AO$3</f>
        <v>436.238338449625</v>
      </c>
      <c r="AP66" s="121" t="n">
        <f aca="false">IF(ISNA(VLOOKUP(A66,'Données projet'!$A$61:$I$81,3,0)),0,VLOOKUP(A66,'Données projet'!$A$61:$I$81,3,0))</f>
        <v>0</v>
      </c>
      <c r="AQ66" s="121" t="n">
        <f aca="false">IF(ISNA(VLOOKUP(A66,'Données projet'!$A$61:$I$81,4,0)),0,VLOOKUP(A66,'Données projet'!$A$61:$I$81,4,0))</f>
        <v>0</v>
      </c>
      <c r="AR66" s="122" t="n">
        <f aca="false">IF(ISNA(VLOOKUP(A66,'Données projet'!$A$61:$I$81,5,0)),0%,VLOOKUP(A66,'Données projet'!$A$61:$I$81,5,0)*VLOOKUP('Données projet'!$B$10,Paramètres!$A$1:$I$89,7,0))</f>
        <v>0</v>
      </c>
      <c r="AS66" s="122" t="n">
        <f aca="false">IF(ISNA(VLOOKUP(A66,'Données projet'!$A$61:$I$81,6,0)),0%,VLOOKUP(A66,'Données projet'!$A$61:$I$81,6,0)*VLOOKUP('Données projet'!$B$10,Paramètres!$A$1:$I$89,7,0))</f>
        <v>0</v>
      </c>
      <c r="AT66" s="122" t="n">
        <f aca="false">IF(ISNA(VLOOKUP(A66,'Données projet'!$A$61:$I$81,7,0)),0%,VLOOKUP(A66,'Données projet'!$A$61:$I$81,7,0))</f>
        <v>0</v>
      </c>
      <c r="AU66" s="129" t="n">
        <f aca="false">EXP(-LN(2)/35)*AU65+(1-EXP(-LN(2)/35))/(LN(2)/35)*AQ66*AR66*VLOOKUP('Données projet'!$B$10,Paramètres!$A$1:$I$89,3,0)*0.475*44/12</f>
        <v>1.78218940814879</v>
      </c>
      <c r="AV66" s="129" t="n">
        <f aca="false">EXP(-LN(2)/25)*AV65+(1-EXP(-LN(2)/25))/(LN(2)/25)*Calculateur!AQ66*Calculateur!AS66*VLOOKUP('Données projet'!$B$10,Paramètres!$A$1:$I$89,3,0)*0.475*44/12</f>
        <v>5.29031988273432</v>
      </c>
      <c r="AW66" s="129" t="n">
        <f aca="false">EXP(-LN(2)/2)*AW65+(1-EXP(-LN(2)/2))/(LN(2)/2)*AQ66*AT66*VLOOKUP('Données projet'!$B$10,Paramètres!$A$1:$I$89,3,0)*0.475*44/12</f>
        <v>6.41232720105776E-005</v>
      </c>
      <c r="AX66" s="129" t="n">
        <f aca="false">SUM(AU66:AW66)</f>
        <v>7.07257341415512</v>
      </c>
      <c r="AY66" s="124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8" t="e">
        <f aca="false">VLOOKUP(A66,'Données projet'!$A$87:$I$107,2,0)</f>
        <v>#N/A</v>
      </c>
      <c r="BB66" s="118" t="e">
        <f aca="false">VLOOKUP(A66,'Données projet'!$A$87:$I$107,9,0)</f>
        <v>#N/A</v>
      </c>
      <c r="BC66" s="118" t="n">
        <f aca="false" t="array" ref="BC66:BC66">INDEX(BB:BB,MIN(IF(ISNUMBER(BB66:BB262),ROW(BB66:BB262),"")))</f>
        <v>6</v>
      </c>
      <c r="BD66" s="118" t="n">
        <f aca="false">IF('Données projet'!$A$88&gt;35,BD65+BC66-BL65,IF(A66&lt;'Données projet'!$A$88,$BA$205^A66,IF(A66='Données projet'!$A$88,'Données projet'!$B$88,BD65+BC66-BL65)))</f>
        <v>234</v>
      </c>
      <c r="BE66" s="117" t="n">
        <f aca="false">BD66*VLOOKUP('Données projet'!$B$11,Paramètres!$A$1:$I$89,3,0)*VLOOKUP('Données projet'!$B$11,Paramètres!$A$1:$I$89,5,0)</f>
        <v>204.4224</v>
      </c>
      <c r="BF66" s="117" t="n">
        <f aca="false">EXP(-1.0587+0.8836*LN(BE66)+0.284)</f>
        <v>50.7148367975274</v>
      </c>
      <c r="BG66" s="128" t="n">
        <f aca="false">(BE66+BF66)*0.475*44/12</f>
        <v>444.364020755694</v>
      </c>
      <c r="BH66" s="120" t="n">
        <f aca="false">BG66+(AY66+AZ66)*44/12</f>
        <v>737.697354089027</v>
      </c>
      <c r="BI66" s="120" t="n">
        <f aca="true">AVERAGE(OFFSET($BH$3,0,0,'Données projet'!$E$11+1,1))-AVERAGE(OFFSET($H$3,0,0,'Données projet'!$E$11+1,1))</f>
        <v>321.235999689929</v>
      </c>
      <c r="BJ66" s="120" t="n">
        <f aca="false">$BJ$3</f>
        <v>388.051958478005</v>
      </c>
      <c r="BK66" s="121" t="n">
        <f aca="false">IF(ISNA(VLOOKUP(A66,'Données projet'!$A$87:$I$107,3,0)),0,VLOOKUP(A66,'Données projet'!$A$87:$I$107,3,0))</f>
        <v>0</v>
      </c>
      <c r="BL66" s="121" t="n">
        <f aca="false">IF(ISNA(VLOOKUP(A66,'Données projet'!$A$87:$I$107,4,0)),0,VLOOKUP(A66,'Données projet'!$A$87:$I$107,4,0))</f>
        <v>0</v>
      </c>
      <c r="BM66" s="122" t="n">
        <f aca="false">IF(ISNA(VLOOKUP(A66,'Données projet'!$A$87:$I$107,5,0)),0%,VLOOKUP(A66,'Données projet'!$A$87:$I$107,5,0)*VLOOKUP('Données projet'!$B$11,Paramètres!$A$1:$I$89,7,0))</f>
        <v>0</v>
      </c>
      <c r="BN66" s="122" t="n">
        <f aca="false">IF(ISNA(VLOOKUP(A66,'Données projet'!$A$87:$I$107,6,0)),0%,VLOOKUP(A66,'Données projet'!$A$87:$I$107,6,0)*VLOOKUP('Données projet'!$B$11,Paramètres!$A$1:$I$89,7,0))</f>
        <v>0</v>
      </c>
      <c r="BO66" s="122" t="n">
        <f aca="false">IF(ISNA(VLOOKUP(A66,'Données projet'!$A$87:$I$107,7,0)),0%,VLOOKUP(A66,'Données projet'!$A$87:$I$107,7,0))</f>
        <v>0</v>
      </c>
      <c r="BP66" s="129" t="n">
        <f aca="false">EXP(-LN(2)/35)*BP65+(1-EXP(-LN(2)/35))/(LN(2)/35)*BL66*BM66*VLOOKUP('Données projet'!$B$11,Paramètres!$A$1:$I$89,3,0)*0.475*44/12</f>
        <v>4.4744027813189</v>
      </c>
      <c r="BQ66" s="129" t="n">
        <f aca="false">EXP(-LN(2)/25)*BQ65+(1-EXP(-LN(2)/25))/(LN(2)/25)*Calculateur!BL66*Calculateur!BN66*VLOOKUP('Données projet'!$B$11,Paramètres!$A$1:$I$89,3,0)*0.475*44/12</f>
        <v>5.4000443107218</v>
      </c>
      <c r="BR66" s="129" t="n">
        <f aca="false">EXP(-LN(2)/2)*BR65+(1-EXP(-LN(2)/2))/(LN(2)/2)*BL66*BO66*VLOOKUP('Données projet'!$B$11,Paramètres!$A$1:$I$89,3,0)*0.475*44/12</f>
        <v>6.51799731743854E-005</v>
      </c>
      <c r="BS66" s="130" t="n">
        <f aca="false">SUM(BP66:BR66)</f>
        <v>9.87451227201388</v>
      </c>
      <c r="BT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8" t="e">
        <f aca="false">VLOOKUP(A66,'Données projet'!$A$113:$I$133,2,0)</f>
        <v>#N/A</v>
      </c>
      <c r="BW66" s="118" t="e">
        <f aca="false">VLOOKUP(A66,'Données projet'!$A$113:$I$133,9,0)</f>
        <v>#N/A</v>
      </c>
      <c r="BX66" s="118" t="n">
        <f aca="false" t="array" ref="BX66:BX66">INDEX(BW:BW,MIN(IF(ISNUMBER(BW66:BW262),ROW(BW66:BW262),"")))</f>
        <v>0</v>
      </c>
      <c r="BY66" s="118" t="n">
        <f aca="false">IF('Données projet'!$A$114&gt;35,BY65+BX66-CG65,IF(A66&lt;'Données projet'!$A$114,$BV$205^A66,IF(A66='Données projet'!$A$114,'Données projet'!$B$114,BY65+BX66-CG65)))</f>
        <v>0</v>
      </c>
      <c r="BZ66" s="117" t="n">
        <f aca="false">BY66*VLOOKUP('Données projet'!$B$12,Paramètres!$A$1:$I$89,3,0)*VLOOKUP('Données projet'!$B$12,Paramètres!$A$1:$I$89,5,0)</f>
        <v>0</v>
      </c>
      <c r="CA66" s="117" t="e">
        <f aca="false">EXP(-1.0587+0.8836*LN(BZ66)+0.284)</f>
        <v>#VALUE!</v>
      </c>
      <c r="CB66" s="128" t="e">
        <f aca="false">(BZ66+CA66)*0.475*44/12</f>
        <v>#VALUE!</v>
      </c>
      <c r="CC66" s="120" t="e">
        <f aca="false">CB66+(BT66+BU66)*44/12</f>
        <v>#VALUE!</v>
      </c>
      <c r="CD66" s="120" t="n">
        <f aca="true">AVERAGE(OFFSET($CC$3,0,0,'Données projet'!$E$12+1,1))-AVERAGE(OFFSET($H$3,0,0,'Données projet'!$E$12+1,1))</f>
        <v>240.228848647662</v>
      </c>
      <c r="CE66" s="120" t="n">
        <f aca="false">$CE$3</f>
        <v>343.237768841432</v>
      </c>
      <c r="CF66" s="121" t="n">
        <f aca="false">IF(ISNA(VLOOKUP(A66,'Données projet'!$A$113:$I$133,3,0)),0,VLOOKUP(A66,'Données projet'!$A$113:$I$133,3,0))</f>
        <v>0</v>
      </c>
      <c r="CG66" s="121" t="n">
        <f aca="false">IF(ISNA(VLOOKUP(A66,'Données projet'!$A$113:$I$133,4,0)),0,VLOOKUP(A66,'Données projet'!$A$113:$I$133,4,0))</f>
        <v>0</v>
      </c>
      <c r="CH66" s="122" t="n">
        <f aca="false">IF(ISNA(VLOOKUP(A66,'Données projet'!$A$113:$I$133,5,0)),0%,VLOOKUP(A66,'Données projet'!$A$113:$I$133,5,0)*VLOOKUP('Données projet'!$B$12,Paramètres!$A$1:$I$89,7,0))</f>
        <v>0</v>
      </c>
      <c r="CI66" s="122" t="n">
        <f aca="false">IF(ISNA(VLOOKUP(A66,'Données projet'!$A$113:$I$133,6,0)),0%,VLOOKUP(A66,'Données projet'!$A$113:$I$133,6,0)*VLOOKUP('Données projet'!$B$12,Paramètres!$A$1:$I$89,7,0))</f>
        <v>0</v>
      </c>
      <c r="CJ66" s="122" t="n">
        <f aca="false">IF(ISNA(VLOOKUP(A66,'Données projet'!$A$113:$I$133,7,0)),0%,VLOOKUP(A66,'Données projet'!$A$113:$I$133,7,0))</f>
        <v>0</v>
      </c>
      <c r="CK66" s="129" t="n">
        <f aca="false">EXP(-LN(2)/35)*CK65+(1-EXP(-LN(2)/35))/(LN(2)/35)*CG66*CH66*VLOOKUP('Données projet'!$B$12,Paramètres!$A$1:$I$89,3,0)*0.475*44/12</f>
        <v>2.7386830892966</v>
      </c>
      <c r="CL66" s="129" t="n">
        <f aca="false">EXP(-LN(2)/25)*CL65+(1-EXP(-LN(2)/25))/(LN(2)/25)*Calculateur!CG66*Calculateur!CI66*VLOOKUP('Données projet'!$B$12,Paramètres!$A$1:$I$89,3,0)*0.475*44/12</f>
        <v>9.53679086068793</v>
      </c>
      <c r="CM66" s="129" t="n">
        <f aca="false">EXP(-LN(2)/2)*CM65+(1-EXP(-LN(2)/2))/(LN(2)/2)*CG66*CJ66*VLOOKUP('Données projet'!$B$12,Paramètres!$A$1:$I$89,3,0)*0.475*44/12</f>
        <v>0.000104009860215431</v>
      </c>
      <c r="CN66" s="130" t="n">
        <f aca="false">SUM(CK66:CM66)</f>
        <v>12.2755779598447</v>
      </c>
      <c r="CO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8" t="e">
        <f aca="false">VLOOKUP(A66,'Données projet'!$A$139:$I$159,2,0)</f>
        <v>#N/A</v>
      </c>
      <c r="CR66" s="118" t="e">
        <f aca="false">VLOOKUP(A66,'Données projet'!$A$139:$I$159,9,0)</f>
        <v>#N/A</v>
      </c>
      <c r="CS66" s="118" t="n">
        <f aca="false" t="array" ref="CS66:CS66">INDEX(CR:CR,MIN(IF(ISNUMBER(CR66:CR262),ROW(CR66:CR262),"")))</f>
        <v>0</v>
      </c>
      <c r="CT66" s="118" t="n">
        <f aca="false">IF('Données projet'!$A$140&gt;35,CT65+CS66-DB65,IF(A66&lt;'Données projet'!$A$140,$CQ$205^A66,IF(A66='Données projet'!$A$140,'Données projet'!$B$140,CT65+CS66-DB65)))</f>
        <v>-5.6843418860808E-014</v>
      </c>
      <c r="CU66" s="125" t="n">
        <f aca="false">CT66*VLOOKUP('Données projet'!$B$13,Paramètres!$A$1:$I$89,3,0)*VLOOKUP('Données projet'!$B$13,Paramètres!$A$1:$I$89,5,0)</f>
        <v>-3.10365066980012E-014</v>
      </c>
      <c r="CV66" s="117" t="e">
        <f aca="false">EXP(-1.0587+0.8836*LN(CU66)+0.284)</f>
        <v>#VALUE!</v>
      </c>
      <c r="CW66" s="128" t="e">
        <f aca="false">(CU66+CV66)*0.475*44/12</f>
        <v>#VALUE!</v>
      </c>
      <c r="CX66" s="120" t="e">
        <f aca="false">CW66+(CO66+CP66)*44/12</f>
        <v>#VALUE!</v>
      </c>
      <c r="CY66" s="120" t="n">
        <f aca="true">AVERAGE(OFFSET($CX$3,0,0,'Données projet'!$E$13+1,1))-AVERAGE(OFFSET($H$3,0,0,'Données projet'!$E$13+1,1))</f>
        <v>207.023069645676</v>
      </c>
      <c r="CZ66" s="120" t="n">
        <f aca="false">$CZ$3</f>
        <v>342.068879333518</v>
      </c>
      <c r="DA66" s="121" t="n">
        <f aca="false">IF(ISNA(VLOOKUP(A66,'Données projet'!$A$139:$I$159,3,0)),0,VLOOKUP(A66,'Données projet'!$A$139:$I$159,3,0))</f>
        <v>0</v>
      </c>
      <c r="DB66" s="121" t="n">
        <f aca="false">IF(ISNA(VLOOKUP(A66,'Données projet'!$A$139:$I$159,4,0)),0,VLOOKUP(A66,'Données projet'!$A$139:$I$159,4,0))</f>
        <v>0</v>
      </c>
      <c r="DC66" s="122" t="n">
        <f aca="false">IF(ISNA(VLOOKUP(A66,'Données projet'!$A$139:$I$159,5,0)),0%,VLOOKUP(A66,'Données projet'!$A$139:$I$159,5,0)*VLOOKUP('Données projet'!$B$13,Paramètres!$A$1:$I$89,7,0))</f>
        <v>0</v>
      </c>
      <c r="DD66" s="122" t="n">
        <f aca="false">IF(ISNA(VLOOKUP(A66,'Données projet'!$A$139:$I$159,6,0)),0%,VLOOKUP(A66,'Données projet'!$A$139:$I$159,6,0)*VLOOKUP('Données projet'!$B$13,Paramètres!$A$1:$I$89,7,0))</f>
        <v>0</v>
      </c>
      <c r="DE66" s="122" t="n">
        <f aca="false">IF(ISNA(VLOOKUP(A66,'Données projet'!$A$139:$I$159,7,0)),0%,VLOOKUP(A66,'Données projet'!$A$139:$I$159,7,0))</f>
        <v>0</v>
      </c>
      <c r="DF66" s="129" t="n">
        <f aca="false">EXP(-LN(2)/35)*DF65+(1-EXP(-LN(2)/35))/(LN(2)/35)*DB66*DC66*VLOOKUP('Données projet'!$B$13,Paramètres!$A$1:$I$89,3,0)*0.475*44/12</f>
        <v>3.4362721780797</v>
      </c>
      <c r="DG66" s="129" t="n">
        <f aca="false">EXP(-LN(2)/25)*DG65+(1-EXP(-LN(2)/25))/(LN(2)/25)*Calculateur!DB66*Calculateur!DD66*VLOOKUP('Données projet'!$B$13,Paramètres!$A$1:$I$89,3,0)*0.475*44/12</f>
        <v>15.5886810903904</v>
      </c>
      <c r="DH66" s="129" t="n">
        <f aca="false">EXP(-LN(2)/2)*DH65+(1-EXP(-LN(2)/2))/(LN(2)/2)*DB66*DE66*VLOOKUP('Données projet'!$B$13,Paramètres!$A$1:$I$89,3,0)*0.475*44/12</f>
        <v>0.000143221625738239</v>
      </c>
      <c r="DI66" s="130" t="n">
        <f aca="false">SUM(DF66:DH66)</f>
        <v>19.0250964900958</v>
      </c>
      <c r="DJ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8" t="e">
        <f aca="false">VLOOKUP(A66,'Données projet'!$A$165:$I$185,2,0)</f>
        <v>#N/A</v>
      </c>
      <c r="DM66" s="118" t="e">
        <f aca="false">VLOOKUP(A66,'Données projet'!$A$165:$I$185,9,0)</f>
        <v>#N/A</v>
      </c>
      <c r="DN66" s="118" t="n">
        <f aca="false" t="array" ref="DN66:DN66">INDEX(DM:DM,MIN(IF(ISNUMBER(DM66:DM262),ROW(DM66:DM262),"")))</f>
        <v>0</v>
      </c>
      <c r="DO66" s="118" t="n">
        <f aca="false">IF('Données projet'!$A$166&gt;35,DO65+DN66-DW65,IF(A66&lt;'Données projet'!$A$166,$DL$205^A66,IF(A66='Données projet'!$A$166,'Données projet'!$B$166,DO65+DN66-DW65)))</f>
        <v>0</v>
      </c>
      <c r="DP66" s="125" t="n">
        <f aca="false">DO66*VLOOKUP('Données projet'!$B$14,Paramètres!$A$1:$I$89,3,0)*VLOOKUP('Données projet'!$B$14,Paramètres!$A$1:$I$89,5,0)</f>
        <v>0</v>
      </c>
      <c r="DQ66" s="117" t="e">
        <f aca="false">EXP(-1.0587+0.8836*LN(DP66)+0.284)</f>
        <v>#VALUE!</v>
      </c>
      <c r="DR66" s="128" t="e">
        <f aca="false">(DP66+DQ66)*0.475*44/12</f>
        <v>#VALUE!</v>
      </c>
      <c r="DS66" s="120" t="e">
        <f aca="false">DR66+(DJ66+DK66)*44/12</f>
        <v>#VALUE!</v>
      </c>
      <c r="DT66" s="120" t="n">
        <f aca="true">AVERAGE(OFFSET($DS$3,0,0,'Données projet'!$E$14+1,1))-AVERAGE(OFFSET($H$3,0,0,'Données projet'!$E$14+1,1))</f>
        <v>549.432320957297</v>
      </c>
      <c r="DU66" s="120" t="n">
        <f aca="false">$DU$3</f>
        <v>280.26155987301</v>
      </c>
      <c r="DV66" s="121" t="n">
        <f aca="false">IF(ISNA(VLOOKUP(A66,'Données projet'!$A$165:$I$185,3,0)),0,VLOOKUP(A66,'Données projet'!$A$165:$I$185,3,0))</f>
        <v>0</v>
      </c>
      <c r="DW66" s="121" t="n">
        <f aca="false">IF(ISNA(VLOOKUP(A66,'Données projet'!$A$165:$I$185,4,0)),0,VLOOKUP(A66,'Données projet'!$A$165:$I$185,4,0))</f>
        <v>0</v>
      </c>
      <c r="DX66" s="122" t="n">
        <f aca="false">IF(ISNA(VLOOKUP(A66,'Données projet'!$A$165:$I$185,5,0)),0%,VLOOKUP(A66,'Données projet'!$A$165:$I$185,5,0)*VLOOKUP('Données projet'!$B$14,Paramètres!$A$1:$I$89,7,0))</f>
        <v>0</v>
      </c>
      <c r="DY66" s="122" t="n">
        <f aca="false">IF(ISNA(VLOOKUP(A66,'Données projet'!$A$165:$I$185,6,0)),0%,VLOOKUP(A66,'Données projet'!$A$165:$I$185,6,0)*VLOOKUP('Données projet'!$B$14,Paramètres!$A$1:$I$89,7,0))</f>
        <v>0</v>
      </c>
      <c r="DZ66" s="122" t="n">
        <f aca="false">IF(ISNA(VLOOKUP(A66,'Données projet'!$A$165:$I$185,7,0)),0%,VLOOKUP(A66,'Données projet'!$A$165:$I$185,7,0))</f>
        <v>0</v>
      </c>
      <c r="EA66" s="129" t="n">
        <f aca="false">EXP(-LN(2)/35)*EA65+(1-EXP(-LN(2)/35))/(LN(2)/35)*DW66*DX66*VLOOKUP('Données projet'!$B$14,Paramètres!$A$1:$I$89,3,0)*0.475*44/12</f>
        <v>1.24942473235573</v>
      </c>
      <c r="EB66" s="129" t="n">
        <f aca="false">EXP(-LN(2)/25)*EB65+(1-EXP(-LN(2)/25))/(LN(2)/25)*Calculateur!DW66*Calculateur!DY66*VLOOKUP('Données projet'!$B$14,Paramètres!$A$1:$I$89,3,0)*0.475*44/12</f>
        <v>3.10557283247793</v>
      </c>
      <c r="EC66" s="129" t="n">
        <f aca="false">EXP(-LN(2)/2)*EC65+(1-EXP(-LN(2)/2))/(LN(2)/2)*DW66*DZ66*VLOOKUP('Données projet'!$B$14,Paramètres!$A$1:$I$89,3,0)*0.475*44/12</f>
        <v>6.60222172074144E-005</v>
      </c>
      <c r="ED66" s="130" t="n">
        <f aca="false">SUM(EA66:EC66)</f>
        <v>4.35506358705087</v>
      </c>
      <c r="EE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8" t="e">
        <f aca="false">VLOOKUP(A66,'Données projet'!$A$191:$I$211,2,0)</f>
        <v>#N/A</v>
      </c>
      <c r="EH66" s="118" t="e">
        <f aca="false">VLOOKUP(A66,'Données projet'!$A$191:$I$211,9,0)</f>
        <v>#N/A</v>
      </c>
      <c r="EI66" s="118" t="n">
        <f aca="false" t="array" ref="EI66:EI66">INDEX(EH:EH,MIN(IF(ISNUMBER(EH66:EH262),ROW(EH66:EH262),"")))</f>
        <v>0</v>
      </c>
      <c r="EJ66" s="118" t="n">
        <f aca="false">IF('Données projet'!$A$192&gt;35,EJ65+EI66-ER65,IF(A66&lt;'Données projet'!$A$192,$EG$205^A66,IF(A66='Données projet'!$A$192,'Données projet'!$B$192,EJ65+EI66-ER65)))</f>
        <v>0</v>
      </c>
      <c r="EK66" s="125" t="e">
        <f aca="false">EJ66*VLOOKUP('Données projet'!$B$15,Paramètres!$A$1:$I$89,3,0)*VLOOKUP('Données projet'!$B$15,Paramètres!$A$1:$I$89,5,0)</f>
        <v>#N/A</v>
      </c>
      <c r="EL66" s="117" t="e">
        <f aca="false">EXP(-1.0587+0.8836*LN(EK66)+0.284)</f>
        <v>#N/A</v>
      </c>
      <c r="EM66" s="128" t="e">
        <f aca="false">(EK66+EL66)*0.475*44/12</f>
        <v>#N/A</v>
      </c>
      <c r="EN66" s="120" t="e">
        <f aca="false">EM66+(EE66+EF66)*44/12</f>
        <v>#N/A</v>
      </c>
      <c r="EO66" s="120" t="e">
        <f aca="true">AVERAGE(OFFSET($EN$3,0,0,'Données projet'!$E$15+1,1))-AVERAGE(OFFSET($H$3,0,0,'Données projet'!$E$15+1,1))</f>
        <v>#N/A</v>
      </c>
      <c r="EP66" s="120" t="e">
        <f aca="false">$EP$3</f>
        <v>#N/A</v>
      </c>
      <c r="EQ66" s="121" t="n">
        <f aca="false">IF(ISNA(VLOOKUP(A66,'Données projet'!$A$191:$I$211,3,0)),0,VLOOKUP(A66,'Données projet'!$A$191:$I$211,3,0))</f>
        <v>0</v>
      </c>
      <c r="ER66" s="121" t="n">
        <f aca="false">IF(ISNA(VLOOKUP(A66,'Données projet'!$A$191:$I$211,4,0)),0,VLOOKUP(A66,'Données projet'!$A$191:$I$211,4,0))</f>
        <v>0</v>
      </c>
      <c r="ES66" s="122" t="n">
        <f aca="false">IF(ISNA(VLOOKUP(A66,'Données projet'!$A$191:$I$211,5,0)),0%,VLOOKUP(A66,'Données projet'!$A$191:$I$211,5,0)*VLOOKUP('Données projet'!$B$15,Paramètres!$A$1:$I$89,7,0))</f>
        <v>0</v>
      </c>
      <c r="ET66" s="122" t="n">
        <f aca="false">IF(ISNA(VLOOKUP(A66,'Données projet'!$A$191:$I$211,6,0)),0%,VLOOKUP(A66,'Données projet'!$A$191:$I$211,6,0)*VLOOKUP('Données projet'!$B$15,Paramètres!$A$1:$I$89,7,0))</f>
        <v>0</v>
      </c>
      <c r="EU66" s="122" t="n">
        <f aca="false">IF(ISNA(VLOOKUP(A66,'Données projet'!$A$191:$I$211,7,0)),0%,VLOOKUP(A66,'Données projet'!$A$191:$I$211,7,0))</f>
        <v>0</v>
      </c>
      <c r="EV66" s="129" t="e">
        <f aca="false">EXP(-LN(2)/35)*EV65+(1-EXP(-LN(2)/35))/(LN(2)/35)*ER66*ES66*VLOOKUP('Données projet'!$B$15,Paramètres!$A$1:$I$89,3,0)*0.475*44/12</f>
        <v>#N/A</v>
      </c>
      <c r="EW66" s="129" t="e">
        <f aca="false">EXP(-LN(2)/25)*EW65+(1-EXP(-LN(2)/25))/(LN(2)/25)*Calculateur!ER66*Calculateur!ET66*VLOOKUP('Données projet'!$B$15,Paramètres!$A$1:$I$89,3,0)*0.475*44/12</f>
        <v>#N/A</v>
      </c>
      <c r="EX66" s="129" t="e">
        <f aca="false">EXP(-LN(2)/2)*EX65+(1-EXP(-LN(2)/2))/(LN(2)/2)*ER66*EU66*VLOOKUP('Données projet'!$B$15,Paramètres!$A$1:$I$89,3,0)*0.475*44/12</f>
        <v>#N/A</v>
      </c>
      <c r="EY66" s="130" t="e">
        <f aca="false">SUM(EV66:EX66)</f>
        <v>#N/A</v>
      </c>
      <c r="EZ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8" t="e">
        <f aca="false">VLOOKUP(A66,'Données projet'!$A$217:$I$237,2,0)</f>
        <v>#N/A</v>
      </c>
      <c r="FC66" s="118" t="e">
        <f aca="false">VLOOKUP(A66,'Données projet'!$A$217:$I$237,9,0)</f>
        <v>#N/A</v>
      </c>
      <c r="FD66" s="118" t="n">
        <f aca="false" t="array" ref="FD66:FD66">INDEX(FC:FC,MIN(IF(ISNUMBER(FC66:FC262),ROW(FC66:FC262),"")))</f>
        <v>0</v>
      </c>
      <c r="FE66" s="118" t="n">
        <f aca="false">IF('Données projet'!$A$218&gt;35,FE65+FD66-FM65,IF(A66&lt;'Données projet'!$A$218,$FB$205^A66,IF(A66='Données projet'!$A$218,'Données projet'!$B$218,FE65+FD66-FM65)))</f>
        <v>0</v>
      </c>
      <c r="FF66" s="125" t="e">
        <f aca="false">FE66*VLOOKUP('Données projet'!$B$16,Paramètres!$A$1:$I$89,3,0)*VLOOKUP('Données projet'!$B$16,Paramètres!$A$1:$I$89,5,0)</f>
        <v>#N/A</v>
      </c>
      <c r="FG66" s="117" t="e">
        <f aca="false">EXP(-1.0587+0.8836*LN(FF66)+0.284)</f>
        <v>#N/A</v>
      </c>
      <c r="FH66" s="128" t="e">
        <f aca="false">(FF66+FG66)*0.475*44/12</f>
        <v>#N/A</v>
      </c>
      <c r="FI66" s="120" t="e">
        <f aca="false">FH66+(EZ66+FA66)*44/12</f>
        <v>#N/A</v>
      </c>
      <c r="FJ66" s="120" t="e">
        <f aca="true">AVERAGE(OFFSET($FI$3,0,0,'Données projet'!$E$16+1,1))-AVERAGE(OFFSET($H$3,0,0,'Données projet'!$E$16+1,1))</f>
        <v>#N/A</v>
      </c>
      <c r="FK66" s="120" t="e">
        <f aca="false">$FK$3</f>
        <v>#N/A</v>
      </c>
      <c r="FL66" s="121" t="n">
        <f aca="false">IF(ISNA(VLOOKUP(A66,'Données projet'!$A$217:$I$237,3,0)),0,VLOOKUP(A66,'Données projet'!$A$217:$I$237,3,0))</f>
        <v>0</v>
      </c>
      <c r="FM66" s="121" t="n">
        <f aca="false">IF(ISNA(VLOOKUP(A66,'Données projet'!$A$217:$I$237,4,0)),0,VLOOKUP(A66,'Données projet'!$A$217:$I$237,4,0))</f>
        <v>0</v>
      </c>
      <c r="FN66" s="122" t="n">
        <f aca="false">IF(ISNA(VLOOKUP(A66,'Données projet'!$A$217:$I$237,5,0)),0%,VLOOKUP(A66,'Données projet'!$A$217:$I$237,5,0)*VLOOKUP('Données projet'!$B$16,Paramètres!$A$1:$I$89,7,0))</f>
        <v>0</v>
      </c>
      <c r="FO66" s="122" t="n">
        <f aca="false">IF(ISNA(VLOOKUP(A66,'Données projet'!$A$217:$I$237,6,0)),0%,VLOOKUP(A66,'Données projet'!$A$217:$I$237,6,0)*VLOOKUP('Données projet'!$B$16,Paramètres!$A$1:$I$89,7,0))</f>
        <v>0</v>
      </c>
      <c r="FP66" s="122" t="n">
        <f aca="false">IF(ISNA(VLOOKUP(A66,'Données projet'!$A$217:$I$237,7,0)),0%,VLOOKUP(A66,'Données projet'!$A$217:$I$237,7,0))</f>
        <v>0</v>
      </c>
      <c r="FQ66" s="129" t="e">
        <f aca="false">EXP(-LN(2)/35)*FQ65+(1-EXP(-LN(2)/35))/(LN(2)/35)*FM66*FN66*VLOOKUP('Données projet'!$B$16,Paramètres!$A$1:$I$89,3,0)*0.475*44/12</f>
        <v>#N/A</v>
      </c>
      <c r="FR66" s="129" t="e">
        <f aca="false">EXP(-LN(2)/25)*FR65+(1-EXP(-LN(2)/25))/(LN(2)/25)*Calculateur!FM66*Calculateur!FO66*VLOOKUP('Données projet'!$B$16,Paramètres!$A$1:$I$89,3,0)*0.475*44/12</f>
        <v>#N/A</v>
      </c>
      <c r="FS66" s="129" t="e">
        <f aca="false">EXP(-LN(2)/2)*FS65+(1-EXP(-LN(2)/2))/(LN(2)/2)*FM66*FP66*VLOOKUP('Données projet'!$B$16,Paramètres!$A$1:$I$89,3,0)*0.475*44/12</f>
        <v>#N/A</v>
      </c>
      <c r="FT66" s="130" t="e">
        <f aca="false">SUM(FQ66:FS66)</f>
        <v>#N/A</v>
      </c>
      <c r="FU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8" t="e">
        <f aca="false">VLOOKUP(A66,'Données projet'!$A$243:$I$263,2,0)</f>
        <v>#N/A</v>
      </c>
      <c r="FX66" s="118" t="e">
        <f aca="false">VLOOKUP(A66,'Données projet'!$A$243:$I$263,9,0)</f>
        <v>#N/A</v>
      </c>
      <c r="FY66" s="118" t="n">
        <f aca="false" t="array" ref="FY66:FY66">INDEX(FX:FX,MIN(IF(ISNUMBER(FX66:FX262),ROW(FX66:FX262),"")))</f>
        <v>0</v>
      </c>
      <c r="FZ66" s="118" t="n">
        <f aca="false">IF('Données projet'!$A$244&gt;35,FZ65+FY66-GH65,IF(A66&lt;'Données projet'!$A$244,$FW$205^A66,IF(A66='Données projet'!$A$244,'Données projet'!$B$244,FZ65+FY66-GH65)))</f>
        <v>0</v>
      </c>
      <c r="GA66" s="125" t="e">
        <f aca="false">FZ66*VLOOKUP('Données projet'!$B$17,Paramètres!$A$1:$I$89,3,0)*VLOOKUP('Données projet'!$B$17,Paramètres!$A$1:$I$89,5,0)</f>
        <v>#N/A</v>
      </c>
      <c r="GB66" s="117" t="e">
        <f aca="false">EXP(-1.0587+0.8836*LN(GA66)+0.284)</f>
        <v>#N/A</v>
      </c>
      <c r="GC66" s="128" t="e">
        <f aca="false">(GA66+GB66)*0.475*44/12</f>
        <v>#N/A</v>
      </c>
      <c r="GD66" s="120" t="e">
        <f aca="false">GC66+(FU66+FV66)*44/12</f>
        <v>#N/A</v>
      </c>
      <c r="GE66" s="120" t="e">
        <f aca="true">AVERAGE(OFFSET($GD$3,0,0,'Données projet'!$E$17+1,1))-AVERAGE(OFFSET($H$3,0,0,'Données projet'!$E$17+1,1))</f>
        <v>#N/A</v>
      </c>
      <c r="GF66" s="120" t="e">
        <f aca="false">$GF$3</f>
        <v>#N/A</v>
      </c>
      <c r="GG66" s="121" t="n">
        <f aca="false">IF(ISNA(VLOOKUP(A66,'Données projet'!$A$243:$I$263,3,0)),0,VLOOKUP(A66,'Données projet'!$A$243:$I$263,3,0))</f>
        <v>0</v>
      </c>
      <c r="GH66" s="121" t="n">
        <f aca="false">IF(ISNA(VLOOKUP(A66,'Données projet'!$A$243:$I$263,4,0)),0,VLOOKUP(A66,'Données projet'!$A$243:$I$263,4,0))</f>
        <v>0</v>
      </c>
      <c r="GI66" s="122" t="n">
        <f aca="false">IF(ISNA(VLOOKUP(A66,'Données projet'!$A$243:$I$263,5,0)),0%,VLOOKUP(A66,'Données projet'!$A$243:$I$263,5,0)*VLOOKUP('Données projet'!$B$17,Paramètres!$A$1:$I$89,7,0))</f>
        <v>0</v>
      </c>
      <c r="GJ66" s="122" t="n">
        <f aca="false">IF(ISNA(VLOOKUP(A66,'Données projet'!$A$243:$I$263,6,0)),0%,VLOOKUP(A66,'Données projet'!$A$243:$I$263,6,0)*VLOOKUP('Données projet'!$B$17,Paramètres!$A$1:$I$89,7,0))</f>
        <v>0</v>
      </c>
      <c r="GK66" s="122" t="n">
        <f aca="false">IF(ISNA(VLOOKUP(A66,'Données projet'!$A$243:$I$263,7,0)),0%,VLOOKUP(A66,'Données projet'!$A$243:$I$263,7,0))</f>
        <v>0</v>
      </c>
      <c r="GL66" s="129" t="e">
        <f aca="false">EXP(-LN(2)/35)*GL65+(1-EXP(-LN(2)/35))/(LN(2)/35)*GH66*GI66*VLOOKUP('Données projet'!$B$17,Paramètres!$A$1:$I$89,3,0)*0.475*44/12</f>
        <v>#N/A</v>
      </c>
      <c r="GM66" s="129" t="e">
        <f aca="false">EXP(-LN(2)/25)*GM65+(1-EXP(-LN(2)/25))/(LN(2)/25)*Calculateur!GH66*Calculateur!GJ66*VLOOKUP('Données projet'!$B$17,Paramètres!$A$1:$I$89,3,0)*0.475*44/12</f>
        <v>#N/A</v>
      </c>
      <c r="GN66" s="129" t="e">
        <f aca="false">EXP(-LN(2)/2)*GN65+(1-EXP(-LN(2)/2))/(LN(2)/2)*GH66*GK66*VLOOKUP('Données projet'!$B$17,Paramètres!$A$1:$I$89,3,0)*0.475*44/12</f>
        <v>#N/A</v>
      </c>
      <c r="GO66" s="129" t="e">
        <f aca="false">SUM(GL66:GN66)</f>
        <v>#N/A</v>
      </c>
      <c r="GP66" s="126" t="n">
        <f aca="false"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8" t="n">
        <f aca="false"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8" t="e">
        <f aca="false">VLOOKUP(A66,'Données projet'!$A$269:$I$289,2,0)</f>
        <v>#N/A</v>
      </c>
      <c r="GS66" s="118" t="e">
        <f aca="false">VLOOKUP(A66,'Données projet'!$A$269:$I$289,9,0)</f>
        <v>#N/A</v>
      </c>
      <c r="GT66" s="118" t="n">
        <f aca="false" t="array" ref="GT66:GT66">INDEX(GS:GS,MIN(IF(ISNUMBER(GS66:GS262),ROW(GS66:GS262),"")))</f>
        <v>0</v>
      </c>
      <c r="GU66" s="118" t="n">
        <f aca="false">IF('Données projet'!$A$270&gt;35,GU65+GT66-HC65,IF(A66&lt;'Données projet'!$A$270,$GR$205^A66,IF(A66='Données projet'!$A$270,'Données projet'!$B$270,GU65+GT66-HC65)))</f>
        <v>0</v>
      </c>
      <c r="GV66" s="125" t="e">
        <f aca="false">GU66*VLOOKUP('Données projet'!$B$18,Paramètres!$A$1:$I$89,3,0)*VLOOKUP('Données projet'!$B$18,Paramètres!$A$1:$I$89,5,0)</f>
        <v>#N/A</v>
      </c>
      <c r="GW66" s="117" t="e">
        <f aca="false">EXP(-1.0587+0.8836*LN(GV66)+0.284)</f>
        <v>#N/A</v>
      </c>
      <c r="GX66" s="128" t="e">
        <f aca="false">(GV66+GW66)*0.475*44/12</f>
        <v>#N/A</v>
      </c>
      <c r="GY66" s="120" t="e">
        <f aca="false">GX66+(GP66+GQ66)*44/12</f>
        <v>#N/A</v>
      </c>
      <c r="GZ66" s="120" t="e">
        <f aca="true">AVERAGE(OFFSET($GY$3,0,0,'Données projet'!$E$18+1,1))-AVERAGE(OFFSET($H$3,0,0,'Données projet'!$E$18+1,1))</f>
        <v>#N/A</v>
      </c>
      <c r="HA66" s="120" t="e">
        <f aca="false">$HA$3</f>
        <v>#N/A</v>
      </c>
      <c r="HB66" s="121" t="n">
        <f aca="false">IF(ISNA(VLOOKUP(A66,'Données projet'!$A$269:$I$289,3,0)),0,VLOOKUP(A66,'Données projet'!$A$269:$I$289,3,0))</f>
        <v>0</v>
      </c>
      <c r="HC66" s="121" t="n">
        <f aca="false">IF(ISNA(VLOOKUP(A66,'Données projet'!$A$269:$I$289,4,0)),0,VLOOKUP(A66,'Données projet'!$A$269:$I$289,4,0))</f>
        <v>0</v>
      </c>
      <c r="HD66" s="122" t="n">
        <f aca="false">IF(ISNA(VLOOKUP(A66,'Données projet'!$A$269:$I$289,5,0)),0%,VLOOKUP(A66,'Données projet'!$A$269:$I$289,5,0)*VLOOKUP('Données projet'!$B$18,Paramètres!$A$1:$I$89,7,0))</f>
        <v>0</v>
      </c>
      <c r="HE66" s="122" t="n">
        <f aca="false">IF(ISNA(VLOOKUP(A66,'Données projet'!$A$269:$I$289,6,0)),0%,VLOOKUP(A66,'Données projet'!$A$269:$I$289,6,0)*VLOOKUP('Données projet'!$B$18,Paramètres!$A$1:$I$89,7,0))</f>
        <v>0</v>
      </c>
      <c r="HF66" s="122" t="n">
        <f aca="false">IF(ISNA(VLOOKUP(A66,'Données projet'!$A$269:$I$289,7,0)),0%,VLOOKUP(A66,'Données projet'!$A$269:$I$289,7,0))</f>
        <v>0</v>
      </c>
      <c r="HG66" s="129" t="e">
        <f aca="false">EXP(-LN(2)/35)*HG65+(1-EXP(-LN(2)/35))/(LN(2)/35)*HC66*HD66*VLOOKUP('Données projet'!$B$18,Paramètres!$A$1:$I$89,3,0)*0.475*44/12</f>
        <v>#N/A</v>
      </c>
      <c r="HH66" s="129" t="e">
        <f aca="false">EXP(-LN(2)/25)*HH65+(1-EXP(-LN(2)/25))/(LN(2)/25)*Calculateur!HC66*Calculateur!HE66*VLOOKUP('Données projet'!$B$18,Paramètres!$A$1:$I$89,3,0)*0.475*44/12</f>
        <v>#N/A</v>
      </c>
      <c r="HI66" s="129" t="e">
        <f aca="false">EXP(-LN(2)/2)*HI65+(1-EXP(-LN(2)/2))/(LN(2)/2)*HC66*HF66*VLOOKUP('Données projet'!$B$18,Paramètres!$A$1:$I$89,3,0)*0.475*44/12</f>
        <v>#N/A</v>
      </c>
      <c r="HJ66" s="130" t="e">
        <f aca="false">SUM(HG66:HI66)</f>
        <v>#N/A</v>
      </c>
    </row>
    <row r="67" customFormat="false" ht="14.25" hidden="false" customHeight="false" outlineLevel="0" collapsed="false">
      <c r="A67" s="112" t="n">
        <f aca="false">A66+1</f>
        <v>64</v>
      </c>
      <c r="B67" s="113" t="n">
        <f aca="false">'Scénario référence'!$B$16*5+'Scénario référence'!$B$17*0+'Scénario référence'!$B$18*5</f>
        <v>0</v>
      </c>
      <c r="C67" s="127" t="n">
        <f aca="false"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4" t="n">
        <f aca="false">IFERROR(EXP(-1.0587+0.8836*LN(C67)+0.284),0)</f>
        <v>0</v>
      </c>
      <c r="E6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7" s="114" t="n">
        <f aca="false">IF(OR('Scénario référence'!$F$8&gt;0,'Scénario référence'!$F$9&gt;0),('Scénario référence'!$F$8+'Scénario référence'!$F$9)*10,0)</f>
        <v>0</v>
      </c>
      <c r="G67" s="114" t="n">
        <f aca="false"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15" t="n">
        <f aca="false">(B67+E67+F67)*44/12+(C67+D67)*0.475*44/12</f>
        <v>256.666666666667</v>
      </c>
      <c r="I67" s="11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7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8" t="e">
        <f aca="false">VLOOKUP(A67,'Données projet'!$A$35:$I$55,2,0)</f>
        <v>#N/A</v>
      </c>
      <c r="L67" s="118" t="e">
        <f aca="false">VLOOKUP(A67,'Données projet'!$A$35:$I$55,9,0)</f>
        <v>#N/A</v>
      </c>
      <c r="M67" s="118" t="n">
        <f aca="false" t="array" ref="M67:M67">INDEX(L:L,MIN(IF(ISNUMBER(L67:L263),ROW(L67:L263),"")))</f>
        <v>15.5</v>
      </c>
      <c r="N67" s="117" t="n">
        <f aca="false">IF('Données projet'!$A$36&gt;35,N66+M67-V66,IF(A67&lt;'Données projet'!$A$36,$K$205^A67,IF(A67='Données projet'!$A$36,'Données projet'!$B$36,N66+M67-V66)))</f>
        <v>330.5</v>
      </c>
      <c r="O67" s="117" t="n">
        <f aca="false">N67*VLOOKUP('Données projet'!$B$9,Paramètres!$A$1:$I$89,3,0)*VLOOKUP('Données projet'!$B$9,Paramètres!$A$1:$I$89,5,0)</f>
        <v>154.674</v>
      </c>
      <c r="P67" s="117" t="n">
        <f aca="false">EXP(-1.0587+0.8836*LN(O67)+0.284)</f>
        <v>39.6388645860427</v>
      </c>
      <c r="Q67" s="128" t="n">
        <f aca="false">(O67+P67)*0.475*44/12</f>
        <v>338.428239154024</v>
      </c>
      <c r="R67" s="120" t="n">
        <f aca="false">Q67+(I67+J67)*44/12</f>
        <v>631.761572487358</v>
      </c>
      <c r="S67" s="120" t="n">
        <f aca="true">AVERAGE(OFFSET($R$3,0,0,'Données projet'!$E$9+1,1))-AVERAGE(OFFSET($H$3,0,0,'Données projet'!$E$9+1,1))</f>
        <v>319.229030946746</v>
      </c>
      <c r="T67" s="120" t="n">
        <f aca="false">$T$3</f>
        <v>254.586909731428</v>
      </c>
      <c r="U67" s="121" t="n">
        <f aca="false">IF(ISNA(VLOOKUP(A67,'Données projet'!$A$35:$I$55,3,0)),0,VLOOKUP(A67,'Données projet'!$A$35:$I$55,3,0))</f>
        <v>0</v>
      </c>
      <c r="V67" s="121" t="n">
        <f aca="false">IF(ISNA(VLOOKUP(A67,'Données projet'!$A$35:$I$55,4,0)),0,VLOOKUP(A67,'Données projet'!$A$35:$I$55,4,0))</f>
        <v>0</v>
      </c>
      <c r="W67" s="122" t="n">
        <f aca="false">IF(ISNA(VLOOKUP(A67,'Données projet'!$A$35:$I$55,5,0)),0%,VLOOKUP(A67,'Données projet'!$A$35:$I$55,5,0)*VLOOKUP('Données projet'!$B$9,Paramètres!$A$1:$I$89,7,0))</f>
        <v>0</v>
      </c>
      <c r="X67" s="122" t="n">
        <f aca="false">IF(ISNA(VLOOKUP(A67,'Données projet'!$A$35:$I$55,6,0)),0%,VLOOKUP(A67,'Données projet'!$A$35:$I$55,6,0)*VLOOKUP('Données projet'!$B$9,Paramètres!$A$1:$I$89,7,0))</f>
        <v>0</v>
      </c>
      <c r="Y67" s="122" t="n">
        <f aca="false">IF(ISNA(VLOOKUP(A67,'Données projet'!$A$35:$I$55,7,0)),0%,VLOOKUP(A67,'Données projet'!$A$35:$I$55,7,0))</f>
        <v>0</v>
      </c>
      <c r="Z67" s="129" t="n">
        <f aca="false">EXP(-LN(2)/35)*Z66+(1-EXP(-LN(2)/35))/(LN(2)/35)*V67*W67*VLOOKUP('Données projet'!$B$9,Paramètres!$A$1:$I$89,3,0)*0.475*44/12</f>
        <v>4.62885254253707</v>
      </c>
      <c r="AA67" s="129" t="n">
        <f aca="false">EXP(-LN(2)/25)*AA66+(1-EXP(-LN(2)/25))/(LN(2)/25)*Calculateur!V67*Calculateur!X67*VLOOKUP('Données projet'!$B$9,Paramètres!$A$1:$I$89,3,0)*0.475*44/12</f>
        <v>4.34435686464842</v>
      </c>
      <c r="AB67" s="129" t="n">
        <f aca="false">EXP(-LN(2)/2)*AB66+(1-EXP(-LN(2)/2))/(LN(2)/2)*V67*Y67*VLOOKUP('Données projet'!$B$9,Paramètres!$A$1:$I$89,3,0)*0.475*44/12</f>
        <v>8.42523852813597E-005</v>
      </c>
      <c r="AC67" s="130" t="n">
        <f aca="false">SUM(Z67:AB67)</f>
        <v>8.97329365957078</v>
      </c>
      <c r="AD67" s="117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7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8" t="e">
        <f aca="false">VLOOKUP(A67,'Données projet'!$A$61:$I$81,2,0)</f>
        <v>#N/A</v>
      </c>
      <c r="AG67" s="118" t="e">
        <f aca="false">VLOOKUP(A67,'Données projet'!$A$61:$I$81,9,0)</f>
        <v>#N/A</v>
      </c>
      <c r="AH67" s="118" t="n">
        <f aca="false" t="array" ref="AH67:AH67">INDEX(AG:AG,MIN(IF(ISNUMBER(AG67:AG263),ROW(AG67:AG263),"")))</f>
        <v>0</v>
      </c>
      <c r="AI67" s="117" t="n">
        <f aca="false">IF('Données projet'!$A$62&gt;35,AI66+AH67-AQ66,IF(A67&lt;'Données projet'!$A$62,$AF$205^A67,IF(A67='Données projet'!$A$62,'Données projet'!$B$62,AI66+AH67-AQ66)))</f>
        <v>1.13686837721616E-013</v>
      </c>
      <c r="AJ67" s="117" t="n">
        <f aca="false">AI67*VLOOKUP('Données projet'!$B$10,Paramètres!$A$1:$I$89,3,0)*VLOOKUP('Données projet'!$B$10,Paramètres!$A$1:$I$89,5,0)</f>
        <v>6.35509422863834E-014</v>
      </c>
      <c r="AK67" s="117" t="n">
        <f aca="false">EXP(-1.0587+0.8836*LN(AJ67)+0.284)</f>
        <v>1.0064464192544E-012</v>
      </c>
      <c r="AL67" s="128" t="n">
        <f aca="false">(AJ67+AK67)*0.475*44/12</f>
        <v>1.86357873801686E-012</v>
      </c>
      <c r="AM67" s="120" t="n">
        <f aca="false">AL67+(AD67+AE67)*44/12</f>
        <v>293.333333333335</v>
      </c>
      <c r="AN67" s="120" t="n">
        <f aca="true">AVERAGE(OFFSET($AM$3,0,0,'Données projet'!$E$10+1,1))-AVERAGE(OFFSET($H$3,0,0,'Données projet'!$E$10+1,1))</f>
        <v>365.705101827279</v>
      </c>
      <c r="AO67" s="120" t="n">
        <f aca="false">$AO$3</f>
        <v>436.238338449625</v>
      </c>
      <c r="AP67" s="121" t="n">
        <f aca="false">IF(ISNA(VLOOKUP(A67,'Données projet'!$A$61:$I$81,3,0)),0,VLOOKUP(A67,'Données projet'!$A$61:$I$81,3,0))</f>
        <v>0</v>
      </c>
      <c r="AQ67" s="121" t="n">
        <f aca="false">IF(ISNA(VLOOKUP(A67,'Données projet'!$A$61:$I$81,4,0)),0,VLOOKUP(A67,'Données projet'!$A$61:$I$81,4,0))</f>
        <v>0</v>
      </c>
      <c r="AR67" s="122" t="n">
        <f aca="false">IF(ISNA(VLOOKUP(A67,'Données projet'!$A$61:$I$81,5,0)),0%,VLOOKUP(A67,'Données projet'!$A$61:$I$81,5,0)*VLOOKUP('Données projet'!$B$10,Paramètres!$A$1:$I$89,7,0))</f>
        <v>0</v>
      </c>
      <c r="AS67" s="122" t="n">
        <f aca="false">IF(ISNA(VLOOKUP(A67,'Données projet'!$A$61:$I$81,6,0)),0%,VLOOKUP(A67,'Données projet'!$A$61:$I$81,6,0)*VLOOKUP('Données projet'!$B$10,Paramètres!$A$1:$I$89,7,0))</f>
        <v>0</v>
      </c>
      <c r="AT67" s="122" t="n">
        <f aca="false">IF(ISNA(VLOOKUP(A67,'Données projet'!$A$61:$I$81,7,0)),0%,VLOOKUP(A67,'Données projet'!$A$61:$I$81,7,0))</f>
        <v>0</v>
      </c>
      <c r="AU67" s="129" t="n">
        <f aca="false">EXP(-LN(2)/35)*AU66+(1-EXP(-LN(2)/35))/(LN(2)/35)*AQ67*AR67*VLOOKUP('Données projet'!$B$10,Paramètres!$A$1:$I$89,3,0)*0.475*44/12</f>
        <v>1.7472417608832</v>
      </c>
      <c r="AV67" s="129" t="n">
        <f aca="false">EXP(-LN(2)/25)*AV66+(1-EXP(-LN(2)/25))/(LN(2)/25)*Calculateur!AQ67*Calculateur!AS67*VLOOKUP('Données projet'!$B$10,Paramètres!$A$1:$I$89,3,0)*0.475*44/12</f>
        <v>5.14565580733512</v>
      </c>
      <c r="AW67" s="129" t="n">
        <f aca="false">EXP(-LN(2)/2)*AW66+(1-EXP(-LN(2)/2))/(LN(2)/2)*AQ67*AT67*VLOOKUP('Données projet'!$B$10,Paramètres!$A$1:$I$89,3,0)*0.475*44/12</f>
        <v>4.53420004705489E-005</v>
      </c>
      <c r="AX67" s="129" t="n">
        <f aca="false">SUM(AU67:AW67)</f>
        <v>6.89294291021879</v>
      </c>
      <c r="AY67" s="124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8" t="e">
        <f aca="false">VLOOKUP(A67,'Données projet'!$A$87:$I$107,2,0)</f>
        <v>#N/A</v>
      </c>
      <c r="BB67" s="118" t="e">
        <f aca="false">VLOOKUP(A67,'Données projet'!$A$87:$I$107,9,0)</f>
        <v>#N/A</v>
      </c>
      <c r="BC67" s="118" t="n">
        <f aca="false" t="array" ref="BC67:BC67">INDEX(BB:BB,MIN(IF(ISNUMBER(BB67:BB263),ROW(BB67:BB263),"")))</f>
        <v>6</v>
      </c>
      <c r="BD67" s="118" t="n">
        <f aca="false">IF('Données projet'!$A$88&gt;35,BD66+BC67-BL66,IF(A67&lt;'Données projet'!$A$88,$BA$205^A67,IF(A67='Données projet'!$A$88,'Données projet'!$B$88,BD66+BC67-BL66)))</f>
        <v>240</v>
      </c>
      <c r="BE67" s="117" t="n">
        <f aca="false">BD67*VLOOKUP('Données projet'!$B$11,Paramètres!$A$1:$I$89,3,0)*VLOOKUP('Données projet'!$B$11,Paramètres!$A$1:$I$89,5,0)</f>
        <v>209.664</v>
      </c>
      <c r="BF67" s="117" t="n">
        <f aca="false">EXP(-1.0587+0.8836*LN(BE67)+0.284)</f>
        <v>51.8621544033046</v>
      </c>
      <c r="BG67" s="128" t="n">
        <f aca="false">(BE67+BF67)*0.475*44/12</f>
        <v>455.491385585756</v>
      </c>
      <c r="BH67" s="120" t="n">
        <f aca="false">BG67+(AY67+AZ67)*44/12</f>
        <v>748.824718919089</v>
      </c>
      <c r="BI67" s="120" t="n">
        <f aca="true">AVERAGE(OFFSET($BH$3,0,0,'Données projet'!$E$11+1,1))-AVERAGE(OFFSET($H$3,0,0,'Données projet'!$E$11+1,1))</f>
        <v>321.235999689929</v>
      </c>
      <c r="BJ67" s="120" t="n">
        <f aca="false">$BJ$3</f>
        <v>388.051958478005</v>
      </c>
      <c r="BK67" s="121" t="n">
        <f aca="false">IF(ISNA(VLOOKUP(A67,'Données projet'!$A$87:$I$107,3,0)),0,VLOOKUP(A67,'Données projet'!$A$87:$I$107,3,0))</f>
        <v>0</v>
      </c>
      <c r="BL67" s="121" t="n">
        <f aca="false">IF(ISNA(VLOOKUP(A67,'Données projet'!$A$87:$I$107,4,0)),0,VLOOKUP(A67,'Données projet'!$A$87:$I$107,4,0))</f>
        <v>0</v>
      </c>
      <c r="BM67" s="122" t="n">
        <f aca="false">IF(ISNA(VLOOKUP(A67,'Données projet'!$A$87:$I$107,5,0)),0%,VLOOKUP(A67,'Données projet'!$A$87:$I$107,5,0)*VLOOKUP('Données projet'!$B$11,Paramètres!$A$1:$I$89,7,0))</f>
        <v>0</v>
      </c>
      <c r="BN67" s="122" t="n">
        <f aca="false">IF(ISNA(VLOOKUP(A67,'Données projet'!$A$87:$I$107,6,0)),0%,VLOOKUP(A67,'Données projet'!$A$87:$I$107,6,0)*VLOOKUP('Données projet'!$B$11,Paramètres!$A$1:$I$89,7,0))</f>
        <v>0</v>
      </c>
      <c r="BO67" s="122" t="n">
        <f aca="false">IF(ISNA(VLOOKUP(A67,'Données projet'!$A$87:$I$107,7,0)),0%,VLOOKUP(A67,'Données projet'!$A$87:$I$107,7,0))</f>
        <v>0</v>
      </c>
      <c r="BP67" s="129" t="n">
        <f aca="false">EXP(-LN(2)/35)*BP66+(1-EXP(-LN(2)/35))/(LN(2)/35)*BL67*BM67*VLOOKUP('Données projet'!$B$11,Paramètres!$A$1:$I$89,3,0)*0.475*44/12</f>
        <v>4.38666247189346</v>
      </c>
      <c r="BQ67" s="129" t="n">
        <f aca="false">EXP(-LN(2)/25)*BQ66+(1-EXP(-LN(2)/25))/(LN(2)/25)*Calculateur!BL67*Calculateur!BN67*VLOOKUP('Données projet'!$B$11,Paramètres!$A$1:$I$89,3,0)*0.475*44/12</f>
        <v>5.25237981506913</v>
      </c>
      <c r="BR67" s="129" t="n">
        <f aca="false">EXP(-LN(2)/2)*BR66+(1-EXP(-LN(2)/2))/(LN(2)/2)*BL67*BO67*VLOOKUP('Données projet'!$B$11,Paramètres!$A$1:$I$89,3,0)*0.475*44/12</f>
        <v>4.60892010291652E-005</v>
      </c>
      <c r="BS67" s="130" t="n">
        <f aca="false">SUM(BP67:BR67)</f>
        <v>9.63908837616361</v>
      </c>
      <c r="BT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8" t="e">
        <f aca="false">VLOOKUP(A67,'Données projet'!$A$113:$I$133,2,0)</f>
        <v>#N/A</v>
      </c>
      <c r="BW67" s="118" t="e">
        <f aca="false">VLOOKUP(A67,'Données projet'!$A$113:$I$133,9,0)</f>
        <v>#N/A</v>
      </c>
      <c r="BX67" s="118" t="n">
        <f aca="false" t="array" ref="BX67:BX67">INDEX(BW:BW,MIN(IF(ISNUMBER(BW67:BW263),ROW(BW67:BW263),"")))</f>
        <v>0</v>
      </c>
      <c r="BY67" s="118" t="n">
        <f aca="false">IF('Données projet'!$A$114&gt;35,BY66+BX67-CG66,IF(A67&lt;'Données projet'!$A$114,$BV$205^A67,IF(A67='Données projet'!$A$114,'Données projet'!$B$114,BY66+BX67-CG66)))</f>
        <v>0</v>
      </c>
      <c r="BZ67" s="117" t="n">
        <f aca="false">BY67*VLOOKUP('Données projet'!$B$12,Paramètres!$A$1:$I$89,3,0)*VLOOKUP('Données projet'!$B$12,Paramètres!$A$1:$I$89,5,0)</f>
        <v>0</v>
      </c>
      <c r="CA67" s="117" t="e">
        <f aca="false">EXP(-1.0587+0.8836*LN(BZ67)+0.284)</f>
        <v>#VALUE!</v>
      </c>
      <c r="CB67" s="128" t="e">
        <f aca="false">(BZ67+CA67)*0.475*44/12</f>
        <v>#VALUE!</v>
      </c>
      <c r="CC67" s="120" t="e">
        <f aca="false">CB67+(BT67+BU67)*44/12</f>
        <v>#VALUE!</v>
      </c>
      <c r="CD67" s="120" t="n">
        <f aca="true">AVERAGE(OFFSET($CC$3,0,0,'Données projet'!$E$12+1,1))-AVERAGE(OFFSET($H$3,0,0,'Données projet'!$E$12+1,1))</f>
        <v>240.228848647662</v>
      </c>
      <c r="CE67" s="120" t="n">
        <f aca="false">$CE$3</f>
        <v>343.237768841432</v>
      </c>
      <c r="CF67" s="121" t="n">
        <f aca="false">IF(ISNA(VLOOKUP(A67,'Données projet'!$A$113:$I$133,3,0)),0,VLOOKUP(A67,'Données projet'!$A$113:$I$133,3,0))</f>
        <v>0</v>
      </c>
      <c r="CG67" s="121" t="n">
        <f aca="false">IF(ISNA(VLOOKUP(A67,'Données projet'!$A$113:$I$133,4,0)),0,VLOOKUP(A67,'Données projet'!$A$113:$I$133,4,0))</f>
        <v>0</v>
      </c>
      <c r="CH67" s="122" t="n">
        <f aca="false">IF(ISNA(VLOOKUP(A67,'Données projet'!$A$113:$I$133,5,0)),0%,VLOOKUP(A67,'Données projet'!$A$113:$I$133,5,0)*VLOOKUP('Données projet'!$B$12,Paramètres!$A$1:$I$89,7,0))</f>
        <v>0</v>
      </c>
      <c r="CI67" s="122" t="n">
        <f aca="false">IF(ISNA(VLOOKUP(A67,'Données projet'!$A$113:$I$133,6,0)),0%,VLOOKUP(A67,'Données projet'!$A$113:$I$133,6,0)*VLOOKUP('Données projet'!$B$12,Paramètres!$A$1:$I$89,7,0))</f>
        <v>0</v>
      </c>
      <c r="CJ67" s="122" t="n">
        <f aca="false">IF(ISNA(VLOOKUP(A67,'Données projet'!$A$113:$I$133,7,0)),0%,VLOOKUP(A67,'Données projet'!$A$113:$I$133,7,0))</f>
        <v>0</v>
      </c>
      <c r="CK67" s="129" t="n">
        <f aca="false">EXP(-LN(2)/35)*CK66+(1-EXP(-LN(2)/35))/(LN(2)/35)*CG67*CH67*VLOOKUP('Données projet'!$B$12,Paramètres!$A$1:$I$89,3,0)*0.475*44/12</f>
        <v>2.68497918434724</v>
      </c>
      <c r="CL67" s="129" t="n">
        <f aca="false">EXP(-LN(2)/25)*CL66+(1-EXP(-LN(2)/25))/(LN(2)/25)*Calculateur!CG67*Calculateur!CI67*VLOOKUP('Données projet'!$B$12,Paramètres!$A$1:$I$89,3,0)*0.475*44/12</f>
        <v>9.27600681308438</v>
      </c>
      <c r="CM67" s="129" t="n">
        <f aca="false">EXP(-LN(2)/2)*CM66+(1-EXP(-LN(2)/2))/(LN(2)/2)*CG67*CJ67*VLOOKUP('Données projet'!$B$12,Paramètres!$A$1:$I$89,3,0)*0.475*44/12</f>
        <v>7.3546077468596E-005</v>
      </c>
      <c r="CN67" s="130" t="n">
        <f aca="false">SUM(CK67:CM67)</f>
        <v>11.9610595435091</v>
      </c>
      <c r="CO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8" t="e">
        <f aca="false">VLOOKUP(A67,'Données projet'!$A$139:$I$159,2,0)</f>
        <v>#N/A</v>
      </c>
      <c r="CR67" s="118" t="e">
        <f aca="false">VLOOKUP(A67,'Données projet'!$A$139:$I$159,9,0)</f>
        <v>#N/A</v>
      </c>
      <c r="CS67" s="118" t="n">
        <f aca="false" t="array" ref="CS67:CS67">INDEX(CR:CR,MIN(IF(ISNUMBER(CR67:CR263),ROW(CR67:CR263),"")))</f>
        <v>0</v>
      </c>
      <c r="CT67" s="118" t="n">
        <f aca="false">IF('Données projet'!$A$140&gt;35,CT66+CS67-DB66,IF(A67&lt;'Données projet'!$A$140,$CQ$205^A67,IF(A67='Données projet'!$A$140,'Données projet'!$B$140,CT66+CS67-DB66)))</f>
        <v>-5.6843418860808E-014</v>
      </c>
      <c r="CU67" s="125" t="n">
        <f aca="false">CT67*VLOOKUP('Données projet'!$B$13,Paramètres!$A$1:$I$89,3,0)*VLOOKUP('Données projet'!$B$13,Paramètres!$A$1:$I$89,5,0)</f>
        <v>-3.10365066980012E-014</v>
      </c>
      <c r="CV67" s="117" t="e">
        <f aca="false">EXP(-1.0587+0.8836*LN(CU67)+0.284)</f>
        <v>#VALUE!</v>
      </c>
      <c r="CW67" s="128" t="e">
        <f aca="false">(CU67+CV67)*0.475*44/12</f>
        <v>#VALUE!</v>
      </c>
      <c r="CX67" s="120" t="e">
        <f aca="false">CW67+(CO67+CP67)*44/12</f>
        <v>#VALUE!</v>
      </c>
      <c r="CY67" s="120" t="n">
        <f aca="true">AVERAGE(OFFSET($CX$3,0,0,'Données projet'!$E$13+1,1))-AVERAGE(OFFSET($H$3,0,0,'Données projet'!$E$13+1,1))</f>
        <v>207.023069645676</v>
      </c>
      <c r="CZ67" s="120" t="n">
        <f aca="false">$CZ$3</f>
        <v>342.068879333518</v>
      </c>
      <c r="DA67" s="121" t="n">
        <f aca="false">IF(ISNA(VLOOKUP(A67,'Données projet'!$A$139:$I$159,3,0)),0,VLOOKUP(A67,'Données projet'!$A$139:$I$159,3,0))</f>
        <v>0</v>
      </c>
      <c r="DB67" s="121" t="n">
        <f aca="false">IF(ISNA(VLOOKUP(A67,'Données projet'!$A$139:$I$159,4,0)),0,VLOOKUP(A67,'Données projet'!$A$139:$I$159,4,0))</f>
        <v>0</v>
      </c>
      <c r="DC67" s="122" t="n">
        <f aca="false">IF(ISNA(VLOOKUP(A67,'Données projet'!$A$139:$I$159,5,0)),0%,VLOOKUP(A67,'Données projet'!$A$139:$I$159,5,0)*VLOOKUP('Données projet'!$B$13,Paramètres!$A$1:$I$89,7,0))</f>
        <v>0</v>
      </c>
      <c r="DD67" s="122" t="n">
        <f aca="false">IF(ISNA(VLOOKUP(A67,'Données projet'!$A$139:$I$159,6,0)),0%,VLOOKUP(A67,'Données projet'!$A$139:$I$159,6,0)*VLOOKUP('Données projet'!$B$13,Paramètres!$A$1:$I$89,7,0))</f>
        <v>0</v>
      </c>
      <c r="DE67" s="122" t="n">
        <f aca="false">IF(ISNA(VLOOKUP(A67,'Données projet'!$A$139:$I$159,7,0)),0%,VLOOKUP(A67,'Données projet'!$A$139:$I$159,7,0))</f>
        <v>0</v>
      </c>
      <c r="DF67" s="129" t="n">
        <f aca="false">EXP(-LN(2)/35)*DF66+(1-EXP(-LN(2)/35))/(LN(2)/35)*DB67*DC67*VLOOKUP('Données projet'!$B$13,Paramètres!$A$1:$I$89,3,0)*0.475*44/12</f>
        <v>3.36888897658663</v>
      </c>
      <c r="DG67" s="129" t="n">
        <f aca="false">EXP(-LN(2)/25)*DG66+(1-EXP(-LN(2)/25))/(LN(2)/25)*Calculateur!DB67*Calculateur!DD67*VLOOKUP('Données projet'!$B$13,Paramètres!$A$1:$I$89,3,0)*0.475*44/12</f>
        <v>15.1624077862006</v>
      </c>
      <c r="DH67" s="129" t="n">
        <f aca="false">EXP(-LN(2)/2)*DH66+(1-EXP(-LN(2)/2))/(LN(2)/2)*DB67*DE67*VLOOKUP('Données projet'!$B$13,Paramètres!$A$1:$I$89,3,0)*0.475*44/12</f>
        <v>0.000101272982772071</v>
      </c>
      <c r="DI67" s="130" t="n">
        <f aca="false">SUM(DF67:DH67)</f>
        <v>18.53139803577</v>
      </c>
      <c r="DJ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8" t="e">
        <f aca="false">VLOOKUP(A67,'Données projet'!$A$165:$I$185,2,0)</f>
        <v>#N/A</v>
      </c>
      <c r="DM67" s="118" t="e">
        <f aca="false">VLOOKUP(A67,'Données projet'!$A$165:$I$185,9,0)</f>
        <v>#N/A</v>
      </c>
      <c r="DN67" s="118" t="n">
        <f aca="false" t="array" ref="DN67:DN67">INDEX(DM:DM,MIN(IF(ISNUMBER(DM67:DM263),ROW(DM67:DM263),"")))</f>
        <v>0</v>
      </c>
      <c r="DO67" s="118" t="n">
        <f aca="false">IF('Données projet'!$A$166&gt;35,DO66+DN67-DW66,IF(A67&lt;'Données projet'!$A$166,$DL$205^A67,IF(A67='Données projet'!$A$166,'Données projet'!$B$166,DO66+DN67-DW66)))</f>
        <v>0</v>
      </c>
      <c r="DP67" s="125" t="n">
        <f aca="false">DO67*VLOOKUP('Données projet'!$B$14,Paramètres!$A$1:$I$89,3,0)*VLOOKUP('Données projet'!$B$14,Paramètres!$A$1:$I$89,5,0)</f>
        <v>0</v>
      </c>
      <c r="DQ67" s="117" t="e">
        <f aca="false">EXP(-1.0587+0.8836*LN(DP67)+0.284)</f>
        <v>#VALUE!</v>
      </c>
      <c r="DR67" s="128" t="e">
        <f aca="false">(DP67+DQ67)*0.475*44/12</f>
        <v>#VALUE!</v>
      </c>
      <c r="DS67" s="120" t="e">
        <f aca="false">DR67+(DJ67+DK67)*44/12</f>
        <v>#VALUE!</v>
      </c>
      <c r="DT67" s="120" t="n">
        <f aca="true">AVERAGE(OFFSET($DS$3,0,0,'Données projet'!$E$14+1,1))-AVERAGE(OFFSET($H$3,0,0,'Données projet'!$E$14+1,1))</f>
        <v>549.432320957297</v>
      </c>
      <c r="DU67" s="120" t="n">
        <f aca="false">$DU$3</f>
        <v>280.26155987301</v>
      </c>
      <c r="DV67" s="121" t="n">
        <f aca="false">IF(ISNA(VLOOKUP(A67,'Données projet'!$A$165:$I$185,3,0)),0,VLOOKUP(A67,'Données projet'!$A$165:$I$185,3,0))</f>
        <v>0</v>
      </c>
      <c r="DW67" s="121" t="n">
        <f aca="false">IF(ISNA(VLOOKUP(A67,'Données projet'!$A$165:$I$185,4,0)),0,VLOOKUP(A67,'Données projet'!$A$165:$I$185,4,0))</f>
        <v>0</v>
      </c>
      <c r="DX67" s="122" t="n">
        <f aca="false">IF(ISNA(VLOOKUP(A67,'Données projet'!$A$165:$I$185,5,0)),0%,VLOOKUP(A67,'Données projet'!$A$165:$I$185,5,0)*VLOOKUP('Données projet'!$B$14,Paramètres!$A$1:$I$89,7,0))</f>
        <v>0</v>
      </c>
      <c r="DY67" s="122" t="n">
        <f aca="false">IF(ISNA(VLOOKUP(A67,'Données projet'!$A$165:$I$185,6,0)),0%,VLOOKUP(A67,'Données projet'!$A$165:$I$185,6,0)*VLOOKUP('Données projet'!$B$14,Paramètres!$A$1:$I$89,7,0))</f>
        <v>0</v>
      </c>
      <c r="DZ67" s="122" t="n">
        <f aca="false">IF(ISNA(VLOOKUP(A67,'Données projet'!$A$165:$I$185,7,0)),0%,VLOOKUP(A67,'Données projet'!$A$165:$I$185,7,0))</f>
        <v>0</v>
      </c>
      <c r="EA67" s="129" t="n">
        <f aca="false">EXP(-LN(2)/35)*EA66+(1-EXP(-LN(2)/35))/(LN(2)/35)*DW67*DX67*VLOOKUP('Données projet'!$B$14,Paramètres!$A$1:$I$89,3,0)*0.475*44/12</f>
        <v>1.22492427542807</v>
      </c>
      <c r="EB67" s="129" t="n">
        <f aca="false">EXP(-LN(2)/25)*EB66+(1-EXP(-LN(2)/25))/(LN(2)/25)*Calculateur!DW67*Calculateur!DY67*VLOOKUP('Données projet'!$B$14,Paramètres!$A$1:$I$89,3,0)*0.475*44/12</f>
        <v>3.02065078005884</v>
      </c>
      <c r="EC67" s="129" t="n">
        <f aca="false">EXP(-LN(2)/2)*EC66+(1-EXP(-LN(2)/2))/(LN(2)/2)*DW67*DZ67*VLOOKUP('Données projet'!$B$14,Paramètres!$A$1:$I$89,3,0)*0.475*44/12</f>
        <v>4.66847574963339E-005</v>
      </c>
      <c r="ED67" s="130" t="n">
        <f aca="false">SUM(EA67:EC67)</f>
        <v>4.24562174024441</v>
      </c>
      <c r="EE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8" t="e">
        <f aca="false">VLOOKUP(A67,'Données projet'!$A$191:$I$211,2,0)</f>
        <v>#N/A</v>
      </c>
      <c r="EH67" s="118" t="e">
        <f aca="false">VLOOKUP(A67,'Données projet'!$A$191:$I$211,9,0)</f>
        <v>#N/A</v>
      </c>
      <c r="EI67" s="118" t="n">
        <f aca="false" t="array" ref="EI67:EI67">INDEX(EH:EH,MIN(IF(ISNUMBER(EH67:EH263),ROW(EH67:EH263),"")))</f>
        <v>0</v>
      </c>
      <c r="EJ67" s="118" t="n">
        <f aca="false">IF('Données projet'!$A$192&gt;35,EJ66+EI67-ER66,IF(A67&lt;'Données projet'!$A$192,$EG$205^A67,IF(A67='Données projet'!$A$192,'Données projet'!$B$192,EJ66+EI67-ER66)))</f>
        <v>0</v>
      </c>
      <c r="EK67" s="125" t="e">
        <f aca="false">EJ67*VLOOKUP('Données projet'!$B$15,Paramètres!$A$1:$I$89,3,0)*VLOOKUP('Données projet'!$B$15,Paramètres!$A$1:$I$89,5,0)</f>
        <v>#N/A</v>
      </c>
      <c r="EL67" s="117" t="e">
        <f aca="false">EXP(-1.0587+0.8836*LN(EK67)+0.284)</f>
        <v>#N/A</v>
      </c>
      <c r="EM67" s="128" t="e">
        <f aca="false">(EK67+EL67)*0.475*44/12</f>
        <v>#N/A</v>
      </c>
      <c r="EN67" s="120" t="e">
        <f aca="false">EM67+(EE67+EF67)*44/12</f>
        <v>#N/A</v>
      </c>
      <c r="EO67" s="120" t="e">
        <f aca="true">AVERAGE(OFFSET($EN$3,0,0,'Données projet'!$E$15+1,1))-AVERAGE(OFFSET($H$3,0,0,'Données projet'!$E$15+1,1))</f>
        <v>#N/A</v>
      </c>
      <c r="EP67" s="120" t="e">
        <f aca="false">$EP$3</f>
        <v>#N/A</v>
      </c>
      <c r="EQ67" s="121" t="n">
        <f aca="false">IF(ISNA(VLOOKUP(A67,'Données projet'!$A$191:$I$211,3,0)),0,VLOOKUP(A67,'Données projet'!$A$191:$I$211,3,0))</f>
        <v>0</v>
      </c>
      <c r="ER67" s="121" t="n">
        <f aca="false">IF(ISNA(VLOOKUP(A67,'Données projet'!$A$191:$I$211,4,0)),0,VLOOKUP(A67,'Données projet'!$A$191:$I$211,4,0))</f>
        <v>0</v>
      </c>
      <c r="ES67" s="122" t="n">
        <f aca="false">IF(ISNA(VLOOKUP(A67,'Données projet'!$A$191:$I$211,5,0)),0%,VLOOKUP(A67,'Données projet'!$A$191:$I$211,5,0)*VLOOKUP('Données projet'!$B$15,Paramètres!$A$1:$I$89,7,0))</f>
        <v>0</v>
      </c>
      <c r="ET67" s="122" t="n">
        <f aca="false">IF(ISNA(VLOOKUP(A67,'Données projet'!$A$191:$I$211,6,0)),0%,VLOOKUP(A67,'Données projet'!$A$191:$I$211,6,0)*VLOOKUP('Données projet'!$B$15,Paramètres!$A$1:$I$89,7,0))</f>
        <v>0</v>
      </c>
      <c r="EU67" s="122" t="n">
        <f aca="false">IF(ISNA(VLOOKUP(A67,'Données projet'!$A$191:$I$211,7,0)),0%,VLOOKUP(A67,'Données projet'!$A$191:$I$211,7,0))</f>
        <v>0</v>
      </c>
      <c r="EV67" s="129" t="e">
        <f aca="false">EXP(-LN(2)/35)*EV66+(1-EXP(-LN(2)/35))/(LN(2)/35)*ER67*ES67*VLOOKUP('Données projet'!$B$15,Paramètres!$A$1:$I$89,3,0)*0.475*44/12</f>
        <v>#N/A</v>
      </c>
      <c r="EW67" s="129" t="e">
        <f aca="false">EXP(-LN(2)/25)*EW66+(1-EXP(-LN(2)/25))/(LN(2)/25)*Calculateur!ER67*Calculateur!ET67*VLOOKUP('Données projet'!$B$15,Paramètres!$A$1:$I$89,3,0)*0.475*44/12</f>
        <v>#N/A</v>
      </c>
      <c r="EX67" s="129" t="e">
        <f aca="false">EXP(-LN(2)/2)*EX66+(1-EXP(-LN(2)/2))/(LN(2)/2)*ER67*EU67*VLOOKUP('Données projet'!$B$15,Paramètres!$A$1:$I$89,3,0)*0.475*44/12</f>
        <v>#N/A</v>
      </c>
      <c r="EY67" s="130" t="e">
        <f aca="false">SUM(EV67:EX67)</f>
        <v>#N/A</v>
      </c>
      <c r="EZ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8" t="e">
        <f aca="false">VLOOKUP(A67,'Données projet'!$A$217:$I$237,2,0)</f>
        <v>#N/A</v>
      </c>
      <c r="FC67" s="118" t="e">
        <f aca="false">VLOOKUP(A67,'Données projet'!$A$217:$I$237,9,0)</f>
        <v>#N/A</v>
      </c>
      <c r="FD67" s="118" t="n">
        <f aca="false" t="array" ref="FD67:FD67">INDEX(FC:FC,MIN(IF(ISNUMBER(FC67:FC263),ROW(FC67:FC263),"")))</f>
        <v>0</v>
      </c>
      <c r="FE67" s="118" t="n">
        <f aca="false">IF('Données projet'!$A$218&gt;35,FE66+FD67-FM66,IF(A67&lt;'Données projet'!$A$218,$FB$205^A67,IF(A67='Données projet'!$A$218,'Données projet'!$B$218,FE66+FD67-FM66)))</f>
        <v>0</v>
      </c>
      <c r="FF67" s="125" t="e">
        <f aca="false">FE67*VLOOKUP('Données projet'!$B$16,Paramètres!$A$1:$I$89,3,0)*VLOOKUP('Données projet'!$B$16,Paramètres!$A$1:$I$89,5,0)</f>
        <v>#N/A</v>
      </c>
      <c r="FG67" s="117" t="e">
        <f aca="false">EXP(-1.0587+0.8836*LN(FF67)+0.284)</f>
        <v>#N/A</v>
      </c>
      <c r="FH67" s="128" t="e">
        <f aca="false">(FF67+FG67)*0.475*44/12</f>
        <v>#N/A</v>
      </c>
      <c r="FI67" s="120" t="e">
        <f aca="false">FH67+(EZ67+FA67)*44/12</f>
        <v>#N/A</v>
      </c>
      <c r="FJ67" s="120" t="e">
        <f aca="true">AVERAGE(OFFSET($FI$3,0,0,'Données projet'!$E$16+1,1))-AVERAGE(OFFSET($H$3,0,0,'Données projet'!$E$16+1,1))</f>
        <v>#N/A</v>
      </c>
      <c r="FK67" s="120" t="e">
        <f aca="false">$FK$3</f>
        <v>#N/A</v>
      </c>
      <c r="FL67" s="121" t="n">
        <f aca="false">IF(ISNA(VLOOKUP(A67,'Données projet'!$A$217:$I$237,3,0)),0,VLOOKUP(A67,'Données projet'!$A$217:$I$237,3,0))</f>
        <v>0</v>
      </c>
      <c r="FM67" s="121" t="n">
        <f aca="false">IF(ISNA(VLOOKUP(A67,'Données projet'!$A$217:$I$237,4,0)),0,VLOOKUP(A67,'Données projet'!$A$217:$I$237,4,0))</f>
        <v>0</v>
      </c>
      <c r="FN67" s="122" t="n">
        <f aca="false">IF(ISNA(VLOOKUP(A67,'Données projet'!$A$217:$I$237,5,0)),0%,VLOOKUP(A67,'Données projet'!$A$217:$I$237,5,0)*VLOOKUP('Données projet'!$B$16,Paramètres!$A$1:$I$89,7,0))</f>
        <v>0</v>
      </c>
      <c r="FO67" s="122" t="n">
        <f aca="false">IF(ISNA(VLOOKUP(A67,'Données projet'!$A$217:$I$237,6,0)),0%,VLOOKUP(A67,'Données projet'!$A$217:$I$237,6,0)*VLOOKUP('Données projet'!$B$16,Paramètres!$A$1:$I$89,7,0))</f>
        <v>0</v>
      </c>
      <c r="FP67" s="122" t="n">
        <f aca="false">IF(ISNA(VLOOKUP(A67,'Données projet'!$A$217:$I$237,7,0)),0%,VLOOKUP(A67,'Données projet'!$A$217:$I$237,7,0))</f>
        <v>0</v>
      </c>
      <c r="FQ67" s="129" t="e">
        <f aca="false">EXP(-LN(2)/35)*FQ66+(1-EXP(-LN(2)/35))/(LN(2)/35)*FM67*FN67*VLOOKUP('Données projet'!$B$16,Paramètres!$A$1:$I$89,3,0)*0.475*44/12</f>
        <v>#N/A</v>
      </c>
      <c r="FR67" s="129" t="e">
        <f aca="false">EXP(-LN(2)/25)*FR66+(1-EXP(-LN(2)/25))/(LN(2)/25)*Calculateur!FM67*Calculateur!FO67*VLOOKUP('Données projet'!$B$16,Paramètres!$A$1:$I$89,3,0)*0.475*44/12</f>
        <v>#N/A</v>
      </c>
      <c r="FS67" s="129" t="e">
        <f aca="false">EXP(-LN(2)/2)*FS66+(1-EXP(-LN(2)/2))/(LN(2)/2)*FM67*FP67*VLOOKUP('Données projet'!$B$16,Paramètres!$A$1:$I$89,3,0)*0.475*44/12</f>
        <v>#N/A</v>
      </c>
      <c r="FT67" s="130" t="e">
        <f aca="false">SUM(FQ67:FS67)</f>
        <v>#N/A</v>
      </c>
      <c r="FU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8" t="e">
        <f aca="false">VLOOKUP(A67,'Données projet'!$A$243:$I$263,2,0)</f>
        <v>#N/A</v>
      </c>
      <c r="FX67" s="118" t="e">
        <f aca="false">VLOOKUP(A67,'Données projet'!$A$243:$I$263,9,0)</f>
        <v>#N/A</v>
      </c>
      <c r="FY67" s="118" t="n">
        <f aca="false" t="array" ref="FY67:FY67">INDEX(FX:FX,MIN(IF(ISNUMBER(FX67:FX263),ROW(FX67:FX263),"")))</f>
        <v>0</v>
      </c>
      <c r="FZ67" s="118" t="n">
        <f aca="false">IF('Données projet'!$A$244&gt;35,FZ66+FY67-GH66,IF(A67&lt;'Données projet'!$A$244,$FW$205^A67,IF(A67='Données projet'!$A$244,'Données projet'!$B$244,FZ66+FY67-GH66)))</f>
        <v>0</v>
      </c>
      <c r="GA67" s="125" t="e">
        <f aca="false">FZ67*VLOOKUP('Données projet'!$B$17,Paramètres!$A$1:$I$89,3,0)*VLOOKUP('Données projet'!$B$17,Paramètres!$A$1:$I$89,5,0)</f>
        <v>#N/A</v>
      </c>
      <c r="GB67" s="117" t="e">
        <f aca="false">EXP(-1.0587+0.8836*LN(GA67)+0.284)</f>
        <v>#N/A</v>
      </c>
      <c r="GC67" s="128" t="e">
        <f aca="false">(GA67+GB67)*0.475*44/12</f>
        <v>#N/A</v>
      </c>
      <c r="GD67" s="120" t="e">
        <f aca="false">GC67+(FU67+FV67)*44/12</f>
        <v>#N/A</v>
      </c>
      <c r="GE67" s="120" t="e">
        <f aca="true">AVERAGE(OFFSET($GD$3,0,0,'Données projet'!$E$17+1,1))-AVERAGE(OFFSET($H$3,0,0,'Données projet'!$E$17+1,1))</f>
        <v>#N/A</v>
      </c>
      <c r="GF67" s="120" t="e">
        <f aca="false">$GF$3</f>
        <v>#N/A</v>
      </c>
      <c r="GG67" s="121" t="n">
        <f aca="false">IF(ISNA(VLOOKUP(A67,'Données projet'!$A$243:$I$263,3,0)),0,VLOOKUP(A67,'Données projet'!$A$243:$I$263,3,0))</f>
        <v>0</v>
      </c>
      <c r="GH67" s="121" t="n">
        <f aca="false">IF(ISNA(VLOOKUP(A67,'Données projet'!$A$243:$I$263,4,0)),0,VLOOKUP(A67,'Données projet'!$A$243:$I$263,4,0))</f>
        <v>0</v>
      </c>
      <c r="GI67" s="122" t="n">
        <f aca="false">IF(ISNA(VLOOKUP(A67,'Données projet'!$A$243:$I$263,5,0)),0%,VLOOKUP(A67,'Données projet'!$A$243:$I$263,5,0)*VLOOKUP('Données projet'!$B$17,Paramètres!$A$1:$I$89,7,0))</f>
        <v>0</v>
      </c>
      <c r="GJ67" s="122" t="n">
        <f aca="false">IF(ISNA(VLOOKUP(A67,'Données projet'!$A$243:$I$263,6,0)),0%,VLOOKUP(A67,'Données projet'!$A$243:$I$263,6,0)*VLOOKUP('Données projet'!$B$17,Paramètres!$A$1:$I$89,7,0))</f>
        <v>0</v>
      </c>
      <c r="GK67" s="122" t="n">
        <f aca="false">IF(ISNA(VLOOKUP(A67,'Données projet'!$A$243:$I$263,7,0)),0%,VLOOKUP(A67,'Données projet'!$A$243:$I$263,7,0))</f>
        <v>0</v>
      </c>
      <c r="GL67" s="129" t="e">
        <f aca="false">EXP(-LN(2)/35)*GL66+(1-EXP(-LN(2)/35))/(LN(2)/35)*GH67*GI67*VLOOKUP('Données projet'!$B$17,Paramètres!$A$1:$I$89,3,0)*0.475*44/12</f>
        <v>#N/A</v>
      </c>
      <c r="GM67" s="129" t="e">
        <f aca="false">EXP(-LN(2)/25)*GM66+(1-EXP(-LN(2)/25))/(LN(2)/25)*Calculateur!GH67*Calculateur!GJ67*VLOOKUP('Données projet'!$B$17,Paramètres!$A$1:$I$89,3,0)*0.475*44/12</f>
        <v>#N/A</v>
      </c>
      <c r="GN67" s="129" t="e">
        <f aca="false">EXP(-LN(2)/2)*GN66+(1-EXP(-LN(2)/2))/(LN(2)/2)*GH67*GK67*VLOOKUP('Données projet'!$B$17,Paramètres!$A$1:$I$89,3,0)*0.475*44/12</f>
        <v>#N/A</v>
      </c>
      <c r="GO67" s="129" t="e">
        <f aca="false">SUM(GL67:GN67)</f>
        <v>#N/A</v>
      </c>
      <c r="GP67" s="126" t="n">
        <f aca="false"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8" t="n">
        <f aca="false"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8" t="e">
        <f aca="false">VLOOKUP(A67,'Données projet'!$A$269:$I$289,2,0)</f>
        <v>#N/A</v>
      </c>
      <c r="GS67" s="118" t="e">
        <f aca="false">VLOOKUP(A67,'Données projet'!$A$269:$I$289,9,0)</f>
        <v>#N/A</v>
      </c>
      <c r="GT67" s="118" t="n">
        <f aca="false" t="array" ref="GT67:GT67">INDEX(GS:GS,MIN(IF(ISNUMBER(GS67:GS263),ROW(GS67:GS263),"")))</f>
        <v>0</v>
      </c>
      <c r="GU67" s="118" t="n">
        <f aca="false">IF('Données projet'!$A$270&gt;35,GU66+GT67-HC66,IF(A67&lt;'Données projet'!$A$270,$GR$205^A67,IF(A67='Données projet'!$A$270,'Données projet'!$B$270,GU66+GT67-HC66)))</f>
        <v>0</v>
      </c>
      <c r="GV67" s="125" t="e">
        <f aca="false">GU67*VLOOKUP('Données projet'!$B$18,Paramètres!$A$1:$I$89,3,0)*VLOOKUP('Données projet'!$B$18,Paramètres!$A$1:$I$89,5,0)</f>
        <v>#N/A</v>
      </c>
      <c r="GW67" s="117" t="e">
        <f aca="false">EXP(-1.0587+0.8836*LN(GV67)+0.284)</f>
        <v>#N/A</v>
      </c>
      <c r="GX67" s="128" t="e">
        <f aca="false">(GV67+GW67)*0.475*44/12</f>
        <v>#N/A</v>
      </c>
      <c r="GY67" s="120" t="e">
        <f aca="false">GX67+(GP67+GQ67)*44/12</f>
        <v>#N/A</v>
      </c>
      <c r="GZ67" s="120" t="e">
        <f aca="true">AVERAGE(OFFSET($GY$3,0,0,'Données projet'!$E$18+1,1))-AVERAGE(OFFSET($H$3,0,0,'Données projet'!$E$18+1,1))</f>
        <v>#N/A</v>
      </c>
      <c r="HA67" s="120" t="e">
        <f aca="false">$HA$3</f>
        <v>#N/A</v>
      </c>
      <c r="HB67" s="121" t="n">
        <f aca="false">IF(ISNA(VLOOKUP(A67,'Données projet'!$A$269:$I$289,3,0)),0,VLOOKUP(A67,'Données projet'!$A$269:$I$289,3,0))</f>
        <v>0</v>
      </c>
      <c r="HC67" s="121" t="n">
        <f aca="false">IF(ISNA(VLOOKUP(A67,'Données projet'!$A$269:$I$289,4,0)),0,VLOOKUP(A67,'Données projet'!$A$269:$I$289,4,0))</f>
        <v>0</v>
      </c>
      <c r="HD67" s="122" t="n">
        <f aca="false">IF(ISNA(VLOOKUP(A67,'Données projet'!$A$269:$I$289,5,0)),0%,VLOOKUP(A67,'Données projet'!$A$269:$I$289,5,0)*VLOOKUP('Données projet'!$B$18,Paramètres!$A$1:$I$89,7,0))</f>
        <v>0</v>
      </c>
      <c r="HE67" s="122" t="n">
        <f aca="false">IF(ISNA(VLOOKUP(A67,'Données projet'!$A$269:$I$289,6,0)),0%,VLOOKUP(A67,'Données projet'!$A$269:$I$289,6,0)*VLOOKUP('Données projet'!$B$18,Paramètres!$A$1:$I$89,7,0))</f>
        <v>0</v>
      </c>
      <c r="HF67" s="122" t="n">
        <f aca="false">IF(ISNA(VLOOKUP(A67,'Données projet'!$A$269:$I$289,7,0)),0%,VLOOKUP(A67,'Données projet'!$A$269:$I$289,7,0))</f>
        <v>0</v>
      </c>
      <c r="HG67" s="129" t="e">
        <f aca="false">EXP(-LN(2)/35)*HG66+(1-EXP(-LN(2)/35))/(LN(2)/35)*HC67*HD67*VLOOKUP('Données projet'!$B$18,Paramètres!$A$1:$I$89,3,0)*0.475*44/12</f>
        <v>#N/A</v>
      </c>
      <c r="HH67" s="129" t="e">
        <f aca="false">EXP(-LN(2)/25)*HH66+(1-EXP(-LN(2)/25))/(LN(2)/25)*Calculateur!HC67*Calculateur!HE67*VLOOKUP('Données projet'!$B$18,Paramètres!$A$1:$I$89,3,0)*0.475*44/12</f>
        <v>#N/A</v>
      </c>
      <c r="HI67" s="129" t="e">
        <f aca="false">EXP(-LN(2)/2)*HI66+(1-EXP(-LN(2)/2))/(LN(2)/2)*HC67*HF67*VLOOKUP('Données projet'!$B$18,Paramètres!$A$1:$I$89,3,0)*0.475*44/12</f>
        <v>#N/A</v>
      </c>
      <c r="HJ67" s="130" t="e">
        <f aca="false">SUM(HG67:HI67)</f>
        <v>#N/A</v>
      </c>
    </row>
    <row r="68" customFormat="false" ht="14.25" hidden="false" customHeight="false" outlineLevel="0" collapsed="false">
      <c r="A68" s="112" t="n">
        <f aca="false">A67+1</f>
        <v>65</v>
      </c>
      <c r="B68" s="113" t="n">
        <f aca="false">'Scénario référence'!$B$16*5+'Scénario référence'!$B$17*0+'Scénario référence'!$B$18*5</f>
        <v>0</v>
      </c>
      <c r="C68" s="127" t="n">
        <f aca="false"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4" t="n">
        <f aca="false">IFERROR(EXP(-1.0587+0.8836*LN(C68)+0.284),0)</f>
        <v>0</v>
      </c>
      <c r="E6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8" s="114" t="n">
        <f aca="false">IF(OR('Scénario référence'!$F$8&gt;0,'Scénario référence'!$F$9&gt;0),('Scénario référence'!$F$8+'Scénario référence'!$F$9)*10,0)</f>
        <v>0</v>
      </c>
      <c r="G68" s="114" t="n">
        <f aca="false"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15" t="n">
        <f aca="false">(B68+E68+F68)*44/12+(C68+D68)*0.475*44/12</f>
        <v>256.666666666667</v>
      </c>
      <c r="I68" s="11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7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8" t="e">
        <f aca="false">VLOOKUP(A68,'Données projet'!$A$35:$I$55,2,0)</f>
        <v>#N/A</v>
      </c>
      <c r="L68" s="118" t="e">
        <f aca="false">VLOOKUP(A68,'Données projet'!$A$35:$I$55,9,0)</f>
        <v>#N/A</v>
      </c>
      <c r="M68" s="118" t="n">
        <f aca="false" t="array" ref="M68:M68">INDEX(L:L,MIN(IF(ISNUMBER(L68:L264),ROW(L68:L264),"")))</f>
        <v>15.5</v>
      </c>
      <c r="N68" s="117" t="n">
        <f aca="false">IF('Données projet'!$A$36&gt;35,N67+M68-V67,IF(A68&lt;'Données projet'!$A$36,$K$205^A68,IF(A68='Données projet'!$A$36,'Données projet'!$B$36,N67+M68-V67)))</f>
        <v>346</v>
      </c>
      <c r="O68" s="117" t="n">
        <f aca="false">N68*VLOOKUP('Données projet'!$B$9,Paramètres!$A$1:$I$89,3,0)*VLOOKUP('Données projet'!$B$9,Paramètres!$A$1:$I$89,5,0)</f>
        <v>161.928</v>
      </c>
      <c r="P68" s="117" t="n">
        <f aca="false">EXP(-1.0587+0.8836*LN(O68)+0.284)</f>
        <v>41.2770775715853</v>
      </c>
      <c r="Q68" s="128" t="n">
        <f aca="false">(O68+P68)*0.475*44/12</f>
        <v>353.915510103844</v>
      </c>
      <c r="R68" s="120" t="n">
        <f aca="false">Q68+(I68+J68)*44/12</f>
        <v>647.248843437178</v>
      </c>
      <c r="S68" s="120" t="n">
        <f aca="true">AVERAGE(OFFSET($R$3,0,0,'Données projet'!$E$9+1,1))-AVERAGE(OFFSET($H$3,0,0,'Données projet'!$E$9+1,1))</f>
        <v>319.229030946746</v>
      </c>
      <c r="T68" s="120" t="n">
        <f aca="false">$T$3</f>
        <v>254.586909731428</v>
      </c>
      <c r="U68" s="121" t="n">
        <f aca="false">IF(ISNA(VLOOKUP(A68,'Données projet'!$A$35:$I$55,3,0)),0,VLOOKUP(A68,'Données projet'!$A$35:$I$55,3,0))</f>
        <v>0</v>
      </c>
      <c r="V68" s="121" t="n">
        <f aca="false">IF(ISNA(VLOOKUP(A68,'Données projet'!$A$35:$I$55,4,0)),0,VLOOKUP(A68,'Données projet'!$A$35:$I$55,4,0))</f>
        <v>0</v>
      </c>
      <c r="W68" s="122" t="n">
        <f aca="false">IF(ISNA(VLOOKUP(A68,'Données projet'!$A$35:$I$55,5,0)),0%,VLOOKUP(A68,'Données projet'!$A$35:$I$55,5,0)*VLOOKUP('Données projet'!$B$9,Paramètres!$A$1:$I$89,7,0))</f>
        <v>0</v>
      </c>
      <c r="X68" s="122" t="n">
        <f aca="false">IF(ISNA(VLOOKUP(A68,'Données projet'!$A$35:$I$55,6,0)),0%,VLOOKUP(A68,'Données projet'!$A$35:$I$55,6,0)*VLOOKUP('Données projet'!$B$9,Paramètres!$A$1:$I$89,7,0))</f>
        <v>0</v>
      </c>
      <c r="Y68" s="122" t="n">
        <f aca="false">IF(ISNA(VLOOKUP(A68,'Données projet'!$A$35:$I$55,7,0)),0%,VLOOKUP(A68,'Données projet'!$A$35:$I$55,7,0))</f>
        <v>0</v>
      </c>
      <c r="Z68" s="129" t="n">
        <f aca="false">EXP(-LN(2)/35)*Z67+(1-EXP(-LN(2)/35))/(LN(2)/35)*V68*W68*VLOOKUP('Données projet'!$B$9,Paramètres!$A$1:$I$89,3,0)*0.475*44/12</f>
        <v>4.53808356749919</v>
      </c>
      <c r="AA68" s="129" t="n">
        <f aca="false">EXP(-LN(2)/25)*AA67+(1-EXP(-LN(2)/25))/(LN(2)/25)*Calculateur!V68*Calculateur!X68*VLOOKUP('Données projet'!$B$9,Paramètres!$A$1:$I$89,3,0)*0.475*44/12</f>
        <v>4.22556019772482</v>
      </c>
      <c r="AB68" s="129" t="n">
        <f aca="false">EXP(-LN(2)/2)*AB67+(1-EXP(-LN(2)/2))/(LN(2)/2)*V68*Y68*VLOOKUP('Données projet'!$B$9,Paramètres!$A$1:$I$89,3,0)*0.475*44/12</f>
        <v>5.95754329635911E-005</v>
      </c>
      <c r="AC68" s="130" t="n">
        <f aca="false">SUM(Z68:AB68)</f>
        <v>8.76370334065697</v>
      </c>
      <c r="AD68" s="117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7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8" t="e">
        <f aca="false">VLOOKUP(A68,'Données projet'!$A$61:$I$81,2,0)</f>
        <v>#N/A</v>
      </c>
      <c r="AG68" s="118" t="e">
        <f aca="false">VLOOKUP(A68,'Données projet'!$A$61:$I$81,9,0)</f>
        <v>#N/A</v>
      </c>
      <c r="AH68" s="118" t="n">
        <f aca="false" t="array" ref="AH68:AH68">INDEX(AG:AG,MIN(IF(ISNUMBER(AG68:AG264),ROW(AG68:AG264),"")))</f>
        <v>0</v>
      </c>
      <c r="AI68" s="117" t="n">
        <f aca="false">IF('Données projet'!$A$62&gt;35,AI67+AH68-AQ67,IF(A68&lt;'Données projet'!$A$62,$AF$205^A68,IF(A68='Données projet'!$A$62,'Données projet'!$B$62,AI67+AH68-AQ67)))</f>
        <v>1.13686837721616E-013</v>
      </c>
      <c r="AJ68" s="117" t="n">
        <f aca="false">AI68*VLOOKUP('Données projet'!$B$10,Paramètres!$A$1:$I$89,3,0)*VLOOKUP('Données projet'!$B$10,Paramètres!$A$1:$I$89,5,0)</f>
        <v>6.35509422863834E-014</v>
      </c>
      <c r="AK68" s="117" t="n">
        <f aca="false">EXP(-1.0587+0.8836*LN(AJ68)+0.284)</f>
        <v>1.0064464192544E-012</v>
      </c>
      <c r="AL68" s="128" t="n">
        <f aca="false">(AJ68+AK68)*0.475*44/12</f>
        <v>1.86357873801686E-012</v>
      </c>
      <c r="AM68" s="120" t="n">
        <f aca="false">AL68+(AD68+AE68)*44/12</f>
        <v>293.333333333335</v>
      </c>
      <c r="AN68" s="120" t="n">
        <f aca="true">AVERAGE(OFFSET($AM$3,0,0,'Données projet'!$E$10+1,1))-AVERAGE(OFFSET($H$3,0,0,'Données projet'!$E$10+1,1))</f>
        <v>365.705101827279</v>
      </c>
      <c r="AO68" s="120" t="n">
        <f aca="false">$AO$3</f>
        <v>436.238338449625</v>
      </c>
      <c r="AP68" s="121" t="n">
        <f aca="false">IF(ISNA(VLOOKUP(A68,'Données projet'!$A$61:$I$81,3,0)),0,VLOOKUP(A68,'Données projet'!$A$61:$I$81,3,0))</f>
        <v>0</v>
      </c>
      <c r="AQ68" s="121" t="n">
        <f aca="false">IF(ISNA(VLOOKUP(A68,'Données projet'!$A$61:$I$81,4,0)),0,VLOOKUP(A68,'Données projet'!$A$61:$I$81,4,0))</f>
        <v>0</v>
      </c>
      <c r="AR68" s="122" t="n">
        <f aca="false">IF(ISNA(VLOOKUP(A68,'Données projet'!$A$61:$I$81,5,0)),0%,VLOOKUP(A68,'Données projet'!$A$61:$I$81,5,0)*VLOOKUP('Données projet'!$B$10,Paramètres!$A$1:$I$89,7,0))</f>
        <v>0</v>
      </c>
      <c r="AS68" s="122" t="n">
        <f aca="false">IF(ISNA(VLOOKUP(A68,'Données projet'!$A$61:$I$81,6,0)),0%,VLOOKUP(A68,'Données projet'!$A$61:$I$81,6,0)*VLOOKUP('Données projet'!$B$10,Paramètres!$A$1:$I$89,7,0))</f>
        <v>0</v>
      </c>
      <c r="AT68" s="122" t="n">
        <f aca="false">IF(ISNA(VLOOKUP(A68,'Données projet'!$A$61:$I$81,7,0)),0%,VLOOKUP(A68,'Données projet'!$A$61:$I$81,7,0))</f>
        <v>0</v>
      </c>
      <c r="AU68" s="129" t="n">
        <f aca="false">EXP(-LN(2)/35)*AU67+(1-EXP(-LN(2)/35))/(LN(2)/35)*AQ68*AR68*VLOOKUP('Données projet'!$B$10,Paramètres!$A$1:$I$89,3,0)*0.475*44/12</f>
        <v>1.71297941566452</v>
      </c>
      <c r="AV68" s="129" t="n">
        <f aca="false">EXP(-LN(2)/25)*AV67+(1-EXP(-LN(2)/25))/(LN(2)/25)*Calculateur!AQ68*Calculateur!AS68*VLOOKUP('Données projet'!$B$10,Paramètres!$A$1:$I$89,3,0)*0.475*44/12</f>
        <v>5.00494757868526</v>
      </c>
      <c r="AW68" s="129" t="n">
        <f aca="false">EXP(-LN(2)/2)*AW67+(1-EXP(-LN(2)/2))/(LN(2)/2)*AQ68*AT68*VLOOKUP('Données projet'!$B$10,Paramètres!$A$1:$I$89,3,0)*0.475*44/12</f>
        <v>3.20616360052888E-005</v>
      </c>
      <c r="AX68" s="129" t="n">
        <f aca="false">SUM(AU68:AW68)</f>
        <v>6.71795905598579</v>
      </c>
      <c r="AY68" s="124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8" t="n">
        <f aca="false">VLOOKUP(A68,'Données projet'!$A$87:$I$107,2,0)</f>
        <v>246</v>
      </c>
      <c r="BB68" s="118" t="n">
        <f aca="false">VLOOKUP(A68,'Données projet'!$A$87:$I$107,9,0)</f>
        <v>6</v>
      </c>
      <c r="BC68" s="118" t="n">
        <f aca="false" t="array" ref="BC68:BC68">INDEX(BB:BB,MIN(IF(ISNUMBER(BB68:BB264),ROW(BB68:BB264),"")))</f>
        <v>6</v>
      </c>
      <c r="BD68" s="118" t="n">
        <f aca="false">IF('Données projet'!$A$88&gt;35,BD67+BC68-BL67,IF(A68&lt;'Données projet'!$A$88,$BA$205^A68,IF(A68='Données projet'!$A$88,'Données projet'!$B$88,BD67+BC68-BL67)))</f>
        <v>246</v>
      </c>
      <c r="BE68" s="117" t="n">
        <f aca="false">BD68*VLOOKUP('Données projet'!$B$11,Paramètres!$A$1:$I$89,3,0)*VLOOKUP('Données projet'!$B$11,Paramètres!$A$1:$I$89,5,0)</f>
        <v>214.9056</v>
      </c>
      <c r="BF68" s="117" t="n">
        <f aca="false">EXP(-1.0587+0.8836*LN(BE68)+0.284)</f>
        <v>53.0061378008924</v>
      </c>
      <c r="BG68" s="128" t="n">
        <f aca="false">(BE68+BF68)*0.475*44/12</f>
        <v>466.612943336555</v>
      </c>
      <c r="BH68" s="120" t="n">
        <f aca="false">BG68+(AY68+AZ68)*44/12</f>
        <v>759.946276669888</v>
      </c>
      <c r="BI68" s="120" t="n">
        <f aca="true">AVERAGE(OFFSET($BH$3,0,0,'Données projet'!$E$11+1,1))-AVERAGE(OFFSET($H$3,0,0,'Données projet'!$E$11+1,1))</f>
        <v>321.235999689929</v>
      </c>
      <c r="BJ68" s="120" t="n">
        <f aca="false">$BJ$3</f>
        <v>388.051958478005</v>
      </c>
      <c r="BK68" s="121" t="n">
        <f aca="false">IF(ISNA(VLOOKUP(A68,'Données projet'!$A$87:$I$107,3,0)),0,VLOOKUP(A68,'Données projet'!$A$87:$I$107,3,0))</f>
        <v>11</v>
      </c>
      <c r="BL68" s="121" t="n">
        <f aca="false">IF(ISNA(VLOOKUP(A68,'Données projet'!$A$87:$I$107,4,0)),0,VLOOKUP(A68,'Données projet'!$A$87:$I$107,4,0))</f>
        <v>23</v>
      </c>
      <c r="BM68" s="122" t="n">
        <f aca="false">IF(ISNA(VLOOKUP(A68,'Données projet'!$A$87:$I$107,5,0)),0%,VLOOKUP(A68,'Données projet'!$A$87:$I$107,5,0)*VLOOKUP('Données projet'!$B$11,Paramètres!$A$1:$I$89,7,0))</f>
        <v>0</v>
      </c>
      <c r="BN68" s="122" t="n">
        <f aca="false">IF(ISNA(VLOOKUP(A68,'Données projet'!$A$87:$I$107,6,0)),0%,VLOOKUP(A68,'Données projet'!$A$87:$I$107,6,0)*VLOOKUP('Données projet'!$B$11,Paramètres!$A$1:$I$89,7,0))</f>
        <v>0</v>
      </c>
      <c r="BO68" s="122" t="n">
        <f aca="false">IF(ISNA(VLOOKUP(A68,'Données projet'!$A$87:$I$107,7,0)),0%,VLOOKUP(A68,'Données projet'!$A$87:$I$107,7,0))</f>
        <v>0</v>
      </c>
      <c r="BP68" s="129" t="n">
        <f aca="false">EXP(-LN(2)/35)*BP67+(1-EXP(-LN(2)/35))/(LN(2)/35)*BL68*BM68*VLOOKUP('Données projet'!$B$11,Paramètres!$A$1:$I$89,3,0)*0.475*44/12</f>
        <v>4.30064269641954</v>
      </c>
      <c r="BQ68" s="129" t="n">
        <f aca="false">EXP(-LN(2)/25)*BQ67+(1-EXP(-LN(2)/25))/(LN(2)/25)*Calculateur!BL68*Calculateur!BN68*VLOOKUP('Données projet'!$B$11,Paramètres!$A$1:$I$89,3,0)*0.475*44/12</f>
        <v>5.10875321281541</v>
      </c>
      <c r="BR68" s="129" t="n">
        <f aca="false">EXP(-LN(2)/2)*BR67+(1-EXP(-LN(2)/2))/(LN(2)/2)*BL68*BO68*VLOOKUP('Données projet'!$B$11,Paramètres!$A$1:$I$89,3,0)*0.475*44/12</f>
        <v>3.25899865871927E-005</v>
      </c>
      <c r="BS68" s="130" t="n">
        <f aca="false">SUM(BP68:BR68)</f>
        <v>9.40942849922154</v>
      </c>
      <c r="BT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8" t="e">
        <f aca="false">VLOOKUP(A68,'Données projet'!$A$113:$I$133,2,0)</f>
        <v>#N/A</v>
      </c>
      <c r="BW68" s="118" t="e">
        <f aca="false">VLOOKUP(A68,'Données projet'!$A$113:$I$133,9,0)</f>
        <v>#N/A</v>
      </c>
      <c r="BX68" s="118" t="n">
        <f aca="false" t="array" ref="BX68:BX68">INDEX(BW:BW,MIN(IF(ISNUMBER(BW68:BW264),ROW(BW68:BW264),"")))</f>
        <v>0</v>
      </c>
      <c r="BY68" s="118" t="n">
        <f aca="false">IF('Données projet'!$A$114&gt;35,BY67+BX68-CG67,IF(A68&lt;'Données projet'!$A$114,$BV$205^A68,IF(A68='Données projet'!$A$114,'Données projet'!$B$114,BY67+BX68-CG67)))</f>
        <v>0</v>
      </c>
      <c r="BZ68" s="117" t="n">
        <f aca="false">BY68*VLOOKUP('Données projet'!$B$12,Paramètres!$A$1:$I$89,3,0)*VLOOKUP('Données projet'!$B$12,Paramètres!$A$1:$I$89,5,0)</f>
        <v>0</v>
      </c>
      <c r="CA68" s="117" t="e">
        <f aca="false">EXP(-1.0587+0.8836*LN(BZ68)+0.284)</f>
        <v>#VALUE!</v>
      </c>
      <c r="CB68" s="128" t="e">
        <f aca="false">(BZ68+CA68)*0.475*44/12</f>
        <v>#VALUE!</v>
      </c>
      <c r="CC68" s="120" t="e">
        <f aca="false">CB68+(BT68+BU68)*44/12</f>
        <v>#VALUE!</v>
      </c>
      <c r="CD68" s="120" t="n">
        <f aca="true">AVERAGE(OFFSET($CC$3,0,0,'Données projet'!$E$12+1,1))-AVERAGE(OFFSET($H$3,0,0,'Données projet'!$E$12+1,1))</f>
        <v>240.228848647662</v>
      </c>
      <c r="CE68" s="120" t="n">
        <f aca="false">$CE$3</f>
        <v>343.237768841432</v>
      </c>
      <c r="CF68" s="121" t="n">
        <f aca="false">IF(ISNA(VLOOKUP(A68,'Données projet'!$A$113:$I$133,3,0)),0,VLOOKUP(A68,'Données projet'!$A$113:$I$133,3,0))</f>
        <v>0</v>
      </c>
      <c r="CG68" s="121" t="n">
        <f aca="false">IF(ISNA(VLOOKUP(A68,'Données projet'!$A$113:$I$133,4,0)),0,VLOOKUP(A68,'Données projet'!$A$113:$I$133,4,0))</f>
        <v>0</v>
      </c>
      <c r="CH68" s="122" t="n">
        <f aca="false">IF(ISNA(VLOOKUP(A68,'Données projet'!$A$113:$I$133,5,0)),0%,VLOOKUP(A68,'Données projet'!$A$113:$I$133,5,0)*VLOOKUP('Données projet'!$B$12,Paramètres!$A$1:$I$89,7,0))</f>
        <v>0</v>
      </c>
      <c r="CI68" s="122" t="n">
        <f aca="false">IF(ISNA(VLOOKUP(A68,'Données projet'!$A$113:$I$133,6,0)),0%,VLOOKUP(A68,'Données projet'!$A$113:$I$133,6,0)*VLOOKUP('Données projet'!$B$12,Paramètres!$A$1:$I$89,7,0))</f>
        <v>0</v>
      </c>
      <c r="CJ68" s="122" t="n">
        <f aca="false">IF(ISNA(VLOOKUP(A68,'Données projet'!$A$113:$I$133,7,0)),0%,VLOOKUP(A68,'Données projet'!$A$113:$I$133,7,0))</f>
        <v>0</v>
      </c>
      <c r="CK68" s="129" t="n">
        <f aca="false">EXP(-LN(2)/35)*CK67+(1-EXP(-LN(2)/35))/(LN(2)/35)*CG68*CH68*VLOOKUP('Données projet'!$B$12,Paramètres!$A$1:$I$89,3,0)*0.475*44/12</f>
        <v>2.63232838021779</v>
      </c>
      <c r="CL68" s="129" t="n">
        <f aca="false">EXP(-LN(2)/25)*CL67+(1-EXP(-LN(2)/25))/(LN(2)/25)*Calculateur!CG68*Calculateur!CI68*VLOOKUP('Données projet'!$B$12,Paramètres!$A$1:$I$89,3,0)*0.475*44/12</f>
        <v>9.02235391897659</v>
      </c>
      <c r="CM68" s="129" t="n">
        <f aca="false">EXP(-LN(2)/2)*CM67+(1-EXP(-LN(2)/2))/(LN(2)/2)*CG68*CJ68*VLOOKUP('Données projet'!$B$12,Paramètres!$A$1:$I$89,3,0)*0.475*44/12</f>
        <v>5.20049301077153E-005</v>
      </c>
      <c r="CN68" s="130" t="n">
        <f aca="false">SUM(CK68:CM68)</f>
        <v>11.6547343041245</v>
      </c>
      <c r="CO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8" t="e">
        <f aca="false">VLOOKUP(A68,'Données projet'!$A$139:$I$159,2,0)</f>
        <v>#N/A</v>
      </c>
      <c r="CR68" s="118" t="e">
        <f aca="false">VLOOKUP(A68,'Données projet'!$A$139:$I$159,9,0)</f>
        <v>#N/A</v>
      </c>
      <c r="CS68" s="118" t="n">
        <f aca="false" t="array" ref="CS68:CS68">INDEX(CR:CR,MIN(IF(ISNUMBER(CR68:CR264),ROW(CR68:CR264),"")))</f>
        <v>0</v>
      </c>
      <c r="CT68" s="118" t="n">
        <f aca="false">IF('Données projet'!$A$140&gt;35,CT67+CS68-DB67,IF(A68&lt;'Données projet'!$A$140,$CQ$205^A68,IF(A68='Données projet'!$A$140,'Données projet'!$B$140,CT67+CS68-DB67)))</f>
        <v>-5.6843418860808E-014</v>
      </c>
      <c r="CU68" s="125" t="n">
        <f aca="false">CT68*VLOOKUP('Données projet'!$B$13,Paramètres!$A$1:$I$89,3,0)*VLOOKUP('Données projet'!$B$13,Paramètres!$A$1:$I$89,5,0)</f>
        <v>-3.10365066980012E-014</v>
      </c>
      <c r="CV68" s="117" t="e">
        <f aca="false">EXP(-1.0587+0.8836*LN(CU68)+0.284)</f>
        <v>#VALUE!</v>
      </c>
      <c r="CW68" s="128" t="e">
        <f aca="false">(CU68+CV68)*0.475*44/12</f>
        <v>#VALUE!</v>
      </c>
      <c r="CX68" s="120" t="e">
        <f aca="false">CW68+(CO68+CP68)*44/12</f>
        <v>#VALUE!</v>
      </c>
      <c r="CY68" s="120" t="n">
        <f aca="true">AVERAGE(OFFSET($CX$3,0,0,'Données projet'!$E$13+1,1))-AVERAGE(OFFSET($H$3,0,0,'Données projet'!$E$13+1,1))</f>
        <v>207.023069645676</v>
      </c>
      <c r="CZ68" s="120" t="n">
        <f aca="false">$CZ$3</f>
        <v>342.068879333518</v>
      </c>
      <c r="DA68" s="121" t="n">
        <f aca="false">IF(ISNA(VLOOKUP(A68,'Données projet'!$A$139:$I$159,3,0)),0,VLOOKUP(A68,'Données projet'!$A$139:$I$159,3,0))</f>
        <v>0</v>
      </c>
      <c r="DB68" s="121" t="n">
        <f aca="false">IF(ISNA(VLOOKUP(A68,'Données projet'!$A$139:$I$159,4,0)),0,VLOOKUP(A68,'Données projet'!$A$139:$I$159,4,0))</f>
        <v>0</v>
      </c>
      <c r="DC68" s="122" t="n">
        <f aca="false">IF(ISNA(VLOOKUP(A68,'Données projet'!$A$139:$I$159,5,0)),0%,VLOOKUP(A68,'Données projet'!$A$139:$I$159,5,0)*VLOOKUP('Données projet'!$B$13,Paramètres!$A$1:$I$89,7,0))</f>
        <v>0</v>
      </c>
      <c r="DD68" s="122" t="n">
        <f aca="false">IF(ISNA(VLOOKUP(A68,'Données projet'!$A$139:$I$159,6,0)),0%,VLOOKUP(A68,'Données projet'!$A$139:$I$159,6,0)*VLOOKUP('Données projet'!$B$13,Paramètres!$A$1:$I$89,7,0))</f>
        <v>0</v>
      </c>
      <c r="DE68" s="122" t="n">
        <f aca="false">IF(ISNA(VLOOKUP(A68,'Données projet'!$A$139:$I$159,7,0)),0%,VLOOKUP(A68,'Données projet'!$A$139:$I$159,7,0))</f>
        <v>0</v>
      </c>
      <c r="DF68" s="129" t="n">
        <f aca="false">EXP(-LN(2)/35)*DF67+(1-EXP(-LN(2)/35))/(LN(2)/35)*DB68*DC68*VLOOKUP('Données projet'!$B$13,Paramètres!$A$1:$I$89,3,0)*0.475*44/12</f>
        <v>3.30282711857515</v>
      </c>
      <c r="DG68" s="129" t="n">
        <f aca="false">EXP(-LN(2)/25)*DG67+(1-EXP(-LN(2)/25))/(LN(2)/25)*Calculateur!DB68*Calculateur!DD68*VLOOKUP('Données projet'!$B$13,Paramètres!$A$1:$I$89,3,0)*0.475*44/12</f>
        <v>14.7477909479305</v>
      </c>
      <c r="DH68" s="129" t="n">
        <f aca="false">EXP(-LN(2)/2)*DH67+(1-EXP(-LN(2)/2))/(LN(2)/2)*DB68*DE68*VLOOKUP('Données projet'!$B$13,Paramètres!$A$1:$I$89,3,0)*0.475*44/12</f>
        <v>7.16108128691195E-005</v>
      </c>
      <c r="DI68" s="130" t="n">
        <f aca="false">SUM(DF68:DH68)</f>
        <v>18.0506896773186</v>
      </c>
      <c r="DJ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8" t="e">
        <f aca="false">VLOOKUP(A68,'Données projet'!$A$165:$I$185,2,0)</f>
        <v>#N/A</v>
      </c>
      <c r="DM68" s="118" t="e">
        <f aca="false">VLOOKUP(A68,'Données projet'!$A$165:$I$185,9,0)</f>
        <v>#N/A</v>
      </c>
      <c r="DN68" s="118" t="n">
        <f aca="false" t="array" ref="DN68:DN68">INDEX(DM:DM,MIN(IF(ISNUMBER(DM68:DM264),ROW(DM68:DM264),"")))</f>
        <v>0</v>
      </c>
      <c r="DO68" s="118" t="n">
        <f aca="false">IF('Données projet'!$A$166&gt;35,DO67+DN68-DW67,IF(A68&lt;'Données projet'!$A$166,$DL$205^A68,IF(A68='Données projet'!$A$166,'Données projet'!$B$166,DO67+DN68-DW67)))</f>
        <v>0</v>
      </c>
      <c r="DP68" s="125" t="n">
        <f aca="false">DO68*VLOOKUP('Données projet'!$B$14,Paramètres!$A$1:$I$89,3,0)*VLOOKUP('Données projet'!$B$14,Paramètres!$A$1:$I$89,5,0)</f>
        <v>0</v>
      </c>
      <c r="DQ68" s="117" t="e">
        <f aca="false">EXP(-1.0587+0.8836*LN(DP68)+0.284)</f>
        <v>#VALUE!</v>
      </c>
      <c r="DR68" s="128" t="e">
        <f aca="false">(DP68+DQ68)*0.475*44/12</f>
        <v>#VALUE!</v>
      </c>
      <c r="DS68" s="120" t="e">
        <f aca="false">DR68+(DJ68+DK68)*44/12</f>
        <v>#VALUE!</v>
      </c>
      <c r="DT68" s="120" t="n">
        <f aca="true">AVERAGE(OFFSET($DS$3,0,0,'Données projet'!$E$14+1,1))-AVERAGE(OFFSET($H$3,0,0,'Données projet'!$E$14+1,1))</f>
        <v>549.432320957297</v>
      </c>
      <c r="DU68" s="120" t="n">
        <f aca="false">$DU$3</f>
        <v>280.26155987301</v>
      </c>
      <c r="DV68" s="121" t="n">
        <f aca="false">IF(ISNA(VLOOKUP(A68,'Données projet'!$A$165:$I$185,3,0)),0,VLOOKUP(A68,'Données projet'!$A$165:$I$185,3,0))</f>
        <v>0</v>
      </c>
      <c r="DW68" s="121" t="n">
        <f aca="false">IF(ISNA(VLOOKUP(A68,'Données projet'!$A$165:$I$185,4,0)),0,VLOOKUP(A68,'Données projet'!$A$165:$I$185,4,0))</f>
        <v>0</v>
      </c>
      <c r="DX68" s="122" t="n">
        <f aca="false">IF(ISNA(VLOOKUP(A68,'Données projet'!$A$165:$I$185,5,0)),0%,VLOOKUP(A68,'Données projet'!$A$165:$I$185,5,0)*VLOOKUP('Données projet'!$B$14,Paramètres!$A$1:$I$89,7,0))</f>
        <v>0</v>
      </c>
      <c r="DY68" s="122" t="n">
        <f aca="false">IF(ISNA(VLOOKUP(A68,'Données projet'!$A$165:$I$185,6,0)),0%,VLOOKUP(A68,'Données projet'!$A$165:$I$185,6,0)*VLOOKUP('Données projet'!$B$14,Paramètres!$A$1:$I$89,7,0))</f>
        <v>0</v>
      </c>
      <c r="DZ68" s="122" t="n">
        <f aca="false">IF(ISNA(VLOOKUP(A68,'Données projet'!$A$165:$I$185,7,0)),0%,VLOOKUP(A68,'Données projet'!$A$165:$I$185,7,0))</f>
        <v>0</v>
      </c>
      <c r="EA68" s="129" t="n">
        <f aca="false">EXP(-LN(2)/35)*EA67+(1-EXP(-LN(2)/35))/(LN(2)/35)*DW68*DX68*VLOOKUP('Données projet'!$B$14,Paramètres!$A$1:$I$89,3,0)*0.475*44/12</f>
        <v>1.20090425751696</v>
      </c>
      <c r="EB68" s="129" t="n">
        <f aca="false">EXP(-LN(2)/25)*EB67+(1-EXP(-LN(2)/25))/(LN(2)/25)*Calculateur!DW68*Calculateur!DY68*VLOOKUP('Données projet'!$B$14,Paramètres!$A$1:$I$89,3,0)*0.475*44/12</f>
        <v>2.93805092562901</v>
      </c>
      <c r="EC68" s="129" t="n">
        <f aca="false">EXP(-LN(2)/2)*EC67+(1-EXP(-LN(2)/2))/(LN(2)/2)*DW68*DZ68*VLOOKUP('Données projet'!$B$14,Paramètres!$A$1:$I$89,3,0)*0.475*44/12</f>
        <v>3.30111086037072E-005</v>
      </c>
      <c r="ED68" s="130" t="n">
        <f aca="false">SUM(EA68:EC68)</f>
        <v>4.13898819425458</v>
      </c>
      <c r="EE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8" t="e">
        <f aca="false">VLOOKUP(A68,'Données projet'!$A$191:$I$211,2,0)</f>
        <v>#N/A</v>
      </c>
      <c r="EH68" s="118" t="e">
        <f aca="false">VLOOKUP(A68,'Données projet'!$A$191:$I$211,9,0)</f>
        <v>#N/A</v>
      </c>
      <c r="EI68" s="118" t="n">
        <f aca="false" t="array" ref="EI68:EI68">INDEX(EH:EH,MIN(IF(ISNUMBER(EH68:EH264),ROW(EH68:EH264),"")))</f>
        <v>0</v>
      </c>
      <c r="EJ68" s="118" t="n">
        <f aca="false">IF('Données projet'!$A$192&gt;35,EJ67+EI68-ER67,IF(A68&lt;'Données projet'!$A$192,$EG$205^A68,IF(A68='Données projet'!$A$192,'Données projet'!$B$192,EJ67+EI68-ER67)))</f>
        <v>0</v>
      </c>
      <c r="EK68" s="125" t="e">
        <f aca="false">EJ68*VLOOKUP('Données projet'!$B$15,Paramètres!$A$1:$I$89,3,0)*VLOOKUP('Données projet'!$B$15,Paramètres!$A$1:$I$89,5,0)</f>
        <v>#N/A</v>
      </c>
      <c r="EL68" s="117" t="e">
        <f aca="false">EXP(-1.0587+0.8836*LN(EK68)+0.284)</f>
        <v>#N/A</v>
      </c>
      <c r="EM68" s="128" t="e">
        <f aca="false">(EK68+EL68)*0.475*44/12</f>
        <v>#N/A</v>
      </c>
      <c r="EN68" s="120" t="e">
        <f aca="false">EM68+(EE68+EF68)*44/12</f>
        <v>#N/A</v>
      </c>
      <c r="EO68" s="120" t="e">
        <f aca="true">AVERAGE(OFFSET($EN$3,0,0,'Données projet'!$E$15+1,1))-AVERAGE(OFFSET($H$3,0,0,'Données projet'!$E$15+1,1))</f>
        <v>#N/A</v>
      </c>
      <c r="EP68" s="120" t="e">
        <f aca="false">$EP$3</f>
        <v>#N/A</v>
      </c>
      <c r="EQ68" s="121" t="n">
        <f aca="false">IF(ISNA(VLOOKUP(A68,'Données projet'!$A$191:$I$211,3,0)),0,VLOOKUP(A68,'Données projet'!$A$191:$I$211,3,0))</f>
        <v>0</v>
      </c>
      <c r="ER68" s="121" t="n">
        <f aca="false">IF(ISNA(VLOOKUP(A68,'Données projet'!$A$191:$I$211,4,0)),0,VLOOKUP(A68,'Données projet'!$A$191:$I$211,4,0))</f>
        <v>0</v>
      </c>
      <c r="ES68" s="122" t="n">
        <f aca="false">IF(ISNA(VLOOKUP(A68,'Données projet'!$A$191:$I$211,5,0)),0%,VLOOKUP(A68,'Données projet'!$A$191:$I$211,5,0)*VLOOKUP('Données projet'!$B$15,Paramètres!$A$1:$I$89,7,0))</f>
        <v>0</v>
      </c>
      <c r="ET68" s="122" t="n">
        <f aca="false">IF(ISNA(VLOOKUP(A68,'Données projet'!$A$191:$I$211,6,0)),0%,VLOOKUP(A68,'Données projet'!$A$191:$I$211,6,0)*VLOOKUP('Données projet'!$B$15,Paramètres!$A$1:$I$89,7,0))</f>
        <v>0</v>
      </c>
      <c r="EU68" s="122" t="n">
        <f aca="false">IF(ISNA(VLOOKUP(A68,'Données projet'!$A$191:$I$211,7,0)),0%,VLOOKUP(A68,'Données projet'!$A$191:$I$211,7,0))</f>
        <v>0</v>
      </c>
      <c r="EV68" s="129" t="e">
        <f aca="false">EXP(-LN(2)/35)*EV67+(1-EXP(-LN(2)/35))/(LN(2)/35)*ER68*ES68*VLOOKUP('Données projet'!$B$15,Paramètres!$A$1:$I$89,3,0)*0.475*44/12</f>
        <v>#N/A</v>
      </c>
      <c r="EW68" s="129" t="e">
        <f aca="false">EXP(-LN(2)/25)*EW67+(1-EXP(-LN(2)/25))/(LN(2)/25)*Calculateur!ER68*Calculateur!ET68*VLOOKUP('Données projet'!$B$15,Paramètres!$A$1:$I$89,3,0)*0.475*44/12</f>
        <v>#N/A</v>
      </c>
      <c r="EX68" s="129" t="e">
        <f aca="false">EXP(-LN(2)/2)*EX67+(1-EXP(-LN(2)/2))/(LN(2)/2)*ER68*EU68*VLOOKUP('Données projet'!$B$15,Paramètres!$A$1:$I$89,3,0)*0.475*44/12</f>
        <v>#N/A</v>
      </c>
      <c r="EY68" s="130" t="e">
        <f aca="false">SUM(EV68:EX68)</f>
        <v>#N/A</v>
      </c>
      <c r="EZ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8" t="e">
        <f aca="false">VLOOKUP(A68,'Données projet'!$A$217:$I$237,2,0)</f>
        <v>#N/A</v>
      </c>
      <c r="FC68" s="118" t="e">
        <f aca="false">VLOOKUP(A68,'Données projet'!$A$217:$I$237,9,0)</f>
        <v>#N/A</v>
      </c>
      <c r="FD68" s="118" t="n">
        <f aca="false" t="array" ref="FD68:FD68">INDEX(FC:FC,MIN(IF(ISNUMBER(FC68:FC264),ROW(FC68:FC264),"")))</f>
        <v>0</v>
      </c>
      <c r="FE68" s="118" t="n">
        <f aca="false">IF('Données projet'!$A$218&gt;35,FE67+FD68-FM67,IF(A68&lt;'Données projet'!$A$218,$FB$205^A68,IF(A68='Données projet'!$A$218,'Données projet'!$B$218,FE67+FD68-FM67)))</f>
        <v>0</v>
      </c>
      <c r="FF68" s="125" t="e">
        <f aca="false">FE68*VLOOKUP('Données projet'!$B$16,Paramètres!$A$1:$I$89,3,0)*VLOOKUP('Données projet'!$B$16,Paramètres!$A$1:$I$89,5,0)</f>
        <v>#N/A</v>
      </c>
      <c r="FG68" s="117" t="e">
        <f aca="false">EXP(-1.0587+0.8836*LN(FF68)+0.284)</f>
        <v>#N/A</v>
      </c>
      <c r="FH68" s="128" t="e">
        <f aca="false">(FF68+FG68)*0.475*44/12</f>
        <v>#N/A</v>
      </c>
      <c r="FI68" s="120" t="e">
        <f aca="false">FH68+(EZ68+FA68)*44/12</f>
        <v>#N/A</v>
      </c>
      <c r="FJ68" s="120" t="e">
        <f aca="true">AVERAGE(OFFSET($FI$3,0,0,'Données projet'!$E$16+1,1))-AVERAGE(OFFSET($H$3,0,0,'Données projet'!$E$16+1,1))</f>
        <v>#N/A</v>
      </c>
      <c r="FK68" s="120" t="e">
        <f aca="false">$FK$3</f>
        <v>#N/A</v>
      </c>
      <c r="FL68" s="121" t="n">
        <f aca="false">IF(ISNA(VLOOKUP(A68,'Données projet'!$A$217:$I$237,3,0)),0,VLOOKUP(A68,'Données projet'!$A$217:$I$237,3,0))</f>
        <v>0</v>
      </c>
      <c r="FM68" s="121" t="n">
        <f aca="false">IF(ISNA(VLOOKUP(A68,'Données projet'!$A$217:$I$237,4,0)),0,VLOOKUP(A68,'Données projet'!$A$217:$I$237,4,0))</f>
        <v>0</v>
      </c>
      <c r="FN68" s="122" t="n">
        <f aca="false">IF(ISNA(VLOOKUP(A68,'Données projet'!$A$217:$I$237,5,0)),0%,VLOOKUP(A68,'Données projet'!$A$217:$I$237,5,0)*VLOOKUP('Données projet'!$B$16,Paramètres!$A$1:$I$89,7,0))</f>
        <v>0</v>
      </c>
      <c r="FO68" s="122" t="n">
        <f aca="false">IF(ISNA(VLOOKUP(A68,'Données projet'!$A$217:$I$237,6,0)),0%,VLOOKUP(A68,'Données projet'!$A$217:$I$237,6,0)*VLOOKUP('Données projet'!$B$16,Paramètres!$A$1:$I$89,7,0))</f>
        <v>0</v>
      </c>
      <c r="FP68" s="122" t="n">
        <f aca="false">IF(ISNA(VLOOKUP(A68,'Données projet'!$A$217:$I$237,7,0)),0%,VLOOKUP(A68,'Données projet'!$A$217:$I$237,7,0))</f>
        <v>0</v>
      </c>
      <c r="FQ68" s="129" t="e">
        <f aca="false">EXP(-LN(2)/35)*FQ67+(1-EXP(-LN(2)/35))/(LN(2)/35)*FM68*FN68*VLOOKUP('Données projet'!$B$16,Paramètres!$A$1:$I$89,3,0)*0.475*44/12</f>
        <v>#N/A</v>
      </c>
      <c r="FR68" s="129" t="e">
        <f aca="false">EXP(-LN(2)/25)*FR67+(1-EXP(-LN(2)/25))/(LN(2)/25)*Calculateur!FM68*Calculateur!FO68*VLOOKUP('Données projet'!$B$16,Paramètres!$A$1:$I$89,3,0)*0.475*44/12</f>
        <v>#N/A</v>
      </c>
      <c r="FS68" s="129" t="e">
        <f aca="false">EXP(-LN(2)/2)*FS67+(1-EXP(-LN(2)/2))/(LN(2)/2)*FM68*FP68*VLOOKUP('Données projet'!$B$16,Paramètres!$A$1:$I$89,3,0)*0.475*44/12</f>
        <v>#N/A</v>
      </c>
      <c r="FT68" s="130" t="e">
        <f aca="false">SUM(FQ68:FS68)</f>
        <v>#N/A</v>
      </c>
      <c r="FU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8" t="e">
        <f aca="false">VLOOKUP(A68,'Données projet'!$A$243:$I$263,2,0)</f>
        <v>#N/A</v>
      </c>
      <c r="FX68" s="118" t="e">
        <f aca="false">VLOOKUP(A68,'Données projet'!$A$243:$I$263,9,0)</f>
        <v>#N/A</v>
      </c>
      <c r="FY68" s="118" t="n">
        <f aca="false" t="array" ref="FY68:FY68">INDEX(FX:FX,MIN(IF(ISNUMBER(FX68:FX264),ROW(FX68:FX264),"")))</f>
        <v>0</v>
      </c>
      <c r="FZ68" s="118" t="n">
        <f aca="false">IF('Données projet'!$A$244&gt;35,FZ67+FY68-GH67,IF(A68&lt;'Données projet'!$A$244,$FW$205^A68,IF(A68='Données projet'!$A$244,'Données projet'!$B$244,FZ67+FY68-GH67)))</f>
        <v>0</v>
      </c>
      <c r="GA68" s="125" t="e">
        <f aca="false">FZ68*VLOOKUP('Données projet'!$B$17,Paramètres!$A$1:$I$89,3,0)*VLOOKUP('Données projet'!$B$17,Paramètres!$A$1:$I$89,5,0)</f>
        <v>#N/A</v>
      </c>
      <c r="GB68" s="117" t="e">
        <f aca="false">EXP(-1.0587+0.8836*LN(GA68)+0.284)</f>
        <v>#N/A</v>
      </c>
      <c r="GC68" s="128" t="e">
        <f aca="false">(GA68+GB68)*0.475*44/12</f>
        <v>#N/A</v>
      </c>
      <c r="GD68" s="120" t="e">
        <f aca="false">GC68+(FU68+FV68)*44/12</f>
        <v>#N/A</v>
      </c>
      <c r="GE68" s="120" t="e">
        <f aca="true">AVERAGE(OFFSET($GD$3,0,0,'Données projet'!$E$17+1,1))-AVERAGE(OFFSET($H$3,0,0,'Données projet'!$E$17+1,1))</f>
        <v>#N/A</v>
      </c>
      <c r="GF68" s="120" t="e">
        <f aca="false">$GF$3</f>
        <v>#N/A</v>
      </c>
      <c r="GG68" s="121" t="n">
        <f aca="false">IF(ISNA(VLOOKUP(A68,'Données projet'!$A$243:$I$263,3,0)),0,VLOOKUP(A68,'Données projet'!$A$243:$I$263,3,0))</f>
        <v>0</v>
      </c>
      <c r="GH68" s="121" t="n">
        <f aca="false">IF(ISNA(VLOOKUP(A68,'Données projet'!$A$243:$I$263,4,0)),0,VLOOKUP(A68,'Données projet'!$A$243:$I$263,4,0))</f>
        <v>0</v>
      </c>
      <c r="GI68" s="122" t="n">
        <f aca="false">IF(ISNA(VLOOKUP(A68,'Données projet'!$A$243:$I$263,5,0)),0%,VLOOKUP(A68,'Données projet'!$A$243:$I$263,5,0)*VLOOKUP('Données projet'!$B$17,Paramètres!$A$1:$I$89,7,0))</f>
        <v>0</v>
      </c>
      <c r="GJ68" s="122" t="n">
        <f aca="false">IF(ISNA(VLOOKUP(A68,'Données projet'!$A$243:$I$263,6,0)),0%,VLOOKUP(A68,'Données projet'!$A$243:$I$263,6,0)*VLOOKUP('Données projet'!$B$17,Paramètres!$A$1:$I$89,7,0))</f>
        <v>0</v>
      </c>
      <c r="GK68" s="122" t="n">
        <f aca="false">IF(ISNA(VLOOKUP(A68,'Données projet'!$A$243:$I$263,7,0)),0%,VLOOKUP(A68,'Données projet'!$A$243:$I$263,7,0))</f>
        <v>0</v>
      </c>
      <c r="GL68" s="129" t="e">
        <f aca="false">EXP(-LN(2)/35)*GL67+(1-EXP(-LN(2)/35))/(LN(2)/35)*GH68*GI68*VLOOKUP('Données projet'!$B$17,Paramètres!$A$1:$I$89,3,0)*0.475*44/12</f>
        <v>#N/A</v>
      </c>
      <c r="GM68" s="129" t="e">
        <f aca="false">EXP(-LN(2)/25)*GM67+(1-EXP(-LN(2)/25))/(LN(2)/25)*Calculateur!GH68*Calculateur!GJ68*VLOOKUP('Données projet'!$B$17,Paramètres!$A$1:$I$89,3,0)*0.475*44/12</f>
        <v>#N/A</v>
      </c>
      <c r="GN68" s="129" t="e">
        <f aca="false">EXP(-LN(2)/2)*GN67+(1-EXP(-LN(2)/2))/(LN(2)/2)*GH68*GK68*VLOOKUP('Données projet'!$B$17,Paramètres!$A$1:$I$89,3,0)*0.475*44/12</f>
        <v>#N/A</v>
      </c>
      <c r="GO68" s="129" t="e">
        <f aca="false">SUM(GL68:GN68)</f>
        <v>#N/A</v>
      </c>
      <c r="GP68" s="126" t="n">
        <f aca="false"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8" t="n">
        <f aca="false"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8" t="e">
        <f aca="false">VLOOKUP(A68,'Données projet'!$A$269:$I$289,2,0)</f>
        <v>#N/A</v>
      </c>
      <c r="GS68" s="118" t="e">
        <f aca="false">VLOOKUP(A68,'Données projet'!$A$269:$I$289,9,0)</f>
        <v>#N/A</v>
      </c>
      <c r="GT68" s="118" t="n">
        <f aca="false" t="array" ref="GT68:GT68">INDEX(GS:GS,MIN(IF(ISNUMBER(GS68:GS264),ROW(GS68:GS264),"")))</f>
        <v>0</v>
      </c>
      <c r="GU68" s="118" t="n">
        <f aca="false">IF('Données projet'!$A$270&gt;35,GU67+GT68-HC67,IF(A68&lt;'Données projet'!$A$270,$GR$205^A68,IF(A68='Données projet'!$A$270,'Données projet'!$B$270,GU67+GT68-HC67)))</f>
        <v>0</v>
      </c>
      <c r="GV68" s="125" t="e">
        <f aca="false">GU68*VLOOKUP('Données projet'!$B$18,Paramètres!$A$1:$I$89,3,0)*VLOOKUP('Données projet'!$B$18,Paramètres!$A$1:$I$89,5,0)</f>
        <v>#N/A</v>
      </c>
      <c r="GW68" s="117" t="e">
        <f aca="false">EXP(-1.0587+0.8836*LN(GV68)+0.284)</f>
        <v>#N/A</v>
      </c>
      <c r="GX68" s="128" t="e">
        <f aca="false">(GV68+GW68)*0.475*44/12</f>
        <v>#N/A</v>
      </c>
      <c r="GY68" s="120" t="e">
        <f aca="false">GX68+(GP68+GQ68)*44/12</f>
        <v>#N/A</v>
      </c>
      <c r="GZ68" s="120" t="e">
        <f aca="true">AVERAGE(OFFSET($GY$3,0,0,'Données projet'!$E$18+1,1))-AVERAGE(OFFSET($H$3,0,0,'Données projet'!$E$18+1,1))</f>
        <v>#N/A</v>
      </c>
      <c r="HA68" s="120" t="e">
        <f aca="false">$HA$3</f>
        <v>#N/A</v>
      </c>
      <c r="HB68" s="121" t="n">
        <f aca="false">IF(ISNA(VLOOKUP(A68,'Données projet'!$A$269:$I$289,3,0)),0,VLOOKUP(A68,'Données projet'!$A$269:$I$289,3,0))</f>
        <v>0</v>
      </c>
      <c r="HC68" s="121" t="n">
        <f aca="false">IF(ISNA(VLOOKUP(A68,'Données projet'!$A$269:$I$289,4,0)),0,VLOOKUP(A68,'Données projet'!$A$269:$I$289,4,0))</f>
        <v>0</v>
      </c>
      <c r="HD68" s="122" t="n">
        <f aca="false">IF(ISNA(VLOOKUP(A68,'Données projet'!$A$269:$I$289,5,0)),0%,VLOOKUP(A68,'Données projet'!$A$269:$I$289,5,0)*VLOOKUP('Données projet'!$B$18,Paramètres!$A$1:$I$89,7,0))</f>
        <v>0</v>
      </c>
      <c r="HE68" s="122" t="n">
        <f aca="false">IF(ISNA(VLOOKUP(A68,'Données projet'!$A$269:$I$289,6,0)),0%,VLOOKUP(A68,'Données projet'!$A$269:$I$289,6,0)*VLOOKUP('Données projet'!$B$18,Paramètres!$A$1:$I$89,7,0))</f>
        <v>0</v>
      </c>
      <c r="HF68" s="122" t="n">
        <f aca="false">IF(ISNA(VLOOKUP(A68,'Données projet'!$A$269:$I$289,7,0)),0%,VLOOKUP(A68,'Données projet'!$A$269:$I$289,7,0))</f>
        <v>0</v>
      </c>
      <c r="HG68" s="129" t="e">
        <f aca="false">EXP(-LN(2)/35)*HG67+(1-EXP(-LN(2)/35))/(LN(2)/35)*HC68*HD68*VLOOKUP('Données projet'!$B$18,Paramètres!$A$1:$I$89,3,0)*0.475*44/12</f>
        <v>#N/A</v>
      </c>
      <c r="HH68" s="129" t="e">
        <f aca="false">EXP(-LN(2)/25)*HH67+(1-EXP(-LN(2)/25))/(LN(2)/25)*Calculateur!HC68*Calculateur!HE68*VLOOKUP('Données projet'!$B$18,Paramètres!$A$1:$I$89,3,0)*0.475*44/12</f>
        <v>#N/A</v>
      </c>
      <c r="HI68" s="129" t="e">
        <f aca="false">EXP(-LN(2)/2)*HI67+(1-EXP(-LN(2)/2))/(LN(2)/2)*HC68*HF68*VLOOKUP('Données projet'!$B$18,Paramètres!$A$1:$I$89,3,0)*0.475*44/12</f>
        <v>#N/A</v>
      </c>
      <c r="HJ68" s="130" t="e">
        <f aca="false">SUM(HG68:HI68)</f>
        <v>#N/A</v>
      </c>
    </row>
    <row r="69" customFormat="false" ht="14.25" hidden="false" customHeight="false" outlineLevel="0" collapsed="false">
      <c r="A69" s="112" t="n">
        <f aca="false">A68+1</f>
        <v>66</v>
      </c>
      <c r="B69" s="113" t="n">
        <f aca="false">'Scénario référence'!$B$16*5+'Scénario référence'!$B$17*0+'Scénario référence'!$B$18*5</f>
        <v>0</v>
      </c>
      <c r="C69" s="127" t="n">
        <f aca="false"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4" t="n">
        <f aca="false">IFERROR(EXP(-1.0587+0.8836*LN(C69)+0.284),0)</f>
        <v>0</v>
      </c>
      <c r="E6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69" s="114" t="n">
        <f aca="false">IF(OR('Scénario référence'!$F$8&gt;0,'Scénario référence'!$F$9&gt;0),('Scénario référence'!$F$8+'Scénario référence'!$F$9)*10,0)</f>
        <v>0</v>
      </c>
      <c r="G69" s="114" t="n">
        <f aca="false"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15" t="n">
        <f aca="false">(B69+E69+F69)*44/12+(C69+D69)*0.475*44/12</f>
        <v>256.666666666667</v>
      </c>
      <c r="I69" s="11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7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8" t="e">
        <f aca="false">VLOOKUP(A69,'Données projet'!$A$35:$I$55,2,0)</f>
        <v>#N/A</v>
      </c>
      <c r="L69" s="118" t="e">
        <f aca="false">VLOOKUP(A69,'Données projet'!$A$35:$I$55,9,0)</f>
        <v>#N/A</v>
      </c>
      <c r="M69" s="118" t="n">
        <f aca="false" t="array" ref="M69:M69">INDEX(L:L,MIN(IF(ISNUMBER(L69:L265),ROW(L69:L265),"")))</f>
        <v>15.5</v>
      </c>
      <c r="N69" s="117" t="n">
        <f aca="false">IF('Données projet'!$A$36&gt;35,N68+M69-V68,IF(A69&lt;'Données projet'!$A$36,$K$205^A69,IF(A69='Données projet'!$A$36,'Données projet'!$B$36,N68+M69-V68)))</f>
        <v>361.5</v>
      </c>
      <c r="O69" s="117" t="n">
        <f aca="false">N69*VLOOKUP('Données projet'!$B$9,Paramètres!$A$1:$I$89,3,0)*VLOOKUP('Données projet'!$B$9,Paramètres!$A$1:$I$89,5,0)</f>
        <v>169.182</v>
      </c>
      <c r="P69" s="117" t="n">
        <f aca="false">EXP(-1.0587+0.8836*LN(O69)+0.284)</f>
        <v>42.9067673989771</v>
      </c>
      <c r="Q69" s="128" t="n">
        <f aca="false">(O69+P69)*0.475*44/12</f>
        <v>369.387936553218</v>
      </c>
      <c r="R69" s="120" t="n">
        <f aca="false">Q69+(I69+J69)*44/12</f>
        <v>662.721269886552</v>
      </c>
      <c r="S69" s="120" t="n">
        <f aca="true">AVERAGE(OFFSET($R$3,0,0,'Données projet'!$E$9+1,1))-AVERAGE(OFFSET($H$3,0,0,'Données projet'!$E$9+1,1))</f>
        <v>319.229030946746</v>
      </c>
      <c r="T69" s="120" t="n">
        <f aca="false">$T$3</f>
        <v>254.586909731428</v>
      </c>
      <c r="U69" s="121" t="n">
        <f aca="false">IF(ISNA(VLOOKUP(A69,'Données projet'!$A$35:$I$55,3,0)),0,VLOOKUP(A69,'Données projet'!$A$35:$I$55,3,0))</f>
        <v>0</v>
      </c>
      <c r="V69" s="121" t="n">
        <f aca="false">IF(ISNA(VLOOKUP(A69,'Données projet'!$A$35:$I$55,4,0)),0,VLOOKUP(A69,'Données projet'!$A$35:$I$55,4,0))</f>
        <v>0</v>
      </c>
      <c r="W69" s="122" t="n">
        <f aca="false">IF(ISNA(VLOOKUP(A69,'Données projet'!$A$35:$I$55,5,0)),0%,VLOOKUP(A69,'Données projet'!$A$35:$I$55,5,0)*VLOOKUP('Données projet'!$B$9,Paramètres!$A$1:$I$89,7,0))</f>
        <v>0</v>
      </c>
      <c r="X69" s="122" t="n">
        <f aca="false">IF(ISNA(VLOOKUP(A69,'Données projet'!$A$35:$I$55,6,0)),0%,VLOOKUP(A69,'Données projet'!$A$35:$I$55,6,0)*VLOOKUP('Données projet'!$B$9,Paramètres!$A$1:$I$89,7,0))</f>
        <v>0</v>
      </c>
      <c r="Y69" s="122" t="n">
        <f aca="false">IF(ISNA(VLOOKUP(A69,'Données projet'!$A$35:$I$55,7,0)),0%,VLOOKUP(A69,'Données projet'!$A$35:$I$55,7,0))</f>
        <v>0</v>
      </c>
      <c r="Z69" s="129" t="n">
        <f aca="false">EXP(-LN(2)/35)*Z68+(1-EXP(-LN(2)/35))/(LN(2)/35)*V69*W69*VLOOKUP('Données projet'!$B$9,Paramètres!$A$1:$I$89,3,0)*0.475*44/12</f>
        <v>4.44909451669819</v>
      </c>
      <c r="AA69" s="129" t="n">
        <f aca="false">EXP(-LN(2)/25)*AA68+(1-EXP(-LN(2)/25))/(LN(2)/25)*Calculateur!V69*Calculateur!X69*VLOOKUP('Données projet'!$B$9,Paramètres!$A$1:$I$89,3,0)*0.475*44/12</f>
        <v>4.11001203190548</v>
      </c>
      <c r="AB69" s="129" t="n">
        <f aca="false">EXP(-LN(2)/2)*AB68+(1-EXP(-LN(2)/2))/(LN(2)/2)*V69*Y69*VLOOKUP('Données projet'!$B$9,Paramètres!$A$1:$I$89,3,0)*0.475*44/12</f>
        <v>4.21261926406799E-005</v>
      </c>
      <c r="AC69" s="130" t="n">
        <f aca="false">SUM(Z69:AB69)</f>
        <v>8.55914867479631</v>
      </c>
      <c r="AD69" s="117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7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8" t="e">
        <f aca="false">VLOOKUP(A69,'Données projet'!$A$61:$I$81,2,0)</f>
        <v>#N/A</v>
      </c>
      <c r="AG69" s="118" t="e">
        <f aca="false">VLOOKUP(A69,'Données projet'!$A$61:$I$81,9,0)</f>
        <v>#N/A</v>
      </c>
      <c r="AH69" s="118" t="n">
        <f aca="false" t="array" ref="AH69:AH69">INDEX(AG:AG,MIN(IF(ISNUMBER(AG69:AG265),ROW(AG69:AG265),"")))</f>
        <v>0</v>
      </c>
      <c r="AI69" s="117" t="n">
        <f aca="false">IF('Données projet'!$A$62&gt;35,AI68+AH69-AQ68,IF(A69&lt;'Données projet'!$A$62,$AF$205^A69,IF(A69='Données projet'!$A$62,'Données projet'!$B$62,AI68+AH69-AQ68)))</f>
        <v>1.13686837721616E-013</v>
      </c>
      <c r="AJ69" s="117" t="n">
        <f aca="false">AI69*VLOOKUP('Données projet'!$B$10,Paramètres!$A$1:$I$89,3,0)*VLOOKUP('Données projet'!$B$10,Paramètres!$A$1:$I$89,5,0)</f>
        <v>6.35509422863834E-014</v>
      </c>
      <c r="AK69" s="117" t="n">
        <f aca="false">EXP(-1.0587+0.8836*LN(AJ69)+0.284)</f>
        <v>1.0064464192544E-012</v>
      </c>
      <c r="AL69" s="128" t="n">
        <f aca="false">(AJ69+AK69)*0.475*44/12</f>
        <v>1.86357873801686E-012</v>
      </c>
      <c r="AM69" s="120" t="n">
        <f aca="false">AL69+(AD69+AE69)*44/12</f>
        <v>293.333333333335</v>
      </c>
      <c r="AN69" s="120" t="n">
        <f aca="true">AVERAGE(OFFSET($AM$3,0,0,'Données projet'!$E$10+1,1))-AVERAGE(OFFSET($H$3,0,0,'Données projet'!$E$10+1,1))</f>
        <v>365.705101827279</v>
      </c>
      <c r="AO69" s="120" t="n">
        <f aca="false">$AO$3</f>
        <v>436.238338449625</v>
      </c>
      <c r="AP69" s="121" t="n">
        <f aca="false">IF(ISNA(VLOOKUP(A69,'Données projet'!$A$61:$I$81,3,0)),0,VLOOKUP(A69,'Données projet'!$A$61:$I$81,3,0))</f>
        <v>0</v>
      </c>
      <c r="AQ69" s="121" t="n">
        <f aca="false">IF(ISNA(VLOOKUP(A69,'Données projet'!$A$61:$I$81,4,0)),0,VLOOKUP(A69,'Données projet'!$A$61:$I$81,4,0))</f>
        <v>0</v>
      </c>
      <c r="AR69" s="122" t="n">
        <f aca="false">IF(ISNA(VLOOKUP(A69,'Données projet'!$A$61:$I$81,5,0)),0%,VLOOKUP(A69,'Données projet'!$A$61:$I$81,5,0)*VLOOKUP('Données projet'!$B$10,Paramètres!$A$1:$I$89,7,0))</f>
        <v>0</v>
      </c>
      <c r="AS69" s="122" t="n">
        <f aca="false">IF(ISNA(VLOOKUP(A69,'Données projet'!$A$61:$I$81,6,0)),0%,VLOOKUP(A69,'Données projet'!$A$61:$I$81,6,0)*VLOOKUP('Données projet'!$B$10,Paramètres!$A$1:$I$89,7,0))</f>
        <v>0</v>
      </c>
      <c r="AT69" s="122" t="n">
        <f aca="false">IF(ISNA(VLOOKUP(A69,'Données projet'!$A$61:$I$81,7,0)),0%,VLOOKUP(A69,'Données projet'!$A$61:$I$81,7,0))</f>
        <v>0</v>
      </c>
      <c r="AU69" s="129" t="n">
        <f aca="false">EXP(-LN(2)/35)*AU68+(1-EXP(-LN(2)/35))/(LN(2)/35)*AQ69*AR69*VLOOKUP('Données projet'!$B$10,Paramètres!$A$1:$I$89,3,0)*0.475*44/12</f>
        <v>1.67938893413762</v>
      </c>
      <c r="AV69" s="129" t="n">
        <f aca="false">EXP(-LN(2)/25)*AV68+(1-EXP(-LN(2)/25))/(LN(2)/25)*Calculateur!AQ69*Calculateur!AS69*VLOOKUP('Données projet'!$B$10,Paramètres!$A$1:$I$89,3,0)*0.475*44/12</f>
        <v>4.86808702394736</v>
      </c>
      <c r="AW69" s="129" t="n">
        <f aca="false">EXP(-LN(2)/2)*AW68+(1-EXP(-LN(2)/2))/(LN(2)/2)*AQ69*AT69*VLOOKUP('Données projet'!$B$10,Paramètres!$A$1:$I$89,3,0)*0.475*44/12</f>
        <v>2.26710002352745E-005</v>
      </c>
      <c r="AX69" s="129" t="n">
        <f aca="false">SUM(AU69:AW69)</f>
        <v>6.54749862908521</v>
      </c>
      <c r="AY69" s="124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8" t="e">
        <f aca="false">VLOOKUP(A69,'Données projet'!$A$87:$I$107,2,0)</f>
        <v>#N/A</v>
      </c>
      <c r="BB69" s="118" t="e">
        <f aca="false">VLOOKUP(A69,'Données projet'!$A$87:$I$107,9,0)</f>
        <v>#N/A</v>
      </c>
      <c r="BC69" s="118" t="n">
        <f aca="false" t="array" ref="BC69:BC69">INDEX(BB:BB,MIN(IF(ISNUMBER(BB69:BB265),ROW(BB69:BB265),"")))</f>
        <v>5.2</v>
      </c>
      <c r="BD69" s="118" t="n">
        <f aca="false">IF('Données projet'!$A$88&gt;35,BD68+BC69-BL68,IF(A69&lt;'Données projet'!$A$88,$BA$205^A69,IF(A69='Données projet'!$A$88,'Données projet'!$B$88,BD68+BC69-BL68)))</f>
        <v>228.2</v>
      </c>
      <c r="BE69" s="117" t="n">
        <f aca="false">BD69*VLOOKUP('Données projet'!$B$11,Paramètres!$A$1:$I$89,3,0)*VLOOKUP('Données projet'!$B$11,Paramètres!$A$1:$I$89,5,0)</f>
        <v>199.35552</v>
      </c>
      <c r="BF69" s="117" t="n">
        <f aca="false">EXP(-1.0587+0.8836*LN(BE69)+0.284)</f>
        <v>49.6025039327833</v>
      </c>
      <c r="BG69" s="128" t="n">
        <f aca="false">(BE69+BF69)*0.475*44/12</f>
        <v>433.601891682931</v>
      </c>
      <c r="BH69" s="120" t="n">
        <f aca="false">BG69+(AY69+AZ69)*44/12</f>
        <v>726.935225016265</v>
      </c>
      <c r="BI69" s="120" t="n">
        <f aca="true">AVERAGE(OFFSET($BH$3,0,0,'Données projet'!$E$11+1,1))-AVERAGE(OFFSET($H$3,0,0,'Données projet'!$E$11+1,1))</f>
        <v>321.235999689929</v>
      </c>
      <c r="BJ69" s="120" t="n">
        <f aca="false">$BJ$3</f>
        <v>388.051958478005</v>
      </c>
      <c r="BK69" s="121" t="n">
        <f aca="false">IF(ISNA(VLOOKUP(A69,'Données projet'!$A$87:$I$107,3,0)),0,VLOOKUP(A69,'Données projet'!$A$87:$I$107,3,0))</f>
        <v>0</v>
      </c>
      <c r="BL69" s="121" t="n">
        <f aca="false">IF(ISNA(VLOOKUP(A69,'Données projet'!$A$87:$I$107,4,0)),0,VLOOKUP(A69,'Données projet'!$A$87:$I$107,4,0))</f>
        <v>0</v>
      </c>
      <c r="BM69" s="122" t="n">
        <f aca="false">IF(ISNA(VLOOKUP(A69,'Données projet'!$A$87:$I$107,5,0)),0%,VLOOKUP(A69,'Données projet'!$A$87:$I$107,5,0)*VLOOKUP('Données projet'!$B$11,Paramètres!$A$1:$I$89,7,0))</f>
        <v>0</v>
      </c>
      <c r="BN69" s="122" t="n">
        <f aca="false">IF(ISNA(VLOOKUP(A69,'Données projet'!$A$87:$I$107,6,0)),0%,VLOOKUP(A69,'Données projet'!$A$87:$I$107,6,0)*VLOOKUP('Données projet'!$B$11,Paramètres!$A$1:$I$89,7,0))</f>
        <v>0</v>
      </c>
      <c r="BO69" s="122" t="n">
        <f aca="false">IF(ISNA(VLOOKUP(A69,'Données projet'!$A$87:$I$107,7,0)),0%,VLOOKUP(A69,'Données projet'!$A$87:$I$107,7,0))</f>
        <v>0</v>
      </c>
      <c r="BP69" s="129" t="n">
        <f aca="false">EXP(-LN(2)/35)*BP68+(1-EXP(-LN(2)/35))/(LN(2)/35)*BL69*BM69*VLOOKUP('Données projet'!$B$11,Paramètres!$A$1:$I$89,3,0)*0.475*44/12</f>
        <v>4.21630971627578</v>
      </c>
      <c r="BQ69" s="129" t="n">
        <f aca="false">EXP(-LN(2)/25)*BQ68+(1-EXP(-LN(2)/25))/(LN(2)/25)*Calculateur!BL69*Calculateur!BN69*VLOOKUP('Données projet'!$B$11,Paramètres!$A$1:$I$89,3,0)*0.475*44/12</f>
        <v>4.96905408755332</v>
      </c>
      <c r="BR69" s="129" t="n">
        <f aca="false">EXP(-LN(2)/2)*BR68+(1-EXP(-LN(2)/2))/(LN(2)/2)*BL69*BO69*VLOOKUP('Données projet'!$B$11,Paramètres!$A$1:$I$89,3,0)*0.475*44/12</f>
        <v>2.30446005145826E-005</v>
      </c>
      <c r="BS69" s="130" t="n">
        <f aca="false">SUM(BP69:BR69)</f>
        <v>9.18538684842962</v>
      </c>
      <c r="BT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8" t="e">
        <f aca="false">VLOOKUP(A69,'Données projet'!$A$113:$I$133,2,0)</f>
        <v>#N/A</v>
      </c>
      <c r="BW69" s="118" t="e">
        <f aca="false">VLOOKUP(A69,'Données projet'!$A$113:$I$133,9,0)</f>
        <v>#N/A</v>
      </c>
      <c r="BX69" s="118" t="n">
        <f aca="false" t="array" ref="BX69:BX69">INDEX(BW:BW,MIN(IF(ISNUMBER(BW69:BW265),ROW(BW69:BW265),"")))</f>
        <v>0</v>
      </c>
      <c r="BY69" s="118" t="n">
        <f aca="false">IF('Données projet'!$A$114&gt;35,BY68+BX69-CG68,IF(A69&lt;'Données projet'!$A$114,$BV$205^A69,IF(A69='Données projet'!$A$114,'Données projet'!$B$114,BY68+BX69-CG68)))</f>
        <v>0</v>
      </c>
      <c r="BZ69" s="117" t="n">
        <f aca="false">BY69*VLOOKUP('Données projet'!$B$12,Paramètres!$A$1:$I$89,3,0)*VLOOKUP('Données projet'!$B$12,Paramètres!$A$1:$I$89,5,0)</f>
        <v>0</v>
      </c>
      <c r="CA69" s="117" t="e">
        <f aca="false">EXP(-1.0587+0.8836*LN(BZ69)+0.284)</f>
        <v>#VALUE!</v>
      </c>
      <c r="CB69" s="128" t="e">
        <f aca="false">(BZ69+CA69)*0.475*44/12</f>
        <v>#VALUE!</v>
      </c>
      <c r="CC69" s="120" t="e">
        <f aca="false">CB69+(BT69+BU69)*44/12</f>
        <v>#VALUE!</v>
      </c>
      <c r="CD69" s="120" t="n">
        <f aca="true">AVERAGE(OFFSET($CC$3,0,0,'Données projet'!$E$12+1,1))-AVERAGE(OFFSET($H$3,0,0,'Données projet'!$E$12+1,1))</f>
        <v>240.228848647662</v>
      </c>
      <c r="CE69" s="120" t="n">
        <f aca="false">$CE$3</f>
        <v>343.237768841432</v>
      </c>
      <c r="CF69" s="121" t="n">
        <f aca="false">IF(ISNA(VLOOKUP(A69,'Données projet'!$A$113:$I$133,3,0)),0,VLOOKUP(A69,'Données projet'!$A$113:$I$133,3,0))</f>
        <v>0</v>
      </c>
      <c r="CG69" s="121" t="n">
        <f aca="false">IF(ISNA(VLOOKUP(A69,'Données projet'!$A$113:$I$133,4,0)),0,VLOOKUP(A69,'Données projet'!$A$113:$I$133,4,0))</f>
        <v>0</v>
      </c>
      <c r="CH69" s="122" t="n">
        <f aca="false">IF(ISNA(VLOOKUP(A69,'Données projet'!$A$113:$I$133,5,0)),0%,VLOOKUP(A69,'Données projet'!$A$113:$I$133,5,0)*VLOOKUP('Données projet'!$B$12,Paramètres!$A$1:$I$89,7,0))</f>
        <v>0</v>
      </c>
      <c r="CI69" s="122" t="n">
        <f aca="false">IF(ISNA(VLOOKUP(A69,'Données projet'!$A$113:$I$133,6,0)),0%,VLOOKUP(A69,'Données projet'!$A$113:$I$133,6,0)*VLOOKUP('Données projet'!$B$12,Paramètres!$A$1:$I$89,7,0))</f>
        <v>0</v>
      </c>
      <c r="CJ69" s="122" t="n">
        <f aca="false">IF(ISNA(VLOOKUP(A69,'Données projet'!$A$113:$I$133,7,0)),0%,VLOOKUP(A69,'Données projet'!$A$113:$I$133,7,0))</f>
        <v>0</v>
      </c>
      <c r="CK69" s="129" t="n">
        <f aca="false">EXP(-LN(2)/35)*CK68+(1-EXP(-LN(2)/35))/(LN(2)/35)*CG69*CH69*VLOOKUP('Données projet'!$B$12,Paramètres!$A$1:$I$89,3,0)*0.475*44/12</f>
        <v>2.58071002624349</v>
      </c>
      <c r="CL69" s="129" t="n">
        <f aca="false">EXP(-LN(2)/25)*CL68+(1-EXP(-LN(2)/25))/(LN(2)/25)*Calculateur!CG69*Calculateur!CI69*VLOOKUP('Données projet'!$B$12,Paramètres!$A$1:$I$89,3,0)*0.475*44/12</f>
        <v>8.7756371765972</v>
      </c>
      <c r="CM69" s="129" t="n">
        <f aca="false">EXP(-LN(2)/2)*CM68+(1-EXP(-LN(2)/2))/(LN(2)/2)*CG69*CJ69*VLOOKUP('Données projet'!$B$12,Paramètres!$A$1:$I$89,3,0)*0.475*44/12</f>
        <v>3.6773038734298E-005</v>
      </c>
      <c r="CN69" s="130" t="n">
        <f aca="false">SUM(CK69:CM69)</f>
        <v>11.3563839758794</v>
      </c>
      <c r="CO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8" t="e">
        <f aca="false">VLOOKUP(A69,'Données projet'!$A$139:$I$159,2,0)</f>
        <v>#N/A</v>
      </c>
      <c r="CR69" s="118" t="e">
        <f aca="false">VLOOKUP(A69,'Données projet'!$A$139:$I$159,9,0)</f>
        <v>#N/A</v>
      </c>
      <c r="CS69" s="118" t="n">
        <f aca="false" t="array" ref="CS69:CS69">INDEX(CR:CR,MIN(IF(ISNUMBER(CR69:CR265),ROW(CR69:CR265),"")))</f>
        <v>0</v>
      </c>
      <c r="CT69" s="118" t="n">
        <f aca="false">IF('Données projet'!$A$140&gt;35,CT68+CS69-DB68,IF(A69&lt;'Données projet'!$A$140,$CQ$205^A69,IF(A69='Données projet'!$A$140,'Données projet'!$B$140,CT68+CS69-DB68)))</f>
        <v>-5.6843418860808E-014</v>
      </c>
      <c r="CU69" s="125" t="n">
        <f aca="false">CT69*VLOOKUP('Données projet'!$B$13,Paramètres!$A$1:$I$89,3,0)*VLOOKUP('Données projet'!$B$13,Paramètres!$A$1:$I$89,5,0)</f>
        <v>-3.10365066980012E-014</v>
      </c>
      <c r="CV69" s="117" t="e">
        <f aca="false">EXP(-1.0587+0.8836*LN(CU69)+0.284)</f>
        <v>#VALUE!</v>
      </c>
      <c r="CW69" s="128" t="e">
        <f aca="false">(CU69+CV69)*0.475*44/12</f>
        <v>#VALUE!</v>
      </c>
      <c r="CX69" s="120" t="e">
        <f aca="false">CW69+(CO69+CP69)*44/12</f>
        <v>#VALUE!</v>
      </c>
      <c r="CY69" s="120" t="n">
        <f aca="true">AVERAGE(OFFSET($CX$3,0,0,'Données projet'!$E$13+1,1))-AVERAGE(OFFSET($H$3,0,0,'Données projet'!$E$13+1,1))</f>
        <v>207.023069645676</v>
      </c>
      <c r="CZ69" s="120" t="n">
        <f aca="false">$CZ$3</f>
        <v>342.068879333518</v>
      </c>
      <c r="DA69" s="121" t="n">
        <f aca="false">IF(ISNA(VLOOKUP(A69,'Données projet'!$A$139:$I$159,3,0)),0,VLOOKUP(A69,'Données projet'!$A$139:$I$159,3,0))</f>
        <v>0</v>
      </c>
      <c r="DB69" s="121" t="n">
        <f aca="false">IF(ISNA(VLOOKUP(A69,'Données projet'!$A$139:$I$159,4,0)),0,VLOOKUP(A69,'Données projet'!$A$139:$I$159,4,0))</f>
        <v>0</v>
      </c>
      <c r="DC69" s="122" t="n">
        <f aca="false">IF(ISNA(VLOOKUP(A69,'Données projet'!$A$139:$I$159,5,0)),0%,VLOOKUP(A69,'Données projet'!$A$139:$I$159,5,0)*VLOOKUP('Données projet'!$B$13,Paramètres!$A$1:$I$89,7,0))</f>
        <v>0</v>
      </c>
      <c r="DD69" s="122" t="n">
        <f aca="false">IF(ISNA(VLOOKUP(A69,'Données projet'!$A$139:$I$159,6,0)),0%,VLOOKUP(A69,'Données projet'!$A$139:$I$159,6,0)*VLOOKUP('Données projet'!$B$13,Paramètres!$A$1:$I$89,7,0))</f>
        <v>0</v>
      </c>
      <c r="DE69" s="122" t="n">
        <f aca="false">IF(ISNA(VLOOKUP(A69,'Données projet'!$A$139:$I$159,7,0)),0%,VLOOKUP(A69,'Données projet'!$A$139:$I$159,7,0))</f>
        <v>0</v>
      </c>
      <c r="DF69" s="129" t="n">
        <f aca="false">EXP(-LN(2)/35)*DF68+(1-EXP(-LN(2)/35))/(LN(2)/35)*DB69*DC69*VLOOKUP('Données projet'!$B$13,Paramètres!$A$1:$I$89,3,0)*0.475*44/12</f>
        <v>3.23806069330551</v>
      </c>
      <c r="DG69" s="129" t="n">
        <f aca="false">EXP(-LN(2)/25)*DG68+(1-EXP(-LN(2)/25))/(LN(2)/25)*Calculateur!DB69*Calculateur!DD69*VLOOKUP('Données projet'!$B$13,Paramètres!$A$1:$I$89,3,0)*0.475*44/12</f>
        <v>14.3445118289068</v>
      </c>
      <c r="DH69" s="129" t="n">
        <f aca="false">EXP(-LN(2)/2)*DH68+(1-EXP(-LN(2)/2))/(LN(2)/2)*DB69*DE69*VLOOKUP('Données projet'!$B$13,Paramètres!$A$1:$I$89,3,0)*0.475*44/12</f>
        <v>5.06364913860353E-005</v>
      </c>
      <c r="DI69" s="130" t="n">
        <f aca="false">SUM(DF69:DH69)</f>
        <v>17.5826231587037</v>
      </c>
      <c r="DJ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8" t="e">
        <f aca="false">VLOOKUP(A69,'Données projet'!$A$165:$I$185,2,0)</f>
        <v>#N/A</v>
      </c>
      <c r="DM69" s="118" t="e">
        <f aca="false">VLOOKUP(A69,'Données projet'!$A$165:$I$185,9,0)</f>
        <v>#N/A</v>
      </c>
      <c r="DN69" s="118" t="n">
        <f aca="false" t="array" ref="DN69:DN69">INDEX(DM:DM,MIN(IF(ISNUMBER(DM69:DM265),ROW(DM69:DM265),"")))</f>
        <v>0</v>
      </c>
      <c r="DO69" s="118" t="n">
        <f aca="false">IF('Données projet'!$A$166&gt;35,DO68+DN69-DW68,IF(A69&lt;'Données projet'!$A$166,$DL$205^A69,IF(A69='Données projet'!$A$166,'Données projet'!$B$166,DO68+DN69-DW68)))</f>
        <v>0</v>
      </c>
      <c r="DP69" s="125" t="n">
        <f aca="false">DO69*VLOOKUP('Données projet'!$B$14,Paramètres!$A$1:$I$89,3,0)*VLOOKUP('Données projet'!$B$14,Paramètres!$A$1:$I$89,5,0)</f>
        <v>0</v>
      </c>
      <c r="DQ69" s="117" t="e">
        <f aca="false">EXP(-1.0587+0.8836*LN(DP69)+0.284)</f>
        <v>#VALUE!</v>
      </c>
      <c r="DR69" s="128" t="e">
        <f aca="false">(DP69+DQ69)*0.475*44/12</f>
        <v>#VALUE!</v>
      </c>
      <c r="DS69" s="120" t="e">
        <f aca="false">DR69+(DJ69+DK69)*44/12</f>
        <v>#VALUE!</v>
      </c>
      <c r="DT69" s="120" t="n">
        <f aca="true">AVERAGE(OFFSET($DS$3,0,0,'Données projet'!$E$14+1,1))-AVERAGE(OFFSET($H$3,0,0,'Données projet'!$E$14+1,1))</f>
        <v>549.432320957297</v>
      </c>
      <c r="DU69" s="120" t="n">
        <f aca="false">$DU$3</f>
        <v>280.26155987301</v>
      </c>
      <c r="DV69" s="121" t="n">
        <f aca="false">IF(ISNA(VLOOKUP(A69,'Données projet'!$A$165:$I$185,3,0)),0,VLOOKUP(A69,'Données projet'!$A$165:$I$185,3,0))</f>
        <v>0</v>
      </c>
      <c r="DW69" s="121" t="n">
        <f aca="false">IF(ISNA(VLOOKUP(A69,'Données projet'!$A$165:$I$185,4,0)),0,VLOOKUP(A69,'Données projet'!$A$165:$I$185,4,0))</f>
        <v>0</v>
      </c>
      <c r="DX69" s="122" t="n">
        <f aca="false">IF(ISNA(VLOOKUP(A69,'Données projet'!$A$165:$I$185,5,0)),0%,VLOOKUP(A69,'Données projet'!$A$165:$I$185,5,0)*VLOOKUP('Données projet'!$B$14,Paramètres!$A$1:$I$89,7,0))</f>
        <v>0</v>
      </c>
      <c r="DY69" s="122" t="n">
        <f aca="false">IF(ISNA(VLOOKUP(A69,'Données projet'!$A$165:$I$185,6,0)),0%,VLOOKUP(A69,'Données projet'!$A$165:$I$185,6,0)*VLOOKUP('Données projet'!$B$14,Paramètres!$A$1:$I$89,7,0))</f>
        <v>0</v>
      </c>
      <c r="DZ69" s="122" t="n">
        <f aca="false">IF(ISNA(VLOOKUP(A69,'Données projet'!$A$165:$I$185,7,0)),0%,VLOOKUP(A69,'Données projet'!$A$165:$I$185,7,0))</f>
        <v>0</v>
      </c>
      <c r="EA69" s="129" t="n">
        <f aca="false">EXP(-LN(2)/35)*EA68+(1-EXP(-LN(2)/35))/(LN(2)/35)*DW69*DX69*VLOOKUP('Données projet'!$B$14,Paramètres!$A$1:$I$89,3,0)*0.475*44/12</f>
        <v>1.17735525750633</v>
      </c>
      <c r="EB69" s="129" t="n">
        <f aca="false">EXP(-LN(2)/25)*EB68+(1-EXP(-LN(2)/25))/(LN(2)/25)*Calculateur!DW69*Calculateur!DY69*VLOOKUP('Données projet'!$B$14,Paramètres!$A$1:$I$89,3,0)*0.475*44/12</f>
        <v>2.85770976856231</v>
      </c>
      <c r="EC69" s="129" t="n">
        <f aca="false">EXP(-LN(2)/2)*EC68+(1-EXP(-LN(2)/2))/(LN(2)/2)*DW69*DZ69*VLOOKUP('Données projet'!$B$14,Paramètres!$A$1:$I$89,3,0)*0.475*44/12</f>
        <v>2.33423787481669E-005</v>
      </c>
      <c r="ED69" s="130" t="n">
        <f aca="false">SUM(EA69:EC69)</f>
        <v>4.03508836844738</v>
      </c>
      <c r="EE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8" t="e">
        <f aca="false">VLOOKUP(A69,'Données projet'!$A$191:$I$211,2,0)</f>
        <v>#N/A</v>
      </c>
      <c r="EH69" s="118" t="e">
        <f aca="false">VLOOKUP(A69,'Données projet'!$A$191:$I$211,9,0)</f>
        <v>#N/A</v>
      </c>
      <c r="EI69" s="118" t="n">
        <f aca="false" t="array" ref="EI69:EI69">INDEX(EH:EH,MIN(IF(ISNUMBER(EH69:EH265),ROW(EH69:EH265),"")))</f>
        <v>0</v>
      </c>
      <c r="EJ69" s="118" t="n">
        <f aca="false">IF('Données projet'!$A$192&gt;35,EJ68+EI69-ER68,IF(A69&lt;'Données projet'!$A$192,$EG$205^A69,IF(A69='Données projet'!$A$192,'Données projet'!$B$192,EJ68+EI69-ER68)))</f>
        <v>0</v>
      </c>
      <c r="EK69" s="125" t="e">
        <f aca="false">EJ69*VLOOKUP('Données projet'!$B$15,Paramètres!$A$1:$I$89,3,0)*VLOOKUP('Données projet'!$B$15,Paramètres!$A$1:$I$89,5,0)</f>
        <v>#N/A</v>
      </c>
      <c r="EL69" s="117" t="e">
        <f aca="false">EXP(-1.0587+0.8836*LN(EK69)+0.284)</f>
        <v>#N/A</v>
      </c>
      <c r="EM69" s="128" t="e">
        <f aca="false">(EK69+EL69)*0.475*44/12</f>
        <v>#N/A</v>
      </c>
      <c r="EN69" s="120" t="e">
        <f aca="false">EM69+(EE69+EF69)*44/12</f>
        <v>#N/A</v>
      </c>
      <c r="EO69" s="120" t="e">
        <f aca="true">AVERAGE(OFFSET($EN$3,0,0,'Données projet'!$E$15+1,1))-AVERAGE(OFFSET($H$3,0,0,'Données projet'!$E$15+1,1))</f>
        <v>#N/A</v>
      </c>
      <c r="EP69" s="120" t="e">
        <f aca="false">$EP$3</f>
        <v>#N/A</v>
      </c>
      <c r="EQ69" s="121" t="n">
        <f aca="false">IF(ISNA(VLOOKUP(A69,'Données projet'!$A$191:$I$211,3,0)),0,VLOOKUP(A69,'Données projet'!$A$191:$I$211,3,0))</f>
        <v>0</v>
      </c>
      <c r="ER69" s="121" t="n">
        <f aca="false">IF(ISNA(VLOOKUP(A69,'Données projet'!$A$191:$I$211,4,0)),0,VLOOKUP(A69,'Données projet'!$A$191:$I$211,4,0))</f>
        <v>0</v>
      </c>
      <c r="ES69" s="122" t="n">
        <f aca="false">IF(ISNA(VLOOKUP(A69,'Données projet'!$A$191:$I$211,5,0)),0%,VLOOKUP(A69,'Données projet'!$A$191:$I$211,5,0)*VLOOKUP('Données projet'!$B$15,Paramètres!$A$1:$I$89,7,0))</f>
        <v>0</v>
      </c>
      <c r="ET69" s="122" t="n">
        <f aca="false">IF(ISNA(VLOOKUP(A69,'Données projet'!$A$191:$I$211,6,0)),0%,VLOOKUP(A69,'Données projet'!$A$191:$I$211,6,0)*VLOOKUP('Données projet'!$B$15,Paramètres!$A$1:$I$89,7,0))</f>
        <v>0</v>
      </c>
      <c r="EU69" s="122" t="n">
        <f aca="false">IF(ISNA(VLOOKUP(A69,'Données projet'!$A$191:$I$211,7,0)),0%,VLOOKUP(A69,'Données projet'!$A$191:$I$211,7,0))</f>
        <v>0</v>
      </c>
      <c r="EV69" s="129" t="e">
        <f aca="false">EXP(-LN(2)/35)*EV68+(1-EXP(-LN(2)/35))/(LN(2)/35)*ER69*ES69*VLOOKUP('Données projet'!$B$15,Paramètres!$A$1:$I$89,3,0)*0.475*44/12</f>
        <v>#N/A</v>
      </c>
      <c r="EW69" s="129" t="e">
        <f aca="false">EXP(-LN(2)/25)*EW68+(1-EXP(-LN(2)/25))/(LN(2)/25)*Calculateur!ER69*Calculateur!ET69*VLOOKUP('Données projet'!$B$15,Paramètres!$A$1:$I$89,3,0)*0.475*44/12</f>
        <v>#N/A</v>
      </c>
      <c r="EX69" s="129" t="e">
        <f aca="false">EXP(-LN(2)/2)*EX68+(1-EXP(-LN(2)/2))/(LN(2)/2)*ER69*EU69*VLOOKUP('Données projet'!$B$15,Paramètres!$A$1:$I$89,3,0)*0.475*44/12</f>
        <v>#N/A</v>
      </c>
      <c r="EY69" s="130" t="e">
        <f aca="false">SUM(EV69:EX69)</f>
        <v>#N/A</v>
      </c>
      <c r="EZ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8" t="e">
        <f aca="false">VLOOKUP(A69,'Données projet'!$A$217:$I$237,2,0)</f>
        <v>#N/A</v>
      </c>
      <c r="FC69" s="118" t="e">
        <f aca="false">VLOOKUP(A69,'Données projet'!$A$217:$I$237,9,0)</f>
        <v>#N/A</v>
      </c>
      <c r="FD69" s="118" t="n">
        <f aca="false" t="array" ref="FD69:FD69">INDEX(FC:FC,MIN(IF(ISNUMBER(FC69:FC265),ROW(FC69:FC265),"")))</f>
        <v>0</v>
      </c>
      <c r="FE69" s="118" t="n">
        <f aca="false">IF('Données projet'!$A$218&gt;35,FE68+FD69-FM68,IF(A69&lt;'Données projet'!$A$218,$FB$205^A69,IF(A69='Données projet'!$A$218,'Données projet'!$B$218,FE68+FD69-FM68)))</f>
        <v>0</v>
      </c>
      <c r="FF69" s="125" t="e">
        <f aca="false">FE69*VLOOKUP('Données projet'!$B$16,Paramètres!$A$1:$I$89,3,0)*VLOOKUP('Données projet'!$B$16,Paramètres!$A$1:$I$89,5,0)</f>
        <v>#N/A</v>
      </c>
      <c r="FG69" s="117" t="e">
        <f aca="false">EXP(-1.0587+0.8836*LN(FF69)+0.284)</f>
        <v>#N/A</v>
      </c>
      <c r="FH69" s="128" t="e">
        <f aca="false">(FF69+FG69)*0.475*44/12</f>
        <v>#N/A</v>
      </c>
      <c r="FI69" s="120" t="e">
        <f aca="false">FH69+(EZ69+FA69)*44/12</f>
        <v>#N/A</v>
      </c>
      <c r="FJ69" s="120" t="e">
        <f aca="true">AVERAGE(OFFSET($FI$3,0,0,'Données projet'!$E$16+1,1))-AVERAGE(OFFSET($H$3,0,0,'Données projet'!$E$16+1,1))</f>
        <v>#N/A</v>
      </c>
      <c r="FK69" s="120" t="e">
        <f aca="false">$FK$3</f>
        <v>#N/A</v>
      </c>
      <c r="FL69" s="121" t="n">
        <f aca="false">IF(ISNA(VLOOKUP(A69,'Données projet'!$A$217:$I$237,3,0)),0,VLOOKUP(A69,'Données projet'!$A$217:$I$237,3,0))</f>
        <v>0</v>
      </c>
      <c r="FM69" s="121" t="n">
        <f aca="false">IF(ISNA(VLOOKUP(A69,'Données projet'!$A$217:$I$237,4,0)),0,VLOOKUP(A69,'Données projet'!$A$217:$I$237,4,0))</f>
        <v>0</v>
      </c>
      <c r="FN69" s="122" t="n">
        <f aca="false">IF(ISNA(VLOOKUP(A69,'Données projet'!$A$217:$I$237,5,0)),0%,VLOOKUP(A69,'Données projet'!$A$217:$I$237,5,0)*VLOOKUP('Données projet'!$B$16,Paramètres!$A$1:$I$89,7,0))</f>
        <v>0</v>
      </c>
      <c r="FO69" s="122" t="n">
        <f aca="false">IF(ISNA(VLOOKUP(A69,'Données projet'!$A$217:$I$237,6,0)),0%,VLOOKUP(A69,'Données projet'!$A$217:$I$237,6,0)*VLOOKUP('Données projet'!$B$16,Paramètres!$A$1:$I$89,7,0))</f>
        <v>0</v>
      </c>
      <c r="FP69" s="122" t="n">
        <f aca="false">IF(ISNA(VLOOKUP(A69,'Données projet'!$A$217:$I$237,7,0)),0%,VLOOKUP(A69,'Données projet'!$A$217:$I$237,7,0))</f>
        <v>0</v>
      </c>
      <c r="FQ69" s="129" t="e">
        <f aca="false">EXP(-LN(2)/35)*FQ68+(1-EXP(-LN(2)/35))/(LN(2)/35)*FM69*FN69*VLOOKUP('Données projet'!$B$16,Paramètres!$A$1:$I$89,3,0)*0.475*44/12</f>
        <v>#N/A</v>
      </c>
      <c r="FR69" s="129" t="e">
        <f aca="false">EXP(-LN(2)/25)*FR68+(1-EXP(-LN(2)/25))/(LN(2)/25)*Calculateur!FM69*Calculateur!FO69*VLOOKUP('Données projet'!$B$16,Paramètres!$A$1:$I$89,3,0)*0.475*44/12</f>
        <v>#N/A</v>
      </c>
      <c r="FS69" s="129" t="e">
        <f aca="false">EXP(-LN(2)/2)*FS68+(1-EXP(-LN(2)/2))/(LN(2)/2)*FM69*FP69*VLOOKUP('Données projet'!$B$16,Paramètres!$A$1:$I$89,3,0)*0.475*44/12</f>
        <v>#N/A</v>
      </c>
      <c r="FT69" s="130" t="e">
        <f aca="false">SUM(FQ69:FS69)</f>
        <v>#N/A</v>
      </c>
      <c r="FU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8" t="e">
        <f aca="false">VLOOKUP(A69,'Données projet'!$A$243:$I$263,2,0)</f>
        <v>#N/A</v>
      </c>
      <c r="FX69" s="118" t="e">
        <f aca="false">VLOOKUP(A69,'Données projet'!$A$243:$I$263,9,0)</f>
        <v>#N/A</v>
      </c>
      <c r="FY69" s="118" t="n">
        <f aca="false" t="array" ref="FY69:FY69">INDEX(FX:FX,MIN(IF(ISNUMBER(FX69:FX265),ROW(FX69:FX265),"")))</f>
        <v>0</v>
      </c>
      <c r="FZ69" s="118" t="n">
        <f aca="false">IF('Données projet'!$A$244&gt;35,FZ68+FY69-GH68,IF(A69&lt;'Données projet'!$A$244,$FW$205^A69,IF(A69='Données projet'!$A$244,'Données projet'!$B$244,FZ68+FY69-GH68)))</f>
        <v>0</v>
      </c>
      <c r="GA69" s="125" t="e">
        <f aca="false">FZ69*VLOOKUP('Données projet'!$B$17,Paramètres!$A$1:$I$89,3,0)*VLOOKUP('Données projet'!$B$17,Paramètres!$A$1:$I$89,5,0)</f>
        <v>#N/A</v>
      </c>
      <c r="GB69" s="117" t="e">
        <f aca="false">EXP(-1.0587+0.8836*LN(GA69)+0.284)</f>
        <v>#N/A</v>
      </c>
      <c r="GC69" s="128" t="e">
        <f aca="false">(GA69+GB69)*0.475*44/12</f>
        <v>#N/A</v>
      </c>
      <c r="GD69" s="120" t="e">
        <f aca="false">GC69+(FU69+FV69)*44/12</f>
        <v>#N/A</v>
      </c>
      <c r="GE69" s="120" t="e">
        <f aca="true">AVERAGE(OFFSET($GD$3,0,0,'Données projet'!$E$17+1,1))-AVERAGE(OFFSET($H$3,0,0,'Données projet'!$E$17+1,1))</f>
        <v>#N/A</v>
      </c>
      <c r="GF69" s="120" t="e">
        <f aca="false">$GF$3</f>
        <v>#N/A</v>
      </c>
      <c r="GG69" s="121" t="n">
        <f aca="false">IF(ISNA(VLOOKUP(A69,'Données projet'!$A$243:$I$263,3,0)),0,VLOOKUP(A69,'Données projet'!$A$243:$I$263,3,0))</f>
        <v>0</v>
      </c>
      <c r="GH69" s="121" t="n">
        <f aca="false">IF(ISNA(VLOOKUP(A69,'Données projet'!$A$243:$I$263,4,0)),0,VLOOKUP(A69,'Données projet'!$A$243:$I$263,4,0))</f>
        <v>0</v>
      </c>
      <c r="GI69" s="122" t="n">
        <f aca="false">IF(ISNA(VLOOKUP(A69,'Données projet'!$A$243:$I$263,5,0)),0%,VLOOKUP(A69,'Données projet'!$A$243:$I$263,5,0)*VLOOKUP('Données projet'!$B$17,Paramètres!$A$1:$I$89,7,0))</f>
        <v>0</v>
      </c>
      <c r="GJ69" s="122" t="n">
        <f aca="false">IF(ISNA(VLOOKUP(A69,'Données projet'!$A$243:$I$263,6,0)),0%,VLOOKUP(A69,'Données projet'!$A$243:$I$263,6,0)*VLOOKUP('Données projet'!$B$17,Paramètres!$A$1:$I$89,7,0))</f>
        <v>0</v>
      </c>
      <c r="GK69" s="122" t="n">
        <f aca="false">IF(ISNA(VLOOKUP(A69,'Données projet'!$A$243:$I$263,7,0)),0%,VLOOKUP(A69,'Données projet'!$A$243:$I$263,7,0))</f>
        <v>0</v>
      </c>
      <c r="GL69" s="129" t="e">
        <f aca="false">EXP(-LN(2)/35)*GL68+(1-EXP(-LN(2)/35))/(LN(2)/35)*GH69*GI69*VLOOKUP('Données projet'!$B$17,Paramètres!$A$1:$I$89,3,0)*0.475*44/12</f>
        <v>#N/A</v>
      </c>
      <c r="GM69" s="129" t="e">
        <f aca="false">EXP(-LN(2)/25)*GM68+(1-EXP(-LN(2)/25))/(LN(2)/25)*Calculateur!GH69*Calculateur!GJ69*VLOOKUP('Données projet'!$B$17,Paramètres!$A$1:$I$89,3,0)*0.475*44/12</f>
        <v>#N/A</v>
      </c>
      <c r="GN69" s="129" t="e">
        <f aca="false">EXP(-LN(2)/2)*GN68+(1-EXP(-LN(2)/2))/(LN(2)/2)*GH69*GK69*VLOOKUP('Données projet'!$B$17,Paramètres!$A$1:$I$89,3,0)*0.475*44/12</f>
        <v>#N/A</v>
      </c>
      <c r="GO69" s="129" t="e">
        <f aca="false">SUM(GL69:GN69)</f>
        <v>#N/A</v>
      </c>
      <c r="GP69" s="126" t="n">
        <f aca="false"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8" t="n">
        <f aca="false"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8" t="e">
        <f aca="false">VLOOKUP(A69,'Données projet'!$A$269:$I$289,2,0)</f>
        <v>#N/A</v>
      </c>
      <c r="GS69" s="118" t="e">
        <f aca="false">VLOOKUP(A69,'Données projet'!$A$269:$I$289,9,0)</f>
        <v>#N/A</v>
      </c>
      <c r="GT69" s="118" t="n">
        <f aca="false" t="array" ref="GT69:GT69">INDEX(GS:GS,MIN(IF(ISNUMBER(GS69:GS265),ROW(GS69:GS265),"")))</f>
        <v>0</v>
      </c>
      <c r="GU69" s="118" t="n">
        <f aca="false">IF('Données projet'!$A$270&gt;35,GU68+GT69-HC68,IF(A69&lt;'Données projet'!$A$270,$GR$205^A69,IF(A69='Données projet'!$A$270,'Données projet'!$B$270,GU68+GT69-HC68)))</f>
        <v>0</v>
      </c>
      <c r="GV69" s="125" t="e">
        <f aca="false">GU69*VLOOKUP('Données projet'!$B$18,Paramètres!$A$1:$I$89,3,0)*VLOOKUP('Données projet'!$B$18,Paramètres!$A$1:$I$89,5,0)</f>
        <v>#N/A</v>
      </c>
      <c r="GW69" s="117" t="e">
        <f aca="false">EXP(-1.0587+0.8836*LN(GV69)+0.284)</f>
        <v>#N/A</v>
      </c>
      <c r="GX69" s="128" t="e">
        <f aca="false">(GV69+GW69)*0.475*44/12</f>
        <v>#N/A</v>
      </c>
      <c r="GY69" s="120" t="e">
        <f aca="false">GX69+(GP69+GQ69)*44/12</f>
        <v>#N/A</v>
      </c>
      <c r="GZ69" s="120" t="e">
        <f aca="true">AVERAGE(OFFSET($GY$3,0,0,'Données projet'!$E$18+1,1))-AVERAGE(OFFSET($H$3,0,0,'Données projet'!$E$18+1,1))</f>
        <v>#N/A</v>
      </c>
      <c r="HA69" s="120" t="e">
        <f aca="false">$HA$3</f>
        <v>#N/A</v>
      </c>
      <c r="HB69" s="121" t="n">
        <f aca="false">IF(ISNA(VLOOKUP(A69,'Données projet'!$A$269:$I$289,3,0)),0,VLOOKUP(A69,'Données projet'!$A$269:$I$289,3,0))</f>
        <v>0</v>
      </c>
      <c r="HC69" s="121" t="n">
        <f aca="false">IF(ISNA(VLOOKUP(A69,'Données projet'!$A$269:$I$289,4,0)),0,VLOOKUP(A69,'Données projet'!$A$269:$I$289,4,0))</f>
        <v>0</v>
      </c>
      <c r="HD69" s="122" t="n">
        <f aca="false">IF(ISNA(VLOOKUP(A69,'Données projet'!$A$269:$I$289,5,0)),0%,VLOOKUP(A69,'Données projet'!$A$269:$I$289,5,0)*VLOOKUP('Données projet'!$B$18,Paramètres!$A$1:$I$89,7,0))</f>
        <v>0</v>
      </c>
      <c r="HE69" s="122" t="n">
        <f aca="false">IF(ISNA(VLOOKUP(A69,'Données projet'!$A$269:$I$289,6,0)),0%,VLOOKUP(A69,'Données projet'!$A$269:$I$289,6,0)*VLOOKUP('Données projet'!$B$18,Paramètres!$A$1:$I$89,7,0))</f>
        <v>0</v>
      </c>
      <c r="HF69" s="122" t="n">
        <f aca="false">IF(ISNA(VLOOKUP(A69,'Données projet'!$A$269:$I$289,7,0)),0%,VLOOKUP(A69,'Données projet'!$A$269:$I$289,7,0))</f>
        <v>0</v>
      </c>
      <c r="HG69" s="129" t="e">
        <f aca="false">EXP(-LN(2)/35)*HG68+(1-EXP(-LN(2)/35))/(LN(2)/35)*HC69*HD69*VLOOKUP('Données projet'!$B$18,Paramètres!$A$1:$I$89,3,0)*0.475*44/12</f>
        <v>#N/A</v>
      </c>
      <c r="HH69" s="129" t="e">
        <f aca="false">EXP(-LN(2)/25)*HH68+(1-EXP(-LN(2)/25))/(LN(2)/25)*Calculateur!HC69*Calculateur!HE69*VLOOKUP('Données projet'!$B$18,Paramètres!$A$1:$I$89,3,0)*0.475*44/12</f>
        <v>#N/A</v>
      </c>
      <c r="HI69" s="129" t="e">
        <f aca="false">EXP(-LN(2)/2)*HI68+(1-EXP(-LN(2)/2))/(LN(2)/2)*HC69*HF69*VLOOKUP('Données projet'!$B$18,Paramètres!$A$1:$I$89,3,0)*0.475*44/12</f>
        <v>#N/A</v>
      </c>
      <c r="HJ69" s="130" t="e">
        <f aca="false">SUM(HG69:HI69)</f>
        <v>#N/A</v>
      </c>
    </row>
    <row r="70" customFormat="false" ht="14.25" hidden="false" customHeight="false" outlineLevel="0" collapsed="false">
      <c r="A70" s="112" t="n">
        <f aca="false">A69+1</f>
        <v>67</v>
      </c>
      <c r="B70" s="113" t="n">
        <f aca="false">'Scénario référence'!$B$16*5+'Scénario référence'!$B$17*0+'Scénario référence'!$B$18*5</f>
        <v>0</v>
      </c>
      <c r="C70" s="127" t="n">
        <f aca="false"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4" t="n">
        <f aca="false">IFERROR(EXP(-1.0587+0.8836*LN(C70)+0.284),0)</f>
        <v>0</v>
      </c>
      <c r="E7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0" s="114" t="n">
        <f aca="false">IF(OR('Scénario référence'!$F$8&gt;0,'Scénario référence'!$F$9&gt;0),('Scénario référence'!$F$8+'Scénario référence'!$F$9)*10,0)</f>
        <v>0</v>
      </c>
      <c r="G70" s="114" t="n">
        <f aca="false"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15" t="n">
        <f aca="false">(B70+E70+F70)*44/12+(C70+D70)*0.475*44/12</f>
        <v>256.666666666667</v>
      </c>
      <c r="I70" s="11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7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8" t="e">
        <f aca="false">VLOOKUP(A70,'Données projet'!$A$35:$I$55,2,0)</f>
        <v>#N/A</v>
      </c>
      <c r="L70" s="118" t="e">
        <f aca="false">VLOOKUP(A70,'Données projet'!$A$35:$I$55,9,0)</f>
        <v>#N/A</v>
      </c>
      <c r="M70" s="118" t="n">
        <f aca="false" t="array" ref="M70:M70">INDEX(L:L,MIN(IF(ISNUMBER(L70:L266),ROW(L70:L266),"")))</f>
        <v>15.5</v>
      </c>
      <c r="N70" s="117" t="n">
        <f aca="false">IF('Données projet'!$A$36&gt;35,N69+M70-V69,IF(A70&lt;'Données projet'!$A$36,$K$205^A70,IF(A70='Données projet'!$A$36,'Données projet'!$B$36,N69+M70-V69)))</f>
        <v>377</v>
      </c>
      <c r="O70" s="117" t="n">
        <f aca="false">N70*VLOOKUP('Données projet'!$B$9,Paramètres!$A$1:$I$89,3,0)*VLOOKUP('Données projet'!$B$9,Paramètres!$A$1:$I$89,5,0)</f>
        <v>176.436</v>
      </c>
      <c r="P70" s="117" t="n">
        <f aca="false">EXP(-1.0587+0.8836*LN(O70)+0.284)</f>
        <v>44.5283412910506</v>
      </c>
      <c r="Q70" s="128" t="n">
        <f aca="false">(O70+P70)*0.475*44/12</f>
        <v>384.84622774858</v>
      </c>
      <c r="R70" s="120" t="n">
        <f aca="false">Q70+(I70+J70)*44/12</f>
        <v>678.179561081913</v>
      </c>
      <c r="S70" s="120" t="n">
        <f aca="true">AVERAGE(OFFSET($R$3,0,0,'Données projet'!$E$9+1,1))-AVERAGE(OFFSET($H$3,0,0,'Données projet'!$E$9+1,1))</f>
        <v>319.229030946746</v>
      </c>
      <c r="T70" s="120" t="n">
        <f aca="false">$T$3</f>
        <v>254.586909731428</v>
      </c>
      <c r="U70" s="121" t="n">
        <f aca="false">IF(ISNA(VLOOKUP(A70,'Données projet'!$A$35:$I$55,3,0)),0,VLOOKUP(A70,'Données projet'!$A$35:$I$55,3,0))</f>
        <v>0</v>
      </c>
      <c r="V70" s="121" t="n">
        <f aca="false">IF(ISNA(VLOOKUP(A70,'Données projet'!$A$35:$I$55,4,0)),0,VLOOKUP(A70,'Données projet'!$A$35:$I$55,4,0))</f>
        <v>0</v>
      </c>
      <c r="W70" s="122" t="n">
        <f aca="false">IF(ISNA(VLOOKUP(A70,'Données projet'!$A$35:$I$55,5,0)),0%,VLOOKUP(A70,'Données projet'!$A$35:$I$55,5,0)*VLOOKUP('Données projet'!$B$9,Paramètres!$A$1:$I$89,7,0))</f>
        <v>0</v>
      </c>
      <c r="X70" s="122" t="n">
        <f aca="false">IF(ISNA(VLOOKUP(A70,'Données projet'!$A$35:$I$55,6,0)),0%,VLOOKUP(A70,'Données projet'!$A$35:$I$55,6,0)*VLOOKUP('Données projet'!$B$9,Paramètres!$A$1:$I$89,7,0))</f>
        <v>0</v>
      </c>
      <c r="Y70" s="122" t="n">
        <f aca="false">IF(ISNA(VLOOKUP(A70,'Données projet'!$A$35:$I$55,7,0)),0%,VLOOKUP(A70,'Données projet'!$A$35:$I$55,7,0))</f>
        <v>0</v>
      </c>
      <c r="Z70" s="129" t="n">
        <f aca="false">EXP(-LN(2)/35)*Z69+(1-EXP(-LN(2)/35))/(LN(2)/35)*V70*W70*VLOOKUP('Données projet'!$B$9,Paramètres!$A$1:$I$89,3,0)*0.475*44/12</f>
        <v>4.36185048690544</v>
      </c>
      <c r="AA70" s="129" t="n">
        <f aca="false">EXP(-LN(2)/25)*AA69+(1-EXP(-LN(2)/25))/(LN(2)/25)*Calculateur!V70*Calculateur!X70*VLOOKUP('Données projet'!$B$9,Paramètres!$A$1:$I$89,3,0)*0.475*44/12</f>
        <v>3.99762353675688</v>
      </c>
      <c r="AB70" s="129" t="n">
        <f aca="false">EXP(-LN(2)/2)*AB69+(1-EXP(-LN(2)/2))/(LN(2)/2)*V70*Y70*VLOOKUP('Données projet'!$B$9,Paramètres!$A$1:$I$89,3,0)*0.475*44/12</f>
        <v>2.97877164817956E-005</v>
      </c>
      <c r="AC70" s="130" t="n">
        <f aca="false">SUM(Z70:AB70)</f>
        <v>8.35950381137881</v>
      </c>
      <c r="AD70" s="117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7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8" t="e">
        <f aca="false">VLOOKUP(A70,'Données projet'!$A$61:$I$81,2,0)</f>
        <v>#N/A</v>
      </c>
      <c r="AG70" s="118" t="e">
        <f aca="false">VLOOKUP(A70,'Données projet'!$A$61:$I$81,9,0)</f>
        <v>#N/A</v>
      </c>
      <c r="AH70" s="118" t="n">
        <f aca="false" t="array" ref="AH70:AH70">INDEX(AG:AG,MIN(IF(ISNUMBER(AG70:AG266),ROW(AG70:AG266),"")))</f>
        <v>0</v>
      </c>
      <c r="AI70" s="117" t="n">
        <f aca="false">IF('Données projet'!$A$62&gt;35,AI69+AH70-AQ69,IF(A70&lt;'Données projet'!$A$62,$AF$205^A70,IF(A70='Données projet'!$A$62,'Données projet'!$B$62,AI69+AH70-AQ69)))</f>
        <v>1.13686837721616E-013</v>
      </c>
      <c r="AJ70" s="117" t="n">
        <f aca="false">AI70*VLOOKUP('Données projet'!$B$10,Paramètres!$A$1:$I$89,3,0)*VLOOKUP('Données projet'!$B$10,Paramètres!$A$1:$I$89,5,0)</f>
        <v>6.35509422863834E-014</v>
      </c>
      <c r="AK70" s="117" t="n">
        <f aca="false">EXP(-1.0587+0.8836*LN(AJ70)+0.284)</f>
        <v>1.0064464192544E-012</v>
      </c>
      <c r="AL70" s="128" t="n">
        <f aca="false">(AJ70+AK70)*0.475*44/12</f>
        <v>1.86357873801686E-012</v>
      </c>
      <c r="AM70" s="120" t="n">
        <f aca="false">AL70+(AD70+AE70)*44/12</f>
        <v>293.333333333335</v>
      </c>
      <c r="AN70" s="120" t="n">
        <f aca="true">AVERAGE(OFFSET($AM$3,0,0,'Données projet'!$E$10+1,1))-AVERAGE(OFFSET($H$3,0,0,'Données projet'!$E$10+1,1))</f>
        <v>365.705101827279</v>
      </c>
      <c r="AO70" s="120" t="n">
        <f aca="false">$AO$3</f>
        <v>436.238338449625</v>
      </c>
      <c r="AP70" s="121" t="n">
        <f aca="false">IF(ISNA(VLOOKUP(A70,'Données projet'!$A$61:$I$81,3,0)),0,VLOOKUP(A70,'Données projet'!$A$61:$I$81,3,0))</f>
        <v>0</v>
      </c>
      <c r="AQ70" s="121" t="n">
        <f aca="false">IF(ISNA(VLOOKUP(A70,'Données projet'!$A$61:$I$81,4,0)),0,VLOOKUP(A70,'Données projet'!$A$61:$I$81,4,0))</f>
        <v>0</v>
      </c>
      <c r="AR70" s="122" t="n">
        <f aca="false">IF(ISNA(VLOOKUP(A70,'Données projet'!$A$61:$I$81,5,0)),0%,VLOOKUP(A70,'Données projet'!$A$61:$I$81,5,0)*VLOOKUP('Données projet'!$B$10,Paramètres!$A$1:$I$89,7,0))</f>
        <v>0</v>
      </c>
      <c r="AS70" s="122" t="n">
        <f aca="false">IF(ISNA(VLOOKUP(A70,'Données projet'!$A$61:$I$81,6,0)),0%,VLOOKUP(A70,'Données projet'!$A$61:$I$81,6,0)*VLOOKUP('Données projet'!$B$10,Paramètres!$A$1:$I$89,7,0))</f>
        <v>0</v>
      </c>
      <c r="AT70" s="122" t="n">
        <f aca="false">IF(ISNA(VLOOKUP(A70,'Données projet'!$A$61:$I$81,7,0)),0%,VLOOKUP(A70,'Données projet'!$A$61:$I$81,7,0))</f>
        <v>0</v>
      </c>
      <c r="AU70" s="129" t="n">
        <f aca="false">EXP(-LN(2)/35)*AU69+(1-EXP(-LN(2)/35))/(LN(2)/35)*AQ70*AR70*VLOOKUP('Données projet'!$B$10,Paramètres!$A$1:$I$89,3,0)*0.475*44/12</f>
        <v>1.64645714146528</v>
      </c>
      <c r="AV70" s="129" t="n">
        <f aca="false">EXP(-LN(2)/25)*AV69+(1-EXP(-LN(2)/25))/(LN(2)/25)*Calculateur!AQ70*Calculateur!AS70*VLOOKUP('Données projet'!$B$10,Paramètres!$A$1:$I$89,3,0)*0.475*44/12</f>
        <v>4.73496892827595</v>
      </c>
      <c r="AW70" s="129" t="n">
        <f aca="false">EXP(-LN(2)/2)*AW69+(1-EXP(-LN(2)/2))/(LN(2)/2)*AQ70*AT70*VLOOKUP('Données projet'!$B$10,Paramètres!$A$1:$I$89,3,0)*0.475*44/12</f>
        <v>1.60308180026444E-005</v>
      </c>
      <c r="AX70" s="129" t="n">
        <f aca="false">SUM(AU70:AW70)</f>
        <v>6.38144210055924</v>
      </c>
      <c r="AY70" s="124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8" t="e">
        <f aca="false">VLOOKUP(A70,'Données projet'!$A$87:$I$107,2,0)</f>
        <v>#N/A</v>
      </c>
      <c r="BB70" s="118" t="e">
        <f aca="false">VLOOKUP(A70,'Données projet'!$A$87:$I$107,9,0)</f>
        <v>#N/A</v>
      </c>
      <c r="BC70" s="118" t="n">
        <f aca="false" t="array" ref="BC70:BC70">INDEX(BB:BB,MIN(IF(ISNUMBER(BB70:BB266),ROW(BB70:BB266),"")))</f>
        <v>5.2</v>
      </c>
      <c r="BD70" s="118" t="n">
        <f aca="false">IF('Données projet'!$A$88&gt;35,BD69+BC70-BL69,IF(A70&lt;'Données projet'!$A$88,$BA$205^A70,IF(A70='Données projet'!$A$88,'Données projet'!$B$88,BD69+BC70-BL69)))</f>
        <v>233.4</v>
      </c>
      <c r="BE70" s="117" t="n">
        <f aca="false">BD70*VLOOKUP('Données projet'!$B$11,Paramètres!$A$1:$I$89,3,0)*VLOOKUP('Données projet'!$B$11,Paramètres!$A$1:$I$89,5,0)</f>
        <v>203.89824</v>
      </c>
      <c r="BF70" s="117" t="n">
        <f aca="false">EXP(-1.0587+0.8836*LN(BE70)+0.284)</f>
        <v>50.5999180194303</v>
      </c>
      <c r="BG70" s="128" t="n">
        <f aca="false">(BE70+BF70)*0.475*44/12</f>
        <v>443.250958550508</v>
      </c>
      <c r="BH70" s="120" t="n">
        <f aca="false">BG70+(AY70+AZ70)*44/12</f>
        <v>736.584291883841</v>
      </c>
      <c r="BI70" s="120" t="n">
        <f aca="true">AVERAGE(OFFSET($BH$3,0,0,'Données projet'!$E$11+1,1))-AVERAGE(OFFSET($H$3,0,0,'Données projet'!$E$11+1,1))</f>
        <v>321.235999689929</v>
      </c>
      <c r="BJ70" s="120" t="n">
        <f aca="false">$BJ$3</f>
        <v>388.051958478005</v>
      </c>
      <c r="BK70" s="121" t="n">
        <f aca="false">IF(ISNA(VLOOKUP(A70,'Données projet'!$A$87:$I$107,3,0)),0,VLOOKUP(A70,'Données projet'!$A$87:$I$107,3,0))</f>
        <v>0</v>
      </c>
      <c r="BL70" s="121" t="n">
        <f aca="false">IF(ISNA(VLOOKUP(A70,'Données projet'!$A$87:$I$107,4,0)),0,VLOOKUP(A70,'Données projet'!$A$87:$I$107,4,0))</f>
        <v>0</v>
      </c>
      <c r="BM70" s="122" t="n">
        <f aca="false">IF(ISNA(VLOOKUP(A70,'Données projet'!$A$87:$I$107,5,0)),0%,VLOOKUP(A70,'Données projet'!$A$87:$I$107,5,0)*VLOOKUP('Données projet'!$B$11,Paramètres!$A$1:$I$89,7,0))</f>
        <v>0</v>
      </c>
      <c r="BN70" s="122" t="n">
        <f aca="false">IF(ISNA(VLOOKUP(A70,'Données projet'!$A$87:$I$107,6,0)),0%,VLOOKUP(A70,'Données projet'!$A$87:$I$107,6,0)*VLOOKUP('Données projet'!$B$11,Paramètres!$A$1:$I$89,7,0))</f>
        <v>0</v>
      </c>
      <c r="BO70" s="122" t="n">
        <f aca="false">IF(ISNA(VLOOKUP(A70,'Données projet'!$A$87:$I$107,7,0)),0%,VLOOKUP(A70,'Données projet'!$A$87:$I$107,7,0))</f>
        <v>0</v>
      </c>
      <c r="BP70" s="129" t="n">
        <f aca="false">EXP(-LN(2)/35)*BP69+(1-EXP(-LN(2)/35))/(LN(2)/35)*BL70*BM70*VLOOKUP('Données projet'!$B$11,Paramètres!$A$1:$I$89,3,0)*0.475*44/12</f>
        <v>4.13363045443461</v>
      </c>
      <c r="BQ70" s="129" t="n">
        <f aca="false">EXP(-LN(2)/25)*BQ69+(1-EXP(-LN(2)/25))/(LN(2)/25)*Calculateur!BL70*Calculateur!BN70*VLOOKUP('Données projet'!$B$11,Paramètres!$A$1:$I$89,3,0)*0.475*44/12</f>
        <v>4.83317504221797</v>
      </c>
      <c r="BR70" s="129" t="n">
        <f aca="false">EXP(-LN(2)/2)*BR69+(1-EXP(-LN(2)/2))/(LN(2)/2)*BL70*BO70*VLOOKUP('Données projet'!$B$11,Paramètres!$A$1:$I$89,3,0)*0.475*44/12</f>
        <v>1.62949932935963E-005</v>
      </c>
      <c r="BS70" s="130" t="n">
        <f aca="false">SUM(BP70:BR70)</f>
        <v>8.96682179164588</v>
      </c>
      <c r="BT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8" t="e">
        <f aca="false">VLOOKUP(A70,'Données projet'!$A$113:$I$133,2,0)</f>
        <v>#N/A</v>
      </c>
      <c r="BW70" s="118" t="e">
        <f aca="false">VLOOKUP(A70,'Données projet'!$A$113:$I$133,9,0)</f>
        <v>#N/A</v>
      </c>
      <c r="BX70" s="118" t="n">
        <f aca="false" t="array" ref="BX70:BX70">INDEX(BW:BW,MIN(IF(ISNUMBER(BW70:BW266),ROW(BW70:BW266),"")))</f>
        <v>0</v>
      </c>
      <c r="BY70" s="118" t="n">
        <f aca="false">IF('Données projet'!$A$114&gt;35,BY69+BX70-CG69,IF(A70&lt;'Données projet'!$A$114,$BV$205^A70,IF(A70='Données projet'!$A$114,'Données projet'!$B$114,BY69+BX70-CG69)))</f>
        <v>0</v>
      </c>
      <c r="BZ70" s="117" t="n">
        <f aca="false">BY70*VLOOKUP('Données projet'!$B$12,Paramètres!$A$1:$I$89,3,0)*VLOOKUP('Données projet'!$B$12,Paramètres!$A$1:$I$89,5,0)</f>
        <v>0</v>
      </c>
      <c r="CA70" s="117" t="e">
        <f aca="false">EXP(-1.0587+0.8836*LN(BZ70)+0.284)</f>
        <v>#VALUE!</v>
      </c>
      <c r="CB70" s="128" t="e">
        <f aca="false">(BZ70+CA70)*0.475*44/12</f>
        <v>#VALUE!</v>
      </c>
      <c r="CC70" s="120" t="e">
        <f aca="false">CB70+(BT70+BU70)*44/12</f>
        <v>#VALUE!</v>
      </c>
      <c r="CD70" s="120" t="n">
        <f aca="true">AVERAGE(OFFSET($CC$3,0,0,'Données projet'!$E$12+1,1))-AVERAGE(OFFSET($H$3,0,0,'Données projet'!$E$12+1,1))</f>
        <v>240.228848647662</v>
      </c>
      <c r="CE70" s="120" t="n">
        <f aca="false">$CE$3</f>
        <v>343.237768841432</v>
      </c>
      <c r="CF70" s="121" t="n">
        <f aca="false">IF(ISNA(VLOOKUP(A70,'Données projet'!$A$113:$I$133,3,0)),0,VLOOKUP(A70,'Données projet'!$A$113:$I$133,3,0))</f>
        <v>0</v>
      </c>
      <c r="CG70" s="121" t="n">
        <f aca="false">IF(ISNA(VLOOKUP(A70,'Données projet'!$A$113:$I$133,4,0)),0,VLOOKUP(A70,'Données projet'!$A$113:$I$133,4,0))</f>
        <v>0</v>
      </c>
      <c r="CH70" s="122" t="n">
        <f aca="false">IF(ISNA(VLOOKUP(A70,'Données projet'!$A$113:$I$133,5,0)),0%,VLOOKUP(A70,'Données projet'!$A$113:$I$133,5,0)*VLOOKUP('Données projet'!$B$12,Paramètres!$A$1:$I$89,7,0))</f>
        <v>0</v>
      </c>
      <c r="CI70" s="122" t="n">
        <f aca="false">IF(ISNA(VLOOKUP(A70,'Données projet'!$A$113:$I$133,6,0)),0%,VLOOKUP(A70,'Données projet'!$A$113:$I$133,6,0)*VLOOKUP('Données projet'!$B$12,Paramètres!$A$1:$I$89,7,0))</f>
        <v>0</v>
      </c>
      <c r="CJ70" s="122" t="n">
        <f aca="false">IF(ISNA(VLOOKUP(A70,'Données projet'!$A$113:$I$133,7,0)),0%,VLOOKUP(A70,'Données projet'!$A$113:$I$133,7,0))</f>
        <v>0</v>
      </c>
      <c r="CK70" s="129" t="n">
        <f aca="false">EXP(-LN(2)/35)*CK69+(1-EXP(-LN(2)/35))/(LN(2)/35)*CG70*CH70*VLOOKUP('Données projet'!$B$12,Paramètres!$A$1:$I$89,3,0)*0.475*44/12</f>
        <v>2.53010387670655</v>
      </c>
      <c r="CL70" s="129" t="n">
        <f aca="false">EXP(-LN(2)/25)*CL69+(1-EXP(-LN(2)/25))/(LN(2)/25)*Calculateur!CG70*Calculateur!CI70*VLOOKUP('Données projet'!$B$12,Paramètres!$A$1:$I$89,3,0)*0.475*44/12</f>
        <v>8.53566691651245</v>
      </c>
      <c r="CM70" s="129" t="n">
        <f aca="false">EXP(-LN(2)/2)*CM69+(1-EXP(-LN(2)/2))/(LN(2)/2)*CG70*CJ70*VLOOKUP('Données projet'!$B$12,Paramètres!$A$1:$I$89,3,0)*0.475*44/12</f>
        <v>2.60024650538577E-005</v>
      </c>
      <c r="CN70" s="130" t="n">
        <f aca="false">SUM(CK70:CM70)</f>
        <v>11.065796795684</v>
      </c>
      <c r="CO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8" t="e">
        <f aca="false">VLOOKUP(A70,'Données projet'!$A$139:$I$159,2,0)</f>
        <v>#N/A</v>
      </c>
      <c r="CR70" s="118" t="e">
        <f aca="false">VLOOKUP(A70,'Données projet'!$A$139:$I$159,9,0)</f>
        <v>#N/A</v>
      </c>
      <c r="CS70" s="118" t="n">
        <f aca="false" t="array" ref="CS70:CS70">INDEX(CR:CR,MIN(IF(ISNUMBER(CR70:CR266),ROW(CR70:CR266),"")))</f>
        <v>0</v>
      </c>
      <c r="CT70" s="118" t="n">
        <f aca="false">IF('Données projet'!$A$140&gt;35,CT69+CS70-DB69,IF(A70&lt;'Données projet'!$A$140,$CQ$205^A70,IF(A70='Données projet'!$A$140,'Données projet'!$B$140,CT69+CS70-DB69)))</f>
        <v>-5.6843418860808E-014</v>
      </c>
      <c r="CU70" s="125" t="n">
        <f aca="false">CT70*VLOOKUP('Données projet'!$B$13,Paramètres!$A$1:$I$89,3,0)*VLOOKUP('Données projet'!$B$13,Paramètres!$A$1:$I$89,5,0)</f>
        <v>-3.10365066980012E-014</v>
      </c>
      <c r="CV70" s="117" t="e">
        <f aca="false">EXP(-1.0587+0.8836*LN(CU70)+0.284)</f>
        <v>#VALUE!</v>
      </c>
      <c r="CW70" s="128" t="e">
        <f aca="false">(CU70+CV70)*0.475*44/12</f>
        <v>#VALUE!</v>
      </c>
      <c r="CX70" s="120" t="e">
        <f aca="false">CW70+(CO70+CP70)*44/12</f>
        <v>#VALUE!</v>
      </c>
      <c r="CY70" s="120" t="n">
        <f aca="true">AVERAGE(OFFSET($CX$3,0,0,'Données projet'!$E$13+1,1))-AVERAGE(OFFSET($H$3,0,0,'Données projet'!$E$13+1,1))</f>
        <v>207.023069645676</v>
      </c>
      <c r="CZ70" s="120" t="n">
        <f aca="false">$CZ$3</f>
        <v>342.068879333518</v>
      </c>
      <c r="DA70" s="121" t="n">
        <f aca="false">IF(ISNA(VLOOKUP(A70,'Données projet'!$A$139:$I$159,3,0)),0,VLOOKUP(A70,'Données projet'!$A$139:$I$159,3,0))</f>
        <v>0</v>
      </c>
      <c r="DB70" s="121" t="n">
        <f aca="false">IF(ISNA(VLOOKUP(A70,'Données projet'!$A$139:$I$159,4,0)),0,VLOOKUP(A70,'Données projet'!$A$139:$I$159,4,0))</f>
        <v>0</v>
      </c>
      <c r="DC70" s="122" t="n">
        <f aca="false">IF(ISNA(VLOOKUP(A70,'Données projet'!$A$139:$I$159,5,0)),0%,VLOOKUP(A70,'Données projet'!$A$139:$I$159,5,0)*VLOOKUP('Données projet'!$B$13,Paramètres!$A$1:$I$89,7,0))</f>
        <v>0</v>
      </c>
      <c r="DD70" s="122" t="n">
        <f aca="false">IF(ISNA(VLOOKUP(A70,'Données projet'!$A$139:$I$159,6,0)),0%,VLOOKUP(A70,'Données projet'!$A$139:$I$159,6,0)*VLOOKUP('Données projet'!$B$13,Paramètres!$A$1:$I$89,7,0))</f>
        <v>0</v>
      </c>
      <c r="DE70" s="122" t="n">
        <f aca="false">IF(ISNA(VLOOKUP(A70,'Données projet'!$A$139:$I$159,7,0)),0%,VLOOKUP(A70,'Données projet'!$A$139:$I$159,7,0))</f>
        <v>0</v>
      </c>
      <c r="DF70" s="129" t="n">
        <f aca="false">EXP(-LN(2)/35)*DF69+(1-EXP(-LN(2)/35))/(LN(2)/35)*DB70*DC70*VLOOKUP('Données projet'!$B$13,Paramètres!$A$1:$I$89,3,0)*0.475*44/12</f>
        <v>3.1745642981318</v>
      </c>
      <c r="DG70" s="129" t="n">
        <f aca="false">EXP(-LN(2)/25)*DG69+(1-EXP(-LN(2)/25))/(LN(2)/25)*Calculateur!DB70*Calculateur!DD70*VLOOKUP('Données projet'!$B$13,Paramètres!$A$1:$I$89,3,0)*0.475*44/12</f>
        <v>13.9522603986002</v>
      </c>
      <c r="DH70" s="129" t="n">
        <f aca="false">EXP(-LN(2)/2)*DH69+(1-EXP(-LN(2)/2))/(LN(2)/2)*DB70*DE70*VLOOKUP('Données projet'!$B$13,Paramètres!$A$1:$I$89,3,0)*0.475*44/12</f>
        <v>3.58054064345598E-005</v>
      </c>
      <c r="DI70" s="130" t="n">
        <f aca="false">SUM(DF70:DH70)</f>
        <v>17.1268605021384</v>
      </c>
      <c r="DJ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8" t="e">
        <f aca="false">VLOOKUP(A70,'Données projet'!$A$165:$I$185,2,0)</f>
        <v>#N/A</v>
      </c>
      <c r="DM70" s="118" t="e">
        <f aca="false">VLOOKUP(A70,'Données projet'!$A$165:$I$185,9,0)</f>
        <v>#N/A</v>
      </c>
      <c r="DN70" s="118" t="n">
        <f aca="false" t="array" ref="DN70:DN70">INDEX(DM:DM,MIN(IF(ISNUMBER(DM70:DM266),ROW(DM70:DM266),"")))</f>
        <v>0</v>
      </c>
      <c r="DO70" s="118" t="n">
        <f aca="false">IF('Données projet'!$A$166&gt;35,DO69+DN70-DW69,IF(A70&lt;'Données projet'!$A$166,$DL$205^A70,IF(A70='Données projet'!$A$166,'Données projet'!$B$166,DO69+DN70-DW69)))</f>
        <v>0</v>
      </c>
      <c r="DP70" s="125" t="n">
        <f aca="false">DO70*VLOOKUP('Données projet'!$B$14,Paramètres!$A$1:$I$89,3,0)*VLOOKUP('Données projet'!$B$14,Paramètres!$A$1:$I$89,5,0)</f>
        <v>0</v>
      </c>
      <c r="DQ70" s="117" t="e">
        <f aca="false">EXP(-1.0587+0.8836*LN(DP70)+0.284)</f>
        <v>#VALUE!</v>
      </c>
      <c r="DR70" s="128" t="e">
        <f aca="false">(DP70+DQ70)*0.475*44/12</f>
        <v>#VALUE!</v>
      </c>
      <c r="DS70" s="120" t="e">
        <f aca="false">DR70+(DJ70+DK70)*44/12</f>
        <v>#VALUE!</v>
      </c>
      <c r="DT70" s="120" t="n">
        <f aca="true">AVERAGE(OFFSET($DS$3,0,0,'Données projet'!$E$14+1,1))-AVERAGE(OFFSET($H$3,0,0,'Données projet'!$E$14+1,1))</f>
        <v>549.432320957297</v>
      </c>
      <c r="DU70" s="120" t="n">
        <f aca="false">$DU$3</f>
        <v>280.26155987301</v>
      </c>
      <c r="DV70" s="121" t="n">
        <f aca="false">IF(ISNA(VLOOKUP(A70,'Données projet'!$A$165:$I$185,3,0)),0,VLOOKUP(A70,'Données projet'!$A$165:$I$185,3,0))</f>
        <v>0</v>
      </c>
      <c r="DW70" s="121" t="n">
        <f aca="false">IF(ISNA(VLOOKUP(A70,'Données projet'!$A$165:$I$185,4,0)),0,VLOOKUP(A70,'Données projet'!$A$165:$I$185,4,0))</f>
        <v>0</v>
      </c>
      <c r="DX70" s="122" t="n">
        <f aca="false">IF(ISNA(VLOOKUP(A70,'Données projet'!$A$165:$I$185,5,0)),0%,VLOOKUP(A70,'Données projet'!$A$165:$I$185,5,0)*VLOOKUP('Données projet'!$B$14,Paramètres!$A$1:$I$89,7,0))</f>
        <v>0</v>
      </c>
      <c r="DY70" s="122" t="n">
        <f aca="false">IF(ISNA(VLOOKUP(A70,'Données projet'!$A$165:$I$185,6,0)),0%,VLOOKUP(A70,'Données projet'!$A$165:$I$185,6,0)*VLOOKUP('Données projet'!$B$14,Paramètres!$A$1:$I$89,7,0))</f>
        <v>0</v>
      </c>
      <c r="DZ70" s="122" t="n">
        <f aca="false">IF(ISNA(VLOOKUP(A70,'Données projet'!$A$165:$I$185,7,0)),0%,VLOOKUP(A70,'Données projet'!$A$165:$I$185,7,0))</f>
        <v>0</v>
      </c>
      <c r="EA70" s="129" t="n">
        <f aca="false">EXP(-LN(2)/35)*EA69+(1-EXP(-LN(2)/35))/(LN(2)/35)*DW70*DX70*VLOOKUP('Données projet'!$B$14,Paramètres!$A$1:$I$89,3,0)*0.475*44/12</f>
        <v>1.15426803902243</v>
      </c>
      <c r="EB70" s="129" t="n">
        <f aca="false">EXP(-LN(2)/25)*EB69+(1-EXP(-LN(2)/25))/(LN(2)/25)*Calculateur!DW70*Calculateur!DY70*VLOOKUP('Données projet'!$B$14,Paramètres!$A$1:$I$89,3,0)*0.475*44/12</f>
        <v>2.77956554466054</v>
      </c>
      <c r="EC70" s="129" t="n">
        <f aca="false">EXP(-LN(2)/2)*EC69+(1-EXP(-LN(2)/2))/(LN(2)/2)*DW70*DZ70*VLOOKUP('Données projet'!$B$14,Paramètres!$A$1:$I$89,3,0)*0.475*44/12</f>
        <v>1.65055543018536E-005</v>
      </c>
      <c r="ED70" s="130" t="n">
        <f aca="false">SUM(EA70:EC70)</f>
        <v>3.93385008923727</v>
      </c>
      <c r="EE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8" t="e">
        <f aca="false">VLOOKUP(A70,'Données projet'!$A$191:$I$211,2,0)</f>
        <v>#N/A</v>
      </c>
      <c r="EH70" s="118" t="e">
        <f aca="false">VLOOKUP(A70,'Données projet'!$A$191:$I$211,9,0)</f>
        <v>#N/A</v>
      </c>
      <c r="EI70" s="118" t="n">
        <f aca="false" t="array" ref="EI70:EI70">INDEX(EH:EH,MIN(IF(ISNUMBER(EH70:EH266),ROW(EH70:EH266),"")))</f>
        <v>0</v>
      </c>
      <c r="EJ70" s="118" t="n">
        <f aca="false">IF('Données projet'!$A$192&gt;35,EJ69+EI70-ER69,IF(A70&lt;'Données projet'!$A$192,$EG$205^A70,IF(A70='Données projet'!$A$192,'Données projet'!$B$192,EJ69+EI70-ER69)))</f>
        <v>0</v>
      </c>
      <c r="EK70" s="125" t="e">
        <f aca="false">EJ70*VLOOKUP('Données projet'!$B$15,Paramètres!$A$1:$I$89,3,0)*VLOOKUP('Données projet'!$B$15,Paramètres!$A$1:$I$89,5,0)</f>
        <v>#N/A</v>
      </c>
      <c r="EL70" s="117" t="e">
        <f aca="false">EXP(-1.0587+0.8836*LN(EK70)+0.284)</f>
        <v>#N/A</v>
      </c>
      <c r="EM70" s="128" t="e">
        <f aca="false">(EK70+EL70)*0.475*44/12</f>
        <v>#N/A</v>
      </c>
      <c r="EN70" s="120" t="e">
        <f aca="false">EM70+(EE70+EF70)*44/12</f>
        <v>#N/A</v>
      </c>
      <c r="EO70" s="120" t="e">
        <f aca="true">AVERAGE(OFFSET($EN$3,0,0,'Données projet'!$E$15+1,1))-AVERAGE(OFFSET($H$3,0,0,'Données projet'!$E$15+1,1))</f>
        <v>#N/A</v>
      </c>
      <c r="EP70" s="120" t="e">
        <f aca="false">$EP$3</f>
        <v>#N/A</v>
      </c>
      <c r="EQ70" s="121" t="n">
        <f aca="false">IF(ISNA(VLOOKUP(A70,'Données projet'!$A$191:$I$211,3,0)),0,VLOOKUP(A70,'Données projet'!$A$191:$I$211,3,0))</f>
        <v>0</v>
      </c>
      <c r="ER70" s="121" t="n">
        <f aca="false">IF(ISNA(VLOOKUP(A70,'Données projet'!$A$191:$I$211,4,0)),0,VLOOKUP(A70,'Données projet'!$A$191:$I$211,4,0))</f>
        <v>0</v>
      </c>
      <c r="ES70" s="122" t="n">
        <f aca="false">IF(ISNA(VLOOKUP(A70,'Données projet'!$A$191:$I$211,5,0)),0%,VLOOKUP(A70,'Données projet'!$A$191:$I$211,5,0)*VLOOKUP('Données projet'!$B$15,Paramètres!$A$1:$I$89,7,0))</f>
        <v>0</v>
      </c>
      <c r="ET70" s="122" t="n">
        <f aca="false">IF(ISNA(VLOOKUP(A70,'Données projet'!$A$191:$I$211,6,0)),0%,VLOOKUP(A70,'Données projet'!$A$191:$I$211,6,0)*VLOOKUP('Données projet'!$B$15,Paramètres!$A$1:$I$89,7,0))</f>
        <v>0</v>
      </c>
      <c r="EU70" s="122" t="n">
        <f aca="false">IF(ISNA(VLOOKUP(A70,'Données projet'!$A$191:$I$211,7,0)),0%,VLOOKUP(A70,'Données projet'!$A$191:$I$211,7,0))</f>
        <v>0</v>
      </c>
      <c r="EV70" s="129" t="e">
        <f aca="false">EXP(-LN(2)/35)*EV69+(1-EXP(-LN(2)/35))/(LN(2)/35)*ER70*ES70*VLOOKUP('Données projet'!$B$15,Paramètres!$A$1:$I$89,3,0)*0.475*44/12</f>
        <v>#N/A</v>
      </c>
      <c r="EW70" s="129" t="e">
        <f aca="false">EXP(-LN(2)/25)*EW69+(1-EXP(-LN(2)/25))/(LN(2)/25)*Calculateur!ER70*Calculateur!ET70*VLOOKUP('Données projet'!$B$15,Paramètres!$A$1:$I$89,3,0)*0.475*44/12</f>
        <v>#N/A</v>
      </c>
      <c r="EX70" s="129" t="e">
        <f aca="false">EXP(-LN(2)/2)*EX69+(1-EXP(-LN(2)/2))/(LN(2)/2)*ER70*EU70*VLOOKUP('Données projet'!$B$15,Paramètres!$A$1:$I$89,3,0)*0.475*44/12</f>
        <v>#N/A</v>
      </c>
      <c r="EY70" s="130" t="e">
        <f aca="false">SUM(EV70:EX70)</f>
        <v>#N/A</v>
      </c>
      <c r="EZ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8" t="e">
        <f aca="false">VLOOKUP(A70,'Données projet'!$A$217:$I$237,2,0)</f>
        <v>#N/A</v>
      </c>
      <c r="FC70" s="118" t="e">
        <f aca="false">VLOOKUP(A70,'Données projet'!$A$217:$I$237,9,0)</f>
        <v>#N/A</v>
      </c>
      <c r="FD70" s="118" t="n">
        <f aca="false" t="array" ref="FD70:FD70">INDEX(FC:FC,MIN(IF(ISNUMBER(FC70:FC266),ROW(FC70:FC266),"")))</f>
        <v>0</v>
      </c>
      <c r="FE70" s="118" t="n">
        <f aca="false">IF('Données projet'!$A$218&gt;35,FE69+FD70-FM69,IF(A70&lt;'Données projet'!$A$218,$FB$205^A70,IF(A70='Données projet'!$A$218,'Données projet'!$B$218,FE69+FD70-FM69)))</f>
        <v>0</v>
      </c>
      <c r="FF70" s="125" t="e">
        <f aca="false">FE70*VLOOKUP('Données projet'!$B$16,Paramètres!$A$1:$I$89,3,0)*VLOOKUP('Données projet'!$B$16,Paramètres!$A$1:$I$89,5,0)</f>
        <v>#N/A</v>
      </c>
      <c r="FG70" s="117" t="e">
        <f aca="false">EXP(-1.0587+0.8836*LN(FF70)+0.284)</f>
        <v>#N/A</v>
      </c>
      <c r="FH70" s="128" t="e">
        <f aca="false">(FF70+FG70)*0.475*44/12</f>
        <v>#N/A</v>
      </c>
      <c r="FI70" s="120" t="e">
        <f aca="false">FH70+(EZ70+FA70)*44/12</f>
        <v>#N/A</v>
      </c>
      <c r="FJ70" s="120" t="e">
        <f aca="true">AVERAGE(OFFSET($FI$3,0,0,'Données projet'!$E$16+1,1))-AVERAGE(OFFSET($H$3,0,0,'Données projet'!$E$16+1,1))</f>
        <v>#N/A</v>
      </c>
      <c r="FK70" s="120" t="e">
        <f aca="false">$FK$3</f>
        <v>#N/A</v>
      </c>
      <c r="FL70" s="121" t="n">
        <f aca="false">IF(ISNA(VLOOKUP(A70,'Données projet'!$A$217:$I$237,3,0)),0,VLOOKUP(A70,'Données projet'!$A$217:$I$237,3,0))</f>
        <v>0</v>
      </c>
      <c r="FM70" s="121" t="n">
        <f aca="false">IF(ISNA(VLOOKUP(A70,'Données projet'!$A$217:$I$237,4,0)),0,VLOOKUP(A70,'Données projet'!$A$217:$I$237,4,0))</f>
        <v>0</v>
      </c>
      <c r="FN70" s="122" t="n">
        <f aca="false">IF(ISNA(VLOOKUP(A70,'Données projet'!$A$217:$I$237,5,0)),0%,VLOOKUP(A70,'Données projet'!$A$217:$I$237,5,0)*VLOOKUP('Données projet'!$B$16,Paramètres!$A$1:$I$89,7,0))</f>
        <v>0</v>
      </c>
      <c r="FO70" s="122" t="n">
        <f aca="false">IF(ISNA(VLOOKUP(A70,'Données projet'!$A$217:$I$237,6,0)),0%,VLOOKUP(A70,'Données projet'!$A$217:$I$237,6,0)*VLOOKUP('Données projet'!$B$16,Paramètres!$A$1:$I$89,7,0))</f>
        <v>0</v>
      </c>
      <c r="FP70" s="122" t="n">
        <f aca="false">IF(ISNA(VLOOKUP(A70,'Données projet'!$A$217:$I$237,7,0)),0%,VLOOKUP(A70,'Données projet'!$A$217:$I$237,7,0))</f>
        <v>0</v>
      </c>
      <c r="FQ70" s="129" t="e">
        <f aca="false">EXP(-LN(2)/35)*FQ69+(1-EXP(-LN(2)/35))/(LN(2)/35)*FM70*FN70*VLOOKUP('Données projet'!$B$16,Paramètres!$A$1:$I$89,3,0)*0.475*44/12</f>
        <v>#N/A</v>
      </c>
      <c r="FR70" s="129" t="e">
        <f aca="false">EXP(-LN(2)/25)*FR69+(1-EXP(-LN(2)/25))/(LN(2)/25)*Calculateur!FM70*Calculateur!FO70*VLOOKUP('Données projet'!$B$16,Paramètres!$A$1:$I$89,3,0)*0.475*44/12</f>
        <v>#N/A</v>
      </c>
      <c r="FS70" s="129" t="e">
        <f aca="false">EXP(-LN(2)/2)*FS69+(1-EXP(-LN(2)/2))/(LN(2)/2)*FM70*FP70*VLOOKUP('Données projet'!$B$16,Paramètres!$A$1:$I$89,3,0)*0.475*44/12</f>
        <v>#N/A</v>
      </c>
      <c r="FT70" s="130" t="e">
        <f aca="false">SUM(FQ70:FS70)</f>
        <v>#N/A</v>
      </c>
      <c r="FU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8" t="e">
        <f aca="false">VLOOKUP(A70,'Données projet'!$A$243:$I$263,2,0)</f>
        <v>#N/A</v>
      </c>
      <c r="FX70" s="118" t="e">
        <f aca="false">VLOOKUP(A70,'Données projet'!$A$243:$I$263,9,0)</f>
        <v>#N/A</v>
      </c>
      <c r="FY70" s="118" t="n">
        <f aca="false" t="array" ref="FY70:FY70">INDEX(FX:FX,MIN(IF(ISNUMBER(FX70:FX266),ROW(FX70:FX266),"")))</f>
        <v>0</v>
      </c>
      <c r="FZ70" s="118" t="n">
        <f aca="false">IF('Données projet'!$A$244&gt;35,FZ69+FY70-GH69,IF(A70&lt;'Données projet'!$A$244,$FW$205^A70,IF(A70='Données projet'!$A$244,'Données projet'!$B$244,FZ69+FY70-GH69)))</f>
        <v>0</v>
      </c>
      <c r="GA70" s="125" t="e">
        <f aca="false">FZ70*VLOOKUP('Données projet'!$B$17,Paramètres!$A$1:$I$89,3,0)*VLOOKUP('Données projet'!$B$17,Paramètres!$A$1:$I$89,5,0)</f>
        <v>#N/A</v>
      </c>
      <c r="GB70" s="117" t="e">
        <f aca="false">EXP(-1.0587+0.8836*LN(GA70)+0.284)</f>
        <v>#N/A</v>
      </c>
      <c r="GC70" s="128" t="e">
        <f aca="false">(GA70+GB70)*0.475*44/12</f>
        <v>#N/A</v>
      </c>
      <c r="GD70" s="120" t="e">
        <f aca="false">GC70+(FU70+FV70)*44/12</f>
        <v>#N/A</v>
      </c>
      <c r="GE70" s="120" t="e">
        <f aca="true">AVERAGE(OFFSET($GD$3,0,0,'Données projet'!$E$17+1,1))-AVERAGE(OFFSET($H$3,0,0,'Données projet'!$E$17+1,1))</f>
        <v>#N/A</v>
      </c>
      <c r="GF70" s="120" t="e">
        <f aca="false">$GF$3</f>
        <v>#N/A</v>
      </c>
      <c r="GG70" s="121" t="n">
        <f aca="false">IF(ISNA(VLOOKUP(A70,'Données projet'!$A$243:$I$263,3,0)),0,VLOOKUP(A70,'Données projet'!$A$243:$I$263,3,0))</f>
        <v>0</v>
      </c>
      <c r="GH70" s="121" t="n">
        <f aca="false">IF(ISNA(VLOOKUP(A70,'Données projet'!$A$243:$I$263,4,0)),0,VLOOKUP(A70,'Données projet'!$A$243:$I$263,4,0))</f>
        <v>0</v>
      </c>
      <c r="GI70" s="122" t="n">
        <f aca="false">IF(ISNA(VLOOKUP(A70,'Données projet'!$A$243:$I$263,5,0)),0%,VLOOKUP(A70,'Données projet'!$A$243:$I$263,5,0)*VLOOKUP('Données projet'!$B$17,Paramètres!$A$1:$I$89,7,0))</f>
        <v>0</v>
      </c>
      <c r="GJ70" s="122" t="n">
        <f aca="false">IF(ISNA(VLOOKUP(A70,'Données projet'!$A$243:$I$263,6,0)),0%,VLOOKUP(A70,'Données projet'!$A$243:$I$263,6,0)*VLOOKUP('Données projet'!$B$17,Paramètres!$A$1:$I$89,7,0))</f>
        <v>0</v>
      </c>
      <c r="GK70" s="122" t="n">
        <f aca="false">IF(ISNA(VLOOKUP(A70,'Données projet'!$A$243:$I$263,7,0)),0%,VLOOKUP(A70,'Données projet'!$A$243:$I$263,7,0))</f>
        <v>0</v>
      </c>
      <c r="GL70" s="129" t="e">
        <f aca="false">EXP(-LN(2)/35)*GL69+(1-EXP(-LN(2)/35))/(LN(2)/35)*GH70*GI70*VLOOKUP('Données projet'!$B$17,Paramètres!$A$1:$I$89,3,0)*0.475*44/12</f>
        <v>#N/A</v>
      </c>
      <c r="GM70" s="129" t="e">
        <f aca="false">EXP(-LN(2)/25)*GM69+(1-EXP(-LN(2)/25))/(LN(2)/25)*Calculateur!GH70*Calculateur!GJ70*VLOOKUP('Données projet'!$B$17,Paramètres!$A$1:$I$89,3,0)*0.475*44/12</f>
        <v>#N/A</v>
      </c>
      <c r="GN70" s="129" t="e">
        <f aca="false">EXP(-LN(2)/2)*GN69+(1-EXP(-LN(2)/2))/(LN(2)/2)*GH70*GK70*VLOOKUP('Données projet'!$B$17,Paramètres!$A$1:$I$89,3,0)*0.475*44/12</f>
        <v>#N/A</v>
      </c>
      <c r="GO70" s="129" t="e">
        <f aca="false">SUM(GL70:GN70)</f>
        <v>#N/A</v>
      </c>
      <c r="GP70" s="126" t="n">
        <f aca="false"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8" t="n">
        <f aca="false"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8" t="e">
        <f aca="false">VLOOKUP(A70,'Données projet'!$A$269:$I$289,2,0)</f>
        <v>#N/A</v>
      </c>
      <c r="GS70" s="118" t="e">
        <f aca="false">VLOOKUP(A70,'Données projet'!$A$269:$I$289,9,0)</f>
        <v>#N/A</v>
      </c>
      <c r="GT70" s="118" t="n">
        <f aca="false" t="array" ref="GT70:GT70">INDEX(GS:GS,MIN(IF(ISNUMBER(GS70:GS266),ROW(GS70:GS266),"")))</f>
        <v>0</v>
      </c>
      <c r="GU70" s="118" t="n">
        <f aca="false">IF('Données projet'!$A$270&gt;35,GU69+GT70-HC69,IF(A70&lt;'Données projet'!$A$270,$GR$205^A70,IF(A70='Données projet'!$A$270,'Données projet'!$B$270,GU69+GT70-HC69)))</f>
        <v>0</v>
      </c>
      <c r="GV70" s="125" t="e">
        <f aca="false">GU70*VLOOKUP('Données projet'!$B$18,Paramètres!$A$1:$I$89,3,0)*VLOOKUP('Données projet'!$B$18,Paramètres!$A$1:$I$89,5,0)</f>
        <v>#N/A</v>
      </c>
      <c r="GW70" s="117" t="e">
        <f aca="false">EXP(-1.0587+0.8836*LN(GV70)+0.284)</f>
        <v>#N/A</v>
      </c>
      <c r="GX70" s="128" t="e">
        <f aca="false">(GV70+GW70)*0.475*44/12</f>
        <v>#N/A</v>
      </c>
      <c r="GY70" s="120" t="e">
        <f aca="false">GX70+(GP70+GQ70)*44/12</f>
        <v>#N/A</v>
      </c>
      <c r="GZ70" s="120" t="e">
        <f aca="true">AVERAGE(OFFSET($GY$3,0,0,'Données projet'!$E$18+1,1))-AVERAGE(OFFSET($H$3,0,0,'Données projet'!$E$18+1,1))</f>
        <v>#N/A</v>
      </c>
      <c r="HA70" s="120" t="e">
        <f aca="false">$HA$3</f>
        <v>#N/A</v>
      </c>
      <c r="HB70" s="121" t="n">
        <f aca="false">IF(ISNA(VLOOKUP(A70,'Données projet'!$A$269:$I$289,3,0)),0,VLOOKUP(A70,'Données projet'!$A$269:$I$289,3,0))</f>
        <v>0</v>
      </c>
      <c r="HC70" s="121" t="n">
        <f aca="false">IF(ISNA(VLOOKUP(A70,'Données projet'!$A$269:$I$289,4,0)),0,VLOOKUP(A70,'Données projet'!$A$269:$I$289,4,0))</f>
        <v>0</v>
      </c>
      <c r="HD70" s="122" t="n">
        <f aca="false">IF(ISNA(VLOOKUP(A70,'Données projet'!$A$269:$I$289,5,0)),0%,VLOOKUP(A70,'Données projet'!$A$269:$I$289,5,0)*VLOOKUP('Données projet'!$B$18,Paramètres!$A$1:$I$89,7,0))</f>
        <v>0</v>
      </c>
      <c r="HE70" s="122" t="n">
        <f aca="false">IF(ISNA(VLOOKUP(A70,'Données projet'!$A$269:$I$289,6,0)),0%,VLOOKUP(A70,'Données projet'!$A$269:$I$289,6,0)*VLOOKUP('Données projet'!$B$18,Paramètres!$A$1:$I$89,7,0))</f>
        <v>0</v>
      </c>
      <c r="HF70" s="122" t="n">
        <f aca="false">IF(ISNA(VLOOKUP(A70,'Données projet'!$A$269:$I$289,7,0)),0%,VLOOKUP(A70,'Données projet'!$A$269:$I$289,7,0))</f>
        <v>0</v>
      </c>
      <c r="HG70" s="129" t="e">
        <f aca="false">EXP(-LN(2)/35)*HG69+(1-EXP(-LN(2)/35))/(LN(2)/35)*HC70*HD70*VLOOKUP('Données projet'!$B$18,Paramètres!$A$1:$I$89,3,0)*0.475*44/12</f>
        <v>#N/A</v>
      </c>
      <c r="HH70" s="129" t="e">
        <f aca="false">EXP(-LN(2)/25)*HH69+(1-EXP(-LN(2)/25))/(LN(2)/25)*Calculateur!HC70*Calculateur!HE70*VLOOKUP('Données projet'!$B$18,Paramètres!$A$1:$I$89,3,0)*0.475*44/12</f>
        <v>#N/A</v>
      </c>
      <c r="HI70" s="129" t="e">
        <f aca="false">EXP(-LN(2)/2)*HI69+(1-EXP(-LN(2)/2))/(LN(2)/2)*HC70*HF70*VLOOKUP('Données projet'!$B$18,Paramètres!$A$1:$I$89,3,0)*0.475*44/12</f>
        <v>#N/A</v>
      </c>
      <c r="HJ70" s="130" t="e">
        <f aca="false">SUM(HG70:HI70)</f>
        <v>#N/A</v>
      </c>
    </row>
    <row r="71" customFormat="false" ht="14.25" hidden="false" customHeight="false" outlineLevel="0" collapsed="false">
      <c r="A71" s="112" t="n">
        <f aca="false">A70+1</f>
        <v>68</v>
      </c>
      <c r="B71" s="113" t="n">
        <f aca="false">'Scénario référence'!$B$16*5+'Scénario référence'!$B$17*0+'Scénario référence'!$B$18*5</f>
        <v>0</v>
      </c>
      <c r="C71" s="127" t="n">
        <f aca="false"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4" t="n">
        <f aca="false">IFERROR(EXP(-1.0587+0.8836*LN(C71)+0.284),0)</f>
        <v>0</v>
      </c>
      <c r="E7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1" s="114" t="n">
        <f aca="false">IF(OR('Scénario référence'!$F$8&gt;0,'Scénario référence'!$F$9&gt;0),('Scénario référence'!$F$8+'Scénario référence'!$F$9)*10,0)</f>
        <v>0</v>
      </c>
      <c r="G71" s="114" t="n">
        <f aca="false"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15" t="n">
        <f aca="false">(B71+E71+F71)*44/12+(C71+D71)*0.475*44/12</f>
        <v>256.666666666667</v>
      </c>
      <c r="I71" s="11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7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8" t="e">
        <f aca="false">VLOOKUP(A71,'Données projet'!$A$35:$I$55,2,0)</f>
        <v>#N/A</v>
      </c>
      <c r="L71" s="118" t="e">
        <f aca="false">VLOOKUP(A71,'Données projet'!$A$35:$I$55,9,0)</f>
        <v>#N/A</v>
      </c>
      <c r="M71" s="118" t="n">
        <f aca="false" t="array" ref="M71:M71">INDEX(L:L,MIN(IF(ISNUMBER(L71:L267),ROW(L71:L267),"")))</f>
        <v>15.5</v>
      </c>
      <c r="N71" s="117" t="n">
        <f aca="false">IF('Données projet'!$A$36&gt;35,N70+M71-V70,IF(A71&lt;'Données projet'!$A$36,$K$205^A71,IF(A71='Données projet'!$A$36,'Données projet'!$B$36,N70+M71-V70)))</f>
        <v>392.5</v>
      </c>
      <c r="O71" s="117" t="n">
        <f aca="false">N71*VLOOKUP('Données projet'!$B$9,Paramètres!$A$1:$I$89,3,0)*VLOOKUP('Données projet'!$B$9,Paramètres!$A$1:$I$89,5,0)</f>
        <v>183.69</v>
      </c>
      <c r="P71" s="117" t="n">
        <f aca="false">EXP(-1.0587+0.8836*LN(O71)+0.284)</f>
        <v>46.1421710907266</v>
      </c>
      <c r="Q71" s="128" t="n">
        <f aca="false">(O71+P71)*0.475*44/12</f>
        <v>400.291031316349</v>
      </c>
      <c r="R71" s="120" t="n">
        <f aca="false">Q71+(I71+J71)*44/12</f>
        <v>693.624364649682</v>
      </c>
      <c r="S71" s="120" t="n">
        <f aca="true">AVERAGE(OFFSET($R$3,0,0,'Données projet'!$E$9+1,1))-AVERAGE(OFFSET($H$3,0,0,'Données projet'!$E$9+1,1))</f>
        <v>319.229030946746</v>
      </c>
      <c r="T71" s="120" t="n">
        <f aca="false">$T$3</f>
        <v>254.586909731428</v>
      </c>
      <c r="U71" s="121" t="n">
        <f aca="false">IF(ISNA(VLOOKUP(A71,'Données projet'!$A$35:$I$55,3,0)),0,VLOOKUP(A71,'Données projet'!$A$35:$I$55,3,0))</f>
        <v>0</v>
      </c>
      <c r="V71" s="121" t="n">
        <f aca="false">IF(ISNA(VLOOKUP(A71,'Données projet'!$A$35:$I$55,4,0)),0,VLOOKUP(A71,'Données projet'!$A$35:$I$55,4,0))</f>
        <v>0</v>
      </c>
      <c r="W71" s="122" t="n">
        <f aca="false">IF(ISNA(VLOOKUP(A71,'Données projet'!$A$35:$I$55,5,0)),0%,VLOOKUP(A71,'Données projet'!$A$35:$I$55,5,0)*VLOOKUP('Données projet'!$B$9,Paramètres!$A$1:$I$89,7,0))</f>
        <v>0</v>
      </c>
      <c r="X71" s="122" t="n">
        <f aca="false">IF(ISNA(VLOOKUP(A71,'Données projet'!$A$35:$I$55,6,0)),0%,VLOOKUP(A71,'Données projet'!$A$35:$I$55,6,0)*VLOOKUP('Données projet'!$B$9,Paramètres!$A$1:$I$89,7,0))</f>
        <v>0</v>
      </c>
      <c r="Y71" s="122" t="n">
        <f aca="false">IF(ISNA(VLOOKUP(A71,'Données projet'!$A$35:$I$55,7,0)),0%,VLOOKUP(A71,'Données projet'!$A$35:$I$55,7,0))</f>
        <v>0</v>
      </c>
      <c r="Z71" s="129" t="n">
        <f aca="false">EXP(-LN(2)/35)*Z70+(1-EXP(-LN(2)/35))/(LN(2)/35)*V71*W71*VLOOKUP('Données projet'!$B$9,Paramètres!$A$1:$I$89,3,0)*0.475*44/12</f>
        <v>4.27631725932333</v>
      </c>
      <c r="AA71" s="129" t="n">
        <f aca="false">EXP(-LN(2)/25)*AA70+(1-EXP(-LN(2)/25))/(LN(2)/25)*Calculateur!V71*Calculateur!X71*VLOOKUP('Données projet'!$B$9,Paramètres!$A$1:$I$89,3,0)*0.475*44/12</f>
        <v>3.88830831091838</v>
      </c>
      <c r="AB71" s="129" t="n">
        <f aca="false">EXP(-LN(2)/2)*AB70+(1-EXP(-LN(2)/2))/(LN(2)/2)*V71*Y71*VLOOKUP('Données projet'!$B$9,Paramètres!$A$1:$I$89,3,0)*0.475*44/12</f>
        <v>2.10630963203399E-005</v>
      </c>
      <c r="AC71" s="130" t="n">
        <f aca="false">SUM(Z71:AB71)</f>
        <v>8.16464663333803</v>
      </c>
      <c r="AD71" s="117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7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8" t="e">
        <f aca="false">VLOOKUP(A71,'Données projet'!$A$61:$I$81,2,0)</f>
        <v>#N/A</v>
      </c>
      <c r="AG71" s="118" t="e">
        <f aca="false">VLOOKUP(A71,'Données projet'!$A$61:$I$81,9,0)</f>
        <v>#N/A</v>
      </c>
      <c r="AH71" s="118" t="n">
        <f aca="false" t="array" ref="AH71:AH71">INDEX(AG:AG,MIN(IF(ISNUMBER(AG71:AG267),ROW(AG71:AG267),"")))</f>
        <v>0</v>
      </c>
      <c r="AI71" s="117" t="n">
        <f aca="false">IF('Données projet'!$A$62&gt;35,AI70+AH71-AQ70,IF(A71&lt;'Données projet'!$A$62,$AF$205^A71,IF(A71='Données projet'!$A$62,'Données projet'!$B$62,AI70+AH71-AQ70)))</f>
        <v>1.13686837721616E-013</v>
      </c>
      <c r="AJ71" s="117" t="n">
        <f aca="false">AI71*VLOOKUP('Données projet'!$B$10,Paramètres!$A$1:$I$89,3,0)*VLOOKUP('Données projet'!$B$10,Paramètres!$A$1:$I$89,5,0)</f>
        <v>6.35509422863834E-014</v>
      </c>
      <c r="AK71" s="117" t="n">
        <f aca="false">EXP(-1.0587+0.8836*LN(AJ71)+0.284)</f>
        <v>1.0064464192544E-012</v>
      </c>
      <c r="AL71" s="128" t="n">
        <f aca="false">(AJ71+AK71)*0.475*44/12</f>
        <v>1.86357873801686E-012</v>
      </c>
      <c r="AM71" s="120" t="n">
        <f aca="false">AL71+(AD71+AE71)*44/12</f>
        <v>293.333333333335</v>
      </c>
      <c r="AN71" s="120" t="n">
        <f aca="true">AVERAGE(OFFSET($AM$3,0,0,'Données projet'!$E$10+1,1))-AVERAGE(OFFSET($H$3,0,0,'Données projet'!$E$10+1,1))</f>
        <v>365.705101827279</v>
      </c>
      <c r="AO71" s="120" t="n">
        <f aca="false">$AO$3</f>
        <v>436.238338449625</v>
      </c>
      <c r="AP71" s="121" t="n">
        <f aca="false">IF(ISNA(VLOOKUP(A71,'Données projet'!$A$61:$I$81,3,0)),0,VLOOKUP(A71,'Données projet'!$A$61:$I$81,3,0))</f>
        <v>0</v>
      </c>
      <c r="AQ71" s="121" t="n">
        <f aca="false">IF(ISNA(VLOOKUP(A71,'Données projet'!$A$61:$I$81,4,0)),0,VLOOKUP(A71,'Données projet'!$A$61:$I$81,4,0))</f>
        <v>0</v>
      </c>
      <c r="AR71" s="122" t="n">
        <f aca="false">IF(ISNA(VLOOKUP(A71,'Données projet'!$A$61:$I$81,5,0)),0%,VLOOKUP(A71,'Données projet'!$A$61:$I$81,5,0)*VLOOKUP('Données projet'!$B$10,Paramètres!$A$1:$I$89,7,0))</f>
        <v>0</v>
      </c>
      <c r="AS71" s="122" t="n">
        <f aca="false">IF(ISNA(VLOOKUP(A71,'Données projet'!$A$61:$I$81,6,0)),0%,VLOOKUP(A71,'Données projet'!$A$61:$I$81,6,0)*VLOOKUP('Données projet'!$B$10,Paramètres!$A$1:$I$89,7,0))</f>
        <v>0</v>
      </c>
      <c r="AT71" s="122" t="n">
        <f aca="false">IF(ISNA(VLOOKUP(A71,'Données projet'!$A$61:$I$81,7,0)),0%,VLOOKUP(A71,'Données projet'!$A$61:$I$81,7,0))</f>
        <v>0</v>
      </c>
      <c r="AU71" s="129" t="n">
        <f aca="false">EXP(-LN(2)/35)*AU70+(1-EXP(-LN(2)/35))/(LN(2)/35)*AQ71*AR71*VLOOKUP('Données projet'!$B$10,Paramètres!$A$1:$I$89,3,0)*0.475*44/12</f>
        <v>1.61417112116085</v>
      </c>
      <c r="AV71" s="129" t="n">
        <f aca="false">EXP(-LN(2)/25)*AV70+(1-EXP(-LN(2)/25))/(LN(2)/25)*Calculateur!AQ71*Calculateur!AS71*VLOOKUP('Données projet'!$B$10,Paramètres!$A$1:$I$89,3,0)*0.475*44/12</f>
        <v>4.60549095393105</v>
      </c>
      <c r="AW71" s="129" t="n">
        <f aca="false">EXP(-LN(2)/2)*AW70+(1-EXP(-LN(2)/2))/(LN(2)/2)*AQ71*AT71*VLOOKUP('Données projet'!$B$10,Paramètres!$A$1:$I$89,3,0)*0.475*44/12</f>
        <v>1.13355001176372E-005</v>
      </c>
      <c r="AX71" s="129" t="n">
        <f aca="false">SUM(AU71:AW71)</f>
        <v>6.21967341059201</v>
      </c>
      <c r="AY71" s="124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8" t="e">
        <f aca="false">VLOOKUP(A71,'Données projet'!$A$87:$I$107,2,0)</f>
        <v>#N/A</v>
      </c>
      <c r="BB71" s="118" t="e">
        <f aca="false">VLOOKUP(A71,'Données projet'!$A$87:$I$107,9,0)</f>
        <v>#N/A</v>
      </c>
      <c r="BC71" s="118" t="n">
        <f aca="false" t="array" ref="BC71:BC71">INDEX(BB:BB,MIN(IF(ISNUMBER(BB71:BB267),ROW(BB71:BB267),"")))</f>
        <v>5.2</v>
      </c>
      <c r="BD71" s="118" t="n">
        <f aca="false">IF('Données projet'!$A$88&gt;35,BD70+BC71-BL70,IF(A71&lt;'Données projet'!$A$88,$BA$205^A71,IF(A71='Données projet'!$A$88,'Données projet'!$B$88,BD70+BC71-BL70)))</f>
        <v>238.6</v>
      </c>
      <c r="BE71" s="117" t="n">
        <f aca="false">BD71*VLOOKUP('Données projet'!$B$11,Paramètres!$A$1:$I$89,3,0)*VLOOKUP('Données projet'!$B$11,Paramètres!$A$1:$I$89,5,0)</f>
        <v>208.44096</v>
      </c>
      <c r="BF71" s="117" t="n">
        <f aca="false">EXP(-1.0587+0.8836*LN(BE71)+0.284)</f>
        <v>51.5947486211243</v>
      </c>
      <c r="BG71" s="128" t="n">
        <f aca="false">(BE71+BF71)*0.475*44/12</f>
        <v>452.895525848458</v>
      </c>
      <c r="BH71" s="120" t="n">
        <f aca="false">BG71+(AY71+AZ71)*44/12</f>
        <v>746.228859181792</v>
      </c>
      <c r="BI71" s="120" t="n">
        <f aca="true">AVERAGE(OFFSET($BH$3,0,0,'Données projet'!$E$11+1,1))-AVERAGE(OFFSET($H$3,0,0,'Données projet'!$E$11+1,1))</f>
        <v>321.235999689929</v>
      </c>
      <c r="BJ71" s="120" t="n">
        <f aca="false">$BJ$3</f>
        <v>388.051958478005</v>
      </c>
      <c r="BK71" s="121" t="n">
        <f aca="false">IF(ISNA(VLOOKUP(A71,'Données projet'!$A$87:$I$107,3,0)),0,VLOOKUP(A71,'Données projet'!$A$87:$I$107,3,0))</f>
        <v>0</v>
      </c>
      <c r="BL71" s="121" t="n">
        <f aca="false">IF(ISNA(VLOOKUP(A71,'Données projet'!$A$87:$I$107,4,0)),0,VLOOKUP(A71,'Données projet'!$A$87:$I$107,4,0))</f>
        <v>0</v>
      </c>
      <c r="BM71" s="122" t="n">
        <f aca="false">IF(ISNA(VLOOKUP(A71,'Données projet'!$A$87:$I$107,5,0)),0%,VLOOKUP(A71,'Données projet'!$A$87:$I$107,5,0)*VLOOKUP('Données projet'!$B$11,Paramètres!$A$1:$I$89,7,0))</f>
        <v>0</v>
      </c>
      <c r="BN71" s="122" t="n">
        <f aca="false">IF(ISNA(VLOOKUP(A71,'Données projet'!$A$87:$I$107,6,0)),0%,VLOOKUP(A71,'Données projet'!$A$87:$I$107,6,0)*VLOOKUP('Données projet'!$B$11,Paramètres!$A$1:$I$89,7,0))</f>
        <v>0</v>
      </c>
      <c r="BO71" s="122" t="n">
        <f aca="false">IF(ISNA(VLOOKUP(A71,'Données projet'!$A$87:$I$107,7,0)),0%,VLOOKUP(A71,'Données projet'!$A$87:$I$107,7,0))</f>
        <v>0</v>
      </c>
      <c r="BP71" s="129" t="n">
        <f aca="false">EXP(-LN(2)/35)*BP70+(1-EXP(-LN(2)/35))/(LN(2)/35)*BL71*BM71*VLOOKUP('Données projet'!$B$11,Paramètres!$A$1:$I$89,3,0)*0.475*44/12</f>
        <v>4.05257248248877</v>
      </c>
      <c r="BQ71" s="129" t="n">
        <f aca="false">EXP(-LN(2)/25)*BQ70+(1-EXP(-LN(2)/25))/(LN(2)/25)*Calculateur!BL71*Calculateur!BN71*VLOOKUP('Données projet'!$B$11,Paramètres!$A$1:$I$89,3,0)*0.475*44/12</f>
        <v>4.7010116165229</v>
      </c>
      <c r="BR71" s="129" t="n">
        <f aca="false">EXP(-LN(2)/2)*BR70+(1-EXP(-LN(2)/2))/(LN(2)/2)*BL71*BO71*VLOOKUP('Données projet'!$B$11,Paramètres!$A$1:$I$89,3,0)*0.475*44/12</f>
        <v>1.15223002572913E-005</v>
      </c>
      <c r="BS71" s="130" t="n">
        <f aca="false">SUM(BP71:BR71)</f>
        <v>8.75359562131192</v>
      </c>
      <c r="BT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8" t="e">
        <f aca="false">VLOOKUP(A71,'Données projet'!$A$113:$I$133,2,0)</f>
        <v>#N/A</v>
      </c>
      <c r="BW71" s="118" t="e">
        <f aca="false">VLOOKUP(A71,'Données projet'!$A$113:$I$133,9,0)</f>
        <v>#N/A</v>
      </c>
      <c r="BX71" s="118" t="n">
        <f aca="false" t="array" ref="BX71:BX71">INDEX(BW:BW,MIN(IF(ISNUMBER(BW71:BW267),ROW(BW71:BW267),"")))</f>
        <v>0</v>
      </c>
      <c r="BY71" s="118" t="n">
        <f aca="false">IF('Données projet'!$A$114&gt;35,BY70+BX71-CG70,IF(A71&lt;'Données projet'!$A$114,$BV$205^A71,IF(A71='Données projet'!$A$114,'Données projet'!$B$114,BY70+BX71-CG70)))</f>
        <v>0</v>
      </c>
      <c r="BZ71" s="117" t="n">
        <f aca="false">BY71*VLOOKUP('Données projet'!$B$12,Paramètres!$A$1:$I$89,3,0)*VLOOKUP('Données projet'!$B$12,Paramètres!$A$1:$I$89,5,0)</f>
        <v>0</v>
      </c>
      <c r="CA71" s="117" t="e">
        <f aca="false">EXP(-1.0587+0.8836*LN(BZ71)+0.284)</f>
        <v>#VALUE!</v>
      </c>
      <c r="CB71" s="128" t="e">
        <f aca="false">(BZ71+CA71)*0.475*44/12</f>
        <v>#VALUE!</v>
      </c>
      <c r="CC71" s="120" t="e">
        <f aca="false">CB71+(BT71+BU71)*44/12</f>
        <v>#VALUE!</v>
      </c>
      <c r="CD71" s="120" t="n">
        <f aca="true">AVERAGE(OFFSET($CC$3,0,0,'Données projet'!$E$12+1,1))-AVERAGE(OFFSET($H$3,0,0,'Données projet'!$E$12+1,1))</f>
        <v>240.228848647662</v>
      </c>
      <c r="CE71" s="120" t="n">
        <f aca="false">$CE$3</f>
        <v>343.237768841432</v>
      </c>
      <c r="CF71" s="121" t="n">
        <f aca="false">IF(ISNA(VLOOKUP(A71,'Données projet'!$A$113:$I$133,3,0)),0,VLOOKUP(A71,'Données projet'!$A$113:$I$133,3,0))</f>
        <v>0</v>
      </c>
      <c r="CG71" s="121" t="n">
        <f aca="false">IF(ISNA(VLOOKUP(A71,'Données projet'!$A$113:$I$133,4,0)),0,VLOOKUP(A71,'Données projet'!$A$113:$I$133,4,0))</f>
        <v>0</v>
      </c>
      <c r="CH71" s="122" t="n">
        <f aca="false">IF(ISNA(VLOOKUP(A71,'Données projet'!$A$113:$I$133,5,0)),0%,VLOOKUP(A71,'Données projet'!$A$113:$I$133,5,0)*VLOOKUP('Données projet'!$B$12,Paramètres!$A$1:$I$89,7,0))</f>
        <v>0</v>
      </c>
      <c r="CI71" s="122" t="n">
        <f aca="false">IF(ISNA(VLOOKUP(A71,'Données projet'!$A$113:$I$133,6,0)),0%,VLOOKUP(A71,'Données projet'!$A$113:$I$133,6,0)*VLOOKUP('Données projet'!$B$12,Paramètres!$A$1:$I$89,7,0))</f>
        <v>0</v>
      </c>
      <c r="CJ71" s="122" t="n">
        <f aca="false">IF(ISNA(VLOOKUP(A71,'Données projet'!$A$113:$I$133,7,0)),0%,VLOOKUP(A71,'Données projet'!$A$113:$I$133,7,0))</f>
        <v>0</v>
      </c>
      <c r="CK71" s="129" t="n">
        <f aca="false">EXP(-LN(2)/35)*CK70+(1-EXP(-LN(2)/35))/(LN(2)/35)*CG71*CH71*VLOOKUP('Données projet'!$B$12,Paramètres!$A$1:$I$89,3,0)*0.475*44/12</f>
        <v>2.48049008289532</v>
      </c>
      <c r="CL71" s="129" t="n">
        <f aca="false">EXP(-LN(2)/25)*CL70+(1-EXP(-LN(2)/25))/(LN(2)/25)*Calculateur!CG71*Calculateur!CI71*VLOOKUP('Données projet'!$B$12,Paramètres!$A$1:$I$89,3,0)*0.475*44/12</f>
        <v>8.3022586558092</v>
      </c>
      <c r="CM71" s="129" t="n">
        <f aca="false">EXP(-LN(2)/2)*CM70+(1-EXP(-LN(2)/2))/(LN(2)/2)*CG71*CJ71*VLOOKUP('Données projet'!$B$12,Paramètres!$A$1:$I$89,3,0)*0.475*44/12</f>
        <v>1.8386519367149E-005</v>
      </c>
      <c r="CN71" s="130" t="n">
        <f aca="false">SUM(CK71:CM71)</f>
        <v>10.7827671252239</v>
      </c>
      <c r="CO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8" t="e">
        <f aca="false">VLOOKUP(A71,'Données projet'!$A$139:$I$159,2,0)</f>
        <v>#N/A</v>
      </c>
      <c r="CR71" s="118" t="e">
        <f aca="false">VLOOKUP(A71,'Données projet'!$A$139:$I$159,9,0)</f>
        <v>#N/A</v>
      </c>
      <c r="CS71" s="118" t="n">
        <f aca="false" t="array" ref="CS71:CS71">INDEX(CR:CR,MIN(IF(ISNUMBER(CR71:CR267),ROW(CR71:CR267),"")))</f>
        <v>0</v>
      </c>
      <c r="CT71" s="118" t="n">
        <f aca="false">IF('Données projet'!$A$140&gt;35,CT70+CS71-DB70,IF(A71&lt;'Données projet'!$A$140,$CQ$205^A71,IF(A71='Données projet'!$A$140,'Données projet'!$B$140,CT70+CS71-DB70)))</f>
        <v>-5.6843418860808E-014</v>
      </c>
      <c r="CU71" s="125" t="n">
        <f aca="false">CT71*VLOOKUP('Données projet'!$B$13,Paramètres!$A$1:$I$89,3,0)*VLOOKUP('Données projet'!$B$13,Paramètres!$A$1:$I$89,5,0)</f>
        <v>-3.10365066980012E-014</v>
      </c>
      <c r="CV71" s="117" t="e">
        <f aca="false">EXP(-1.0587+0.8836*LN(CU71)+0.284)</f>
        <v>#VALUE!</v>
      </c>
      <c r="CW71" s="128" t="e">
        <f aca="false">(CU71+CV71)*0.475*44/12</f>
        <v>#VALUE!</v>
      </c>
      <c r="CX71" s="120" t="e">
        <f aca="false">CW71+(CO71+CP71)*44/12</f>
        <v>#VALUE!</v>
      </c>
      <c r="CY71" s="120" t="n">
        <f aca="true">AVERAGE(OFFSET($CX$3,0,0,'Données projet'!$E$13+1,1))-AVERAGE(OFFSET($H$3,0,0,'Données projet'!$E$13+1,1))</f>
        <v>207.023069645676</v>
      </c>
      <c r="CZ71" s="120" t="n">
        <f aca="false">$CZ$3</f>
        <v>342.068879333518</v>
      </c>
      <c r="DA71" s="121" t="n">
        <f aca="false">IF(ISNA(VLOOKUP(A71,'Données projet'!$A$139:$I$159,3,0)),0,VLOOKUP(A71,'Données projet'!$A$139:$I$159,3,0))</f>
        <v>0</v>
      </c>
      <c r="DB71" s="121" t="n">
        <f aca="false">IF(ISNA(VLOOKUP(A71,'Données projet'!$A$139:$I$159,4,0)),0,VLOOKUP(A71,'Données projet'!$A$139:$I$159,4,0))</f>
        <v>0</v>
      </c>
      <c r="DC71" s="122" t="n">
        <f aca="false">IF(ISNA(VLOOKUP(A71,'Données projet'!$A$139:$I$159,5,0)),0%,VLOOKUP(A71,'Données projet'!$A$139:$I$159,5,0)*VLOOKUP('Données projet'!$B$13,Paramètres!$A$1:$I$89,7,0))</f>
        <v>0</v>
      </c>
      <c r="DD71" s="122" t="n">
        <f aca="false">IF(ISNA(VLOOKUP(A71,'Données projet'!$A$139:$I$159,6,0)),0%,VLOOKUP(A71,'Données projet'!$A$139:$I$159,6,0)*VLOOKUP('Données projet'!$B$13,Paramètres!$A$1:$I$89,7,0))</f>
        <v>0</v>
      </c>
      <c r="DE71" s="122" t="n">
        <f aca="false">IF(ISNA(VLOOKUP(A71,'Données projet'!$A$139:$I$159,7,0)),0%,VLOOKUP(A71,'Données projet'!$A$139:$I$159,7,0))</f>
        <v>0</v>
      </c>
      <c r="DF71" s="129" t="n">
        <f aca="false">EXP(-LN(2)/35)*DF70+(1-EXP(-LN(2)/35))/(LN(2)/35)*DB71*DC71*VLOOKUP('Données projet'!$B$13,Paramètres!$A$1:$I$89,3,0)*0.475*44/12</f>
        <v>3.11231302853846</v>
      </c>
      <c r="DG71" s="129" t="n">
        <f aca="false">EXP(-LN(2)/25)*DG70+(1-EXP(-LN(2)/25))/(LN(2)/25)*Calculateur!DB71*Calculateur!DD71*VLOOKUP('Données projet'!$B$13,Paramètres!$A$1:$I$89,3,0)*0.475*44/12</f>
        <v>13.570735104283</v>
      </c>
      <c r="DH71" s="129" t="n">
        <f aca="false">EXP(-LN(2)/2)*DH70+(1-EXP(-LN(2)/2))/(LN(2)/2)*DB71*DE71*VLOOKUP('Données projet'!$B$13,Paramètres!$A$1:$I$89,3,0)*0.475*44/12</f>
        <v>2.53182456930177E-005</v>
      </c>
      <c r="DI71" s="130" t="n">
        <f aca="false">SUM(DF71:DH71)</f>
        <v>16.6830734510672</v>
      </c>
      <c r="DJ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8" t="e">
        <f aca="false">VLOOKUP(A71,'Données projet'!$A$165:$I$185,2,0)</f>
        <v>#N/A</v>
      </c>
      <c r="DM71" s="118" t="e">
        <f aca="false">VLOOKUP(A71,'Données projet'!$A$165:$I$185,9,0)</f>
        <v>#N/A</v>
      </c>
      <c r="DN71" s="118" t="n">
        <f aca="false" t="array" ref="DN71:DN71">INDEX(DM:DM,MIN(IF(ISNUMBER(DM71:DM267),ROW(DM71:DM267),"")))</f>
        <v>0</v>
      </c>
      <c r="DO71" s="118" t="n">
        <f aca="false">IF('Données projet'!$A$166&gt;35,DO70+DN71-DW70,IF(A71&lt;'Données projet'!$A$166,$DL$205^A71,IF(A71='Données projet'!$A$166,'Données projet'!$B$166,DO70+DN71-DW70)))</f>
        <v>0</v>
      </c>
      <c r="DP71" s="125" t="n">
        <f aca="false">DO71*VLOOKUP('Données projet'!$B$14,Paramètres!$A$1:$I$89,3,0)*VLOOKUP('Données projet'!$B$14,Paramètres!$A$1:$I$89,5,0)</f>
        <v>0</v>
      </c>
      <c r="DQ71" s="117" t="e">
        <f aca="false">EXP(-1.0587+0.8836*LN(DP71)+0.284)</f>
        <v>#VALUE!</v>
      </c>
      <c r="DR71" s="128" t="e">
        <f aca="false">(DP71+DQ71)*0.475*44/12</f>
        <v>#VALUE!</v>
      </c>
      <c r="DS71" s="120" t="e">
        <f aca="false">DR71+(DJ71+DK71)*44/12</f>
        <v>#VALUE!</v>
      </c>
      <c r="DT71" s="120" t="n">
        <f aca="true">AVERAGE(OFFSET($DS$3,0,0,'Données projet'!$E$14+1,1))-AVERAGE(OFFSET($H$3,0,0,'Données projet'!$E$14+1,1))</f>
        <v>549.432320957297</v>
      </c>
      <c r="DU71" s="120" t="n">
        <f aca="false">$DU$3</f>
        <v>280.26155987301</v>
      </c>
      <c r="DV71" s="121" t="n">
        <f aca="false">IF(ISNA(VLOOKUP(A71,'Données projet'!$A$165:$I$185,3,0)),0,VLOOKUP(A71,'Données projet'!$A$165:$I$185,3,0))</f>
        <v>0</v>
      </c>
      <c r="DW71" s="121" t="n">
        <f aca="false">IF(ISNA(VLOOKUP(A71,'Données projet'!$A$165:$I$185,4,0)),0,VLOOKUP(A71,'Données projet'!$A$165:$I$185,4,0))</f>
        <v>0</v>
      </c>
      <c r="DX71" s="122" t="n">
        <f aca="false">IF(ISNA(VLOOKUP(A71,'Données projet'!$A$165:$I$185,5,0)),0%,VLOOKUP(A71,'Données projet'!$A$165:$I$185,5,0)*VLOOKUP('Données projet'!$B$14,Paramètres!$A$1:$I$89,7,0))</f>
        <v>0</v>
      </c>
      <c r="DY71" s="122" t="n">
        <f aca="false">IF(ISNA(VLOOKUP(A71,'Données projet'!$A$165:$I$185,6,0)),0%,VLOOKUP(A71,'Données projet'!$A$165:$I$185,6,0)*VLOOKUP('Données projet'!$B$14,Paramètres!$A$1:$I$89,7,0))</f>
        <v>0</v>
      </c>
      <c r="DZ71" s="122" t="n">
        <f aca="false">IF(ISNA(VLOOKUP(A71,'Données projet'!$A$165:$I$185,7,0)),0%,VLOOKUP(A71,'Données projet'!$A$165:$I$185,7,0))</f>
        <v>0</v>
      </c>
      <c r="EA71" s="129" t="n">
        <f aca="false">EXP(-LN(2)/35)*EA70+(1-EXP(-LN(2)/35))/(LN(2)/35)*DW71*DX71*VLOOKUP('Données projet'!$B$14,Paramètres!$A$1:$I$89,3,0)*0.475*44/12</f>
        <v>1.13163354681118</v>
      </c>
      <c r="EB71" s="129" t="n">
        <f aca="false">EXP(-LN(2)/25)*EB70+(1-EXP(-LN(2)/25))/(LN(2)/25)*Calculateur!DW71*Calculateur!DY71*VLOOKUP('Données projet'!$B$14,Paramètres!$A$1:$I$89,3,0)*0.475*44/12</f>
        <v>2.7035581786708</v>
      </c>
      <c r="EC71" s="129" t="n">
        <f aca="false">EXP(-LN(2)/2)*EC70+(1-EXP(-LN(2)/2))/(LN(2)/2)*DW71*DZ71*VLOOKUP('Données projet'!$B$14,Paramètres!$A$1:$I$89,3,0)*0.475*44/12</f>
        <v>1.16711893740835E-005</v>
      </c>
      <c r="ED71" s="130" t="n">
        <f aca="false">SUM(EA71:EC71)</f>
        <v>3.83520339667136</v>
      </c>
      <c r="EE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8" t="e">
        <f aca="false">VLOOKUP(A71,'Données projet'!$A$191:$I$211,2,0)</f>
        <v>#N/A</v>
      </c>
      <c r="EH71" s="118" t="e">
        <f aca="false">VLOOKUP(A71,'Données projet'!$A$191:$I$211,9,0)</f>
        <v>#N/A</v>
      </c>
      <c r="EI71" s="118" t="n">
        <f aca="false" t="array" ref="EI71:EI71">INDEX(EH:EH,MIN(IF(ISNUMBER(EH71:EH267),ROW(EH71:EH267),"")))</f>
        <v>0</v>
      </c>
      <c r="EJ71" s="118" t="n">
        <f aca="false">IF('Données projet'!$A$192&gt;35,EJ70+EI71-ER70,IF(A71&lt;'Données projet'!$A$192,$EG$205^A71,IF(A71='Données projet'!$A$192,'Données projet'!$B$192,EJ70+EI71-ER70)))</f>
        <v>0</v>
      </c>
      <c r="EK71" s="125" t="e">
        <f aca="false">EJ71*VLOOKUP('Données projet'!$B$15,Paramètres!$A$1:$I$89,3,0)*VLOOKUP('Données projet'!$B$15,Paramètres!$A$1:$I$89,5,0)</f>
        <v>#N/A</v>
      </c>
      <c r="EL71" s="117" t="e">
        <f aca="false">EXP(-1.0587+0.8836*LN(EK71)+0.284)</f>
        <v>#N/A</v>
      </c>
      <c r="EM71" s="128" t="e">
        <f aca="false">(EK71+EL71)*0.475*44/12</f>
        <v>#N/A</v>
      </c>
      <c r="EN71" s="120" t="e">
        <f aca="false">EM71+(EE71+EF71)*44/12</f>
        <v>#N/A</v>
      </c>
      <c r="EO71" s="120" t="e">
        <f aca="true">AVERAGE(OFFSET($EN$3,0,0,'Données projet'!$E$15+1,1))-AVERAGE(OFFSET($H$3,0,0,'Données projet'!$E$15+1,1))</f>
        <v>#N/A</v>
      </c>
      <c r="EP71" s="120" t="e">
        <f aca="false">$EP$3</f>
        <v>#N/A</v>
      </c>
      <c r="EQ71" s="121" t="n">
        <f aca="false">IF(ISNA(VLOOKUP(A71,'Données projet'!$A$191:$I$211,3,0)),0,VLOOKUP(A71,'Données projet'!$A$191:$I$211,3,0))</f>
        <v>0</v>
      </c>
      <c r="ER71" s="121" t="n">
        <f aca="false">IF(ISNA(VLOOKUP(A71,'Données projet'!$A$191:$I$211,4,0)),0,VLOOKUP(A71,'Données projet'!$A$191:$I$211,4,0))</f>
        <v>0</v>
      </c>
      <c r="ES71" s="122" t="n">
        <f aca="false">IF(ISNA(VLOOKUP(A71,'Données projet'!$A$191:$I$211,5,0)),0%,VLOOKUP(A71,'Données projet'!$A$191:$I$211,5,0)*VLOOKUP('Données projet'!$B$15,Paramètres!$A$1:$I$89,7,0))</f>
        <v>0</v>
      </c>
      <c r="ET71" s="122" t="n">
        <f aca="false">IF(ISNA(VLOOKUP(A71,'Données projet'!$A$191:$I$211,6,0)),0%,VLOOKUP(A71,'Données projet'!$A$191:$I$211,6,0)*VLOOKUP('Données projet'!$B$15,Paramètres!$A$1:$I$89,7,0))</f>
        <v>0</v>
      </c>
      <c r="EU71" s="122" t="n">
        <f aca="false">IF(ISNA(VLOOKUP(A71,'Données projet'!$A$191:$I$211,7,0)),0%,VLOOKUP(A71,'Données projet'!$A$191:$I$211,7,0))</f>
        <v>0</v>
      </c>
      <c r="EV71" s="129" t="e">
        <f aca="false">EXP(-LN(2)/35)*EV70+(1-EXP(-LN(2)/35))/(LN(2)/35)*ER71*ES71*VLOOKUP('Données projet'!$B$15,Paramètres!$A$1:$I$89,3,0)*0.475*44/12</f>
        <v>#N/A</v>
      </c>
      <c r="EW71" s="129" t="e">
        <f aca="false">EXP(-LN(2)/25)*EW70+(1-EXP(-LN(2)/25))/(LN(2)/25)*Calculateur!ER71*Calculateur!ET71*VLOOKUP('Données projet'!$B$15,Paramètres!$A$1:$I$89,3,0)*0.475*44/12</f>
        <v>#N/A</v>
      </c>
      <c r="EX71" s="129" t="e">
        <f aca="false">EXP(-LN(2)/2)*EX70+(1-EXP(-LN(2)/2))/(LN(2)/2)*ER71*EU71*VLOOKUP('Données projet'!$B$15,Paramètres!$A$1:$I$89,3,0)*0.475*44/12</f>
        <v>#N/A</v>
      </c>
      <c r="EY71" s="130" t="e">
        <f aca="false">SUM(EV71:EX71)</f>
        <v>#N/A</v>
      </c>
      <c r="EZ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8" t="e">
        <f aca="false">VLOOKUP(A71,'Données projet'!$A$217:$I$237,2,0)</f>
        <v>#N/A</v>
      </c>
      <c r="FC71" s="118" t="e">
        <f aca="false">VLOOKUP(A71,'Données projet'!$A$217:$I$237,9,0)</f>
        <v>#N/A</v>
      </c>
      <c r="FD71" s="118" t="n">
        <f aca="false" t="array" ref="FD71:FD71">INDEX(FC:FC,MIN(IF(ISNUMBER(FC71:FC267),ROW(FC71:FC267),"")))</f>
        <v>0</v>
      </c>
      <c r="FE71" s="118" t="n">
        <f aca="false">IF('Données projet'!$A$218&gt;35,FE70+FD71-FM70,IF(A71&lt;'Données projet'!$A$218,$FB$205^A71,IF(A71='Données projet'!$A$218,'Données projet'!$B$218,FE70+FD71-FM70)))</f>
        <v>0</v>
      </c>
      <c r="FF71" s="125" t="e">
        <f aca="false">FE71*VLOOKUP('Données projet'!$B$16,Paramètres!$A$1:$I$89,3,0)*VLOOKUP('Données projet'!$B$16,Paramètres!$A$1:$I$89,5,0)</f>
        <v>#N/A</v>
      </c>
      <c r="FG71" s="117" t="e">
        <f aca="false">EXP(-1.0587+0.8836*LN(FF71)+0.284)</f>
        <v>#N/A</v>
      </c>
      <c r="FH71" s="128" t="e">
        <f aca="false">(FF71+FG71)*0.475*44/12</f>
        <v>#N/A</v>
      </c>
      <c r="FI71" s="120" t="e">
        <f aca="false">FH71+(EZ71+FA71)*44/12</f>
        <v>#N/A</v>
      </c>
      <c r="FJ71" s="120" t="e">
        <f aca="true">AVERAGE(OFFSET($FI$3,0,0,'Données projet'!$E$16+1,1))-AVERAGE(OFFSET($H$3,0,0,'Données projet'!$E$16+1,1))</f>
        <v>#N/A</v>
      </c>
      <c r="FK71" s="120" t="e">
        <f aca="false">$FK$3</f>
        <v>#N/A</v>
      </c>
      <c r="FL71" s="121" t="n">
        <f aca="false">IF(ISNA(VLOOKUP(A71,'Données projet'!$A$217:$I$237,3,0)),0,VLOOKUP(A71,'Données projet'!$A$217:$I$237,3,0))</f>
        <v>0</v>
      </c>
      <c r="FM71" s="121" t="n">
        <f aca="false">IF(ISNA(VLOOKUP(A71,'Données projet'!$A$217:$I$237,4,0)),0,VLOOKUP(A71,'Données projet'!$A$217:$I$237,4,0))</f>
        <v>0</v>
      </c>
      <c r="FN71" s="122" t="n">
        <f aca="false">IF(ISNA(VLOOKUP(A71,'Données projet'!$A$217:$I$237,5,0)),0%,VLOOKUP(A71,'Données projet'!$A$217:$I$237,5,0)*VLOOKUP('Données projet'!$B$16,Paramètres!$A$1:$I$89,7,0))</f>
        <v>0</v>
      </c>
      <c r="FO71" s="122" t="n">
        <f aca="false">IF(ISNA(VLOOKUP(A71,'Données projet'!$A$217:$I$237,6,0)),0%,VLOOKUP(A71,'Données projet'!$A$217:$I$237,6,0)*VLOOKUP('Données projet'!$B$16,Paramètres!$A$1:$I$89,7,0))</f>
        <v>0</v>
      </c>
      <c r="FP71" s="122" t="n">
        <f aca="false">IF(ISNA(VLOOKUP(A71,'Données projet'!$A$217:$I$237,7,0)),0%,VLOOKUP(A71,'Données projet'!$A$217:$I$237,7,0))</f>
        <v>0</v>
      </c>
      <c r="FQ71" s="129" t="e">
        <f aca="false">EXP(-LN(2)/35)*FQ70+(1-EXP(-LN(2)/35))/(LN(2)/35)*FM71*FN71*VLOOKUP('Données projet'!$B$16,Paramètres!$A$1:$I$89,3,0)*0.475*44/12</f>
        <v>#N/A</v>
      </c>
      <c r="FR71" s="129" t="e">
        <f aca="false">EXP(-LN(2)/25)*FR70+(1-EXP(-LN(2)/25))/(LN(2)/25)*Calculateur!FM71*Calculateur!FO71*VLOOKUP('Données projet'!$B$16,Paramètres!$A$1:$I$89,3,0)*0.475*44/12</f>
        <v>#N/A</v>
      </c>
      <c r="FS71" s="129" t="e">
        <f aca="false">EXP(-LN(2)/2)*FS70+(1-EXP(-LN(2)/2))/(LN(2)/2)*FM71*FP71*VLOOKUP('Données projet'!$B$16,Paramètres!$A$1:$I$89,3,0)*0.475*44/12</f>
        <v>#N/A</v>
      </c>
      <c r="FT71" s="130" t="e">
        <f aca="false">SUM(FQ71:FS71)</f>
        <v>#N/A</v>
      </c>
      <c r="FU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8" t="e">
        <f aca="false">VLOOKUP(A71,'Données projet'!$A$243:$I$263,2,0)</f>
        <v>#N/A</v>
      </c>
      <c r="FX71" s="118" t="e">
        <f aca="false">VLOOKUP(A71,'Données projet'!$A$243:$I$263,9,0)</f>
        <v>#N/A</v>
      </c>
      <c r="FY71" s="118" t="n">
        <f aca="false" t="array" ref="FY71:FY71">INDEX(FX:FX,MIN(IF(ISNUMBER(FX71:FX267),ROW(FX71:FX267),"")))</f>
        <v>0</v>
      </c>
      <c r="FZ71" s="118" t="n">
        <f aca="false">IF('Données projet'!$A$244&gt;35,FZ70+FY71-GH70,IF(A71&lt;'Données projet'!$A$244,$FW$205^A71,IF(A71='Données projet'!$A$244,'Données projet'!$B$244,FZ70+FY71-GH70)))</f>
        <v>0</v>
      </c>
      <c r="GA71" s="125" t="e">
        <f aca="false">FZ71*VLOOKUP('Données projet'!$B$17,Paramètres!$A$1:$I$89,3,0)*VLOOKUP('Données projet'!$B$17,Paramètres!$A$1:$I$89,5,0)</f>
        <v>#N/A</v>
      </c>
      <c r="GB71" s="117" t="e">
        <f aca="false">EXP(-1.0587+0.8836*LN(GA71)+0.284)</f>
        <v>#N/A</v>
      </c>
      <c r="GC71" s="128" t="e">
        <f aca="false">(GA71+GB71)*0.475*44/12</f>
        <v>#N/A</v>
      </c>
      <c r="GD71" s="120" t="e">
        <f aca="false">GC71+(FU71+FV71)*44/12</f>
        <v>#N/A</v>
      </c>
      <c r="GE71" s="120" t="e">
        <f aca="true">AVERAGE(OFFSET($GD$3,0,0,'Données projet'!$E$17+1,1))-AVERAGE(OFFSET($H$3,0,0,'Données projet'!$E$17+1,1))</f>
        <v>#N/A</v>
      </c>
      <c r="GF71" s="120" t="e">
        <f aca="false">$GF$3</f>
        <v>#N/A</v>
      </c>
      <c r="GG71" s="121" t="n">
        <f aca="false">IF(ISNA(VLOOKUP(A71,'Données projet'!$A$243:$I$263,3,0)),0,VLOOKUP(A71,'Données projet'!$A$243:$I$263,3,0))</f>
        <v>0</v>
      </c>
      <c r="GH71" s="121" t="n">
        <f aca="false">IF(ISNA(VLOOKUP(A71,'Données projet'!$A$243:$I$263,4,0)),0,VLOOKUP(A71,'Données projet'!$A$243:$I$263,4,0))</f>
        <v>0</v>
      </c>
      <c r="GI71" s="122" t="n">
        <f aca="false">IF(ISNA(VLOOKUP(A71,'Données projet'!$A$243:$I$263,5,0)),0%,VLOOKUP(A71,'Données projet'!$A$243:$I$263,5,0)*VLOOKUP('Données projet'!$B$17,Paramètres!$A$1:$I$89,7,0))</f>
        <v>0</v>
      </c>
      <c r="GJ71" s="122" t="n">
        <f aca="false">IF(ISNA(VLOOKUP(A71,'Données projet'!$A$243:$I$263,6,0)),0%,VLOOKUP(A71,'Données projet'!$A$243:$I$263,6,0)*VLOOKUP('Données projet'!$B$17,Paramètres!$A$1:$I$89,7,0))</f>
        <v>0</v>
      </c>
      <c r="GK71" s="122" t="n">
        <f aca="false">IF(ISNA(VLOOKUP(A71,'Données projet'!$A$243:$I$263,7,0)),0%,VLOOKUP(A71,'Données projet'!$A$243:$I$263,7,0))</f>
        <v>0</v>
      </c>
      <c r="GL71" s="129" t="e">
        <f aca="false">EXP(-LN(2)/35)*GL70+(1-EXP(-LN(2)/35))/(LN(2)/35)*GH71*GI71*VLOOKUP('Données projet'!$B$17,Paramètres!$A$1:$I$89,3,0)*0.475*44/12</f>
        <v>#N/A</v>
      </c>
      <c r="GM71" s="129" t="e">
        <f aca="false">EXP(-LN(2)/25)*GM70+(1-EXP(-LN(2)/25))/(LN(2)/25)*Calculateur!GH71*Calculateur!GJ71*VLOOKUP('Données projet'!$B$17,Paramètres!$A$1:$I$89,3,0)*0.475*44/12</f>
        <v>#N/A</v>
      </c>
      <c r="GN71" s="129" t="e">
        <f aca="false">EXP(-LN(2)/2)*GN70+(1-EXP(-LN(2)/2))/(LN(2)/2)*GH71*GK71*VLOOKUP('Données projet'!$B$17,Paramètres!$A$1:$I$89,3,0)*0.475*44/12</f>
        <v>#N/A</v>
      </c>
      <c r="GO71" s="129" t="e">
        <f aca="false">SUM(GL71:GN71)</f>
        <v>#N/A</v>
      </c>
      <c r="GP71" s="126" t="n">
        <f aca="false"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8" t="n">
        <f aca="false"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8" t="e">
        <f aca="false">VLOOKUP(A71,'Données projet'!$A$269:$I$289,2,0)</f>
        <v>#N/A</v>
      </c>
      <c r="GS71" s="118" t="e">
        <f aca="false">VLOOKUP(A71,'Données projet'!$A$269:$I$289,9,0)</f>
        <v>#N/A</v>
      </c>
      <c r="GT71" s="118" t="n">
        <f aca="false" t="array" ref="GT71:GT71">INDEX(GS:GS,MIN(IF(ISNUMBER(GS71:GS267),ROW(GS71:GS267),"")))</f>
        <v>0</v>
      </c>
      <c r="GU71" s="118" t="n">
        <f aca="false">IF('Données projet'!$A$270&gt;35,GU70+GT71-HC70,IF(A71&lt;'Données projet'!$A$270,$GR$205^A71,IF(A71='Données projet'!$A$270,'Données projet'!$B$270,GU70+GT71-HC70)))</f>
        <v>0</v>
      </c>
      <c r="GV71" s="125" t="e">
        <f aca="false">GU71*VLOOKUP('Données projet'!$B$18,Paramètres!$A$1:$I$89,3,0)*VLOOKUP('Données projet'!$B$18,Paramètres!$A$1:$I$89,5,0)</f>
        <v>#N/A</v>
      </c>
      <c r="GW71" s="117" t="e">
        <f aca="false">EXP(-1.0587+0.8836*LN(GV71)+0.284)</f>
        <v>#N/A</v>
      </c>
      <c r="GX71" s="128" t="e">
        <f aca="false">(GV71+GW71)*0.475*44/12</f>
        <v>#N/A</v>
      </c>
      <c r="GY71" s="120" t="e">
        <f aca="false">GX71+(GP71+GQ71)*44/12</f>
        <v>#N/A</v>
      </c>
      <c r="GZ71" s="120" t="e">
        <f aca="true">AVERAGE(OFFSET($GY$3,0,0,'Données projet'!$E$18+1,1))-AVERAGE(OFFSET($H$3,0,0,'Données projet'!$E$18+1,1))</f>
        <v>#N/A</v>
      </c>
      <c r="HA71" s="120" t="e">
        <f aca="false">$HA$3</f>
        <v>#N/A</v>
      </c>
      <c r="HB71" s="121" t="n">
        <f aca="false">IF(ISNA(VLOOKUP(A71,'Données projet'!$A$269:$I$289,3,0)),0,VLOOKUP(A71,'Données projet'!$A$269:$I$289,3,0))</f>
        <v>0</v>
      </c>
      <c r="HC71" s="121" t="n">
        <f aca="false">IF(ISNA(VLOOKUP(A71,'Données projet'!$A$269:$I$289,4,0)),0,VLOOKUP(A71,'Données projet'!$A$269:$I$289,4,0))</f>
        <v>0</v>
      </c>
      <c r="HD71" s="122" t="n">
        <f aca="false">IF(ISNA(VLOOKUP(A71,'Données projet'!$A$269:$I$289,5,0)),0%,VLOOKUP(A71,'Données projet'!$A$269:$I$289,5,0)*VLOOKUP('Données projet'!$B$18,Paramètres!$A$1:$I$89,7,0))</f>
        <v>0</v>
      </c>
      <c r="HE71" s="122" t="n">
        <f aca="false">IF(ISNA(VLOOKUP(A71,'Données projet'!$A$269:$I$289,6,0)),0%,VLOOKUP(A71,'Données projet'!$A$269:$I$289,6,0)*VLOOKUP('Données projet'!$B$18,Paramètres!$A$1:$I$89,7,0))</f>
        <v>0</v>
      </c>
      <c r="HF71" s="122" t="n">
        <f aca="false">IF(ISNA(VLOOKUP(A71,'Données projet'!$A$269:$I$289,7,0)),0%,VLOOKUP(A71,'Données projet'!$A$269:$I$289,7,0))</f>
        <v>0</v>
      </c>
      <c r="HG71" s="129" t="e">
        <f aca="false">EXP(-LN(2)/35)*HG70+(1-EXP(-LN(2)/35))/(LN(2)/35)*HC71*HD71*VLOOKUP('Données projet'!$B$18,Paramètres!$A$1:$I$89,3,0)*0.475*44/12</f>
        <v>#N/A</v>
      </c>
      <c r="HH71" s="129" t="e">
        <f aca="false">EXP(-LN(2)/25)*HH70+(1-EXP(-LN(2)/25))/(LN(2)/25)*Calculateur!HC71*Calculateur!HE71*VLOOKUP('Données projet'!$B$18,Paramètres!$A$1:$I$89,3,0)*0.475*44/12</f>
        <v>#N/A</v>
      </c>
      <c r="HI71" s="129" t="e">
        <f aca="false">EXP(-LN(2)/2)*HI70+(1-EXP(-LN(2)/2))/(LN(2)/2)*HC71*HF71*VLOOKUP('Données projet'!$B$18,Paramètres!$A$1:$I$89,3,0)*0.475*44/12</f>
        <v>#N/A</v>
      </c>
      <c r="HJ71" s="130" t="e">
        <f aca="false">SUM(HG71:HI71)</f>
        <v>#N/A</v>
      </c>
    </row>
    <row r="72" customFormat="false" ht="14.25" hidden="false" customHeight="false" outlineLevel="0" collapsed="false">
      <c r="A72" s="112" t="n">
        <f aca="false">A71+1</f>
        <v>69</v>
      </c>
      <c r="B72" s="113" t="n">
        <f aca="false">'Scénario référence'!$B$16*5+'Scénario référence'!$B$17*0+'Scénario référence'!$B$18*5</f>
        <v>0</v>
      </c>
      <c r="C72" s="127" t="n">
        <f aca="false"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4" t="n">
        <f aca="false">IFERROR(EXP(-1.0587+0.8836*LN(C72)+0.284),0)</f>
        <v>0</v>
      </c>
      <c r="E7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2" s="114" t="n">
        <f aca="false">IF(OR('Scénario référence'!$F$8&gt;0,'Scénario référence'!$F$9&gt;0),('Scénario référence'!$F$8+'Scénario référence'!$F$9)*10,0)</f>
        <v>0</v>
      </c>
      <c r="G72" s="114" t="n">
        <f aca="false"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15" t="n">
        <f aca="false">(B72+E72+F72)*44/12+(C72+D72)*0.475*44/12</f>
        <v>256.666666666667</v>
      </c>
      <c r="I72" s="11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7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8" t="e">
        <f aca="false">VLOOKUP(A72,'Données projet'!$A$35:$I$55,2,0)</f>
        <v>#N/A</v>
      </c>
      <c r="L72" s="118" t="e">
        <f aca="false">VLOOKUP(A72,'Données projet'!$A$35:$I$55,9,0)</f>
        <v>#N/A</v>
      </c>
      <c r="M72" s="118" t="n">
        <f aca="false" t="array" ref="M72:M72">INDEX(L:L,MIN(IF(ISNUMBER(L72:L268),ROW(L72:L268),"")))</f>
        <v>15.5</v>
      </c>
      <c r="N72" s="117" t="n">
        <f aca="false">IF('Données projet'!$A$36&gt;35,N71+M72-V71,IF(A72&lt;'Données projet'!$A$36,$K$205^A72,IF(A72='Données projet'!$A$36,'Données projet'!$B$36,N71+M72-V71)))</f>
        <v>408</v>
      </c>
      <c r="O72" s="117" t="n">
        <f aca="false">N72*VLOOKUP('Données projet'!$B$9,Paramètres!$A$1:$I$89,3,0)*VLOOKUP('Données projet'!$B$9,Paramètres!$A$1:$I$89,5,0)</f>
        <v>190.944</v>
      </c>
      <c r="P72" s="117" t="n">
        <f aca="false">EXP(-1.0587+0.8836*LN(O72)+0.284)</f>
        <v>47.7485976098266</v>
      </c>
      <c r="Q72" s="128" t="n">
        <f aca="false">(O72+P72)*0.475*44/12</f>
        <v>415.722940837115</v>
      </c>
      <c r="R72" s="120" t="n">
        <f aca="false">Q72+(I72+J72)*44/12</f>
        <v>709.056274170448</v>
      </c>
      <c r="S72" s="120" t="n">
        <f aca="true">AVERAGE(OFFSET($R$3,0,0,'Données projet'!$E$9+1,1))-AVERAGE(OFFSET($H$3,0,0,'Données projet'!$E$9+1,1))</f>
        <v>319.229030946746</v>
      </c>
      <c r="T72" s="120" t="n">
        <f aca="false">$T$3</f>
        <v>254.586909731428</v>
      </c>
      <c r="U72" s="121" t="n">
        <f aca="false">IF(ISNA(VLOOKUP(A72,'Données projet'!$A$35:$I$55,3,0)),0,VLOOKUP(A72,'Données projet'!$A$35:$I$55,3,0))</f>
        <v>0</v>
      </c>
      <c r="V72" s="121" t="n">
        <f aca="false">IF(ISNA(VLOOKUP(A72,'Données projet'!$A$35:$I$55,4,0)),0,VLOOKUP(A72,'Données projet'!$A$35:$I$55,4,0))</f>
        <v>0</v>
      </c>
      <c r="W72" s="122" t="n">
        <f aca="false">IF(ISNA(VLOOKUP(A72,'Données projet'!$A$35:$I$55,5,0)),0%,VLOOKUP(A72,'Données projet'!$A$35:$I$55,5,0)*VLOOKUP('Données projet'!$B$9,Paramètres!$A$1:$I$89,7,0))</f>
        <v>0</v>
      </c>
      <c r="X72" s="122" t="n">
        <f aca="false">IF(ISNA(VLOOKUP(A72,'Données projet'!$A$35:$I$55,6,0)),0%,VLOOKUP(A72,'Données projet'!$A$35:$I$55,6,0)*VLOOKUP('Données projet'!$B$9,Paramètres!$A$1:$I$89,7,0))</f>
        <v>0</v>
      </c>
      <c r="Y72" s="122" t="n">
        <f aca="false">IF(ISNA(VLOOKUP(A72,'Données projet'!$A$35:$I$55,7,0)),0%,VLOOKUP(A72,'Données projet'!$A$35:$I$55,7,0))</f>
        <v>0</v>
      </c>
      <c r="Z72" s="129" t="n">
        <f aca="false">EXP(-LN(2)/35)*Z71+(1-EXP(-LN(2)/35))/(LN(2)/35)*V72*W72*VLOOKUP('Données projet'!$B$9,Paramètres!$A$1:$I$89,3,0)*0.475*44/12</f>
        <v>4.19246128616398</v>
      </c>
      <c r="AA72" s="129" t="n">
        <f aca="false">EXP(-LN(2)/25)*AA71+(1-EXP(-LN(2)/25))/(LN(2)/25)*Calculateur!V72*Calculateur!X72*VLOOKUP('Données projet'!$B$9,Paramètres!$A$1:$I$89,3,0)*0.475*44/12</f>
        <v>3.78198231567907</v>
      </c>
      <c r="AB72" s="129" t="n">
        <f aca="false">EXP(-LN(2)/2)*AB71+(1-EXP(-LN(2)/2))/(LN(2)/2)*V72*Y72*VLOOKUP('Données projet'!$B$9,Paramètres!$A$1:$I$89,3,0)*0.475*44/12</f>
        <v>1.48938582408978E-005</v>
      </c>
      <c r="AC72" s="130" t="n">
        <f aca="false">SUM(Z72:AB72)</f>
        <v>7.97445849570129</v>
      </c>
      <c r="AD72" s="117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7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8" t="e">
        <f aca="false">VLOOKUP(A72,'Données projet'!$A$61:$I$81,2,0)</f>
        <v>#N/A</v>
      </c>
      <c r="AG72" s="118" t="e">
        <f aca="false">VLOOKUP(A72,'Données projet'!$A$61:$I$81,9,0)</f>
        <v>#N/A</v>
      </c>
      <c r="AH72" s="118" t="n">
        <f aca="false" t="array" ref="AH72:AH72">INDEX(AG:AG,MIN(IF(ISNUMBER(AG72:AG268),ROW(AG72:AG268),"")))</f>
        <v>0</v>
      </c>
      <c r="AI72" s="117" t="n">
        <f aca="false">IF('Données projet'!$A$62&gt;35,AI71+AH72-AQ71,IF(A72&lt;'Données projet'!$A$62,$AF$205^A72,IF(A72='Données projet'!$A$62,'Données projet'!$B$62,AI71+AH72-AQ71)))</f>
        <v>1.13686837721616E-013</v>
      </c>
      <c r="AJ72" s="117" t="n">
        <f aca="false">AI72*VLOOKUP('Données projet'!$B$10,Paramètres!$A$1:$I$89,3,0)*VLOOKUP('Données projet'!$B$10,Paramètres!$A$1:$I$89,5,0)</f>
        <v>6.35509422863834E-014</v>
      </c>
      <c r="AK72" s="117" t="n">
        <f aca="false">EXP(-1.0587+0.8836*LN(AJ72)+0.284)</f>
        <v>1.0064464192544E-012</v>
      </c>
      <c r="AL72" s="128" t="n">
        <f aca="false">(AJ72+AK72)*0.475*44/12</f>
        <v>1.86357873801686E-012</v>
      </c>
      <c r="AM72" s="120" t="n">
        <f aca="false">AL72+(AD72+AE72)*44/12</f>
        <v>293.333333333335</v>
      </c>
      <c r="AN72" s="120" t="n">
        <f aca="true">AVERAGE(OFFSET($AM$3,0,0,'Données projet'!$E$10+1,1))-AVERAGE(OFFSET($H$3,0,0,'Données projet'!$E$10+1,1))</f>
        <v>365.705101827279</v>
      </c>
      <c r="AO72" s="120" t="n">
        <f aca="false">$AO$3</f>
        <v>436.238338449625</v>
      </c>
      <c r="AP72" s="121" t="n">
        <f aca="false">IF(ISNA(VLOOKUP(A72,'Données projet'!$A$61:$I$81,3,0)),0,VLOOKUP(A72,'Données projet'!$A$61:$I$81,3,0))</f>
        <v>0</v>
      </c>
      <c r="AQ72" s="121" t="n">
        <f aca="false">IF(ISNA(VLOOKUP(A72,'Données projet'!$A$61:$I$81,4,0)),0,VLOOKUP(A72,'Données projet'!$A$61:$I$81,4,0))</f>
        <v>0</v>
      </c>
      <c r="AR72" s="122" t="n">
        <f aca="false">IF(ISNA(VLOOKUP(A72,'Données projet'!$A$61:$I$81,5,0)),0%,VLOOKUP(A72,'Données projet'!$A$61:$I$81,5,0)*VLOOKUP('Données projet'!$B$10,Paramètres!$A$1:$I$89,7,0))</f>
        <v>0</v>
      </c>
      <c r="AS72" s="122" t="n">
        <f aca="false">IF(ISNA(VLOOKUP(A72,'Données projet'!$A$61:$I$81,6,0)),0%,VLOOKUP(A72,'Données projet'!$A$61:$I$81,6,0)*VLOOKUP('Données projet'!$B$10,Paramètres!$A$1:$I$89,7,0))</f>
        <v>0</v>
      </c>
      <c r="AT72" s="122" t="n">
        <f aca="false">IF(ISNA(VLOOKUP(A72,'Données projet'!$A$61:$I$81,7,0)),0%,VLOOKUP(A72,'Données projet'!$A$61:$I$81,7,0))</f>
        <v>0</v>
      </c>
      <c r="AU72" s="129" t="n">
        <f aca="false">EXP(-LN(2)/35)*AU71+(1-EXP(-LN(2)/35))/(LN(2)/35)*AQ72*AR72*VLOOKUP('Données projet'!$B$10,Paramètres!$A$1:$I$89,3,0)*0.475*44/12</f>
        <v>1.58251821002205</v>
      </c>
      <c r="AV72" s="129" t="n">
        <f aca="false">EXP(-LN(2)/25)*AV71+(1-EXP(-LN(2)/25))/(LN(2)/25)*Calculateur!AQ72*Calculateur!AS72*VLOOKUP('Données projet'!$B$10,Paramètres!$A$1:$I$89,3,0)*0.475*44/12</f>
        <v>4.47955356160356</v>
      </c>
      <c r="AW72" s="129" t="n">
        <f aca="false">EXP(-LN(2)/2)*AW71+(1-EXP(-LN(2)/2))/(LN(2)/2)*AQ72*AT72*VLOOKUP('Données projet'!$B$10,Paramètres!$A$1:$I$89,3,0)*0.475*44/12</f>
        <v>8.0154090013222E-006</v>
      </c>
      <c r="AX72" s="129" t="n">
        <f aca="false">SUM(AU72:AW72)</f>
        <v>6.06207978703461</v>
      </c>
      <c r="AY72" s="124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8" t="e">
        <f aca="false">VLOOKUP(A72,'Données projet'!$A$87:$I$107,2,0)</f>
        <v>#N/A</v>
      </c>
      <c r="BB72" s="118" t="e">
        <f aca="false">VLOOKUP(A72,'Données projet'!$A$87:$I$107,9,0)</f>
        <v>#N/A</v>
      </c>
      <c r="BC72" s="118" t="n">
        <f aca="false" t="array" ref="BC72:BC72">INDEX(BB:BB,MIN(IF(ISNUMBER(BB72:BB268),ROW(BB72:BB268),"")))</f>
        <v>5.2</v>
      </c>
      <c r="BD72" s="118" t="n">
        <f aca="false">IF('Données projet'!$A$88&gt;35,BD71+BC72-BL71,IF(A72&lt;'Données projet'!$A$88,$BA$205^A72,IF(A72='Données projet'!$A$88,'Données projet'!$B$88,BD71+BC72-BL71)))</f>
        <v>243.8</v>
      </c>
      <c r="BE72" s="117" t="n">
        <f aca="false">BD72*VLOOKUP('Données projet'!$B$11,Paramètres!$A$1:$I$89,3,0)*VLOOKUP('Données projet'!$B$11,Paramètres!$A$1:$I$89,5,0)</f>
        <v>212.98368</v>
      </c>
      <c r="BF72" s="117" t="n">
        <f aca="false">EXP(-1.0587+0.8836*LN(BE72)+0.284)</f>
        <v>52.5870585259704</v>
      </c>
      <c r="BG72" s="128" t="n">
        <f aca="false">(BE72+BF72)*0.475*44/12</f>
        <v>462.535702932732</v>
      </c>
      <c r="BH72" s="120" t="n">
        <f aca="false">BG72+(AY72+AZ72)*44/12</f>
        <v>755.869036266066</v>
      </c>
      <c r="BI72" s="120" t="n">
        <f aca="true">AVERAGE(OFFSET($BH$3,0,0,'Données projet'!$E$11+1,1))-AVERAGE(OFFSET($H$3,0,0,'Données projet'!$E$11+1,1))</f>
        <v>321.235999689929</v>
      </c>
      <c r="BJ72" s="120" t="n">
        <f aca="false">$BJ$3</f>
        <v>388.051958478005</v>
      </c>
      <c r="BK72" s="121" t="n">
        <f aca="false">IF(ISNA(VLOOKUP(A72,'Données projet'!$A$87:$I$107,3,0)),0,VLOOKUP(A72,'Données projet'!$A$87:$I$107,3,0))</f>
        <v>0</v>
      </c>
      <c r="BL72" s="121" t="n">
        <f aca="false">IF(ISNA(VLOOKUP(A72,'Données projet'!$A$87:$I$107,4,0)),0,VLOOKUP(A72,'Données projet'!$A$87:$I$107,4,0))</f>
        <v>0</v>
      </c>
      <c r="BM72" s="122" t="n">
        <f aca="false">IF(ISNA(VLOOKUP(A72,'Données projet'!$A$87:$I$107,5,0)),0%,VLOOKUP(A72,'Données projet'!$A$87:$I$107,5,0)*VLOOKUP('Données projet'!$B$11,Paramètres!$A$1:$I$89,7,0))</f>
        <v>0</v>
      </c>
      <c r="BN72" s="122" t="n">
        <f aca="false">IF(ISNA(VLOOKUP(A72,'Données projet'!$A$87:$I$107,6,0)),0%,VLOOKUP(A72,'Données projet'!$A$87:$I$107,6,0)*VLOOKUP('Données projet'!$B$11,Paramètres!$A$1:$I$89,7,0))</f>
        <v>0</v>
      </c>
      <c r="BO72" s="122" t="n">
        <f aca="false">IF(ISNA(VLOOKUP(A72,'Données projet'!$A$87:$I$107,7,0)),0%,VLOOKUP(A72,'Données projet'!$A$87:$I$107,7,0))</f>
        <v>0</v>
      </c>
      <c r="BP72" s="129" t="n">
        <f aca="false">EXP(-LN(2)/35)*BP71+(1-EXP(-LN(2)/35))/(LN(2)/35)*BL72*BM72*VLOOKUP('Données projet'!$B$11,Paramètres!$A$1:$I$89,3,0)*0.475*44/12</f>
        <v>3.97310400793231</v>
      </c>
      <c r="BQ72" s="129" t="n">
        <f aca="false">EXP(-LN(2)/25)*BQ71+(1-EXP(-LN(2)/25))/(LN(2)/25)*Calculateur!BL72*Calculateur!BN72*VLOOKUP('Données projet'!$B$11,Paramètres!$A$1:$I$89,3,0)*0.475*44/12</f>
        <v>4.57246220665362</v>
      </c>
      <c r="BR72" s="129" t="n">
        <f aca="false">EXP(-LN(2)/2)*BR71+(1-EXP(-LN(2)/2))/(LN(2)/2)*BL72*BO72*VLOOKUP('Données projet'!$B$11,Paramètres!$A$1:$I$89,3,0)*0.475*44/12</f>
        <v>8.14749664679817E-006</v>
      </c>
      <c r="BS72" s="130" t="n">
        <f aca="false">SUM(BP72:BR72)</f>
        <v>8.54557436208257</v>
      </c>
      <c r="BT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8" t="e">
        <f aca="false">VLOOKUP(A72,'Données projet'!$A$113:$I$133,2,0)</f>
        <v>#N/A</v>
      </c>
      <c r="BW72" s="118" t="e">
        <f aca="false">VLOOKUP(A72,'Données projet'!$A$113:$I$133,9,0)</f>
        <v>#N/A</v>
      </c>
      <c r="BX72" s="118" t="n">
        <f aca="false" t="array" ref="BX72:BX72">INDEX(BW:BW,MIN(IF(ISNUMBER(BW72:BW268),ROW(BW72:BW268),"")))</f>
        <v>0</v>
      </c>
      <c r="BY72" s="118" t="n">
        <f aca="false">IF('Données projet'!$A$114&gt;35,BY71+BX72-CG71,IF(A72&lt;'Données projet'!$A$114,$BV$205^A72,IF(A72='Données projet'!$A$114,'Données projet'!$B$114,BY71+BX72-CG71)))</f>
        <v>0</v>
      </c>
      <c r="BZ72" s="117" t="n">
        <f aca="false">BY72*VLOOKUP('Données projet'!$B$12,Paramètres!$A$1:$I$89,3,0)*VLOOKUP('Données projet'!$B$12,Paramètres!$A$1:$I$89,5,0)</f>
        <v>0</v>
      </c>
      <c r="CA72" s="117" t="e">
        <f aca="false">EXP(-1.0587+0.8836*LN(BZ72)+0.284)</f>
        <v>#VALUE!</v>
      </c>
      <c r="CB72" s="128" t="e">
        <f aca="false">(BZ72+CA72)*0.475*44/12</f>
        <v>#VALUE!</v>
      </c>
      <c r="CC72" s="120" t="e">
        <f aca="false">CB72+(BT72+BU72)*44/12</f>
        <v>#VALUE!</v>
      </c>
      <c r="CD72" s="120" t="n">
        <f aca="true">AVERAGE(OFFSET($CC$3,0,0,'Données projet'!$E$12+1,1))-AVERAGE(OFFSET($H$3,0,0,'Données projet'!$E$12+1,1))</f>
        <v>240.228848647662</v>
      </c>
      <c r="CE72" s="120" t="n">
        <f aca="false">$CE$3</f>
        <v>343.237768841432</v>
      </c>
      <c r="CF72" s="121" t="n">
        <f aca="false">IF(ISNA(VLOOKUP(A72,'Données projet'!$A$113:$I$133,3,0)),0,VLOOKUP(A72,'Données projet'!$A$113:$I$133,3,0))</f>
        <v>0</v>
      </c>
      <c r="CG72" s="121" t="n">
        <f aca="false">IF(ISNA(VLOOKUP(A72,'Données projet'!$A$113:$I$133,4,0)),0,VLOOKUP(A72,'Données projet'!$A$113:$I$133,4,0))</f>
        <v>0</v>
      </c>
      <c r="CH72" s="122" t="n">
        <f aca="false">IF(ISNA(VLOOKUP(A72,'Données projet'!$A$113:$I$133,5,0)),0%,VLOOKUP(A72,'Données projet'!$A$113:$I$133,5,0)*VLOOKUP('Données projet'!$B$12,Paramètres!$A$1:$I$89,7,0))</f>
        <v>0</v>
      </c>
      <c r="CI72" s="122" t="n">
        <f aca="false">IF(ISNA(VLOOKUP(A72,'Données projet'!$A$113:$I$133,6,0)),0%,VLOOKUP(A72,'Données projet'!$A$113:$I$133,6,0)*VLOOKUP('Données projet'!$B$12,Paramètres!$A$1:$I$89,7,0))</f>
        <v>0</v>
      </c>
      <c r="CJ72" s="122" t="n">
        <f aca="false">IF(ISNA(VLOOKUP(A72,'Données projet'!$A$113:$I$133,7,0)),0%,VLOOKUP(A72,'Données projet'!$A$113:$I$133,7,0))</f>
        <v>0</v>
      </c>
      <c r="CK72" s="129" t="n">
        <f aca="false">EXP(-LN(2)/35)*CK71+(1-EXP(-LN(2)/35))/(LN(2)/35)*CG72*CH72*VLOOKUP('Données projet'!$B$12,Paramètres!$A$1:$I$89,3,0)*0.475*44/12</f>
        <v>2.4318491853193</v>
      </c>
      <c r="CL72" s="129" t="n">
        <f aca="false">EXP(-LN(2)/25)*CL71+(1-EXP(-LN(2)/25))/(LN(2)/25)*Calculateur!CG72*Calculateur!CI72*VLOOKUP('Données projet'!$B$12,Paramètres!$A$1:$I$89,3,0)*0.475*44/12</f>
        <v>8.07523295626929</v>
      </c>
      <c r="CM72" s="129" t="n">
        <f aca="false">EXP(-LN(2)/2)*CM71+(1-EXP(-LN(2)/2))/(LN(2)/2)*CG72*CJ72*VLOOKUP('Données projet'!$B$12,Paramètres!$A$1:$I$89,3,0)*0.475*44/12</f>
        <v>1.30012325269288E-005</v>
      </c>
      <c r="CN72" s="130" t="n">
        <f aca="false">SUM(CK72:CM72)</f>
        <v>10.5070951428211</v>
      </c>
      <c r="CO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8" t="e">
        <f aca="false">VLOOKUP(A72,'Données projet'!$A$139:$I$159,2,0)</f>
        <v>#N/A</v>
      </c>
      <c r="CR72" s="118" t="e">
        <f aca="false">VLOOKUP(A72,'Données projet'!$A$139:$I$159,9,0)</f>
        <v>#N/A</v>
      </c>
      <c r="CS72" s="118" t="n">
        <f aca="false" t="array" ref="CS72:CS72">INDEX(CR:CR,MIN(IF(ISNUMBER(CR72:CR268),ROW(CR72:CR268),"")))</f>
        <v>0</v>
      </c>
      <c r="CT72" s="118" t="n">
        <f aca="false">IF('Données projet'!$A$140&gt;35,CT71+CS72-DB71,IF(A72&lt;'Données projet'!$A$140,$CQ$205^A72,IF(A72='Données projet'!$A$140,'Données projet'!$B$140,CT71+CS72-DB71)))</f>
        <v>-5.6843418860808E-014</v>
      </c>
      <c r="CU72" s="125" t="n">
        <f aca="false">CT72*VLOOKUP('Données projet'!$B$13,Paramètres!$A$1:$I$89,3,0)*VLOOKUP('Données projet'!$B$13,Paramètres!$A$1:$I$89,5,0)</f>
        <v>-3.10365066980012E-014</v>
      </c>
      <c r="CV72" s="117" t="e">
        <f aca="false">EXP(-1.0587+0.8836*LN(CU72)+0.284)</f>
        <v>#VALUE!</v>
      </c>
      <c r="CW72" s="128" t="e">
        <f aca="false">(CU72+CV72)*0.475*44/12</f>
        <v>#VALUE!</v>
      </c>
      <c r="CX72" s="120" t="e">
        <f aca="false">CW72+(CO72+CP72)*44/12</f>
        <v>#VALUE!</v>
      </c>
      <c r="CY72" s="120" t="n">
        <f aca="true">AVERAGE(OFFSET($CX$3,0,0,'Données projet'!$E$13+1,1))-AVERAGE(OFFSET($H$3,0,0,'Données projet'!$E$13+1,1))</f>
        <v>207.023069645676</v>
      </c>
      <c r="CZ72" s="120" t="n">
        <f aca="false">$CZ$3</f>
        <v>342.068879333518</v>
      </c>
      <c r="DA72" s="121" t="n">
        <f aca="false">IF(ISNA(VLOOKUP(A72,'Données projet'!$A$139:$I$159,3,0)),0,VLOOKUP(A72,'Données projet'!$A$139:$I$159,3,0))</f>
        <v>0</v>
      </c>
      <c r="DB72" s="121" t="n">
        <f aca="false">IF(ISNA(VLOOKUP(A72,'Données projet'!$A$139:$I$159,4,0)),0,VLOOKUP(A72,'Données projet'!$A$139:$I$159,4,0))</f>
        <v>0</v>
      </c>
      <c r="DC72" s="122" t="n">
        <f aca="false">IF(ISNA(VLOOKUP(A72,'Données projet'!$A$139:$I$159,5,0)),0%,VLOOKUP(A72,'Données projet'!$A$139:$I$159,5,0)*VLOOKUP('Données projet'!$B$13,Paramètres!$A$1:$I$89,7,0))</f>
        <v>0</v>
      </c>
      <c r="DD72" s="122" t="n">
        <f aca="false">IF(ISNA(VLOOKUP(A72,'Données projet'!$A$139:$I$159,6,0)),0%,VLOOKUP(A72,'Données projet'!$A$139:$I$159,6,0)*VLOOKUP('Données projet'!$B$13,Paramètres!$A$1:$I$89,7,0))</f>
        <v>0</v>
      </c>
      <c r="DE72" s="122" t="n">
        <f aca="false">IF(ISNA(VLOOKUP(A72,'Données projet'!$A$139:$I$159,7,0)),0%,VLOOKUP(A72,'Données projet'!$A$139:$I$159,7,0))</f>
        <v>0</v>
      </c>
      <c r="DF72" s="129" t="n">
        <f aca="false">EXP(-LN(2)/35)*DF71+(1-EXP(-LN(2)/35))/(LN(2)/35)*DB72*DC72*VLOOKUP('Données projet'!$B$13,Paramètres!$A$1:$I$89,3,0)*0.475*44/12</f>
        <v>3.05128246837232</v>
      </c>
      <c r="DG72" s="129" t="n">
        <f aca="false">EXP(-LN(2)/25)*DG71+(1-EXP(-LN(2)/25))/(LN(2)/25)*Calculateur!DB72*Calculateur!DD72*VLOOKUP('Données projet'!$B$13,Paramètres!$A$1:$I$89,3,0)*0.475*44/12</f>
        <v>13.1996426392024</v>
      </c>
      <c r="DH72" s="129" t="n">
        <f aca="false">EXP(-LN(2)/2)*DH71+(1-EXP(-LN(2)/2))/(LN(2)/2)*DB72*DE72*VLOOKUP('Données projet'!$B$13,Paramètres!$A$1:$I$89,3,0)*0.475*44/12</f>
        <v>1.79027032172799E-005</v>
      </c>
      <c r="DI72" s="130" t="n">
        <f aca="false">SUM(DF72:DH72)</f>
        <v>16.250943010278</v>
      </c>
      <c r="DJ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8" t="e">
        <f aca="false">VLOOKUP(A72,'Données projet'!$A$165:$I$185,2,0)</f>
        <v>#N/A</v>
      </c>
      <c r="DM72" s="118" t="e">
        <f aca="false">VLOOKUP(A72,'Données projet'!$A$165:$I$185,9,0)</f>
        <v>#N/A</v>
      </c>
      <c r="DN72" s="118" t="n">
        <f aca="false" t="array" ref="DN72:DN72">INDEX(DM:DM,MIN(IF(ISNUMBER(DM72:DM268),ROW(DM72:DM268),"")))</f>
        <v>0</v>
      </c>
      <c r="DO72" s="118" t="n">
        <f aca="false">IF('Données projet'!$A$166&gt;35,DO71+DN72-DW71,IF(A72&lt;'Données projet'!$A$166,$DL$205^A72,IF(A72='Données projet'!$A$166,'Données projet'!$B$166,DO71+DN72-DW71)))</f>
        <v>0</v>
      </c>
      <c r="DP72" s="125" t="n">
        <f aca="false">DO72*VLOOKUP('Données projet'!$B$14,Paramètres!$A$1:$I$89,3,0)*VLOOKUP('Données projet'!$B$14,Paramètres!$A$1:$I$89,5,0)</f>
        <v>0</v>
      </c>
      <c r="DQ72" s="117" t="e">
        <f aca="false">EXP(-1.0587+0.8836*LN(DP72)+0.284)</f>
        <v>#VALUE!</v>
      </c>
      <c r="DR72" s="128" t="e">
        <f aca="false">(DP72+DQ72)*0.475*44/12</f>
        <v>#VALUE!</v>
      </c>
      <c r="DS72" s="120" t="e">
        <f aca="false">DR72+(DJ72+DK72)*44/12</f>
        <v>#VALUE!</v>
      </c>
      <c r="DT72" s="120" t="n">
        <f aca="true">AVERAGE(OFFSET($DS$3,0,0,'Données projet'!$E$14+1,1))-AVERAGE(OFFSET($H$3,0,0,'Données projet'!$E$14+1,1))</f>
        <v>549.432320957297</v>
      </c>
      <c r="DU72" s="120" t="n">
        <f aca="false">$DU$3</f>
        <v>280.26155987301</v>
      </c>
      <c r="DV72" s="121" t="n">
        <f aca="false">IF(ISNA(VLOOKUP(A72,'Données projet'!$A$165:$I$185,3,0)),0,VLOOKUP(A72,'Données projet'!$A$165:$I$185,3,0))</f>
        <v>0</v>
      </c>
      <c r="DW72" s="121" t="n">
        <f aca="false">IF(ISNA(VLOOKUP(A72,'Données projet'!$A$165:$I$185,4,0)),0,VLOOKUP(A72,'Données projet'!$A$165:$I$185,4,0))</f>
        <v>0</v>
      </c>
      <c r="DX72" s="122" t="n">
        <f aca="false">IF(ISNA(VLOOKUP(A72,'Données projet'!$A$165:$I$185,5,0)),0%,VLOOKUP(A72,'Données projet'!$A$165:$I$185,5,0)*VLOOKUP('Données projet'!$B$14,Paramètres!$A$1:$I$89,7,0))</f>
        <v>0</v>
      </c>
      <c r="DY72" s="122" t="n">
        <f aca="false">IF(ISNA(VLOOKUP(A72,'Données projet'!$A$165:$I$185,6,0)),0%,VLOOKUP(A72,'Données projet'!$A$165:$I$185,6,0)*VLOOKUP('Données projet'!$B$14,Paramètres!$A$1:$I$89,7,0))</f>
        <v>0</v>
      </c>
      <c r="DZ72" s="122" t="n">
        <f aca="false">IF(ISNA(VLOOKUP(A72,'Données projet'!$A$165:$I$185,7,0)),0%,VLOOKUP(A72,'Données projet'!$A$165:$I$185,7,0))</f>
        <v>0</v>
      </c>
      <c r="EA72" s="129" t="n">
        <f aca="false">EXP(-LN(2)/35)*EA71+(1-EXP(-LN(2)/35))/(LN(2)/35)*DW72*DX72*VLOOKUP('Données projet'!$B$14,Paramètres!$A$1:$I$89,3,0)*0.475*44/12</f>
        <v>1.10944290318652</v>
      </c>
      <c r="EB72" s="129" t="n">
        <f aca="false">EXP(-LN(2)/25)*EB71+(1-EXP(-LN(2)/25))/(LN(2)/25)*Calculateur!DW72*Calculateur!DY72*VLOOKUP('Données projet'!$B$14,Paramètres!$A$1:$I$89,3,0)*0.475*44/12</f>
        <v>2.6296292381011</v>
      </c>
      <c r="EC72" s="129" t="n">
        <f aca="false">EXP(-LN(2)/2)*EC71+(1-EXP(-LN(2)/2))/(LN(2)/2)*DW72*DZ72*VLOOKUP('Données projet'!$B$14,Paramètres!$A$1:$I$89,3,0)*0.475*44/12</f>
        <v>8.2527771509268E-006</v>
      </c>
      <c r="ED72" s="130" t="n">
        <f aca="false">SUM(EA72:EC72)</f>
        <v>3.73908039406478</v>
      </c>
      <c r="EE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8" t="e">
        <f aca="false">VLOOKUP(A72,'Données projet'!$A$191:$I$211,2,0)</f>
        <v>#N/A</v>
      </c>
      <c r="EH72" s="118" t="e">
        <f aca="false">VLOOKUP(A72,'Données projet'!$A$191:$I$211,9,0)</f>
        <v>#N/A</v>
      </c>
      <c r="EI72" s="118" t="n">
        <f aca="false" t="array" ref="EI72:EI72">INDEX(EH:EH,MIN(IF(ISNUMBER(EH72:EH268),ROW(EH72:EH268),"")))</f>
        <v>0</v>
      </c>
      <c r="EJ72" s="118" t="n">
        <f aca="false">IF('Données projet'!$A$192&gt;35,EJ71+EI72-ER71,IF(A72&lt;'Données projet'!$A$192,$EG$205^A72,IF(A72='Données projet'!$A$192,'Données projet'!$B$192,EJ71+EI72-ER71)))</f>
        <v>0</v>
      </c>
      <c r="EK72" s="125" t="e">
        <f aca="false">EJ72*VLOOKUP('Données projet'!$B$15,Paramètres!$A$1:$I$89,3,0)*VLOOKUP('Données projet'!$B$15,Paramètres!$A$1:$I$89,5,0)</f>
        <v>#N/A</v>
      </c>
      <c r="EL72" s="117" t="e">
        <f aca="false">EXP(-1.0587+0.8836*LN(EK72)+0.284)</f>
        <v>#N/A</v>
      </c>
      <c r="EM72" s="128" t="e">
        <f aca="false">(EK72+EL72)*0.475*44/12</f>
        <v>#N/A</v>
      </c>
      <c r="EN72" s="120" t="e">
        <f aca="false">EM72+(EE72+EF72)*44/12</f>
        <v>#N/A</v>
      </c>
      <c r="EO72" s="120" t="e">
        <f aca="true">AVERAGE(OFFSET($EN$3,0,0,'Données projet'!$E$15+1,1))-AVERAGE(OFFSET($H$3,0,0,'Données projet'!$E$15+1,1))</f>
        <v>#N/A</v>
      </c>
      <c r="EP72" s="120" t="e">
        <f aca="false">$EP$3</f>
        <v>#N/A</v>
      </c>
      <c r="EQ72" s="121" t="n">
        <f aca="false">IF(ISNA(VLOOKUP(A72,'Données projet'!$A$191:$I$211,3,0)),0,VLOOKUP(A72,'Données projet'!$A$191:$I$211,3,0))</f>
        <v>0</v>
      </c>
      <c r="ER72" s="121" t="n">
        <f aca="false">IF(ISNA(VLOOKUP(A72,'Données projet'!$A$191:$I$211,4,0)),0,VLOOKUP(A72,'Données projet'!$A$191:$I$211,4,0))</f>
        <v>0</v>
      </c>
      <c r="ES72" s="122" t="n">
        <f aca="false">IF(ISNA(VLOOKUP(A72,'Données projet'!$A$191:$I$211,5,0)),0%,VLOOKUP(A72,'Données projet'!$A$191:$I$211,5,0)*VLOOKUP('Données projet'!$B$15,Paramètres!$A$1:$I$89,7,0))</f>
        <v>0</v>
      </c>
      <c r="ET72" s="122" t="n">
        <f aca="false">IF(ISNA(VLOOKUP(A72,'Données projet'!$A$191:$I$211,6,0)),0%,VLOOKUP(A72,'Données projet'!$A$191:$I$211,6,0)*VLOOKUP('Données projet'!$B$15,Paramètres!$A$1:$I$89,7,0))</f>
        <v>0</v>
      </c>
      <c r="EU72" s="122" t="n">
        <f aca="false">IF(ISNA(VLOOKUP(A72,'Données projet'!$A$191:$I$211,7,0)),0%,VLOOKUP(A72,'Données projet'!$A$191:$I$211,7,0))</f>
        <v>0</v>
      </c>
      <c r="EV72" s="129" t="e">
        <f aca="false">EXP(-LN(2)/35)*EV71+(1-EXP(-LN(2)/35))/(LN(2)/35)*ER72*ES72*VLOOKUP('Données projet'!$B$15,Paramètres!$A$1:$I$89,3,0)*0.475*44/12</f>
        <v>#N/A</v>
      </c>
      <c r="EW72" s="129" t="e">
        <f aca="false">EXP(-LN(2)/25)*EW71+(1-EXP(-LN(2)/25))/(LN(2)/25)*Calculateur!ER72*Calculateur!ET72*VLOOKUP('Données projet'!$B$15,Paramètres!$A$1:$I$89,3,0)*0.475*44/12</f>
        <v>#N/A</v>
      </c>
      <c r="EX72" s="129" t="e">
        <f aca="false">EXP(-LN(2)/2)*EX71+(1-EXP(-LN(2)/2))/(LN(2)/2)*ER72*EU72*VLOOKUP('Données projet'!$B$15,Paramètres!$A$1:$I$89,3,0)*0.475*44/12</f>
        <v>#N/A</v>
      </c>
      <c r="EY72" s="130" t="e">
        <f aca="false">SUM(EV72:EX72)</f>
        <v>#N/A</v>
      </c>
      <c r="EZ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8" t="e">
        <f aca="false">VLOOKUP(A72,'Données projet'!$A$217:$I$237,2,0)</f>
        <v>#N/A</v>
      </c>
      <c r="FC72" s="118" t="e">
        <f aca="false">VLOOKUP(A72,'Données projet'!$A$217:$I$237,9,0)</f>
        <v>#N/A</v>
      </c>
      <c r="FD72" s="118" t="n">
        <f aca="false" t="array" ref="FD72:FD72">INDEX(FC:FC,MIN(IF(ISNUMBER(FC72:FC268),ROW(FC72:FC268),"")))</f>
        <v>0</v>
      </c>
      <c r="FE72" s="118" t="n">
        <f aca="false">IF('Données projet'!$A$218&gt;35,FE71+FD72-FM71,IF(A72&lt;'Données projet'!$A$218,$FB$205^A72,IF(A72='Données projet'!$A$218,'Données projet'!$B$218,FE71+FD72-FM71)))</f>
        <v>0</v>
      </c>
      <c r="FF72" s="125" t="e">
        <f aca="false">FE72*VLOOKUP('Données projet'!$B$16,Paramètres!$A$1:$I$89,3,0)*VLOOKUP('Données projet'!$B$16,Paramètres!$A$1:$I$89,5,0)</f>
        <v>#N/A</v>
      </c>
      <c r="FG72" s="117" t="e">
        <f aca="false">EXP(-1.0587+0.8836*LN(FF72)+0.284)</f>
        <v>#N/A</v>
      </c>
      <c r="FH72" s="128" t="e">
        <f aca="false">(FF72+FG72)*0.475*44/12</f>
        <v>#N/A</v>
      </c>
      <c r="FI72" s="120" t="e">
        <f aca="false">FH72+(EZ72+FA72)*44/12</f>
        <v>#N/A</v>
      </c>
      <c r="FJ72" s="120" t="e">
        <f aca="true">AVERAGE(OFFSET($FI$3,0,0,'Données projet'!$E$16+1,1))-AVERAGE(OFFSET($H$3,0,0,'Données projet'!$E$16+1,1))</f>
        <v>#N/A</v>
      </c>
      <c r="FK72" s="120" t="e">
        <f aca="false">$FK$3</f>
        <v>#N/A</v>
      </c>
      <c r="FL72" s="121" t="n">
        <f aca="false">IF(ISNA(VLOOKUP(A72,'Données projet'!$A$217:$I$237,3,0)),0,VLOOKUP(A72,'Données projet'!$A$217:$I$237,3,0))</f>
        <v>0</v>
      </c>
      <c r="FM72" s="121" t="n">
        <f aca="false">IF(ISNA(VLOOKUP(A72,'Données projet'!$A$217:$I$237,4,0)),0,VLOOKUP(A72,'Données projet'!$A$217:$I$237,4,0))</f>
        <v>0</v>
      </c>
      <c r="FN72" s="122" t="n">
        <f aca="false">IF(ISNA(VLOOKUP(A72,'Données projet'!$A$217:$I$237,5,0)),0%,VLOOKUP(A72,'Données projet'!$A$217:$I$237,5,0)*VLOOKUP('Données projet'!$B$16,Paramètres!$A$1:$I$89,7,0))</f>
        <v>0</v>
      </c>
      <c r="FO72" s="122" t="n">
        <f aca="false">IF(ISNA(VLOOKUP(A72,'Données projet'!$A$217:$I$237,6,0)),0%,VLOOKUP(A72,'Données projet'!$A$217:$I$237,6,0)*VLOOKUP('Données projet'!$B$16,Paramètres!$A$1:$I$89,7,0))</f>
        <v>0</v>
      </c>
      <c r="FP72" s="122" t="n">
        <f aca="false">IF(ISNA(VLOOKUP(A72,'Données projet'!$A$217:$I$237,7,0)),0%,VLOOKUP(A72,'Données projet'!$A$217:$I$237,7,0))</f>
        <v>0</v>
      </c>
      <c r="FQ72" s="129" t="e">
        <f aca="false">EXP(-LN(2)/35)*FQ71+(1-EXP(-LN(2)/35))/(LN(2)/35)*FM72*FN72*VLOOKUP('Données projet'!$B$16,Paramètres!$A$1:$I$89,3,0)*0.475*44/12</f>
        <v>#N/A</v>
      </c>
      <c r="FR72" s="129" t="e">
        <f aca="false">EXP(-LN(2)/25)*FR71+(1-EXP(-LN(2)/25))/(LN(2)/25)*Calculateur!FM72*Calculateur!FO72*VLOOKUP('Données projet'!$B$16,Paramètres!$A$1:$I$89,3,0)*0.475*44/12</f>
        <v>#N/A</v>
      </c>
      <c r="FS72" s="129" t="e">
        <f aca="false">EXP(-LN(2)/2)*FS71+(1-EXP(-LN(2)/2))/(LN(2)/2)*FM72*FP72*VLOOKUP('Données projet'!$B$16,Paramètres!$A$1:$I$89,3,0)*0.475*44/12</f>
        <v>#N/A</v>
      </c>
      <c r="FT72" s="130" t="e">
        <f aca="false">SUM(FQ72:FS72)</f>
        <v>#N/A</v>
      </c>
      <c r="FU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8" t="e">
        <f aca="false">VLOOKUP(A72,'Données projet'!$A$243:$I$263,2,0)</f>
        <v>#N/A</v>
      </c>
      <c r="FX72" s="118" t="e">
        <f aca="false">VLOOKUP(A72,'Données projet'!$A$243:$I$263,9,0)</f>
        <v>#N/A</v>
      </c>
      <c r="FY72" s="118" t="n">
        <f aca="false" t="array" ref="FY72:FY72">INDEX(FX:FX,MIN(IF(ISNUMBER(FX72:FX268),ROW(FX72:FX268),"")))</f>
        <v>0</v>
      </c>
      <c r="FZ72" s="118" t="n">
        <f aca="false">IF('Données projet'!$A$244&gt;35,FZ71+FY72-GH71,IF(A72&lt;'Données projet'!$A$244,$FW$205^A72,IF(A72='Données projet'!$A$244,'Données projet'!$B$244,FZ71+FY72-GH71)))</f>
        <v>0</v>
      </c>
      <c r="GA72" s="125" t="e">
        <f aca="false">FZ72*VLOOKUP('Données projet'!$B$17,Paramètres!$A$1:$I$89,3,0)*VLOOKUP('Données projet'!$B$17,Paramètres!$A$1:$I$89,5,0)</f>
        <v>#N/A</v>
      </c>
      <c r="GB72" s="117" t="e">
        <f aca="false">EXP(-1.0587+0.8836*LN(GA72)+0.284)</f>
        <v>#N/A</v>
      </c>
      <c r="GC72" s="128" t="e">
        <f aca="false">(GA72+GB72)*0.475*44/12</f>
        <v>#N/A</v>
      </c>
      <c r="GD72" s="120" t="e">
        <f aca="false">GC72+(FU72+FV72)*44/12</f>
        <v>#N/A</v>
      </c>
      <c r="GE72" s="120" t="e">
        <f aca="true">AVERAGE(OFFSET($GD$3,0,0,'Données projet'!$E$17+1,1))-AVERAGE(OFFSET($H$3,0,0,'Données projet'!$E$17+1,1))</f>
        <v>#N/A</v>
      </c>
      <c r="GF72" s="120" t="e">
        <f aca="false">$GF$3</f>
        <v>#N/A</v>
      </c>
      <c r="GG72" s="121" t="n">
        <f aca="false">IF(ISNA(VLOOKUP(A72,'Données projet'!$A$243:$I$263,3,0)),0,VLOOKUP(A72,'Données projet'!$A$243:$I$263,3,0))</f>
        <v>0</v>
      </c>
      <c r="GH72" s="121" t="n">
        <f aca="false">IF(ISNA(VLOOKUP(A72,'Données projet'!$A$243:$I$263,4,0)),0,VLOOKUP(A72,'Données projet'!$A$243:$I$263,4,0))</f>
        <v>0</v>
      </c>
      <c r="GI72" s="122" t="n">
        <f aca="false">IF(ISNA(VLOOKUP(A72,'Données projet'!$A$243:$I$263,5,0)),0%,VLOOKUP(A72,'Données projet'!$A$243:$I$263,5,0)*VLOOKUP('Données projet'!$B$17,Paramètres!$A$1:$I$89,7,0))</f>
        <v>0</v>
      </c>
      <c r="GJ72" s="122" t="n">
        <f aca="false">IF(ISNA(VLOOKUP(A72,'Données projet'!$A$243:$I$263,6,0)),0%,VLOOKUP(A72,'Données projet'!$A$243:$I$263,6,0)*VLOOKUP('Données projet'!$B$17,Paramètres!$A$1:$I$89,7,0))</f>
        <v>0</v>
      </c>
      <c r="GK72" s="122" t="n">
        <f aca="false">IF(ISNA(VLOOKUP(A72,'Données projet'!$A$243:$I$263,7,0)),0%,VLOOKUP(A72,'Données projet'!$A$243:$I$263,7,0))</f>
        <v>0</v>
      </c>
      <c r="GL72" s="129" t="e">
        <f aca="false">EXP(-LN(2)/35)*GL71+(1-EXP(-LN(2)/35))/(LN(2)/35)*GH72*GI72*VLOOKUP('Données projet'!$B$17,Paramètres!$A$1:$I$89,3,0)*0.475*44/12</f>
        <v>#N/A</v>
      </c>
      <c r="GM72" s="129" t="e">
        <f aca="false">EXP(-LN(2)/25)*GM71+(1-EXP(-LN(2)/25))/(LN(2)/25)*Calculateur!GH72*Calculateur!GJ72*VLOOKUP('Données projet'!$B$17,Paramètres!$A$1:$I$89,3,0)*0.475*44/12</f>
        <v>#N/A</v>
      </c>
      <c r="GN72" s="129" t="e">
        <f aca="false">EXP(-LN(2)/2)*GN71+(1-EXP(-LN(2)/2))/(LN(2)/2)*GH72*GK72*VLOOKUP('Données projet'!$B$17,Paramètres!$A$1:$I$89,3,0)*0.475*44/12</f>
        <v>#N/A</v>
      </c>
      <c r="GO72" s="129" t="e">
        <f aca="false">SUM(GL72:GN72)</f>
        <v>#N/A</v>
      </c>
      <c r="GP72" s="126" t="n">
        <f aca="false"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8" t="n">
        <f aca="false"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8" t="e">
        <f aca="false">VLOOKUP(A72,'Données projet'!$A$269:$I$289,2,0)</f>
        <v>#N/A</v>
      </c>
      <c r="GS72" s="118" t="e">
        <f aca="false">VLOOKUP(A72,'Données projet'!$A$269:$I$289,9,0)</f>
        <v>#N/A</v>
      </c>
      <c r="GT72" s="118" t="n">
        <f aca="false" t="array" ref="GT72:GT72">INDEX(GS:GS,MIN(IF(ISNUMBER(GS72:GS268),ROW(GS72:GS268),"")))</f>
        <v>0</v>
      </c>
      <c r="GU72" s="118" t="n">
        <f aca="false">IF('Données projet'!$A$270&gt;35,GU71+GT72-HC71,IF(A72&lt;'Données projet'!$A$270,$GR$205^A72,IF(A72='Données projet'!$A$270,'Données projet'!$B$270,GU71+GT72-HC71)))</f>
        <v>0</v>
      </c>
      <c r="GV72" s="125" t="e">
        <f aca="false">GU72*VLOOKUP('Données projet'!$B$18,Paramètres!$A$1:$I$89,3,0)*VLOOKUP('Données projet'!$B$18,Paramètres!$A$1:$I$89,5,0)</f>
        <v>#N/A</v>
      </c>
      <c r="GW72" s="117" t="e">
        <f aca="false">EXP(-1.0587+0.8836*LN(GV72)+0.284)</f>
        <v>#N/A</v>
      </c>
      <c r="GX72" s="128" t="e">
        <f aca="false">(GV72+GW72)*0.475*44/12</f>
        <v>#N/A</v>
      </c>
      <c r="GY72" s="120" t="e">
        <f aca="false">GX72+(GP72+GQ72)*44/12</f>
        <v>#N/A</v>
      </c>
      <c r="GZ72" s="120" t="e">
        <f aca="true">AVERAGE(OFFSET($GY$3,0,0,'Données projet'!$E$18+1,1))-AVERAGE(OFFSET($H$3,0,0,'Données projet'!$E$18+1,1))</f>
        <v>#N/A</v>
      </c>
      <c r="HA72" s="120" t="e">
        <f aca="false">$HA$3</f>
        <v>#N/A</v>
      </c>
      <c r="HB72" s="121" t="n">
        <f aca="false">IF(ISNA(VLOOKUP(A72,'Données projet'!$A$269:$I$289,3,0)),0,VLOOKUP(A72,'Données projet'!$A$269:$I$289,3,0))</f>
        <v>0</v>
      </c>
      <c r="HC72" s="121" t="n">
        <f aca="false">IF(ISNA(VLOOKUP(A72,'Données projet'!$A$269:$I$289,4,0)),0,VLOOKUP(A72,'Données projet'!$A$269:$I$289,4,0))</f>
        <v>0</v>
      </c>
      <c r="HD72" s="122" t="n">
        <f aca="false">IF(ISNA(VLOOKUP(A72,'Données projet'!$A$269:$I$289,5,0)),0%,VLOOKUP(A72,'Données projet'!$A$269:$I$289,5,0)*VLOOKUP('Données projet'!$B$18,Paramètres!$A$1:$I$89,7,0))</f>
        <v>0</v>
      </c>
      <c r="HE72" s="122" t="n">
        <f aca="false">IF(ISNA(VLOOKUP(A72,'Données projet'!$A$269:$I$289,6,0)),0%,VLOOKUP(A72,'Données projet'!$A$269:$I$289,6,0)*VLOOKUP('Données projet'!$B$18,Paramètres!$A$1:$I$89,7,0))</f>
        <v>0</v>
      </c>
      <c r="HF72" s="122" t="n">
        <f aca="false">IF(ISNA(VLOOKUP(A72,'Données projet'!$A$269:$I$289,7,0)),0%,VLOOKUP(A72,'Données projet'!$A$269:$I$289,7,0))</f>
        <v>0</v>
      </c>
      <c r="HG72" s="129" t="e">
        <f aca="false">EXP(-LN(2)/35)*HG71+(1-EXP(-LN(2)/35))/(LN(2)/35)*HC72*HD72*VLOOKUP('Données projet'!$B$18,Paramètres!$A$1:$I$89,3,0)*0.475*44/12</f>
        <v>#N/A</v>
      </c>
      <c r="HH72" s="129" t="e">
        <f aca="false">EXP(-LN(2)/25)*HH71+(1-EXP(-LN(2)/25))/(LN(2)/25)*Calculateur!HC72*Calculateur!HE72*VLOOKUP('Données projet'!$B$18,Paramètres!$A$1:$I$89,3,0)*0.475*44/12</f>
        <v>#N/A</v>
      </c>
      <c r="HI72" s="129" t="e">
        <f aca="false">EXP(-LN(2)/2)*HI71+(1-EXP(-LN(2)/2))/(LN(2)/2)*HC72*HF72*VLOOKUP('Données projet'!$B$18,Paramètres!$A$1:$I$89,3,0)*0.475*44/12</f>
        <v>#N/A</v>
      </c>
      <c r="HJ72" s="130" t="e">
        <f aca="false">SUM(HG72:HI72)</f>
        <v>#N/A</v>
      </c>
    </row>
    <row r="73" customFormat="false" ht="14.25" hidden="false" customHeight="false" outlineLevel="0" collapsed="false">
      <c r="A73" s="112" t="n">
        <f aca="false">A72+1</f>
        <v>70</v>
      </c>
      <c r="B73" s="113" t="n">
        <f aca="false">'Scénario référence'!$B$16*5+'Scénario référence'!$B$17*0+'Scénario référence'!$B$18*5</f>
        <v>0</v>
      </c>
      <c r="C73" s="127" t="n">
        <f aca="false"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4" t="n">
        <f aca="false">IFERROR(EXP(-1.0587+0.8836*LN(C73)+0.284),0)</f>
        <v>0</v>
      </c>
      <c r="E7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3" s="114" t="n">
        <f aca="false">IF(OR('Scénario référence'!$F$8&gt;0,'Scénario référence'!$F$9&gt;0),('Scénario référence'!$F$8+'Scénario référence'!$F$9)*10,0)</f>
        <v>0</v>
      </c>
      <c r="G73" s="114" t="n">
        <f aca="false"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15" t="n">
        <f aca="false">(B73+E73+F73)*44/12+(C73+D73)*0.475*44/12</f>
        <v>256.666666666667</v>
      </c>
      <c r="I73" s="11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7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8" t="n">
        <f aca="false">VLOOKUP(A73,'Données projet'!$A$35:$I$55,2,0)</f>
        <v>423.5</v>
      </c>
      <c r="L73" s="118" t="n">
        <f aca="false">VLOOKUP(A73,'Données projet'!$A$35:$I$55,9,0)</f>
        <v>15.5</v>
      </c>
      <c r="M73" s="118" t="n">
        <f aca="false" t="array" ref="M73:M73">INDEX(L:L,MIN(IF(ISNUMBER(L73:L269),ROW(L73:L269),"")))</f>
        <v>15.5</v>
      </c>
      <c r="N73" s="117" t="n">
        <f aca="false">IF('Données projet'!$A$36&gt;35,N72+M73-V72,IF(A73&lt;'Données projet'!$A$36,$K$205^A73,IF(A73='Données projet'!$A$36,'Données projet'!$B$36,N72+M73-V72)))</f>
        <v>423.5</v>
      </c>
      <c r="O73" s="117" t="n">
        <f aca="false">N73*VLOOKUP('Données projet'!$B$9,Paramètres!$A$1:$I$89,3,0)*VLOOKUP('Données projet'!$B$9,Paramètres!$A$1:$I$89,5,0)</f>
        <v>198.198</v>
      </c>
      <c r="P73" s="117" t="n">
        <f aca="false">EXP(-1.0587+0.8836*LN(O73)+0.284)</f>
        <v>49.3479342984514</v>
      </c>
      <c r="Q73" s="128" t="n">
        <f aca="false">(O73+P73)*0.475*44/12</f>
        <v>431.14250223647</v>
      </c>
      <c r="R73" s="120" t="n">
        <f aca="false">Q73+(I73+J73)*44/12</f>
        <v>724.475835569803</v>
      </c>
      <c r="S73" s="120" t="n">
        <f aca="true">AVERAGE(OFFSET($R$3,0,0,'Données projet'!$E$9+1,1))-AVERAGE(OFFSET($H$3,0,0,'Données projet'!$E$9+1,1))</f>
        <v>319.229030946746</v>
      </c>
      <c r="T73" s="120" t="n">
        <f aca="false">$T$3</f>
        <v>254.586909731428</v>
      </c>
      <c r="U73" s="121" t="n">
        <f aca="false">IF(ISNA(VLOOKUP(A73,'Données projet'!$A$35:$I$55,3,0)),0,VLOOKUP(A73,'Données projet'!$A$35:$I$55,3,0))</f>
        <v>6</v>
      </c>
      <c r="V73" s="121" t="n">
        <f aca="false">IF(ISNA(VLOOKUP(A73,'Données projet'!$A$35:$I$55,4,0)),0,VLOOKUP(A73,'Données projet'!$A$35:$I$55,4,0))</f>
        <v>87</v>
      </c>
      <c r="W73" s="122" t="n">
        <f aca="false">IF(ISNA(VLOOKUP(A73,'Données projet'!$A$35:$I$55,5,0)),0%,VLOOKUP(A73,'Données projet'!$A$35:$I$55,5,0)*VLOOKUP('Données projet'!$B$9,Paramètres!$A$1:$I$89,7,0))</f>
        <v>0</v>
      </c>
      <c r="X73" s="122" t="n">
        <f aca="false">IF(ISNA(VLOOKUP(A73,'Données projet'!$A$35:$I$55,6,0)),0%,VLOOKUP(A73,'Données projet'!$A$35:$I$55,6,0)*VLOOKUP('Données projet'!$B$9,Paramètres!$A$1:$I$89,7,0))</f>
        <v>0</v>
      </c>
      <c r="Y73" s="122" t="n">
        <f aca="false">IF(ISNA(VLOOKUP(A73,'Données projet'!$A$35:$I$55,7,0)),0%,VLOOKUP(A73,'Données projet'!$A$35:$I$55,7,0))</f>
        <v>0</v>
      </c>
      <c r="Z73" s="129" t="n">
        <f aca="false">EXP(-LN(2)/35)*Z72+(1-EXP(-LN(2)/35))/(LN(2)/35)*V73*W73*VLOOKUP('Données projet'!$B$9,Paramètres!$A$1:$I$89,3,0)*0.475*44/12</f>
        <v>4.11024967749119</v>
      </c>
      <c r="AA73" s="129" t="n">
        <f aca="false">EXP(-LN(2)/25)*AA72+(1-EXP(-LN(2)/25))/(LN(2)/25)*Calculateur!V73*Calculateur!X73*VLOOKUP('Données projet'!$B$9,Paramètres!$A$1:$I$89,3,0)*0.475*44/12</f>
        <v>3.67856381037102</v>
      </c>
      <c r="AB73" s="129" t="n">
        <f aca="false">EXP(-LN(2)/2)*AB72+(1-EXP(-LN(2)/2))/(LN(2)/2)*V73*Y73*VLOOKUP('Données projet'!$B$9,Paramètres!$A$1:$I$89,3,0)*0.475*44/12</f>
        <v>1.053154816017E-005</v>
      </c>
      <c r="AC73" s="130" t="n">
        <f aca="false">SUM(Z73:AB73)</f>
        <v>7.78882401941037</v>
      </c>
      <c r="AD73" s="117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7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8" t="e">
        <f aca="false">VLOOKUP(A73,'Données projet'!$A$61:$I$81,2,0)</f>
        <v>#N/A</v>
      </c>
      <c r="AG73" s="118" t="e">
        <f aca="false">VLOOKUP(A73,'Données projet'!$A$61:$I$81,9,0)</f>
        <v>#N/A</v>
      </c>
      <c r="AH73" s="118" t="n">
        <f aca="false" t="array" ref="AH73:AH73">INDEX(AG:AG,MIN(IF(ISNUMBER(AG73:AG269),ROW(AG73:AG269),"")))</f>
        <v>0</v>
      </c>
      <c r="AI73" s="117" t="n">
        <f aca="false">IF('Données projet'!$A$62&gt;35,AI72+AH73-AQ72,IF(A73&lt;'Données projet'!$A$62,$AF$205^A73,IF(A73='Données projet'!$A$62,'Données projet'!$B$62,AI72+AH73-AQ72)))</f>
        <v>1.13686837721616E-013</v>
      </c>
      <c r="AJ73" s="117" t="n">
        <f aca="false">AI73*VLOOKUP('Données projet'!$B$10,Paramètres!$A$1:$I$89,3,0)*VLOOKUP('Données projet'!$B$10,Paramètres!$A$1:$I$89,5,0)</f>
        <v>6.35509422863834E-014</v>
      </c>
      <c r="AK73" s="117" t="n">
        <f aca="false">EXP(-1.0587+0.8836*LN(AJ73)+0.284)</f>
        <v>1.0064464192544E-012</v>
      </c>
      <c r="AL73" s="128" t="n">
        <f aca="false">(AJ73+AK73)*0.475*44/12</f>
        <v>1.86357873801686E-012</v>
      </c>
      <c r="AM73" s="120" t="n">
        <f aca="false">AL73+(AD73+AE73)*44/12</f>
        <v>293.333333333335</v>
      </c>
      <c r="AN73" s="120" t="n">
        <f aca="true">AVERAGE(OFFSET($AM$3,0,0,'Données projet'!$E$10+1,1))-AVERAGE(OFFSET($H$3,0,0,'Données projet'!$E$10+1,1))</f>
        <v>365.705101827279</v>
      </c>
      <c r="AO73" s="120" t="n">
        <f aca="false">$AO$3</f>
        <v>436.238338449625</v>
      </c>
      <c r="AP73" s="121" t="n">
        <f aca="false">IF(ISNA(VLOOKUP(A73,'Données projet'!$A$61:$I$81,3,0)),0,VLOOKUP(A73,'Données projet'!$A$61:$I$81,3,0))</f>
        <v>0</v>
      </c>
      <c r="AQ73" s="121" t="n">
        <f aca="false">IF(ISNA(VLOOKUP(A73,'Données projet'!$A$61:$I$81,4,0)),0,VLOOKUP(A73,'Données projet'!$A$61:$I$81,4,0))</f>
        <v>0</v>
      </c>
      <c r="AR73" s="122" t="n">
        <f aca="false">IF(ISNA(VLOOKUP(A73,'Données projet'!$A$61:$I$81,5,0)),0%,VLOOKUP(A73,'Données projet'!$A$61:$I$81,5,0)*VLOOKUP('Données projet'!$B$10,Paramètres!$A$1:$I$89,7,0))</f>
        <v>0</v>
      </c>
      <c r="AS73" s="122" t="n">
        <f aca="false">IF(ISNA(VLOOKUP(A73,'Données projet'!$A$61:$I$81,6,0)),0%,VLOOKUP(A73,'Données projet'!$A$61:$I$81,6,0)*VLOOKUP('Données projet'!$B$10,Paramètres!$A$1:$I$89,7,0))</f>
        <v>0</v>
      </c>
      <c r="AT73" s="122" t="n">
        <f aca="false">IF(ISNA(VLOOKUP(A73,'Données projet'!$A$61:$I$81,7,0)),0%,VLOOKUP(A73,'Données projet'!$A$61:$I$81,7,0))</f>
        <v>0</v>
      </c>
      <c r="AU73" s="129" t="n">
        <f aca="false">EXP(-LN(2)/35)*AU72+(1-EXP(-LN(2)/35))/(LN(2)/35)*AQ73*AR73*VLOOKUP('Données projet'!$B$10,Paramètres!$A$1:$I$89,3,0)*0.475*44/12</f>
        <v>1.55148599316432</v>
      </c>
      <c r="AV73" s="129" t="n">
        <f aca="false">EXP(-LN(2)/25)*AV72+(1-EXP(-LN(2)/25))/(LN(2)/25)*Calculateur!AQ73*Calculateur!AS73*VLOOKUP('Données projet'!$B$10,Paramètres!$A$1:$I$89,3,0)*0.475*44/12</f>
        <v>4.35705993389203</v>
      </c>
      <c r="AW73" s="129" t="n">
        <f aca="false">EXP(-LN(2)/2)*AW72+(1-EXP(-LN(2)/2))/(LN(2)/2)*AQ73*AT73*VLOOKUP('Données projet'!$B$10,Paramètres!$A$1:$I$89,3,0)*0.475*44/12</f>
        <v>5.66775005881862E-006</v>
      </c>
      <c r="AX73" s="129" t="n">
        <f aca="false">SUM(AU73:AW73)</f>
        <v>5.9085515948064</v>
      </c>
      <c r="AY73" s="124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8" t="n">
        <f aca="false">VLOOKUP(A73,'Données projet'!$A$87:$I$107,2,0)</f>
        <v>249</v>
      </c>
      <c r="BB73" s="118" t="n">
        <f aca="false">VLOOKUP(A73,'Données projet'!$A$87:$I$107,9,0)</f>
        <v>5.2</v>
      </c>
      <c r="BC73" s="118" t="n">
        <f aca="false" t="array" ref="BC73:BC73">INDEX(BB:BB,MIN(IF(ISNUMBER(BB73:BB269),ROW(BB73:BB269),"")))</f>
        <v>5.2</v>
      </c>
      <c r="BD73" s="118" t="n">
        <f aca="false">IF('Données projet'!$A$88&gt;35,BD72+BC73-BL72,IF(A73&lt;'Données projet'!$A$88,$BA$205^A73,IF(A73='Données projet'!$A$88,'Données projet'!$B$88,BD72+BC73-BL72)))</f>
        <v>249</v>
      </c>
      <c r="BE73" s="117" t="n">
        <f aca="false">BD73*VLOOKUP('Données projet'!$B$11,Paramètres!$A$1:$I$89,3,0)*VLOOKUP('Données projet'!$B$11,Paramètres!$A$1:$I$89,5,0)</f>
        <v>217.5264</v>
      </c>
      <c r="BF73" s="117" t="n">
        <f aca="false">EXP(-1.0587+0.8836*LN(BE73)+0.284)</f>
        <v>53.5769076906513</v>
      </c>
      <c r="BG73" s="128" t="n">
        <f aca="false">(BE73+BF73)*0.475*44/12</f>
        <v>472.171594227885</v>
      </c>
      <c r="BH73" s="120" t="n">
        <f aca="false">BG73+(AY73+AZ73)*44/12</f>
        <v>765.504927561218</v>
      </c>
      <c r="BI73" s="120" t="n">
        <f aca="true">AVERAGE(OFFSET($BH$3,0,0,'Données projet'!$E$11+1,1))-AVERAGE(OFFSET($H$3,0,0,'Données projet'!$E$11+1,1))</f>
        <v>321.235999689929</v>
      </c>
      <c r="BJ73" s="120" t="n">
        <f aca="false">$BJ$3</f>
        <v>388.051958478005</v>
      </c>
      <c r="BK73" s="121" t="n">
        <f aca="false">IF(ISNA(VLOOKUP(A73,'Données projet'!$A$87:$I$107,3,0)),0,VLOOKUP(A73,'Données projet'!$A$87:$I$107,3,0))</f>
        <v>12</v>
      </c>
      <c r="BL73" s="121" t="n">
        <f aca="false">IF(ISNA(VLOOKUP(A73,'Données projet'!$A$87:$I$107,4,0)),0,VLOOKUP(A73,'Données projet'!$A$87:$I$107,4,0))</f>
        <v>249</v>
      </c>
      <c r="BM73" s="122" t="n">
        <f aca="false">IF(ISNA(VLOOKUP(A73,'Données projet'!$A$87:$I$107,5,0)),0%,VLOOKUP(A73,'Données projet'!$A$87:$I$107,5,0)*VLOOKUP('Données projet'!$B$11,Paramètres!$A$1:$I$89,7,0))</f>
        <v>0</v>
      </c>
      <c r="BN73" s="122" t="n">
        <f aca="false">IF(ISNA(VLOOKUP(A73,'Données projet'!$A$87:$I$107,6,0)),0%,VLOOKUP(A73,'Données projet'!$A$87:$I$107,6,0)*VLOOKUP('Données projet'!$B$11,Paramètres!$A$1:$I$89,7,0))</f>
        <v>0</v>
      </c>
      <c r="BO73" s="122" t="n">
        <f aca="false">IF(ISNA(VLOOKUP(A73,'Données projet'!$A$87:$I$107,7,0)),0%,VLOOKUP(A73,'Données projet'!$A$87:$I$107,7,0))</f>
        <v>0</v>
      </c>
      <c r="BP73" s="129" t="n">
        <f aca="false">EXP(-LN(2)/35)*BP72+(1-EXP(-LN(2)/35))/(LN(2)/35)*BL73*BM73*VLOOKUP('Données projet'!$B$11,Paramètres!$A$1:$I$89,3,0)*0.475*44/12</f>
        <v>3.89519386169091</v>
      </c>
      <c r="BQ73" s="129" t="n">
        <f aca="false">EXP(-LN(2)/25)*BQ72+(1-EXP(-LN(2)/25))/(LN(2)/25)*Calculateur!BL73*Calculateur!BN73*VLOOKUP('Données projet'!$B$11,Paramètres!$A$1:$I$89,3,0)*0.475*44/12</f>
        <v>4.44742798715734</v>
      </c>
      <c r="BR73" s="129" t="n">
        <f aca="false">EXP(-LN(2)/2)*BR72+(1-EXP(-LN(2)/2))/(LN(2)/2)*BL73*BO73*VLOOKUP('Données projet'!$B$11,Paramètres!$A$1:$I$89,3,0)*0.475*44/12</f>
        <v>5.76115012864564E-006</v>
      </c>
      <c r="BS73" s="130" t="n">
        <f aca="false">SUM(BP73:BR73)</f>
        <v>8.34262760999838</v>
      </c>
      <c r="BT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8" t="e">
        <f aca="false">VLOOKUP(A73,'Données projet'!$A$113:$I$133,2,0)</f>
        <v>#N/A</v>
      </c>
      <c r="BW73" s="118" t="e">
        <f aca="false">VLOOKUP(A73,'Données projet'!$A$113:$I$133,9,0)</f>
        <v>#N/A</v>
      </c>
      <c r="BX73" s="118" t="n">
        <f aca="false" t="array" ref="BX73:BX73">INDEX(BW:BW,MIN(IF(ISNUMBER(BW73:BW269),ROW(BW73:BW269),"")))</f>
        <v>0</v>
      </c>
      <c r="BY73" s="118" t="n">
        <f aca="false">IF('Données projet'!$A$114&gt;35,BY72+BX73-CG72,IF(A73&lt;'Données projet'!$A$114,$BV$205^A73,IF(A73='Données projet'!$A$114,'Données projet'!$B$114,BY72+BX73-CG72)))</f>
        <v>0</v>
      </c>
      <c r="BZ73" s="117" t="n">
        <f aca="false">BY73*VLOOKUP('Données projet'!$B$12,Paramètres!$A$1:$I$89,3,0)*VLOOKUP('Données projet'!$B$12,Paramètres!$A$1:$I$89,5,0)</f>
        <v>0</v>
      </c>
      <c r="CA73" s="117" t="e">
        <f aca="false">EXP(-1.0587+0.8836*LN(BZ73)+0.284)</f>
        <v>#VALUE!</v>
      </c>
      <c r="CB73" s="128" t="e">
        <f aca="false">(BZ73+CA73)*0.475*44/12</f>
        <v>#VALUE!</v>
      </c>
      <c r="CC73" s="120" t="e">
        <f aca="false">CB73+(BT73+BU73)*44/12</f>
        <v>#VALUE!</v>
      </c>
      <c r="CD73" s="120" t="n">
        <f aca="true">AVERAGE(OFFSET($CC$3,0,0,'Données projet'!$E$12+1,1))-AVERAGE(OFFSET($H$3,0,0,'Données projet'!$E$12+1,1))</f>
        <v>240.228848647662</v>
      </c>
      <c r="CE73" s="120" t="n">
        <f aca="false">$CE$3</f>
        <v>343.237768841432</v>
      </c>
      <c r="CF73" s="121" t="n">
        <f aca="false">IF(ISNA(VLOOKUP(A73,'Données projet'!$A$113:$I$133,3,0)),0,VLOOKUP(A73,'Données projet'!$A$113:$I$133,3,0))</f>
        <v>0</v>
      </c>
      <c r="CG73" s="121" t="n">
        <f aca="false">IF(ISNA(VLOOKUP(A73,'Données projet'!$A$113:$I$133,4,0)),0,VLOOKUP(A73,'Données projet'!$A$113:$I$133,4,0))</f>
        <v>0</v>
      </c>
      <c r="CH73" s="122" t="n">
        <f aca="false">IF(ISNA(VLOOKUP(A73,'Données projet'!$A$113:$I$133,5,0)),0%,VLOOKUP(A73,'Données projet'!$A$113:$I$133,5,0)*VLOOKUP('Données projet'!$B$12,Paramètres!$A$1:$I$89,7,0))</f>
        <v>0</v>
      </c>
      <c r="CI73" s="122" t="n">
        <f aca="false">IF(ISNA(VLOOKUP(A73,'Données projet'!$A$113:$I$133,6,0)),0%,VLOOKUP(A73,'Données projet'!$A$113:$I$133,6,0)*VLOOKUP('Données projet'!$B$12,Paramètres!$A$1:$I$89,7,0))</f>
        <v>0</v>
      </c>
      <c r="CJ73" s="122" t="n">
        <f aca="false">IF(ISNA(VLOOKUP(A73,'Données projet'!$A$113:$I$133,7,0)),0%,VLOOKUP(A73,'Données projet'!$A$113:$I$133,7,0))</f>
        <v>0</v>
      </c>
      <c r="CK73" s="129" t="n">
        <f aca="false">EXP(-LN(2)/35)*CK72+(1-EXP(-LN(2)/35))/(LN(2)/35)*CG73*CH73*VLOOKUP('Données projet'!$B$12,Paramètres!$A$1:$I$89,3,0)*0.475*44/12</f>
        <v>2.38416210607673</v>
      </c>
      <c r="CL73" s="129" t="n">
        <f aca="false">EXP(-LN(2)/25)*CL72+(1-EXP(-LN(2)/25))/(LN(2)/25)*Calculateur!CG73*Calculateur!CI73*VLOOKUP('Données projet'!$B$12,Paramètres!$A$1:$I$89,3,0)*0.475*44/12</f>
        <v>7.85441528642206</v>
      </c>
      <c r="CM73" s="129" t="n">
        <f aca="false">EXP(-LN(2)/2)*CM72+(1-EXP(-LN(2)/2))/(LN(2)/2)*CG73*CJ73*VLOOKUP('Données projet'!$B$12,Paramètres!$A$1:$I$89,3,0)*0.475*44/12</f>
        <v>9.19325968357449E-006</v>
      </c>
      <c r="CN73" s="130" t="n">
        <f aca="false">SUM(CK73:CM73)</f>
        <v>10.2385865857585</v>
      </c>
      <c r="CO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8" t="e">
        <f aca="false">VLOOKUP(A73,'Données projet'!$A$139:$I$159,2,0)</f>
        <v>#N/A</v>
      </c>
      <c r="CR73" s="118" t="e">
        <f aca="false">VLOOKUP(A73,'Données projet'!$A$139:$I$159,9,0)</f>
        <v>#N/A</v>
      </c>
      <c r="CS73" s="118" t="n">
        <f aca="false" t="array" ref="CS73:CS73">INDEX(CR:CR,MIN(IF(ISNUMBER(CR73:CR269),ROW(CR73:CR269),"")))</f>
        <v>0</v>
      </c>
      <c r="CT73" s="118" t="n">
        <f aca="false">IF('Données projet'!$A$140&gt;35,CT72+CS73-DB72,IF(A73&lt;'Données projet'!$A$140,$CQ$205^A73,IF(A73='Données projet'!$A$140,'Données projet'!$B$140,CT72+CS73-DB72)))</f>
        <v>-5.6843418860808E-014</v>
      </c>
      <c r="CU73" s="125" t="n">
        <f aca="false">CT73*VLOOKUP('Données projet'!$B$13,Paramètres!$A$1:$I$89,3,0)*VLOOKUP('Données projet'!$B$13,Paramètres!$A$1:$I$89,5,0)</f>
        <v>-3.10365066980012E-014</v>
      </c>
      <c r="CV73" s="117" t="e">
        <f aca="false">EXP(-1.0587+0.8836*LN(CU73)+0.284)</f>
        <v>#VALUE!</v>
      </c>
      <c r="CW73" s="128" t="e">
        <f aca="false">(CU73+CV73)*0.475*44/12</f>
        <v>#VALUE!</v>
      </c>
      <c r="CX73" s="120" t="e">
        <f aca="false">CW73+(CO73+CP73)*44/12</f>
        <v>#VALUE!</v>
      </c>
      <c r="CY73" s="120" t="n">
        <f aca="true">AVERAGE(OFFSET($CX$3,0,0,'Données projet'!$E$13+1,1))-AVERAGE(OFFSET($H$3,0,0,'Données projet'!$E$13+1,1))</f>
        <v>207.023069645676</v>
      </c>
      <c r="CZ73" s="120" t="n">
        <f aca="false">$CZ$3</f>
        <v>342.068879333518</v>
      </c>
      <c r="DA73" s="121" t="n">
        <f aca="false">IF(ISNA(VLOOKUP(A73,'Données projet'!$A$139:$I$159,3,0)),0,VLOOKUP(A73,'Données projet'!$A$139:$I$159,3,0))</f>
        <v>0</v>
      </c>
      <c r="DB73" s="121" t="n">
        <f aca="false">IF(ISNA(VLOOKUP(A73,'Données projet'!$A$139:$I$159,4,0)),0,VLOOKUP(A73,'Données projet'!$A$139:$I$159,4,0))</f>
        <v>0</v>
      </c>
      <c r="DC73" s="122" t="n">
        <f aca="false">IF(ISNA(VLOOKUP(A73,'Données projet'!$A$139:$I$159,5,0)),0%,VLOOKUP(A73,'Données projet'!$A$139:$I$159,5,0)*VLOOKUP('Données projet'!$B$13,Paramètres!$A$1:$I$89,7,0))</f>
        <v>0</v>
      </c>
      <c r="DD73" s="122" t="n">
        <f aca="false">IF(ISNA(VLOOKUP(A73,'Données projet'!$A$139:$I$159,6,0)),0%,VLOOKUP(A73,'Données projet'!$A$139:$I$159,6,0)*VLOOKUP('Données projet'!$B$13,Paramètres!$A$1:$I$89,7,0))</f>
        <v>0</v>
      </c>
      <c r="DE73" s="122" t="n">
        <f aca="false">IF(ISNA(VLOOKUP(A73,'Données projet'!$A$139:$I$159,7,0)),0%,VLOOKUP(A73,'Données projet'!$A$139:$I$159,7,0))</f>
        <v>0</v>
      </c>
      <c r="DF73" s="129" t="n">
        <f aca="false">EXP(-LN(2)/35)*DF72+(1-EXP(-LN(2)/35))/(LN(2)/35)*DB73*DC73*VLOOKUP('Données projet'!$B$13,Paramètres!$A$1:$I$89,3,0)*0.475*44/12</f>
        <v>2.99144868026608</v>
      </c>
      <c r="DG73" s="129" t="n">
        <f aca="false">EXP(-LN(2)/25)*DG72+(1-EXP(-LN(2)/25))/(LN(2)/25)*Calculateur!DB73*Calculateur!DD73*VLOOKUP('Données projet'!$B$13,Paramètres!$A$1:$I$89,3,0)*0.475*44/12</f>
        <v>12.8386977170944</v>
      </c>
      <c r="DH73" s="129" t="n">
        <f aca="false">EXP(-LN(2)/2)*DH72+(1-EXP(-LN(2)/2))/(LN(2)/2)*DB73*DE73*VLOOKUP('Données projet'!$B$13,Paramètres!$A$1:$I$89,3,0)*0.475*44/12</f>
        <v>1.26591228465088E-005</v>
      </c>
      <c r="DI73" s="130" t="n">
        <f aca="false">SUM(DF73:DH73)</f>
        <v>15.8301590564833</v>
      </c>
      <c r="DJ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8" t="e">
        <f aca="false">VLOOKUP(A73,'Données projet'!$A$165:$I$185,2,0)</f>
        <v>#N/A</v>
      </c>
      <c r="DM73" s="118" t="e">
        <f aca="false">VLOOKUP(A73,'Données projet'!$A$165:$I$185,9,0)</f>
        <v>#N/A</v>
      </c>
      <c r="DN73" s="118" t="n">
        <f aca="false" t="array" ref="DN73:DN73">INDEX(DM:DM,MIN(IF(ISNUMBER(DM73:DM269),ROW(DM73:DM269),"")))</f>
        <v>0</v>
      </c>
      <c r="DO73" s="118" t="n">
        <f aca="false">IF('Données projet'!$A$166&gt;35,DO72+DN73-DW72,IF(A73&lt;'Données projet'!$A$166,$DL$205^A73,IF(A73='Données projet'!$A$166,'Données projet'!$B$166,DO72+DN73-DW72)))</f>
        <v>0</v>
      </c>
      <c r="DP73" s="125" t="n">
        <f aca="false">DO73*VLOOKUP('Données projet'!$B$14,Paramètres!$A$1:$I$89,3,0)*VLOOKUP('Données projet'!$B$14,Paramètres!$A$1:$I$89,5,0)</f>
        <v>0</v>
      </c>
      <c r="DQ73" s="117" t="e">
        <f aca="false">EXP(-1.0587+0.8836*LN(DP73)+0.284)</f>
        <v>#VALUE!</v>
      </c>
      <c r="DR73" s="128" t="e">
        <f aca="false">(DP73+DQ73)*0.475*44/12</f>
        <v>#VALUE!</v>
      </c>
      <c r="DS73" s="120" t="e">
        <f aca="false">DR73+(DJ73+DK73)*44/12</f>
        <v>#VALUE!</v>
      </c>
      <c r="DT73" s="120" t="n">
        <f aca="true">AVERAGE(OFFSET($DS$3,0,0,'Données projet'!$E$14+1,1))-AVERAGE(OFFSET($H$3,0,0,'Données projet'!$E$14+1,1))</f>
        <v>549.432320957297</v>
      </c>
      <c r="DU73" s="120" t="n">
        <f aca="false">$DU$3</f>
        <v>280.26155987301</v>
      </c>
      <c r="DV73" s="121" t="n">
        <f aca="false">IF(ISNA(VLOOKUP(A73,'Données projet'!$A$165:$I$185,3,0)),0,VLOOKUP(A73,'Données projet'!$A$165:$I$185,3,0))</f>
        <v>0</v>
      </c>
      <c r="DW73" s="121" t="n">
        <f aca="false">IF(ISNA(VLOOKUP(A73,'Données projet'!$A$165:$I$185,4,0)),0,VLOOKUP(A73,'Données projet'!$A$165:$I$185,4,0))</f>
        <v>0</v>
      </c>
      <c r="DX73" s="122" t="n">
        <f aca="false">IF(ISNA(VLOOKUP(A73,'Données projet'!$A$165:$I$185,5,0)),0%,VLOOKUP(A73,'Données projet'!$A$165:$I$185,5,0)*VLOOKUP('Données projet'!$B$14,Paramètres!$A$1:$I$89,7,0))</f>
        <v>0</v>
      </c>
      <c r="DY73" s="122" t="n">
        <f aca="false">IF(ISNA(VLOOKUP(A73,'Données projet'!$A$165:$I$185,6,0)),0%,VLOOKUP(A73,'Données projet'!$A$165:$I$185,6,0)*VLOOKUP('Données projet'!$B$14,Paramètres!$A$1:$I$89,7,0))</f>
        <v>0</v>
      </c>
      <c r="DZ73" s="122" t="n">
        <f aca="false">IF(ISNA(VLOOKUP(A73,'Données projet'!$A$165:$I$185,7,0)),0%,VLOOKUP(A73,'Données projet'!$A$165:$I$185,7,0))</f>
        <v>0</v>
      </c>
      <c r="EA73" s="129" t="n">
        <f aca="false">EXP(-LN(2)/35)*EA72+(1-EXP(-LN(2)/35))/(LN(2)/35)*DW73*DX73*VLOOKUP('Données projet'!$B$14,Paramètres!$A$1:$I$89,3,0)*0.475*44/12</f>
        <v>1.08768740454839</v>
      </c>
      <c r="EB73" s="129" t="n">
        <f aca="false">EXP(-LN(2)/25)*EB72+(1-EXP(-LN(2)/25))/(LN(2)/25)*Calculateur!DW73*Calculateur!DY73*VLOOKUP('Données projet'!$B$14,Paramètres!$A$1:$I$89,3,0)*0.475*44/12</f>
        <v>2.55772188829904</v>
      </c>
      <c r="EC73" s="129" t="n">
        <f aca="false">EXP(-LN(2)/2)*EC72+(1-EXP(-LN(2)/2))/(LN(2)/2)*DW73*DZ73*VLOOKUP('Données projet'!$B$14,Paramètres!$A$1:$I$89,3,0)*0.475*44/12</f>
        <v>5.83559468704174E-006</v>
      </c>
      <c r="ED73" s="130" t="n">
        <f aca="false">SUM(EA73:EC73)</f>
        <v>3.64541512844211</v>
      </c>
      <c r="EE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8" t="e">
        <f aca="false">VLOOKUP(A73,'Données projet'!$A$191:$I$211,2,0)</f>
        <v>#N/A</v>
      </c>
      <c r="EH73" s="118" t="e">
        <f aca="false">VLOOKUP(A73,'Données projet'!$A$191:$I$211,9,0)</f>
        <v>#N/A</v>
      </c>
      <c r="EI73" s="118" t="n">
        <f aca="false" t="array" ref="EI73:EI73">INDEX(EH:EH,MIN(IF(ISNUMBER(EH73:EH269),ROW(EH73:EH269),"")))</f>
        <v>0</v>
      </c>
      <c r="EJ73" s="118" t="n">
        <f aca="false">IF('Données projet'!$A$192&gt;35,EJ72+EI73-ER72,IF(A73&lt;'Données projet'!$A$192,$EG$205^A73,IF(A73='Données projet'!$A$192,'Données projet'!$B$192,EJ72+EI73-ER72)))</f>
        <v>0</v>
      </c>
      <c r="EK73" s="125" t="e">
        <f aca="false">EJ73*VLOOKUP('Données projet'!$B$15,Paramètres!$A$1:$I$89,3,0)*VLOOKUP('Données projet'!$B$15,Paramètres!$A$1:$I$89,5,0)</f>
        <v>#N/A</v>
      </c>
      <c r="EL73" s="117" t="e">
        <f aca="false">EXP(-1.0587+0.8836*LN(EK73)+0.284)</f>
        <v>#N/A</v>
      </c>
      <c r="EM73" s="128" t="e">
        <f aca="false">(EK73+EL73)*0.475*44/12</f>
        <v>#N/A</v>
      </c>
      <c r="EN73" s="120" t="e">
        <f aca="false">EM73+(EE73+EF73)*44/12</f>
        <v>#N/A</v>
      </c>
      <c r="EO73" s="120" t="e">
        <f aca="true">AVERAGE(OFFSET($EN$3,0,0,'Données projet'!$E$15+1,1))-AVERAGE(OFFSET($H$3,0,0,'Données projet'!$E$15+1,1))</f>
        <v>#N/A</v>
      </c>
      <c r="EP73" s="120" t="e">
        <f aca="false">$EP$3</f>
        <v>#N/A</v>
      </c>
      <c r="EQ73" s="121" t="n">
        <f aca="false">IF(ISNA(VLOOKUP(A73,'Données projet'!$A$191:$I$211,3,0)),0,VLOOKUP(A73,'Données projet'!$A$191:$I$211,3,0))</f>
        <v>0</v>
      </c>
      <c r="ER73" s="121" t="n">
        <f aca="false">IF(ISNA(VLOOKUP(A73,'Données projet'!$A$191:$I$211,4,0)),0,VLOOKUP(A73,'Données projet'!$A$191:$I$211,4,0))</f>
        <v>0</v>
      </c>
      <c r="ES73" s="122" t="n">
        <f aca="false">IF(ISNA(VLOOKUP(A73,'Données projet'!$A$191:$I$211,5,0)),0%,VLOOKUP(A73,'Données projet'!$A$191:$I$211,5,0)*VLOOKUP('Données projet'!$B$15,Paramètres!$A$1:$I$89,7,0))</f>
        <v>0</v>
      </c>
      <c r="ET73" s="122" t="n">
        <f aca="false">IF(ISNA(VLOOKUP(A73,'Données projet'!$A$191:$I$211,6,0)),0%,VLOOKUP(A73,'Données projet'!$A$191:$I$211,6,0)*VLOOKUP('Données projet'!$B$15,Paramètres!$A$1:$I$89,7,0))</f>
        <v>0</v>
      </c>
      <c r="EU73" s="122" t="n">
        <f aca="false">IF(ISNA(VLOOKUP(A73,'Données projet'!$A$191:$I$211,7,0)),0%,VLOOKUP(A73,'Données projet'!$A$191:$I$211,7,0))</f>
        <v>0</v>
      </c>
      <c r="EV73" s="129" t="e">
        <f aca="false">EXP(-LN(2)/35)*EV72+(1-EXP(-LN(2)/35))/(LN(2)/35)*ER73*ES73*VLOOKUP('Données projet'!$B$15,Paramètres!$A$1:$I$89,3,0)*0.475*44/12</f>
        <v>#N/A</v>
      </c>
      <c r="EW73" s="129" t="e">
        <f aca="false">EXP(-LN(2)/25)*EW72+(1-EXP(-LN(2)/25))/(LN(2)/25)*Calculateur!ER73*Calculateur!ET73*VLOOKUP('Données projet'!$B$15,Paramètres!$A$1:$I$89,3,0)*0.475*44/12</f>
        <v>#N/A</v>
      </c>
      <c r="EX73" s="129" t="e">
        <f aca="false">EXP(-LN(2)/2)*EX72+(1-EXP(-LN(2)/2))/(LN(2)/2)*ER73*EU73*VLOOKUP('Données projet'!$B$15,Paramètres!$A$1:$I$89,3,0)*0.475*44/12</f>
        <v>#N/A</v>
      </c>
      <c r="EY73" s="130" t="e">
        <f aca="false">SUM(EV73:EX73)</f>
        <v>#N/A</v>
      </c>
      <c r="EZ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8" t="e">
        <f aca="false">VLOOKUP(A73,'Données projet'!$A$217:$I$237,2,0)</f>
        <v>#N/A</v>
      </c>
      <c r="FC73" s="118" t="e">
        <f aca="false">VLOOKUP(A73,'Données projet'!$A$217:$I$237,9,0)</f>
        <v>#N/A</v>
      </c>
      <c r="FD73" s="118" t="n">
        <f aca="false" t="array" ref="FD73:FD73">INDEX(FC:FC,MIN(IF(ISNUMBER(FC73:FC269),ROW(FC73:FC269),"")))</f>
        <v>0</v>
      </c>
      <c r="FE73" s="118" t="n">
        <f aca="false">IF('Données projet'!$A$218&gt;35,FE72+FD73-FM72,IF(A73&lt;'Données projet'!$A$218,$FB$205^A73,IF(A73='Données projet'!$A$218,'Données projet'!$B$218,FE72+FD73-FM72)))</f>
        <v>0</v>
      </c>
      <c r="FF73" s="125" t="e">
        <f aca="false">FE73*VLOOKUP('Données projet'!$B$16,Paramètres!$A$1:$I$89,3,0)*VLOOKUP('Données projet'!$B$16,Paramètres!$A$1:$I$89,5,0)</f>
        <v>#N/A</v>
      </c>
      <c r="FG73" s="117" t="e">
        <f aca="false">EXP(-1.0587+0.8836*LN(FF73)+0.284)</f>
        <v>#N/A</v>
      </c>
      <c r="FH73" s="128" t="e">
        <f aca="false">(FF73+FG73)*0.475*44/12</f>
        <v>#N/A</v>
      </c>
      <c r="FI73" s="120" t="e">
        <f aca="false">FH73+(EZ73+FA73)*44/12</f>
        <v>#N/A</v>
      </c>
      <c r="FJ73" s="120" t="e">
        <f aca="true">AVERAGE(OFFSET($FI$3,0,0,'Données projet'!$E$16+1,1))-AVERAGE(OFFSET($H$3,0,0,'Données projet'!$E$16+1,1))</f>
        <v>#N/A</v>
      </c>
      <c r="FK73" s="120" t="e">
        <f aca="false">$FK$3</f>
        <v>#N/A</v>
      </c>
      <c r="FL73" s="121" t="n">
        <f aca="false">IF(ISNA(VLOOKUP(A73,'Données projet'!$A$217:$I$237,3,0)),0,VLOOKUP(A73,'Données projet'!$A$217:$I$237,3,0))</f>
        <v>0</v>
      </c>
      <c r="FM73" s="121" t="n">
        <f aca="false">IF(ISNA(VLOOKUP(A73,'Données projet'!$A$217:$I$237,4,0)),0,VLOOKUP(A73,'Données projet'!$A$217:$I$237,4,0))</f>
        <v>0</v>
      </c>
      <c r="FN73" s="122" t="n">
        <f aca="false">IF(ISNA(VLOOKUP(A73,'Données projet'!$A$217:$I$237,5,0)),0%,VLOOKUP(A73,'Données projet'!$A$217:$I$237,5,0)*VLOOKUP('Données projet'!$B$16,Paramètres!$A$1:$I$89,7,0))</f>
        <v>0</v>
      </c>
      <c r="FO73" s="122" t="n">
        <f aca="false">IF(ISNA(VLOOKUP(A73,'Données projet'!$A$217:$I$237,6,0)),0%,VLOOKUP(A73,'Données projet'!$A$217:$I$237,6,0)*VLOOKUP('Données projet'!$B$16,Paramètres!$A$1:$I$89,7,0))</f>
        <v>0</v>
      </c>
      <c r="FP73" s="122" t="n">
        <f aca="false">IF(ISNA(VLOOKUP(A73,'Données projet'!$A$217:$I$237,7,0)),0%,VLOOKUP(A73,'Données projet'!$A$217:$I$237,7,0))</f>
        <v>0</v>
      </c>
      <c r="FQ73" s="129" t="e">
        <f aca="false">EXP(-LN(2)/35)*FQ72+(1-EXP(-LN(2)/35))/(LN(2)/35)*FM73*FN73*VLOOKUP('Données projet'!$B$16,Paramètres!$A$1:$I$89,3,0)*0.475*44/12</f>
        <v>#N/A</v>
      </c>
      <c r="FR73" s="129" t="e">
        <f aca="false">EXP(-LN(2)/25)*FR72+(1-EXP(-LN(2)/25))/(LN(2)/25)*Calculateur!FM73*Calculateur!FO73*VLOOKUP('Données projet'!$B$16,Paramètres!$A$1:$I$89,3,0)*0.475*44/12</f>
        <v>#N/A</v>
      </c>
      <c r="FS73" s="129" t="e">
        <f aca="false">EXP(-LN(2)/2)*FS72+(1-EXP(-LN(2)/2))/(LN(2)/2)*FM73*FP73*VLOOKUP('Données projet'!$B$16,Paramètres!$A$1:$I$89,3,0)*0.475*44/12</f>
        <v>#N/A</v>
      </c>
      <c r="FT73" s="130" t="e">
        <f aca="false">SUM(FQ73:FS73)</f>
        <v>#N/A</v>
      </c>
      <c r="FU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8" t="e">
        <f aca="false">VLOOKUP(A73,'Données projet'!$A$243:$I$263,2,0)</f>
        <v>#N/A</v>
      </c>
      <c r="FX73" s="118" t="e">
        <f aca="false">VLOOKUP(A73,'Données projet'!$A$243:$I$263,9,0)</f>
        <v>#N/A</v>
      </c>
      <c r="FY73" s="118" t="n">
        <f aca="false" t="array" ref="FY73:FY73">INDEX(FX:FX,MIN(IF(ISNUMBER(FX73:FX269),ROW(FX73:FX269),"")))</f>
        <v>0</v>
      </c>
      <c r="FZ73" s="118" t="n">
        <f aca="false">IF('Données projet'!$A$244&gt;35,FZ72+FY73-GH72,IF(A73&lt;'Données projet'!$A$244,$FW$205^A73,IF(A73='Données projet'!$A$244,'Données projet'!$B$244,FZ72+FY73-GH72)))</f>
        <v>0</v>
      </c>
      <c r="GA73" s="125" t="e">
        <f aca="false">FZ73*VLOOKUP('Données projet'!$B$17,Paramètres!$A$1:$I$89,3,0)*VLOOKUP('Données projet'!$B$17,Paramètres!$A$1:$I$89,5,0)</f>
        <v>#N/A</v>
      </c>
      <c r="GB73" s="117" t="e">
        <f aca="false">EXP(-1.0587+0.8836*LN(GA73)+0.284)</f>
        <v>#N/A</v>
      </c>
      <c r="GC73" s="128" t="e">
        <f aca="false">(GA73+GB73)*0.475*44/12</f>
        <v>#N/A</v>
      </c>
      <c r="GD73" s="120" t="e">
        <f aca="false">GC73+(FU73+FV73)*44/12</f>
        <v>#N/A</v>
      </c>
      <c r="GE73" s="120" t="e">
        <f aca="true">AVERAGE(OFFSET($GD$3,0,0,'Données projet'!$E$17+1,1))-AVERAGE(OFFSET($H$3,0,0,'Données projet'!$E$17+1,1))</f>
        <v>#N/A</v>
      </c>
      <c r="GF73" s="120" t="e">
        <f aca="false">$GF$3</f>
        <v>#N/A</v>
      </c>
      <c r="GG73" s="121" t="n">
        <f aca="false">IF(ISNA(VLOOKUP(A73,'Données projet'!$A$243:$I$263,3,0)),0,VLOOKUP(A73,'Données projet'!$A$243:$I$263,3,0))</f>
        <v>0</v>
      </c>
      <c r="GH73" s="121" t="n">
        <f aca="false">IF(ISNA(VLOOKUP(A73,'Données projet'!$A$243:$I$263,4,0)),0,VLOOKUP(A73,'Données projet'!$A$243:$I$263,4,0))</f>
        <v>0</v>
      </c>
      <c r="GI73" s="122" t="n">
        <f aca="false">IF(ISNA(VLOOKUP(A73,'Données projet'!$A$243:$I$263,5,0)),0%,VLOOKUP(A73,'Données projet'!$A$243:$I$263,5,0)*VLOOKUP('Données projet'!$B$17,Paramètres!$A$1:$I$89,7,0))</f>
        <v>0</v>
      </c>
      <c r="GJ73" s="122" t="n">
        <f aca="false">IF(ISNA(VLOOKUP(A73,'Données projet'!$A$243:$I$263,6,0)),0%,VLOOKUP(A73,'Données projet'!$A$243:$I$263,6,0)*VLOOKUP('Données projet'!$B$17,Paramètres!$A$1:$I$89,7,0))</f>
        <v>0</v>
      </c>
      <c r="GK73" s="122" t="n">
        <f aca="false">IF(ISNA(VLOOKUP(A73,'Données projet'!$A$243:$I$263,7,0)),0%,VLOOKUP(A73,'Données projet'!$A$243:$I$263,7,0))</f>
        <v>0</v>
      </c>
      <c r="GL73" s="129" t="e">
        <f aca="false">EXP(-LN(2)/35)*GL72+(1-EXP(-LN(2)/35))/(LN(2)/35)*GH73*GI73*VLOOKUP('Données projet'!$B$17,Paramètres!$A$1:$I$89,3,0)*0.475*44/12</f>
        <v>#N/A</v>
      </c>
      <c r="GM73" s="129" t="e">
        <f aca="false">EXP(-LN(2)/25)*GM72+(1-EXP(-LN(2)/25))/(LN(2)/25)*Calculateur!GH73*Calculateur!GJ73*VLOOKUP('Données projet'!$B$17,Paramètres!$A$1:$I$89,3,0)*0.475*44/12</f>
        <v>#N/A</v>
      </c>
      <c r="GN73" s="129" t="e">
        <f aca="false">EXP(-LN(2)/2)*GN72+(1-EXP(-LN(2)/2))/(LN(2)/2)*GH73*GK73*VLOOKUP('Données projet'!$B$17,Paramètres!$A$1:$I$89,3,0)*0.475*44/12</f>
        <v>#N/A</v>
      </c>
      <c r="GO73" s="129" t="e">
        <f aca="false">SUM(GL73:GN73)</f>
        <v>#N/A</v>
      </c>
      <c r="GP73" s="126" t="n">
        <f aca="false"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8" t="n">
        <f aca="false"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8" t="e">
        <f aca="false">VLOOKUP(A73,'Données projet'!$A$269:$I$289,2,0)</f>
        <v>#N/A</v>
      </c>
      <c r="GS73" s="118" t="e">
        <f aca="false">VLOOKUP(A73,'Données projet'!$A$269:$I$289,9,0)</f>
        <v>#N/A</v>
      </c>
      <c r="GT73" s="118" t="n">
        <f aca="false" t="array" ref="GT73:GT73">INDEX(GS:GS,MIN(IF(ISNUMBER(GS73:GS269),ROW(GS73:GS269),"")))</f>
        <v>0</v>
      </c>
      <c r="GU73" s="118" t="n">
        <f aca="false">IF('Données projet'!$A$270&gt;35,GU72+GT73-HC72,IF(A73&lt;'Données projet'!$A$270,$GR$205^A73,IF(A73='Données projet'!$A$270,'Données projet'!$B$270,GU72+GT73-HC72)))</f>
        <v>0</v>
      </c>
      <c r="GV73" s="125" t="e">
        <f aca="false">GU73*VLOOKUP('Données projet'!$B$18,Paramètres!$A$1:$I$89,3,0)*VLOOKUP('Données projet'!$B$18,Paramètres!$A$1:$I$89,5,0)</f>
        <v>#N/A</v>
      </c>
      <c r="GW73" s="117" t="e">
        <f aca="false">EXP(-1.0587+0.8836*LN(GV73)+0.284)</f>
        <v>#N/A</v>
      </c>
      <c r="GX73" s="128" t="e">
        <f aca="false">(GV73+GW73)*0.475*44/12</f>
        <v>#N/A</v>
      </c>
      <c r="GY73" s="120" t="e">
        <f aca="false">GX73+(GP73+GQ73)*44/12</f>
        <v>#N/A</v>
      </c>
      <c r="GZ73" s="120" t="e">
        <f aca="true">AVERAGE(OFFSET($GY$3,0,0,'Données projet'!$E$18+1,1))-AVERAGE(OFFSET($H$3,0,0,'Données projet'!$E$18+1,1))</f>
        <v>#N/A</v>
      </c>
      <c r="HA73" s="120" t="e">
        <f aca="false">$HA$3</f>
        <v>#N/A</v>
      </c>
      <c r="HB73" s="121" t="n">
        <f aca="false">IF(ISNA(VLOOKUP(A73,'Données projet'!$A$269:$I$289,3,0)),0,VLOOKUP(A73,'Données projet'!$A$269:$I$289,3,0))</f>
        <v>0</v>
      </c>
      <c r="HC73" s="121" t="n">
        <f aca="false">IF(ISNA(VLOOKUP(A73,'Données projet'!$A$269:$I$289,4,0)),0,VLOOKUP(A73,'Données projet'!$A$269:$I$289,4,0))</f>
        <v>0</v>
      </c>
      <c r="HD73" s="122" t="n">
        <f aca="false">IF(ISNA(VLOOKUP(A73,'Données projet'!$A$269:$I$289,5,0)),0%,VLOOKUP(A73,'Données projet'!$A$269:$I$289,5,0)*VLOOKUP('Données projet'!$B$18,Paramètres!$A$1:$I$89,7,0))</f>
        <v>0</v>
      </c>
      <c r="HE73" s="122" t="n">
        <f aca="false">IF(ISNA(VLOOKUP(A73,'Données projet'!$A$269:$I$289,6,0)),0%,VLOOKUP(A73,'Données projet'!$A$269:$I$289,6,0)*VLOOKUP('Données projet'!$B$18,Paramètres!$A$1:$I$89,7,0))</f>
        <v>0</v>
      </c>
      <c r="HF73" s="122" t="n">
        <f aca="false">IF(ISNA(VLOOKUP(A73,'Données projet'!$A$269:$I$289,7,0)),0%,VLOOKUP(A73,'Données projet'!$A$269:$I$289,7,0))</f>
        <v>0</v>
      </c>
      <c r="HG73" s="129" t="e">
        <f aca="false">EXP(-LN(2)/35)*HG72+(1-EXP(-LN(2)/35))/(LN(2)/35)*HC73*HD73*VLOOKUP('Données projet'!$B$18,Paramètres!$A$1:$I$89,3,0)*0.475*44/12</f>
        <v>#N/A</v>
      </c>
      <c r="HH73" s="129" t="e">
        <f aca="false">EXP(-LN(2)/25)*HH72+(1-EXP(-LN(2)/25))/(LN(2)/25)*Calculateur!HC73*Calculateur!HE73*VLOOKUP('Données projet'!$B$18,Paramètres!$A$1:$I$89,3,0)*0.475*44/12</f>
        <v>#N/A</v>
      </c>
      <c r="HI73" s="129" t="e">
        <f aca="false">EXP(-LN(2)/2)*HI72+(1-EXP(-LN(2)/2))/(LN(2)/2)*HC73*HF73*VLOOKUP('Données projet'!$B$18,Paramètres!$A$1:$I$89,3,0)*0.475*44/12</f>
        <v>#N/A</v>
      </c>
      <c r="HJ73" s="130" t="e">
        <f aca="false">SUM(HG73:HI73)</f>
        <v>#N/A</v>
      </c>
    </row>
    <row r="74" customFormat="false" ht="14.25" hidden="false" customHeight="false" outlineLevel="0" collapsed="false">
      <c r="A74" s="112" t="n">
        <f aca="false">A73+1</f>
        <v>71</v>
      </c>
      <c r="B74" s="113" t="n">
        <f aca="false">'Scénario référence'!$B$16*5+'Scénario référence'!$B$17*0+'Scénario référence'!$B$18*5</f>
        <v>0</v>
      </c>
      <c r="C74" s="127" t="n">
        <f aca="false"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4" t="n">
        <f aca="false">IFERROR(EXP(-1.0587+0.8836*LN(C74)+0.284),0)</f>
        <v>0</v>
      </c>
      <c r="E7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4" s="114" t="n">
        <f aca="false">IF(OR('Scénario référence'!$F$8&gt;0,'Scénario référence'!$F$9&gt;0),('Scénario référence'!$F$8+'Scénario référence'!$F$9)*10,0)</f>
        <v>0</v>
      </c>
      <c r="G74" s="114" t="n">
        <f aca="false"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15" t="n">
        <f aca="false">(B74+E74+F74)*44/12+(C74+D74)*0.475*44/12</f>
        <v>256.666666666667</v>
      </c>
      <c r="I74" s="11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7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8" t="e">
        <f aca="false">VLOOKUP(A74,'Données projet'!$A$35:$I$55,2,0)</f>
        <v>#N/A</v>
      </c>
      <c r="L74" s="118" t="e">
        <f aca="false">VLOOKUP(A74,'Données projet'!$A$35:$I$55,9,0)</f>
        <v>#N/A</v>
      </c>
      <c r="M74" s="118" t="n">
        <f aca="false" t="array" ref="M74:M74">INDEX(L:L,MIN(IF(ISNUMBER(L74:L270),ROW(L74:L270),"")))</f>
        <v>17</v>
      </c>
      <c r="N74" s="117" t="n">
        <f aca="false">IF('Données projet'!$A$36&gt;35,N73+M74-V73,IF(A74&lt;'Données projet'!$A$36,$K$205^A74,IF(A74='Données projet'!$A$36,'Données projet'!$B$36,N73+M74-V73)))</f>
        <v>353.5</v>
      </c>
      <c r="O74" s="117" t="n">
        <f aca="false">N74*VLOOKUP('Données projet'!$B$9,Paramètres!$A$1:$I$89,3,0)*VLOOKUP('Données projet'!$B$9,Paramètres!$A$1:$I$89,5,0)</f>
        <v>165.438</v>
      </c>
      <c r="P74" s="117" t="n">
        <f aca="false">EXP(-1.0587+0.8836*LN(O74)+0.284)</f>
        <v>42.0666754152158</v>
      </c>
      <c r="Q74" s="128" t="n">
        <f aca="false">(O74+P74)*0.475*44/12</f>
        <v>361.403976348167</v>
      </c>
      <c r="R74" s="120" t="n">
        <f aca="false">Q74+(I74+J74)*44/12</f>
        <v>654.737309681501</v>
      </c>
      <c r="S74" s="120" t="n">
        <f aca="true">AVERAGE(OFFSET($R$3,0,0,'Données projet'!$E$9+1,1))-AVERAGE(OFFSET($H$3,0,0,'Données projet'!$E$9+1,1))</f>
        <v>319.229030946746</v>
      </c>
      <c r="T74" s="120" t="n">
        <f aca="false">$T$3</f>
        <v>254.586909731428</v>
      </c>
      <c r="U74" s="121" t="n">
        <f aca="false">IF(ISNA(VLOOKUP(A74,'Données projet'!$A$35:$I$55,3,0)),0,VLOOKUP(A74,'Données projet'!$A$35:$I$55,3,0))</f>
        <v>0</v>
      </c>
      <c r="V74" s="121" t="n">
        <f aca="false">IF(ISNA(VLOOKUP(A74,'Données projet'!$A$35:$I$55,4,0)),0,VLOOKUP(A74,'Données projet'!$A$35:$I$55,4,0))</f>
        <v>0</v>
      </c>
      <c r="W74" s="122" t="n">
        <f aca="false">IF(ISNA(VLOOKUP(A74,'Données projet'!$A$35:$I$55,5,0)),0%,VLOOKUP(A74,'Données projet'!$A$35:$I$55,5,0)*VLOOKUP('Données projet'!$B$9,Paramètres!$A$1:$I$89,7,0))</f>
        <v>0</v>
      </c>
      <c r="X74" s="122" t="n">
        <f aca="false">IF(ISNA(VLOOKUP(A74,'Données projet'!$A$35:$I$55,6,0)),0%,VLOOKUP(A74,'Données projet'!$A$35:$I$55,6,0)*VLOOKUP('Données projet'!$B$9,Paramètres!$A$1:$I$89,7,0))</f>
        <v>0</v>
      </c>
      <c r="Y74" s="122" t="n">
        <f aca="false">IF(ISNA(VLOOKUP(A74,'Données projet'!$A$35:$I$55,7,0)),0%,VLOOKUP(A74,'Données projet'!$A$35:$I$55,7,0))</f>
        <v>0</v>
      </c>
      <c r="Z74" s="129" t="n">
        <f aca="false">EXP(-LN(2)/35)*Z73+(1-EXP(-LN(2)/35))/(LN(2)/35)*V74*W74*VLOOKUP('Données projet'!$B$9,Paramètres!$A$1:$I$89,3,0)*0.475*44/12</f>
        <v>4.02965018832034</v>
      </c>
      <c r="AA74" s="129" t="n">
        <f aca="false">EXP(-LN(2)/25)*AA73+(1-EXP(-LN(2)/25))/(LN(2)/25)*Calculateur!V74*Calculateur!X74*VLOOKUP('Données projet'!$B$9,Paramètres!$A$1:$I$89,3,0)*0.475*44/12</f>
        <v>3.57797328952916</v>
      </c>
      <c r="AB74" s="129" t="n">
        <f aca="false">EXP(-LN(2)/2)*AB73+(1-EXP(-LN(2)/2))/(LN(2)/2)*V74*Y74*VLOOKUP('Données projet'!$B$9,Paramètres!$A$1:$I$89,3,0)*0.475*44/12</f>
        <v>7.44692912044889E-006</v>
      </c>
      <c r="AC74" s="130" t="n">
        <f aca="false">SUM(Z74:AB74)</f>
        <v>7.60763092477862</v>
      </c>
      <c r="AD74" s="117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7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8" t="e">
        <f aca="false">VLOOKUP(A74,'Données projet'!$A$61:$I$81,2,0)</f>
        <v>#N/A</v>
      </c>
      <c r="AG74" s="118" t="e">
        <f aca="false">VLOOKUP(A74,'Données projet'!$A$61:$I$81,9,0)</f>
        <v>#N/A</v>
      </c>
      <c r="AH74" s="118" t="n">
        <f aca="false" t="array" ref="AH74:AH74">INDEX(AG:AG,MIN(IF(ISNUMBER(AG74:AG270),ROW(AG74:AG270),"")))</f>
        <v>0</v>
      </c>
      <c r="AI74" s="117" t="n">
        <f aca="false">IF('Données projet'!$A$62&gt;35,AI73+AH74-AQ73,IF(A74&lt;'Données projet'!$A$62,$AF$205^A74,IF(A74='Données projet'!$A$62,'Données projet'!$B$62,AI73+AH74-AQ73)))</f>
        <v>1.13686837721616E-013</v>
      </c>
      <c r="AJ74" s="117" t="n">
        <f aca="false">AI74*VLOOKUP('Données projet'!$B$10,Paramètres!$A$1:$I$89,3,0)*VLOOKUP('Données projet'!$B$10,Paramètres!$A$1:$I$89,5,0)</f>
        <v>6.35509422863834E-014</v>
      </c>
      <c r="AK74" s="117" t="n">
        <f aca="false">EXP(-1.0587+0.8836*LN(AJ74)+0.284)</f>
        <v>1.0064464192544E-012</v>
      </c>
      <c r="AL74" s="128" t="n">
        <f aca="false">(AJ74+AK74)*0.475*44/12</f>
        <v>1.86357873801686E-012</v>
      </c>
      <c r="AM74" s="120" t="n">
        <f aca="false">AL74+(AD74+AE74)*44/12</f>
        <v>293.333333333335</v>
      </c>
      <c r="AN74" s="120" t="n">
        <f aca="true">AVERAGE(OFFSET($AM$3,0,0,'Données projet'!$E$10+1,1))-AVERAGE(OFFSET($H$3,0,0,'Données projet'!$E$10+1,1))</f>
        <v>365.705101827279</v>
      </c>
      <c r="AO74" s="120" t="n">
        <f aca="false">$AO$3</f>
        <v>436.238338449625</v>
      </c>
      <c r="AP74" s="121" t="n">
        <f aca="false">IF(ISNA(VLOOKUP(A74,'Données projet'!$A$61:$I$81,3,0)),0,VLOOKUP(A74,'Données projet'!$A$61:$I$81,3,0))</f>
        <v>0</v>
      </c>
      <c r="AQ74" s="121" t="n">
        <f aca="false">IF(ISNA(VLOOKUP(A74,'Données projet'!$A$61:$I$81,4,0)),0,VLOOKUP(A74,'Données projet'!$A$61:$I$81,4,0))</f>
        <v>0</v>
      </c>
      <c r="AR74" s="122" t="n">
        <f aca="false">IF(ISNA(VLOOKUP(A74,'Données projet'!$A$61:$I$81,5,0)),0%,VLOOKUP(A74,'Données projet'!$A$61:$I$81,5,0)*VLOOKUP('Données projet'!$B$10,Paramètres!$A$1:$I$89,7,0))</f>
        <v>0</v>
      </c>
      <c r="AS74" s="122" t="n">
        <f aca="false">IF(ISNA(VLOOKUP(A74,'Données projet'!$A$61:$I$81,6,0)),0%,VLOOKUP(A74,'Données projet'!$A$61:$I$81,6,0)*VLOOKUP('Données projet'!$B$10,Paramètres!$A$1:$I$89,7,0))</f>
        <v>0</v>
      </c>
      <c r="AT74" s="122" t="n">
        <f aca="false">IF(ISNA(VLOOKUP(A74,'Données projet'!$A$61:$I$81,7,0)),0%,VLOOKUP(A74,'Données projet'!$A$61:$I$81,7,0))</f>
        <v>0</v>
      </c>
      <c r="AU74" s="129" t="n">
        <f aca="false">EXP(-LN(2)/35)*AU73+(1-EXP(-LN(2)/35))/(LN(2)/35)*AQ74*AR74*VLOOKUP('Données projet'!$B$10,Paramètres!$A$1:$I$89,3,0)*0.475*44/12</f>
        <v>1.52106229915138</v>
      </c>
      <c r="AV74" s="129" t="n">
        <f aca="false">EXP(-LN(2)/25)*AV73+(1-EXP(-LN(2)/25))/(LN(2)/25)*Calculateur!AQ74*Calculateur!AS74*VLOOKUP('Données projet'!$B$10,Paramètres!$A$1:$I$89,3,0)*0.475*44/12</f>
        <v>4.23791590087193</v>
      </c>
      <c r="AW74" s="129" t="n">
        <f aca="false">EXP(-LN(2)/2)*AW73+(1-EXP(-LN(2)/2))/(LN(2)/2)*AQ74*AT74*VLOOKUP('Données projet'!$B$10,Paramètres!$A$1:$I$89,3,0)*0.475*44/12</f>
        <v>4.0077045006611E-006</v>
      </c>
      <c r="AX74" s="129" t="n">
        <f aca="false">SUM(AU74:AW74)</f>
        <v>5.75898220772781</v>
      </c>
      <c r="AY74" s="124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8" t="e">
        <f aca="false">VLOOKUP(A74,'Données projet'!$A$87:$I$107,2,0)</f>
        <v>#N/A</v>
      </c>
      <c r="BB74" s="118" t="e">
        <f aca="false">VLOOKUP(A74,'Données projet'!$A$87:$I$107,9,0)</f>
        <v>#N/A</v>
      </c>
      <c r="BC74" s="118" t="n">
        <f aca="false" t="array" ref="BC74:BC74">INDEX(BB:BB,MIN(IF(ISNUMBER(BB74:BB270),ROW(BB74:BB270),"")))</f>
        <v>0</v>
      </c>
      <c r="BD74" s="118" t="n">
        <f aca="false">IF('Données projet'!$A$88&gt;35,BD73+BC74-BL73,IF(A74&lt;'Données projet'!$A$88,$BA$205^A74,IF(A74='Données projet'!$A$88,'Données projet'!$B$88,BD73+BC74-BL73)))</f>
        <v>1.98951966012828E-013</v>
      </c>
      <c r="BE74" s="117" t="n">
        <f aca="false">BD74*VLOOKUP('Données projet'!$B$11,Paramètres!$A$1:$I$89,3,0)*VLOOKUP('Données projet'!$B$11,Paramètres!$A$1:$I$89,5,0)</f>
        <v>1.73804437508807E-013</v>
      </c>
      <c r="BF74" s="117" t="n">
        <f aca="false">EXP(-1.0587+0.8836*LN(BE74)+0.284)</f>
        <v>2.44832936339505E-012</v>
      </c>
      <c r="BG74" s="128" t="n">
        <f aca="false">(BE74+BF74)*0.475*44/12</f>
        <v>4.56688303657421E-012</v>
      </c>
      <c r="BH74" s="120" t="n">
        <f aca="false">BG74+(AY74+AZ74)*44/12</f>
        <v>293.333333333338</v>
      </c>
      <c r="BI74" s="120" t="n">
        <f aca="true">AVERAGE(OFFSET($BH$3,0,0,'Données projet'!$E$11+1,1))-AVERAGE(OFFSET($H$3,0,0,'Données projet'!$E$11+1,1))</f>
        <v>321.235999689929</v>
      </c>
      <c r="BJ74" s="120" t="n">
        <f aca="false">$BJ$3</f>
        <v>388.051958478005</v>
      </c>
      <c r="BK74" s="121" t="n">
        <f aca="false">IF(ISNA(VLOOKUP(A74,'Données projet'!$A$87:$I$107,3,0)),0,VLOOKUP(A74,'Données projet'!$A$87:$I$107,3,0))</f>
        <v>0</v>
      </c>
      <c r="BL74" s="121" t="n">
        <f aca="false">IF(ISNA(VLOOKUP(A74,'Données projet'!$A$87:$I$107,4,0)),0,VLOOKUP(A74,'Données projet'!$A$87:$I$107,4,0))</f>
        <v>0</v>
      </c>
      <c r="BM74" s="122" t="n">
        <f aca="false">IF(ISNA(VLOOKUP(A74,'Données projet'!$A$87:$I$107,5,0)),0%,VLOOKUP(A74,'Données projet'!$A$87:$I$107,5,0)*VLOOKUP('Données projet'!$B$11,Paramètres!$A$1:$I$89,7,0))</f>
        <v>0</v>
      </c>
      <c r="BN74" s="122" t="n">
        <f aca="false">IF(ISNA(VLOOKUP(A74,'Données projet'!$A$87:$I$107,6,0)),0%,VLOOKUP(A74,'Données projet'!$A$87:$I$107,6,0)*VLOOKUP('Données projet'!$B$11,Paramètres!$A$1:$I$89,7,0))</f>
        <v>0</v>
      </c>
      <c r="BO74" s="122" t="n">
        <f aca="false">IF(ISNA(VLOOKUP(A74,'Données projet'!$A$87:$I$107,7,0)),0%,VLOOKUP(A74,'Données projet'!$A$87:$I$107,7,0))</f>
        <v>0</v>
      </c>
      <c r="BP74" s="129" t="n">
        <f aca="false">EXP(-LN(2)/35)*BP73+(1-EXP(-LN(2)/35))/(LN(2)/35)*BL74*BM74*VLOOKUP('Données projet'!$B$11,Paramètres!$A$1:$I$89,3,0)*0.475*44/12</f>
        <v>3.81881148589681</v>
      </c>
      <c r="BQ74" s="129" t="n">
        <f aca="false">EXP(-LN(2)/25)*BQ73+(1-EXP(-LN(2)/25))/(LN(2)/25)*Calculateur!BL74*Calculateur!BN74*VLOOKUP('Données projet'!$B$11,Paramètres!$A$1:$I$89,3,0)*0.475*44/12</f>
        <v>4.32581283496845</v>
      </c>
      <c r="BR74" s="129" t="n">
        <f aca="false">EXP(-LN(2)/2)*BR73+(1-EXP(-LN(2)/2))/(LN(2)/2)*BL74*BO74*VLOOKUP('Données projet'!$B$11,Paramètres!$A$1:$I$89,3,0)*0.475*44/12</f>
        <v>4.07374832339909E-006</v>
      </c>
      <c r="BS74" s="130" t="n">
        <f aca="false">SUM(BP74:BR74)</f>
        <v>8.14462839461359</v>
      </c>
      <c r="BT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8" t="e">
        <f aca="false">VLOOKUP(A74,'Données projet'!$A$113:$I$133,2,0)</f>
        <v>#N/A</v>
      </c>
      <c r="BW74" s="118" t="e">
        <f aca="false">VLOOKUP(A74,'Données projet'!$A$113:$I$133,9,0)</f>
        <v>#N/A</v>
      </c>
      <c r="BX74" s="118" t="n">
        <f aca="false" t="array" ref="BX74:BX74">INDEX(BW:BW,MIN(IF(ISNUMBER(BW74:BW270),ROW(BW74:BW270),"")))</f>
        <v>0</v>
      </c>
      <c r="BY74" s="118" t="n">
        <f aca="false">IF('Données projet'!$A$114&gt;35,BY73+BX74-CG73,IF(A74&lt;'Données projet'!$A$114,$BV$205^A74,IF(A74='Données projet'!$A$114,'Données projet'!$B$114,BY73+BX74-CG73)))</f>
        <v>0</v>
      </c>
      <c r="BZ74" s="117" t="n">
        <f aca="false">BY74*VLOOKUP('Données projet'!$B$12,Paramètres!$A$1:$I$89,3,0)*VLOOKUP('Données projet'!$B$12,Paramètres!$A$1:$I$89,5,0)</f>
        <v>0</v>
      </c>
      <c r="CA74" s="117" t="e">
        <f aca="false">EXP(-1.0587+0.8836*LN(BZ74)+0.284)</f>
        <v>#VALUE!</v>
      </c>
      <c r="CB74" s="128" t="e">
        <f aca="false">(BZ74+CA74)*0.475*44/12</f>
        <v>#VALUE!</v>
      </c>
      <c r="CC74" s="120" t="e">
        <f aca="false">CB74+(BT74+BU74)*44/12</f>
        <v>#VALUE!</v>
      </c>
      <c r="CD74" s="120" t="n">
        <f aca="true">AVERAGE(OFFSET($CC$3,0,0,'Données projet'!$E$12+1,1))-AVERAGE(OFFSET($H$3,0,0,'Données projet'!$E$12+1,1))</f>
        <v>240.228848647662</v>
      </c>
      <c r="CE74" s="120" t="n">
        <f aca="false">$CE$3</f>
        <v>343.237768841432</v>
      </c>
      <c r="CF74" s="121" t="n">
        <f aca="false">IF(ISNA(VLOOKUP(A74,'Données projet'!$A$113:$I$133,3,0)),0,VLOOKUP(A74,'Données projet'!$A$113:$I$133,3,0))</f>
        <v>0</v>
      </c>
      <c r="CG74" s="121" t="n">
        <f aca="false">IF(ISNA(VLOOKUP(A74,'Données projet'!$A$113:$I$133,4,0)),0,VLOOKUP(A74,'Données projet'!$A$113:$I$133,4,0))</f>
        <v>0</v>
      </c>
      <c r="CH74" s="122" t="n">
        <f aca="false">IF(ISNA(VLOOKUP(A74,'Données projet'!$A$113:$I$133,5,0)),0%,VLOOKUP(A74,'Données projet'!$A$113:$I$133,5,0)*VLOOKUP('Données projet'!$B$12,Paramètres!$A$1:$I$89,7,0))</f>
        <v>0</v>
      </c>
      <c r="CI74" s="122" t="n">
        <f aca="false">IF(ISNA(VLOOKUP(A74,'Données projet'!$A$113:$I$133,6,0)),0%,VLOOKUP(A74,'Données projet'!$A$113:$I$133,6,0)*VLOOKUP('Données projet'!$B$12,Paramètres!$A$1:$I$89,7,0))</f>
        <v>0</v>
      </c>
      <c r="CJ74" s="122" t="n">
        <f aca="false">IF(ISNA(VLOOKUP(A74,'Données projet'!$A$113:$I$133,7,0)),0%,VLOOKUP(A74,'Données projet'!$A$113:$I$133,7,0))</f>
        <v>0</v>
      </c>
      <c r="CK74" s="129" t="n">
        <f aca="false">EXP(-LN(2)/35)*CK73+(1-EXP(-LN(2)/35))/(LN(2)/35)*CG74*CH74*VLOOKUP('Données projet'!$B$12,Paramètres!$A$1:$I$89,3,0)*0.475*44/12</f>
        <v>2.33741014137186</v>
      </c>
      <c r="CL74" s="129" t="n">
        <f aca="false">EXP(-LN(2)/25)*CL73+(1-EXP(-LN(2)/25))/(LN(2)/25)*Calculateur!CG74*Calculateur!CI74*VLOOKUP('Données projet'!$B$12,Paramètres!$A$1:$I$89,3,0)*0.475*44/12</f>
        <v>7.6396358873691</v>
      </c>
      <c r="CM74" s="129" t="n">
        <f aca="false">EXP(-LN(2)/2)*CM73+(1-EXP(-LN(2)/2))/(LN(2)/2)*CG74*CJ74*VLOOKUP('Données projet'!$B$12,Paramètres!$A$1:$I$89,3,0)*0.475*44/12</f>
        <v>6.50061626346442E-006</v>
      </c>
      <c r="CN74" s="130" t="n">
        <f aca="false">SUM(CK74:CM74)</f>
        <v>9.97705252935723</v>
      </c>
      <c r="CO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8" t="e">
        <f aca="false">VLOOKUP(A74,'Données projet'!$A$139:$I$159,2,0)</f>
        <v>#N/A</v>
      </c>
      <c r="CR74" s="118" t="e">
        <f aca="false">VLOOKUP(A74,'Données projet'!$A$139:$I$159,9,0)</f>
        <v>#N/A</v>
      </c>
      <c r="CS74" s="118" t="n">
        <f aca="false" t="array" ref="CS74:CS74">INDEX(CR:CR,MIN(IF(ISNUMBER(CR74:CR270),ROW(CR74:CR270),"")))</f>
        <v>0</v>
      </c>
      <c r="CT74" s="118" t="n">
        <f aca="false">IF('Données projet'!$A$140&gt;35,CT73+CS74-DB73,IF(A74&lt;'Données projet'!$A$140,$CQ$205^A74,IF(A74='Données projet'!$A$140,'Données projet'!$B$140,CT73+CS74-DB73)))</f>
        <v>-5.6843418860808E-014</v>
      </c>
      <c r="CU74" s="125" t="n">
        <f aca="false">CT74*VLOOKUP('Données projet'!$B$13,Paramètres!$A$1:$I$89,3,0)*VLOOKUP('Données projet'!$B$13,Paramètres!$A$1:$I$89,5,0)</f>
        <v>-3.10365066980012E-014</v>
      </c>
      <c r="CV74" s="117" t="e">
        <f aca="false">EXP(-1.0587+0.8836*LN(CU74)+0.284)</f>
        <v>#VALUE!</v>
      </c>
      <c r="CW74" s="128" t="e">
        <f aca="false">(CU74+CV74)*0.475*44/12</f>
        <v>#VALUE!</v>
      </c>
      <c r="CX74" s="120" t="e">
        <f aca="false">CW74+(CO74+CP74)*44/12</f>
        <v>#VALUE!</v>
      </c>
      <c r="CY74" s="120" t="n">
        <f aca="true">AVERAGE(OFFSET($CX$3,0,0,'Données projet'!$E$13+1,1))-AVERAGE(OFFSET($H$3,0,0,'Données projet'!$E$13+1,1))</f>
        <v>207.023069645676</v>
      </c>
      <c r="CZ74" s="120" t="n">
        <f aca="false">$CZ$3</f>
        <v>342.068879333518</v>
      </c>
      <c r="DA74" s="121" t="n">
        <f aca="false">IF(ISNA(VLOOKUP(A74,'Données projet'!$A$139:$I$159,3,0)),0,VLOOKUP(A74,'Données projet'!$A$139:$I$159,3,0))</f>
        <v>0</v>
      </c>
      <c r="DB74" s="121" t="n">
        <f aca="false">IF(ISNA(VLOOKUP(A74,'Données projet'!$A$139:$I$159,4,0)),0,VLOOKUP(A74,'Données projet'!$A$139:$I$159,4,0))</f>
        <v>0</v>
      </c>
      <c r="DC74" s="122" t="n">
        <f aca="false">IF(ISNA(VLOOKUP(A74,'Données projet'!$A$139:$I$159,5,0)),0%,VLOOKUP(A74,'Données projet'!$A$139:$I$159,5,0)*VLOOKUP('Données projet'!$B$13,Paramètres!$A$1:$I$89,7,0))</f>
        <v>0</v>
      </c>
      <c r="DD74" s="122" t="n">
        <f aca="false">IF(ISNA(VLOOKUP(A74,'Données projet'!$A$139:$I$159,6,0)),0%,VLOOKUP(A74,'Données projet'!$A$139:$I$159,6,0)*VLOOKUP('Données projet'!$B$13,Paramètres!$A$1:$I$89,7,0))</f>
        <v>0</v>
      </c>
      <c r="DE74" s="122" t="n">
        <f aca="false">IF(ISNA(VLOOKUP(A74,'Données projet'!$A$139:$I$159,7,0)),0%,VLOOKUP(A74,'Données projet'!$A$139:$I$159,7,0))</f>
        <v>0</v>
      </c>
      <c r="DF74" s="129" t="n">
        <f aca="false">EXP(-LN(2)/35)*DF73+(1-EXP(-LN(2)/35))/(LN(2)/35)*DB74*DC74*VLOOKUP('Données projet'!$B$13,Paramètres!$A$1:$I$89,3,0)*0.475*44/12</f>
        <v>2.93278819624959</v>
      </c>
      <c r="DG74" s="129" t="n">
        <f aca="false">EXP(-LN(2)/25)*DG73+(1-EXP(-LN(2)/25))/(LN(2)/25)*Calculateur!DB74*Calculateur!DD74*VLOOKUP('Données projet'!$B$13,Paramètres!$A$1:$I$89,3,0)*0.475*44/12</f>
        <v>12.4876228528627</v>
      </c>
      <c r="DH74" s="129" t="n">
        <f aca="false">EXP(-LN(2)/2)*DH73+(1-EXP(-LN(2)/2))/(LN(2)/2)*DB74*DE74*VLOOKUP('Données projet'!$B$13,Paramètres!$A$1:$I$89,3,0)*0.475*44/12</f>
        <v>8.95135160863994E-006</v>
      </c>
      <c r="DI74" s="130" t="n">
        <f aca="false">SUM(DF74:DH74)</f>
        <v>15.4204200004639</v>
      </c>
      <c r="DJ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8" t="e">
        <f aca="false">VLOOKUP(A74,'Données projet'!$A$165:$I$185,2,0)</f>
        <v>#N/A</v>
      </c>
      <c r="DM74" s="118" t="e">
        <f aca="false">VLOOKUP(A74,'Données projet'!$A$165:$I$185,9,0)</f>
        <v>#N/A</v>
      </c>
      <c r="DN74" s="118" t="n">
        <f aca="false" t="array" ref="DN74:DN74">INDEX(DM:DM,MIN(IF(ISNUMBER(DM74:DM270),ROW(DM74:DM270),"")))</f>
        <v>0</v>
      </c>
      <c r="DO74" s="118" t="n">
        <f aca="false">IF('Données projet'!$A$166&gt;35,DO73+DN74-DW73,IF(A74&lt;'Données projet'!$A$166,$DL$205^A74,IF(A74='Données projet'!$A$166,'Données projet'!$B$166,DO73+DN74-DW73)))</f>
        <v>0</v>
      </c>
      <c r="DP74" s="125" t="n">
        <f aca="false">DO74*VLOOKUP('Données projet'!$B$14,Paramètres!$A$1:$I$89,3,0)*VLOOKUP('Données projet'!$B$14,Paramètres!$A$1:$I$89,5,0)</f>
        <v>0</v>
      </c>
      <c r="DQ74" s="117" t="e">
        <f aca="false">EXP(-1.0587+0.8836*LN(DP74)+0.284)</f>
        <v>#VALUE!</v>
      </c>
      <c r="DR74" s="128" t="e">
        <f aca="false">(DP74+DQ74)*0.475*44/12</f>
        <v>#VALUE!</v>
      </c>
      <c r="DS74" s="120" t="e">
        <f aca="false">DR74+(DJ74+DK74)*44/12</f>
        <v>#VALUE!</v>
      </c>
      <c r="DT74" s="120" t="n">
        <f aca="true">AVERAGE(OFFSET($DS$3,0,0,'Données projet'!$E$14+1,1))-AVERAGE(OFFSET($H$3,0,0,'Données projet'!$E$14+1,1))</f>
        <v>549.432320957297</v>
      </c>
      <c r="DU74" s="120" t="n">
        <f aca="false">$DU$3</f>
        <v>280.26155987301</v>
      </c>
      <c r="DV74" s="121" t="n">
        <f aca="false">IF(ISNA(VLOOKUP(A74,'Données projet'!$A$165:$I$185,3,0)),0,VLOOKUP(A74,'Données projet'!$A$165:$I$185,3,0))</f>
        <v>0</v>
      </c>
      <c r="DW74" s="121" t="n">
        <f aca="false">IF(ISNA(VLOOKUP(A74,'Données projet'!$A$165:$I$185,4,0)),0,VLOOKUP(A74,'Données projet'!$A$165:$I$185,4,0))</f>
        <v>0</v>
      </c>
      <c r="DX74" s="122" t="n">
        <f aca="false">IF(ISNA(VLOOKUP(A74,'Données projet'!$A$165:$I$185,5,0)),0%,VLOOKUP(A74,'Données projet'!$A$165:$I$185,5,0)*VLOOKUP('Données projet'!$B$14,Paramètres!$A$1:$I$89,7,0))</f>
        <v>0</v>
      </c>
      <c r="DY74" s="122" t="n">
        <f aca="false">IF(ISNA(VLOOKUP(A74,'Données projet'!$A$165:$I$185,6,0)),0%,VLOOKUP(A74,'Données projet'!$A$165:$I$185,6,0)*VLOOKUP('Données projet'!$B$14,Paramètres!$A$1:$I$89,7,0))</f>
        <v>0</v>
      </c>
      <c r="DZ74" s="122" t="n">
        <f aca="false">IF(ISNA(VLOOKUP(A74,'Données projet'!$A$165:$I$185,7,0)),0%,VLOOKUP(A74,'Données projet'!$A$165:$I$185,7,0))</f>
        <v>0</v>
      </c>
      <c r="EA74" s="129" t="n">
        <f aca="false">EXP(-LN(2)/35)*EA73+(1-EXP(-LN(2)/35))/(LN(2)/35)*DW74*DX74*VLOOKUP('Données projet'!$B$14,Paramètres!$A$1:$I$89,3,0)*0.475*44/12</f>
        <v>1.066358517969</v>
      </c>
      <c r="EB74" s="129" t="n">
        <f aca="false">EXP(-LN(2)/25)*EB73+(1-EXP(-LN(2)/25))/(LN(2)/25)*Calculateur!DW74*Calculateur!DY74*VLOOKUP('Données projet'!$B$14,Paramètres!$A$1:$I$89,3,0)*0.475*44/12</f>
        <v>2.48778084875875</v>
      </c>
      <c r="EC74" s="129" t="n">
        <f aca="false">EXP(-LN(2)/2)*EC73+(1-EXP(-LN(2)/2))/(LN(2)/2)*DW74*DZ74*VLOOKUP('Données projet'!$B$14,Paramètres!$A$1:$I$89,3,0)*0.475*44/12</f>
        <v>4.1263885754634E-006</v>
      </c>
      <c r="ED74" s="130" t="n">
        <f aca="false">SUM(EA74:EC74)</f>
        <v>3.55414349311633</v>
      </c>
      <c r="EE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8" t="e">
        <f aca="false">VLOOKUP(A74,'Données projet'!$A$191:$I$211,2,0)</f>
        <v>#N/A</v>
      </c>
      <c r="EH74" s="118" t="e">
        <f aca="false">VLOOKUP(A74,'Données projet'!$A$191:$I$211,9,0)</f>
        <v>#N/A</v>
      </c>
      <c r="EI74" s="118" t="n">
        <f aca="false" t="array" ref="EI74:EI74">INDEX(EH:EH,MIN(IF(ISNUMBER(EH74:EH270),ROW(EH74:EH270),"")))</f>
        <v>0</v>
      </c>
      <c r="EJ74" s="118" t="n">
        <f aca="false">IF('Données projet'!$A$192&gt;35,EJ73+EI74-ER73,IF(A74&lt;'Données projet'!$A$192,$EG$205^A74,IF(A74='Données projet'!$A$192,'Données projet'!$B$192,EJ73+EI74-ER73)))</f>
        <v>0</v>
      </c>
      <c r="EK74" s="125" t="e">
        <f aca="false">EJ74*VLOOKUP('Données projet'!$B$15,Paramètres!$A$1:$I$89,3,0)*VLOOKUP('Données projet'!$B$15,Paramètres!$A$1:$I$89,5,0)</f>
        <v>#N/A</v>
      </c>
      <c r="EL74" s="117" t="e">
        <f aca="false">EXP(-1.0587+0.8836*LN(EK74)+0.284)</f>
        <v>#N/A</v>
      </c>
      <c r="EM74" s="128" t="e">
        <f aca="false">(EK74+EL74)*0.475*44/12</f>
        <v>#N/A</v>
      </c>
      <c r="EN74" s="120" t="e">
        <f aca="false">EM74+(EE74+EF74)*44/12</f>
        <v>#N/A</v>
      </c>
      <c r="EO74" s="120" t="e">
        <f aca="true">AVERAGE(OFFSET($EN$3,0,0,'Données projet'!$E$15+1,1))-AVERAGE(OFFSET($H$3,0,0,'Données projet'!$E$15+1,1))</f>
        <v>#N/A</v>
      </c>
      <c r="EP74" s="120" t="e">
        <f aca="false">$EP$3</f>
        <v>#N/A</v>
      </c>
      <c r="EQ74" s="121" t="n">
        <f aca="false">IF(ISNA(VLOOKUP(A74,'Données projet'!$A$191:$I$211,3,0)),0,VLOOKUP(A74,'Données projet'!$A$191:$I$211,3,0))</f>
        <v>0</v>
      </c>
      <c r="ER74" s="121" t="n">
        <f aca="false">IF(ISNA(VLOOKUP(A74,'Données projet'!$A$191:$I$211,4,0)),0,VLOOKUP(A74,'Données projet'!$A$191:$I$211,4,0))</f>
        <v>0</v>
      </c>
      <c r="ES74" s="122" t="n">
        <f aca="false">IF(ISNA(VLOOKUP(A74,'Données projet'!$A$191:$I$211,5,0)),0%,VLOOKUP(A74,'Données projet'!$A$191:$I$211,5,0)*VLOOKUP('Données projet'!$B$15,Paramètres!$A$1:$I$89,7,0))</f>
        <v>0</v>
      </c>
      <c r="ET74" s="122" t="n">
        <f aca="false">IF(ISNA(VLOOKUP(A74,'Données projet'!$A$191:$I$211,6,0)),0%,VLOOKUP(A74,'Données projet'!$A$191:$I$211,6,0)*VLOOKUP('Données projet'!$B$15,Paramètres!$A$1:$I$89,7,0))</f>
        <v>0</v>
      </c>
      <c r="EU74" s="122" t="n">
        <f aca="false">IF(ISNA(VLOOKUP(A74,'Données projet'!$A$191:$I$211,7,0)),0%,VLOOKUP(A74,'Données projet'!$A$191:$I$211,7,0))</f>
        <v>0</v>
      </c>
      <c r="EV74" s="129" t="e">
        <f aca="false">EXP(-LN(2)/35)*EV73+(1-EXP(-LN(2)/35))/(LN(2)/35)*ER74*ES74*VLOOKUP('Données projet'!$B$15,Paramètres!$A$1:$I$89,3,0)*0.475*44/12</f>
        <v>#N/A</v>
      </c>
      <c r="EW74" s="129" t="e">
        <f aca="false">EXP(-LN(2)/25)*EW73+(1-EXP(-LN(2)/25))/(LN(2)/25)*Calculateur!ER74*Calculateur!ET74*VLOOKUP('Données projet'!$B$15,Paramètres!$A$1:$I$89,3,0)*0.475*44/12</f>
        <v>#N/A</v>
      </c>
      <c r="EX74" s="129" t="e">
        <f aca="false">EXP(-LN(2)/2)*EX73+(1-EXP(-LN(2)/2))/(LN(2)/2)*ER74*EU74*VLOOKUP('Données projet'!$B$15,Paramètres!$A$1:$I$89,3,0)*0.475*44/12</f>
        <v>#N/A</v>
      </c>
      <c r="EY74" s="130" t="e">
        <f aca="false">SUM(EV74:EX74)</f>
        <v>#N/A</v>
      </c>
      <c r="EZ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8" t="e">
        <f aca="false">VLOOKUP(A74,'Données projet'!$A$217:$I$237,2,0)</f>
        <v>#N/A</v>
      </c>
      <c r="FC74" s="118" t="e">
        <f aca="false">VLOOKUP(A74,'Données projet'!$A$217:$I$237,9,0)</f>
        <v>#N/A</v>
      </c>
      <c r="FD74" s="118" t="n">
        <f aca="false" t="array" ref="FD74:FD74">INDEX(FC:FC,MIN(IF(ISNUMBER(FC74:FC270),ROW(FC74:FC270),"")))</f>
        <v>0</v>
      </c>
      <c r="FE74" s="118" t="n">
        <f aca="false">IF('Données projet'!$A$218&gt;35,FE73+FD74-FM73,IF(A74&lt;'Données projet'!$A$218,$FB$205^A74,IF(A74='Données projet'!$A$218,'Données projet'!$B$218,FE73+FD74-FM73)))</f>
        <v>0</v>
      </c>
      <c r="FF74" s="125" t="e">
        <f aca="false">FE74*VLOOKUP('Données projet'!$B$16,Paramètres!$A$1:$I$89,3,0)*VLOOKUP('Données projet'!$B$16,Paramètres!$A$1:$I$89,5,0)</f>
        <v>#N/A</v>
      </c>
      <c r="FG74" s="117" t="e">
        <f aca="false">EXP(-1.0587+0.8836*LN(FF74)+0.284)</f>
        <v>#N/A</v>
      </c>
      <c r="FH74" s="128" t="e">
        <f aca="false">(FF74+FG74)*0.475*44/12</f>
        <v>#N/A</v>
      </c>
      <c r="FI74" s="120" t="e">
        <f aca="false">FH74+(EZ74+FA74)*44/12</f>
        <v>#N/A</v>
      </c>
      <c r="FJ74" s="120" t="e">
        <f aca="true">AVERAGE(OFFSET($FI$3,0,0,'Données projet'!$E$16+1,1))-AVERAGE(OFFSET($H$3,0,0,'Données projet'!$E$16+1,1))</f>
        <v>#N/A</v>
      </c>
      <c r="FK74" s="120" t="e">
        <f aca="false">$FK$3</f>
        <v>#N/A</v>
      </c>
      <c r="FL74" s="121" t="n">
        <f aca="false">IF(ISNA(VLOOKUP(A74,'Données projet'!$A$217:$I$237,3,0)),0,VLOOKUP(A74,'Données projet'!$A$217:$I$237,3,0))</f>
        <v>0</v>
      </c>
      <c r="FM74" s="121" t="n">
        <f aca="false">IF(ISNA(VLOOKUP(A74,'Données projet'!$A$217:$I$237,4,0)),0,VLOOKUP(A74,'Données projet'!$A$217:$I$237,4,0))</f>
        <v>0</v>
      </c>
      <c r="FN74" s="122" t="n">
        <f aca="false">IF(ISNA(VLOOKUP(A74,'Données projet'!$A$217:$I$237,5,0)),0%,VLOOKUP(A74,'Données projet'!$A$217:$I$237,5,0)*VLOOKUP('Données projet'!$B$16,Paramètres!$A$1:$I$89,7,0))</f>
        <v>0</v>
      </c>
      <c r="FO74" s="122" t="n">
        <f aca="false">IF(ISNA(VLOOKUP(A74,'Données projet'!$A$217:$I$237,6,0)),0%,VLOOKUP(A74,'Données projet'!$A$217:$I$237,6,0)*VLOOKUP('Données projet'!$B$16,Paramètres!$A$1:$I$89,7,0))</f>
        <v>0</v>
      </c>
      <c r="FP74" s="122" t="n">
        <f aca="false">IF(ISNA(VLOOKUP(A74,'Données projet'!$A$217:$I$237,7,0)),0%,VLOOKUP(A74,'Données projet'!$A$217:$I$237,7,0))</f>
        <v>0</v>
      </c>
      <c r="FQ74" s="129" t="e">
        <f aca="false">EXP(-LN(2)/35)*FQ73+(1-EXP(-LN(2)/35))/(LN(2)/35)*FM74*FN74*VLOOKUP('Données projet'!$B$16,Paramètres!$A$1:$I$89,3,0)*0.475*44/12</f>
        <v>#N/A</v>
      </c>
      <c r="FR74" s="129" t="e">
        <f aca="false">EXP(-LN(2)/25)*FR73+(1-EXP(-LN(2)/25))/(LN(2)/25)*Calculateur!FM74*Calculateur!FO74*VLOOKUP('Données projet'!$B$16,Paramètres!$A$1:$I$89,3,0)*0.475*44/12</f>
        <v>#N/A</v>
      </c>
      <c r="FS74" s="129" t="e">
        <f aca="false">EXP(-LN(2)/2)*FS73+(1-EXP(-LN(2)/2))/(LN(2)/2)*FM74*FP74*VLOOKUP('Données projet'!$B$16,Paramètres!$A$1:$I$89,3,0)*0.475*44/12</f>
        <v>#N/A</v>
      </c>
      <c r="FT74" s="130" t="e">
        <f aca="false">SUM(FQ74:FS74)</f>
        <v>#N/A</v>
      </c>
      <c r="FU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8" t="e">
        <f aca="false">VLOOKUP(A74,'Données projet'!$A$243:$I$263,2,0)</f>
        <v>#N/A</v>
      </c>
      <c r="FX74" s="118" t="e">
        <f aca="false">VLOOKUP(A74,'Données projet'!$A$243:$I$263,9,0)</f>
        <v>#N/A</v>
      </c>
      <c r="FY74" s="118" t="n">
        <f aca="false" t="array" ref="FY74:FY74">INDEX(FX:FX,MIN(IF(ISNUMBER(FX74:FX270),ROW(FX74:FX270),"")))</f>
        <v>0</v>
      </c>
      <c r="FZ74" s="118" t="n">
        <f aca="false">IF('Données projet'!$A$244&gt;35,FZ73+FY74-GH73,IF(A74&lt;'Données projet'!$A$244,$FW$205^A74,IF(A74='Données projet'!$A$244,'Données projet'!$B$244,FZ73+FY74-GH73)))</f>
        <v>0</v>
      </c>
      <c r="GA74" s="125" t="e">
        <f aca="false">FZ74*VLOOKUP('Données projet'!$B$17,Paramètres!$A$1:$I$89,3,0)*VLOOKUP('Données projet'!$B$17,Paramètres!$A$1:$I$89,5,0)</f>
        <v>#N/A</v>
      </c>
      <c r="GB74" s="117" t="e">
        <f aca="false">EXP(-1.0587+0.8836*LN(GA74)+0.284)</f>
        <v>#N/A</v>
      </c>
      <c r="GC74" s="128" t="e">
        <f aca="false">(GA74+GB74)*0.475*44/12</f>
        <v>#N/A</v>
      </c>
      <c r="GD74" s="120" t="e">
        <f aca="false">GC74+(FU74+FV74)*44/12</f>
        <v>#N/A</v>
      </c>
      <c r="GE74" s="120" t="e">
        <f aca="true">AVERAGE(OFFSET($GD$3,0,0,'Données projet'!$E$17+1,1))-AVERAGE(OFFSET($H$3,0,0,'Données projet'!$E$17+1,1))</f>
        <v>#N/A</v>
      </c>
      <c r="GF74" s="120" t="e">
        <f aca="false">$GF$3</f>
        <v>#N/A</v>
      </c>
      <c r="GG74" s="121" t="n">
        <f aca="false">IF(ISNA(VLOOKUP(A74,'Données projet'!$A$243:$I$263,3,0)),0,VLOOKUP(A74,'Données projet'!$A$243:$I$263,3,0))</f>
        <v>0</v>
      </c>
      <c r="GH74" s="121" t="n">
        <f aca="false">IF(ISNA(VLOOKUP(A74,'Données projet'!$A$243:$I$263,4,0)),0,VLOOKUP(A74,'Données projet'!$A$243:$I$263,4,0))</f>
        <v>0</v>
      </c>
      <c r="GI74" s="122" t="n">
        <f aca="false">IF(ISNA(VLOOKUP(A74,'Données projet'!$A$243:$I$263,5,0)),0%,VLOOKUP(A74,'Données projet'!$A$243:$I$263,5,0)*VLOOKUP('Données projet'!$B$17,Paramètres!$A$1:$I$89,7,0))</f>
        <v>0</v>
      </c>
      <c r="GJ74" s="122" t="n">
        <f aca="false">IF(ISNA(VLOOKUP(A74,'Données projet'!$A$243:$I$263,6,0)),0%,VLOOKUP(A74,'Données projet'!$A$243:$I$263,6,0)*VLOOKUP('Données projet'!$B$17,Paramètres!$A$1:$I$89,7,0))</f>
        <v>0</v>
      </c>
      <c r="GK74" s="122" t="n">
        <f aca="false">IF(ISNA(VLOOKUP(A74,'Données projet'!$A$243:$I$263,7,0)),0%,VLOOKUP(A74,'Données projet'!$A$243:$I$263,7,0))</f>
        <v>0</v>
      </c>
      <c r="GL74" s="129" t="e">
        <f aca="false">EXP(-LN(2)/35)*GL73+(1-EXP(-LN(2)/35))/(LN(2)/35)*GH74*GI74*VLOOKUP('Données projet'!$B$17,Paramètres!$A$1:$I$89,3,0)*0.475*44/12</f>
        <v>#N/A</v>
      </c>
      <c r="GM74" s="129" t="e">
        <f aca="false">EXP(-LN(2)/25)*GM73+(1-EXP(-LN(2)/25))/(LN(2)/25)*Calculateur!GH74*Calculateur!GJ74*VLOOKUP('Données projet'!$B$17,Paramètres!$A$1:$I$89,3,0)*0.475*44/12</f>
        <v>#N/A</v>
      </c>
      <c r="GN74" s="129" t="e">
        <f aca="false">EXP(-LN(2)/2)*GN73+(1-EXP(-LN(2)/2))/(LN(2)/2)*GH74*GK74*VLOOKUP('Données projet'!$B$17,Paramètres!$A$1:$I$89,3,0)*0.475*44/12</f>
        <v>#N/A</v>
      </c>
      <c r="GO74" s="129" t="e">
        <f aca="false">SUM(GL74:GN74)</f>
        <v>#N/A</v>
      </c>
      <c r="GP74" s="126" t="n">
        <f aca="false"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8" t="n">
        <f aca="false"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8" t="e">
        <f aca="false">VLOOKUP(A74,'Données projet'!$A$269:$I$289,2,0)</f>
        <v>#N/A</v>
      </c>
      <c r="GS74" s="118" t="e">
        <f aca="false">VLOOKUP(A74,'Données projet'!$A$269:$I$289,9,0)</f>
        <v>#N/A</v>
      </c>
      <c r="GT74" s="118" t="n">
        <f aca="false" t="array" ref="GT74:GT74">INDEX(GS:GS,MIN(IF(ISNUMBER(GS74:GS270),ROW(GS74:GS270),"")))</f>
        <v>0</v>
      </c>
      <c r="GU74" s="118" t="n">
        <f aca="false">IF('Données projet'!$A$270&gt;35,GU73+GT74-HC73,IF(A74&lt;'Données projet'!$A$270,$GR$205^A74,IF(A74='Données projet'!$A$270,'Données projet'!$B$270,GU73+GT74-HC73)))</f>
        <v>0</v>
      </c>
      <c r="GV74" s="125" t="e">
        <f aca="false">GU74*VLOOKUP('Données projet'!$B$18,Paramètres!$A$1:$I$89,3,0)*VLOOKUP('Données projet'!$B$18,Paramètres!$A$1:$I$89,5,0)</f>
        <v>#N/A</v>
      </c>
      <c r="GW74" s="117" t="e">
        <f aca="false">EXP(-1.0587+0.8836*LN(GV74)+0.284)</f>
        <v>#N/A</v>
      </c>
      <c r="GX74" s="128" t="e">
        <f aca="false">(GV74+GW74)*0.475*44/12</f>
        <v>#N/A</v>
      </c>
      <c r="GY74" s="120" t="e">
        <f aca="false">GX74+(GP74+GQ74)*44/12</f>
        <v>#N/A</v>
      </c>
      <c r="GZ74" s="120" t="e">
        <f aca="true">AVERAGE(OFFSET($GY$3,0,0,'Données projet'!$E$18+1,1))-AVERAGE(OFFSET($H$3,0,0,'Données projet'!$E$18+1,1))</f>
        <v>#N/A</v>
      </c>
      <c r="HA74" s="120" t="e">
        <f aca="false">$HA$3</f>
        <v>#N/A</v>
      </c>
      <c r="HB74" s="121" t="n">
        <f aca="false">IF(ISNA(VLOOKUP(A74,'Données projet'!$A$269:$I$289,3,0)),0,VLOOKUP(A74,'Données projet'!$A$269:$I$289,3,0))</f>
        <v>0</v>
      </c>
      <c r="HC74" s="121" t="n">
        <f aca="false">IF(ISNA(VLOOKUP(A74,'Données projet'!$A$269:$I$289,4,0)),0,VLOOKUP(A74,'Données projet'!$A$269:$I$289,4,0))</f>
        <v>0</v>
      </c>
      <c r="HD74" s="122" t="n">
        <f aca="false">IF(ISNA(VLOOKUP(A74,'Données projet'!$A$269:$I$289,5,0)),0%,VLOOKUP(A74,'Données projet'!$A$269:$I$289,5,0)*VLOOKUP('Données projet'!$B$18,Paramètres!$A$1:$I$89,7,0))</f>
        <v>0</v>
      </c>
      <c r="HE74" s="122" t="n">
        <f aca="false">IF(ISNA(VLOOKUP(A74,'Données projet'!$A$269:$I$289,6,0)),0%,VLOOKUP(A74,'Données projet'!$A$269:$I$289,6,0)*VLOOKUP('Données projet'!$B$18,Paramètres!$A$1:$I$89,7,0))</f>
        <v>0</v>
      </c>
      <c r="HF74" s="122" t="n">
        <f aca="false">IF(ISNA(VLOOKUP(A74,'Données projet'!$A$269:$I$289,7,0)),0%,VLOOKUP(A74,'Données projet'!$A$269:$I$289,7,0))</f>
        <v>0</v>
      </c>
      <c r="HG74" s="129" t="e">
        <f aca="false">EXP(-LN(2)/35)*HG73+(1-EXP(-LN(2)/35))/(LN(2)/35)*HC74*HD74*VLOOKUP('Données projet'!$B$18,Paramètres!$A$1:$I$89,3,0)*0.475*44/12</f>
        <v>#N/A</v>
      </c>
      <c r="HH74" s="129" t="e">
        <f aca="false">EXP(-LN(2)/25)*HH73+(1-EXP(-LN(2)/25))/(LN(2)/25)*Calculateur!HC74*Calculateur!HE74*VLOOKUP('Données projet'!$B$18,Paramètres!$A$1:$I$89,3,0)*0.475*44/12</f>
        <v>#N/A</v>
      </c>
      <c r="HI74" s="129" t="e">
        <f aca="false">EXP(-LN(2)/2)*HI73+(1-EXP(-LN(2)/2))/(LN(2)/2)*HC74*HF74*VLOOKUP('Données projet'!$B$18,Paramètres!$A$1:$I$89,3,0)*0.475*44/12</f>
        <v>#N/A</v>
      </c>
      <c r="HJ74" s="130" t="e">
        <f aca="false">SUM(HG74:HI74)</f>
        <v>#N/A</v>
      </c>
    </row>
    <row r="75" customFormat="false" ht="14.25" hidden="false" customHeight="false" outlineLevel="0" collapsed="false">
      <c r="A75" s="112" t="n">
        <f aca="false">A74+1</f>
        <v>72</v>
      </c>
      <c r="B75" s="113" t="n">
        <f aca="false">'Scénario référence'!$B$16*5+'Scénario référence'!$B$17*0+'Scénario référence'!$B$18*5</f>
        <v>0</v>
      </c>
      <c r="C75" s="127" t="n">
        <f aca="false"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4" t="n">
        <f aca="false">IFERROR(EXP(-1.0587+0.8836*LN(C75)+0.284),0)</f>
        <v>0</v>
      </c>
      <c r="E7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5" s="114" t="n">
        <f aca="false">IF(OR('Scénario référence'!$F$8&gt;0,'Scénario référence'!$F$9&gt;0),('Scénario référence'!$F$8+'Scénario référence'!$F$9)*10,0)</f>
        <v>0</v>
      </c>
      <c r="G75" s="114" t="n">
        <f aca="false"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15" t="n">
        <f aca="false">(B75+E75+F75)*44/12+(C75+D75)*0.475*44/12</f>
        <v>256.666666666667</v>
      </c>
      <c r="I75" s="11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7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8" t="e">
        <f aca="false">VLOOKUP(A75,'Données projet'!$A$35:$I$55,2,0)</f>
        <v>#N/A</v>
      </c>
      <c r="L75" s="118" t="e">
        <f aca="false">VLOOKUP(A75,'Données projet'!$A$35:$I$55,9,0)</f>
        <v>#N/A</v>
      </c>
      <c r="M75" s="118" t="n">
        <f aca="false" t="array" ref="M75:M75">INDEX(L:L,MIN(IF(ISNUMBER(L75:L271),ROW(L75:L271),"")))</f>
        <v>17</v>
      </c>
      <c r="N75" s="117" t="n">
        <f aca="false">IF('Données projet'!$A$36&gt;35,N74+M75-V74,IF(A75&lt;'Données projet'!$A$36,$K$205^A75,IF(A75='Données projet'!$A$36,'Données projet'!$B$36,N74+M75-V74)))</f>
        <v>370.5</v>
      </c>
      <c r="O75" s="117" t="n">
        <f aca="false">N75*VLOOKUP('Données projet'!$B$9,Paramètres!$A$1:$I$89,3,0)*VLOOKUP('Données projet'!$B$9,Paramètres!$A$1:$I$89,5,0)</f>
        <v>173.394</v>
      </c>
      <c r="P75" s="117" t="n">
        <f aca="false">EXP(-1.0587+0.8836*LN(O75)+0.284)</f>
        <v>43.8492899301966</v>
      </c>
      <c r="Q75" s="128" t="n">
        <f aca="false">(O75+P75)*0.475*44/12</f>
        <v>378.365396628426</v>
      </c>
      <c r="R75" s="120" t="n">
        <f aca="false">Q75+(I75+J75)*44/12</f>
        <v>671.698729961759</v>
      </c>
      <c r="S75" s="120" t="n">
        <f aca="true">AVERAGE(OFFSET($R$3,0,0,'Données projet'!$E$9+1,1))-AVERAGE(OFFSET($H$3,0,0,'Données projet'!$E$9+1,1))</f>
        <v>319.229030946746</v>
      </c>
      <c r="T75" s="120" t="n">
        <f aca="false">$T$3</f>
        <v>254.586909731428</v>
      </c>
      <c r="U75" s="121" t="n">
        <f aca="false">IF(ISNA(VLOOKUP(A75,'Données projet'!$A$35:$I$55,3,0)),0,VLOOKUP(A75,'Données projet'!$A$35:$I$55,3,0))</f>
        <v>0</v>
      </c>
      <c r="V75" s="121" t="n">
        <f aca="false">IF(ISNA(VLOOKUP(A75,'Données projet'!$A$35:$I$55,4,0)),0,VLOOKUP(A75,'Données projet'!$A$35:$I$55,4,0))</f>
        <v>0</v>
      </c>
      <c r="W75" s="122" t="n">
        <f aca="false">IF(ISNA(VLOOKUP(A75,'Données projet'!$A$35:$I$55,5,0)),0%,VLOOKUP(A75,'Données projet'!$A$35:$I$55,5,0)*VLOOKUP('Données projet'!$B$9,Paramètres!$A$1:$I$89,7,0))</f>
        <v>0</v>
      </c>
      <c r="X75" s="122" t="n">
        <f aca="false">IF(ISNA(VLOOKUP(A75,'Données projet'!$A$35:$I$55,6,0)),0%,VLOOKUP(A75,'Données projet'!$A$35:$I$55,6,0)*VLOOKUP('Données projet'!$B$9,Paramètres!$A$1:$I$89,7,0))</f>
        <v>0</v>
      </c>
      <c r="Y75" s="122" t="n">
        <f aca="false">IF(ISNA(VLOOKUP(A75,'Données projet'!$A$35:$I$55,7,0)),0%,VLOOKUP(A75,'Données projet'!$A$35:$I$55,7,0))</f>
        <v>0</v>
      </c>
      <c r="Z75" s="129" t="n">
        <f aca="false">EXP(-LN(2)/35)*Z74+(1-EXP(-LN(2)/35))/(LN(2)/35)*V75*W75*VLOOKUP('Données projet'!$B$9,Paramètres!$A$1:$I$89,3,0)*0.475*44/12</f>
        <v>3.9506312059713</v>
      </c>
      <c r="AA75" s="129" t="n">
        <f aca="false">EXP(-LN(2)/25)*AA74+(1-EXP(-LN(2)/25))/(LN(2)/25)*Calculateur!V75*Calculateur!X75*VLOOKUP('Données projet'!$B$9,Paramètres!$A$1:$I$89,3,0)*0.475*44/12</f>
        <v>3.48013342176955</v>
      </c>
      <c r="AB75" s="129" t="n">
        <f aca="false">EXP(-LN(2)/2)*AB74+(1-EXP(-LN(2)/2))/(LN(2)/2)*V75*Y75*VLOOKUP('Données projet'!$B$9,Paramètres!$A$1:$I$89,3,0)*0.475*44/12</f>
        <v>5.26577408008499E-006</v>
      </c>
      <c r="AC75" s="130" t="n">
        <f aca="false">SUM(Z75:AB75)</f>
        <v>7.43076989351493</v>
      </c>
      <c r="AD75" s="117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7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8" t="e">
        <f aca="false">VLOOKUP(A75,'Données projet'!$A$61:$I$81,2,0)</f>
        <v>#N/A</v>
      </c>
      <c r="AG75" s="118" t="e">
        <f aca="false">VLOOKUP(A75,'Données projet'!$A$61:$I$81,9,0)</f>
        <v>#N/A</v>
      </c>
      <c r="AH75" s="118" t="n">
        <f aca="false" t="array" ref="AH75:AH75">INDEX(AG:AG,MIN(IF(ISNUMBER(AG75:AG271),ROW(AG75:AG271),"")))</f>
        <v>0</v>
      </c>
      <c r="AI75" s="117" t="n">
        <f aca="false">IF('Données projet'!$A$62&gt;35,AI74+AH75-AQ74,IF(A75&lt;'Données projet'!$A$62,$AF$205^A75,IF(A75='Données projet'!$A$62,'Données projet'!$B$62,AI74+AH75-AQ74)))</f>
        <v>1.13686837721616E-013</v>
      </c>
      <c r="AJ75" s="117" t="n">
        <f aca="false">AI75*VLOOKUP('Données projet'!$B$10,Paramètres!$A$1:$I$89,3,0)*VLOOKUP('Données projet'!$B$10,Paramètres!$A$1:$I$89,5,0)</f>
        <v>6.35509422863834E-014</v>
      </c>
      <c r="AK75" s="117" t="n">
        <f aca="false">EXP(-1.0587+0.8836*LN(AJ75)+0.284)</f>
        <v>1.0064464192544E-012</v>
      </c>
      <c r="AL75" s="128" t="n">
        <f aca="false">(AJ75+AK75)*0.475*44/12</f>
        <v>1.86357873801686E-012</v>
      </c>
      <c r="AM75" s="120" t="n">
        <f aca="false">AL75+(AD75+AE75)*44/12</f>
        <v>293.333333333335</v>
      </c>
      <c r="AN75" s="120" t="n">
        <f aca="true">AVERAGE(OFFSET($AM$3,0,0,'Données projet'!$E$10+1,1))-AVERAGE(OFFSET($H$3,0,0,'Données projet'!$E$10+1,1))</f>
        <v>365.705101827279</v>
      </c>
      <c r="AO75" s="120" t="n">
        <f aca="false">$AO$3</f>
        <v>436.238338449625</v>
      </c>
      <c r="AP75" s="121" t="n">
        <f aca="false">IF(ISNA(VLOOKUP(A75,'Données projet'!$A$61:$I$81,3,0)),0,VLOOKUP(A75,'Données projet'!$A$61:$I$81,3,0))</f>
        <v>0</v>
      </c>
      <c r="AQ75" s="121" t="n">
        <f aca="false">IF(ISNA(VLOOKUP(A75,'Données projet'!$A$61:$I$81,4,0)),0,VLOOKUP(A75,'Données projet'!$A$61:$I$81,4,0))</f>
        <v>0</v>
      </c>
      <c r="AR75" s="122" t="n">
        <f aca="false">IF(ISNA(VLOOKUP(A75,'Données projet'!$A$61:$I$81,5,0)),0%,VLOOKUP(A75,'Données projet'!$A$61:$I$81,5,0)*VLOOKUP('Données projet'!$B$10,Paramètres!$A$1:$I$89,7,0))</f>
        <v>0</v>
      </c>
      <c r="AS75" s="122" t="n">
        <f aca="false">IF(ISNA(VLOOKUP(A75,'Données projet'!$A$61:$I$81,6,0)),0%,VLOOKUP(A75,'Données projet'!$A$61:$I$81,6,0)*VLOOKUP('Données projet'!$B$10,Paramètres!$A$1:$I$89,7,0))</f>
        <v>0</v>
      </c>
      <c r="AT75" s="122" t="n">
        <f aca="false">IF(ISNA(VLOOKUP(A75,'Données projet'!$A$61:$I$81,7,0)),0%,VLOOKUP(A75,'Données projet'!$A$61:$I$81,7,0))</f>
        <v>0</v>
      </c>
      <c r="AU75" s="129" t="n">
        <f aca="false">EXP(-LN(2)/35)*AU74+(1-EXP(-LN(2)/35))/(LN(2)/35)*AQ75*AR75*VLOOKUP('Données projet'!$B$10,Paramètres!$A$1:$I$89,3,0)*0.475*44/12</f>
        <v>1.49123519522141</v>
      </c>
      <c r="AV75" s="129" t="n">
        <f aca="false">EXP(-LN(2)/25)*AV74+(1-EXP(-LN(2)/25))/(LN(2)/25)*Calculateur!AQ75*Calculateur!AS75*VLOOKUP('Données projet'!$B$10,Paramètres!$A$1:$I$89,3,0)*0.475*44/12</f>
        <v>4.12202986770027</v>
      </c>
      <c r="AW75" s="129" t="n">
        <f aca="false">EXP(-LN(2)/2)*AW74+(1-EXP(-LN(2)/2))/(LN(2)/2)*AQ75*AT75*VLOOKUP('Données projet'!$B$10,Paramètres!$A$1:$I$89,3,0)*0.475*44/12</f>
        <v>2.83387502940931E-006</v>
      </c>
      <c r="AX75" s="129" t="n">
        <f aca="false">SUM(AU75:AW75)</f>
        <v>5.61326789679672</v>
      </c>
      <c r="AY75" s="124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8" t="e">
        <f aca="false">VLOOKUP(A75,'Données projet'!$A$87:$I$107,2,0)</f>
        <v>#N/A</v>
      </c>
      <c r="BB75" s="118" t="e">
        <f aca="false">VLOOKUP(A75,'Données projet'!$A$87:$I$107,9,0)</f>
        <v>#N/A</v>
      </c>
      <c r="BC75" s="118" t="n">
        <f aca="false" t="array" ref="BC75:BC75">INDEX(BB:BB,MIN(IF(ISNUMBER(BB75:BB271),ROW(BB75:BB271),"")))</f>
        <v>0</v>
      </c>
      <c r="BD75" s="118" t="n">
        <f aca="false">IF('Données projet'!$A$88&gt;35,BD74+BC75-BL74,IF(A75&lt;'Données projet'!$A$88,$BA$205^A75,IF(A75='Données projet'!$A$88,'Données projet'!$B$88,BD74+BC75-BL74)))</f>
        <v>1.98951966012828E-013</v>
      </c>
      <c r="BE75" s="117" t="n">
        <f aca="false">BD75*VLOOKUP('Données projet'!$B$11,Paramètres!$A$1:$I$89,3,0)*VLOOKUP('Données projet'!$B$11,Paramètres!$A$1:$I$89,5,0)</f>
        <v>1.73804437508807E-013</v>
      </c>
      <c r="BF75" s="117" t="n">
        <f aca="false">EXP(-1.0587+0.8836*LN(BE75)+0.284)</f>
        <v>2.44832936339505E-012</v>
      </c>
      <c r="BG75" s="128" t="n">
        <f aca="false">(BE75+BF75)*0.475*44/12</f>
        <v>4.56688303657421E-012</v>
      </c>
      <c r="BH75" s="120" t="n">
        <f aca="false">BG75+(AY75+AZ75)*44/12</f>
        <v>293.333333333338</v>
      </c>
      <c r="BI75" s="120" t="n">
        <f aca="true">AVERAGE(OFFSET($BH$3,0,0,'Données projet'!$E$11+1,1))-AVERAGE(OFFSET($H$3,0,0,'Données projet'!$E$11+1,1))</f>
        <v>321.235999689929</v>
      </c>
      <c r="BJ75" s="120" t="n">
        <f aca="false">$BJ$3</f>
        <v>388.051958478005</v>
      </c>
      <c r="BK75" s="121" t="n">
        <f aca="false">IF(ISNA(VLOOKUP(A75,'Données projet'!$A$87:$I$107,3,0)),0,VLOOKUP(A75,'Données projet'!$A$87:$I$107,3,0))</f>
        <v>0</v>
      </c>
      <c r="BL75" s="121" t="n">
        <f aca="false">IF(ISNA(VLOOKUP(A75,'Données projet'!$A$87:$I$107,4,0)),0,VLOOKUP(A75,'Données projet'!$A$87:$I$107,4,0))</f>
        <v>0</v>
      </c>
      <c r="BM75" s="122" t="n">
        <f aca="false">IF(ISNA(VLOOKUP(A75,'Données projet'!$A$87:$I$107,5,0)),0%,VLOOKUP(A75,'Données projet'!$A$87:$I$107,5,0)*VLOOKUP('Données projet'!$B$11,Paramètres!$A$1:$I$89,7,0))</f>
        <v>0</v>
      </c>
      <c r="BN75" s="122" t="n">
        <f aca="false">IF(ISNA(VLOOKUP(A75,'Données projet'!$A$87:$I$107,6,0)),0%,VLOOKUP(A75,'Données projet'!$A$87:$I$107,6,0)*VLOOKUP('Données projet'!$B$11,Paramètres!$A$1:$I$89,7,0))</f>
        <v>0</v>
      </c>
      <c r="BO75" s="122" t="n">
        <f aca="false">IF(ISNA(VLOOKUP(A75,'Données projet'!$A$87:$I$107,7,0)),0%,VLOOKUP(A75,'Données projet'!$A$87:$I$107,7,0))</f>
        <v>0</v>
      </c>
      <c r="BP75" s="129" t="n">
        <f aca="false">EXP(-LN(2)/35)*BP74+(1-EXP(-LN(2)/35))/(LN(2)/35)*BL75*BM75*VLOOKUP('Données projet'!$B$11,Paramètres!$A$1:$I$89,3,0)*0.475*44/12</f>
        <v>3.74392692190339</v>
      </c>
      <c r="BQ75" s="129" t="n">
        <f aca="false">EXP(-LN(2)/25)*BQ74+(1-EXP(-LN(2)/25))/(LN(2)/25)*Calculateur!BL75*Calculateur!BN75*VLOOKUP('Données projet'!$B$11,Paramètres!$A$1:$I$89,3,0)*0.475*44/12</f>
        <v>4.20752325551163</v>
      </c>
      <c r="BR75" s="129" t="n">
        <f aca="false">EXP(-LN(2)/2)*BR74+(1-EXP(-LN(2)/2))/(LN(2)/2)*BL75*BO75*VLOOKUP('Données projet'!$B$11,Paramètres!$A$1:$I$89,3,0)*0.475*44/12</f>
        <v>2.88057506432282E-006</v>
      </c>
      <c r="BS75" s="130" t="n">
        <f aca="false">SUM(BP75:BR75)</f>
        <v>7.95145305799008</v>
      </c>
      <c r="BT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8" t="e">
        <f aca="false">VLOOKUP(A75,'Données projet'!$A$113:$I$133,2,0)</f>
        <v>#N/A</v>
      </c>
      <c r="BW75" s="118" t="e">
        <f aca="false">VLOOKUP(A75,'Données projet'!$A$113:$I$133,9,0)</f>
        <v>#N/A</v>
      </c>
      <c r="BX75" s="118" t="n">
        <f aca="false" t="array" ref="BX75:BX75">INDEX(BW:BW,MIN(IF(ISNUMBER(BW75:BW271),ROW(BW75:BW271),"")))</f>
        <v>0</v>
      </c>
      <c r="BY75" s="118" t="n">
        <f aca="false">IF('Données projet'!$A$114&gt;35,BY74+BX75-CG74,IF(A75&lt;'Données projet'!$A$114,$BV$205^A75,IF(A75='Données projet'!$A$114,'Données projet'!$B$114,BY74+BX75-CG74)))</f>
        <v>0</v>
      </c>
      <c r="BZ75" s="117" t="n">
        <f aca="false">BY75*VLOOKUP('Données projet'!$B$12,Paramètres!$A$1:$I$89,3,0)*VLOOKUP('Données projet'!$B$12,Paramètres!$A$1:$I$89,5,0)</f>
        <v>0</v>
      </c>
      <c r="CA75" s="117" t="e">
        <f aca="false">EXP(-1.0587+0.8836*LN(BZ75)+0.284)</f>
        <v>#VALUE!</v>
      </c>
      <c r="CB75" s="128" t="e">
        <f aca="false">(BZ75+CA75)*0.475*44/12</f>
        <v>#VALUE!</v>
      </c>
      <c r="CC75" s="120" t="e">
        <f aca="false">CB75+(BT75+BU75)*44/12</f>
        <v>#VALUE!</v>
      </c>
      <c r="CD75" s="120" t="n">
        <f aca="true">AVERAGE(OFFSET($CC$3,0,0,'Données projet'!$E$12+1,1))-AVERAGE(OFFSET($H$3,0,0,'Données projet'!$E$12+1,1))</f>
        <v>240.228848647662</v>
      </c>
      <c r="CE75" s="120" t="n">
        <f aca="false">$CE$3</f>
        <v>343.237768841432</v>
      </c>
      <c r="CF75" s="121" t="n">
        <f aca="false">IF(ISNA(VLOOKUP(A75,'Données projet'!$A$113:$I$133,3,0)),0,VLOOKUP(A75,'Données projet'!$A$113:$I$133,3,0))</f>
        <v>0</v>
      </c>
      <c r="CG75" s="121" t="n">
        <f aca="false">IF(ISNA(VLOOKUP(A75,'Données projet'!$A$113:$I$133,4,0)),0,VLOOKUP(A75,'Données projet'!$A$113:$I$133,4,0))</f>
        <v>0</v>
      </c>
      <c r="CH75" s="122" t="n">
        <f aca="false">IF(ISNA(VLOOKUP(A75,'Données projet'!$A$113:$I$133,5,0)),0%,VLOOKUP(A75,'Données projet'!$A$113:$I$133,5,0)*VLOOKUP('Données projet'!$B$12,Paramètres!$A$1:$I$89,7,0))</f>
        <v>0</v>
      </c>
      <c r="CI75" s="122" t="n">
        <f aca="false">IF(ISNA(VLOOKUP(A75,'Données projet'!$A$113:$I$133,6,0)),0%,VLOOKUP(A75,'Données projet'!$A$113:$I$133,6,0)*VLOOKUP('Données projet'!$B$12,Paramètres!$A$1:$I$89,7,0))</f>
        <v>0</v>
      </c>
      <c r="CJ75" s="122" t="n">
        <f aca="false">IF(ISNA(VLOOKUP(A75,'Données projet'!$A$113:$I$133,7,0)),0%,VLOOKUP(A75,'Données projet'!$A$113:$I$133,7,0))</f>
        <v>0</v>
      </c>
      <c r="CK75" s="129" t="n">
        <f aca="false">EXP(-LN(2)/35)*CK74+(1-EXP(-LN(2)/35))/(LN(2)/35)*CG75*CH75*VLOOKUP('Données projet'!$B$12,Paramètres!$A$1:$I$89,3,0)*0.475*44/12</f>
        <v>2.29157495417897</v>
      </c>
      <c r="CL75" s="129" t="n">
        <f aca="false">EXP(-LN(2)/25)*CL74+(1-EXP(-LN(2)/25))/(LN(2)/25)*Calculateur!CG75*Calculateur!CI75*VLOOKUP('Données projet'!$B$12,Paramètres!$A$1:$I$89,3,0)*0.475*44/12</f>
        <v>7.43072964227801</v>
      </c>
      <c r="CM75" s="129" t="n">
        <f aca="false">EXP(-LN(2)/2)*CM74+(1-EXP(-LN(2)/2))/(LN(2)/2)*CG75*CJ75*VLOOKUP('Données projet'!$B$12,Paramètres!$A$1:$I$89,3,0)*0.475*44/12</f>
        <v>4.59662984178725E-006</v>
      </c>
      <c r="CN75" s="130" t="n">
        <f aca="false">SUM(CK75:CM75)</f>
        <v>9.72230919308682</v>
      </c>
      <c r="CO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8" t="e">
        <f aca="false">VLOOKUP(A75,'Données projet'!$A$139:$I$159,2,0)</f>
        <v>#N/A</v>
      </c>
      <c r="CR75" s="118" t="e">
        <f aca="false">VLOOKUP(A75,'Données projet'!$A$139:$I$159,9,0)</f>
        <v>#N/A</v>
      </c>
      <c r="CS75" s="118" t="n">
        <f aca="false" t="array" ref="CS75:CS75">INDEX(CR:CR,MIN(IF(ISNUMBER(CR75:CR271),ROW(CR75:CR271),"")))</f>
        <v>0</v>
      </c>
      <c r="CT75" s="118" t="n">
        <f aca="false">IF('Données projet'!$A$140&gt;35,CT74+CS75-DB74,IF(A75&lt;'Données projet'!$A$140,$CQ$205^A75,IF(A75='Données projet'!$A$140,'Données projet'!$B$140,CT74+CS75-DB74)))</f>
        <v>-5.6843418860808E-014</v>
      </c>
      <c r="CU75" s="125" t="n">
        <f aca="false">CT75*VLOOKUP('Données projet'!$B$13,Paramètres!$A$1:$I$89,3,0)*VLOOKUP('Données projet'!$B$13,Paramètres!$A$1:$I$89,5,0)</f>
        <v>-3.10365066980012E-014</v>
      </c>
      <c r="CV75" s="117" t="e">
        <f aca="false">EXP(-1.0587+0.8836*LN(CU75)+0.284)</f>
        <v>#VALUE!</v>
      </c>
      <c r="CW75" s="128" t="e">
        <f aca="false">(CU75+CV75)*0.475*44/12</f>
        <v>#VALUE!</v>
      </c>
      <c r="CX75" s="120" t="e">
        <f aca="false">CW75+(CO75+CP75)*44/12</f>
        <v>#VALUE!</v>
      </c>
      <c r="CY75" s="120" t="n">
        <f aca="true">AVERAGE(OFFSET($CX$3,0,0,'Données projet'!$E$13+1,1))-AVERAGE(OFFSET($H$3,0,0,'Données projet'!$E$13+1,1))</f>
        <v>207.023069645676</v>
      </c>
      <c r="CZ75" s="120" t="n">
        <f aca="false">$CZ$3</f>
        <v>342.068879333518</v>
      </c>
      <c r="DA75" s="121" t="n">
        <f aca="false">IF(ISNA(VLOOKUP(A75,'Données projet'!$A$139:$I$159,3,0)),0,VLOOKUP(A75,'Données projet'!$A$139:$I$159,3,0))</f>
        <v>0</v>
      </c>
      <c r="DB75" s="121" t="n">
        <f aca="false">IF(ISNA(VLOOKUP(A75,'Données projet'!$A$139:$I$159,4,0)),0,VLOOKUP(A75,'Données projet'!$A$139:$I$159,4,0))</f>
        <v>0</v>
      </c>
      <c r="DC75" s="122" t="n">
        <f aca="false">IF(ISNA(VLOOKUP(A75,'Données projet'!$A$139:$I$159,5,0)),0%,VLOOKUP(A75,'Données projet'!$A$139:$I$159,5,0)*VLOOKUP('Données projet'!$B$13,Paramètres!$A$1:$I$89,7,0))</f>
        <v>0</v>
      </c>
      <c r="DD75" s="122" t="n">
        <f aca="false">IF(ISNA(VLOOKUP(A75,'Données projet'!$A$139:$I$159,6,0)),0%,VLOOKUP(A75,'Données projet'!$A$139:$I$159,6,0)*VLOOKUP('Données projet'!$B$13,Paramètres!$A$1:$I$89,7,0))</f>
        <v>0</v>
      </c>
      <c r="DE75" s="122" t="n">
        <f aca="false">IF(ISNA(VLOOKUP(A75,'Données projet'!$A$139:$I$159,7,0)),0%,VLOOKUP(A75,'Données projet'!$A$139:$I$159,7,0))</f>
        <v>0</v>
      </c>
      <c r="DF75" s="129" t="n">
        <f aca="false">EXP(-LN(2)/35)*DF74+(1-EXP(-LN(2)/35))/(LN(2)/35)*DB75*DC75*VLOOKUP('Données projet'!$B$13,Paramètres!$A$1:$I$89,3,0)*0.475*44/12</f>
        <v>2.87527800854531</v>
      </c>
      <c r="DG75" s="129" t="n">
        <f aca="false">EXP(-LN(2)/25)*DG74+(1-EXP(-LN(2)/25))/(LN(2)/25)*Calculateur!DB75*Calculateur!DD75*VLOOKUP('Données projet'!$B$13,Paramètres!$A$1:$I$89,3,0)*0.475*44/12</f>
        <v>12.1461481492556</v>
      </c>
      <c r="DH75" s="129" t="n">
        <f aca="false">EXP(-LN(2)/2)*DH74+(1-EXP(-LN(2)/2))/(LN(2)/2)*DB75*DE75*VLOOKUP('Données projet'!$B$13,Paramètres!$A$1:$I$89,3,0)*0.475*44/12</f>
        <v>6.32956142325441E-006</v>
      </c>
      <c r="DI75" s="130" t="n">
        <f aca="false">SUM(DF75:DH75)</f>
        <v>15.0214324873623</v>
      </c>
      <c r="DJ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8" t="e">
        <f aca="false">VLOOKUP(A75,'Données projet'!$A$165:$I$185,2,0)</f>
        <v>#N/A</v>
      </c>
      <c r="DM75" s="118" t="e">
        <f aca="false">VLOOKUP(A75,'Données projet'!$A$165:$I$185,9,0)</f>
        <v>#N/A</v>
      </c>
      <c r="DN75" s="118" t="n">
        <f aca="false" t="array" ref="DN75:DN75">INDEX(DM:DM,MIN(IF(ISNUMBER(DM75:DM271),ROW(DM75:DM271),"")))</f>
        <v>0</v>
      </c>
      <c r="DO75" s="118" t="n">
        <f aca="false">IF('Données projet'!$A$166&gt;35,DO74+DN75-DW74,IF(A75&lt;'Données projet'!$A$166,$DL$205^A75,IF(A75='Données projet'!$A$166,'Données projet'!$B$166,DO74+DN75-DW74)))</f>
        <v>0</v>
      </c>
      <c r="DP75" s="125" t="n">
        <f aca="false">DO75*VLOOKUP('Données projet'!$B$14,Paramètres!$A$1:$I$89,3,0)*VLOOKUP('Données projet'!$B$14,Paramètres!$A$1:$I$89,5,0)</f>
        <v>0</v>
      </c>
      <c r="DQ75" s="117" t="e">
        <f aca="false">EXP(-1.0587+0.8836*LN(DP75)+0.284)</f>
        <v>#VALUE!</v>
      </c>
      <c r="DR75" s="128" t="e">
        <f aca="false">(DP75+DQ75)*0.475*44/12</f>
        <v>#VALUE!</v>
      </c>
      <c r="DS75" s="120" t="e">
        <f aca="false">DR75+(DJ75+DK75)*44/12</f>
        <v>#VALUE!</v>
      </c>
      <c r="DT75" s="120" t="n">
        <f aca="true">AVERAGE(OFFSET($DS$3,0,0,'Données projet'!$E$14+1,1))-AVERAGE(OFFSET($H$3,0,0,'Données projet'!$E$14+1,1))</f>
        <v>549.432320957297</v>
      </c>
      <c r="DU75" s="120" t="n">
        <f aca="false">$DU$3</f>
        <v>280.26155987301</v>
      </c>
      <c r="DV75" s="121" t="n">
        <f aca="false">IF(ISNA(VLOOKUP(A75,'Données projet'!$A$165:$I$185,3,0)),0,VLOOKUP(A75,'Données projet'!$A$165:$I$185,3,0))</f>
        <v>0</v>
      </c>
      <c r="DW75" s="121" t="n">
        <f aca="false">IF(ISNA(VLOOKUP(A75,'Données projet'!$A$165:$I$185,4,0)),0,VLOOKUP(A75,'Données projet'!$A$165:$I$185,4,0))</f>
        <v>0</v>
      </c>
      <c r="DX75" s="122" t="n">
        <f aca="false">IF(ISNA(VLOOKUP(A75,'Données projet'!$A$165:$I$185,5,0)),0%,VLOOKUP(A75,'Données projet'!$A$165:$I$185,5,0)*VLOOKUP('Données projet'!$B$14,Paramètres!$A$1:$I$89,7,0))</f>
        <v>0</v>
      </c>
      <c r="DY75" s="122" t="n">
        <f aca="false">IF(ISNA(VLOOKUP(A75,'Données projet'!$A$165:$I$185,6,0)),0%,VLOOKUP(A75,'Données projet'!$A$165:$I$185,6,0)*VLOOKUP('Données projet'!$B$14,Paramètres!$A$1:$I$89,7,0))</f>
        <v>0</v>
      </c>
      <c r="DZ75" s="122" t="n">
        <f aca="false">IF(ISNA(VLOOKUP(A75,'Données projet'!$A$165:$I$185,7,0)),0%,VLOOKUP(A75,'Données projet'!$A$165:$I$185,7,0))</f>
        <v>0</v>
      </c>
      <c r="EA75" s="129" t="n">
        <f aca="false">EXP(-LN(2)/35)*EA74+(1-EXP(-LN(2)/35))/(LN(2)/35)*DW75*DX75*VLOOKUP('Données projet'!$B$14,Paramètres!$A$1:$I$89,3,0)*0.475*44/12</f>
        <v>1.04544787784611</v>
      </c>
      <c r="EB75" s="129" t="n">
        <f aca="false">EXP(-LN(2)/25)*EB74+(1-EXP(-LN(2)/25))/(LN(2)/25)*Calculateur!DW75*Calculateur!DY75*VLOOKUP('Données projet'!$B$14,Paramètres!$A$1:$I$89,3,0)*0.475*44/12</f>
        <v>2.41975235062274</v>
      </c>
      <c r="EC75" s="129" t="n">
        <f aca="false">EXP(-LN(2)/2)*EC74+(1-EXP(-LN(2)/2))/(LN(2)/2)*DW75*DZ75*VLOOKUP('Données projet'!$B$14,Paramètres!$A$1:$I$89,3,0)*0.475*44/12</f>
        <v>2.91779734352087E-006</v>
      </c>
      <c r="ED75" s="130" t="n">
        <f aca="false">SUM(EA75:EC75)</f>
        <v>3.46520314626618</v>
      </c>
      <c r="EE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8" t="e">
        <f aca="false">VLOOKUP(A75,'Données projet'!$A$191:$I$211,2,0)</f>
        <v>#N/A</v>
      </c>
      <c r="EH75" s="118" t="e">
        <f aca="false">VLOOKUP(A75,'Données projet'!$A$191:$I$211,9,0)</f>
        <v>#N/A</v>
      </c>
      <c r="EI75" s="118" t="n">
        <f aca="false" t="array" ref="EI75:EI75">INDEX(EH:EH,MIN(IF(ISNUMBER(EH75:EH271),ROW(EH75:EH271),"")))</f>
        <v>0</v>
      </c>
      <c r="EJ75" s="118" t="n">
        <f aca="false">IF('Données projet'!$A$192&gt;35,EJ74+EI75-ER74,IF(A75&lt;'Données projet'!$A$192,$EG$205^A75,IF(A75='Données projet'!$A$192,'Données projet'!$B$192,EJ74+EI75-ER74)))</f>
        <v>0</v>
      </c>
      <c r="EK75" s="125" t="e">
        <f aca="false">EJ75*VLOOKUP('Données projet'!$B$15,Paramètres!$A$1:$I$89,3,0)*VLOOKUP('Données projet'!$B$15,Paramètres!$A$1:$I$89,5,0)</f>
        <v>#N/A</v>
      </c>
      <c r="EL75" s="117" t="e">
        <f aca="false">EXP(-1.0587+0.8836*LN(EK75)+0.284)</f>
        <v>#N/A</v>
      </c>
      <c r="EM75" s="128" t="e">
        <f aca="false">(EK75+EL75)*0.475*44/12</f>
        <v>#N/A</v>
      </c>
      <c r="EN75" s="120" t="e">
        <f aca="false">EM75+(EE75+EF75)*44/12</f>
        <v>#N/A</v>
      </c>
      <c r="EO75" s="120" t="e">
        <f aca="true">AVERAGE(OFFSET($EN$3,0,0,'Données projet'!$E$15+1,1))-AVERAGE(OFFSET($H$3,0,0,'Données projet'!$E$15+1,1))</f>
        <v>#N/A</v>
      </c>
      <c r="EP75" s="120" t="e">
        <f aca="false">$EP$3</f>
        <v>#N/A</v>
      </c>
      <c r="EQ75" s="121" t="n">
        <f aca="false">IF(ISNA(VLOOKUP(A75,'Données projet'!$A$191:$I$211,3,0)),0,VLOOKUP(A75,'Données projet'!$A$191:$I$211,3,0))</f>
        <v>0</v>
      </c>
      <c r="ER75" s="121" t="n">
        <f aca="false">IF(ISNA(VLOOKUP(A75,'Données projet'!$A$191:$I$211,4,0)),0,VLOOKUP(A75,'Données projet'!$A$191:$I$211,4,0))</f>
        <v>0</v>
      </c>
      <c r="ES75" s="122" t="n">
        <f aca="false">IF(ISNA(VLOOKUP(A75,'Données projet'!$A$191:$I$211,5,0)),0%,VLOOKUP(A75,'Données projet'!$A$191:$I$211,5,0)*VLOOKUP('Données projet'!$B$15,Paramètres!$A$1:$I$89,7,0))</f>
        <v>0</v>
      </c>
      <c r="ET75" s="122" t="n">
        <f aca="false">IF(ISNA(VLOOKUP(A75,'Données projet'!$A$191:$I$211,6,0)),0%,VLOOKUP(A75,'Données projet'!$A$191:$I$211,6,0)*VLOOKUP('Données projet'!$B$15,Paramètres!$A$1:$I$89,7,0))</f>
        <v>0</v>
      </c>
      <c r="EU75" s="122" t="n">
        <f aca="false">IF(ISNA(VLOOKUP(A75,'Données projet'!$A$191:$I$211,7,0)),0%,VLOOKUP(A75,'Données projet'!$A$191:$I$211,7,0))</f>
        <v>0</v>
      </c>
      <c r="EV75" s="129" t="e">
        <f aca="false">EXP(-LN(2)/35)*EV74+(1-EXP(-LN(2)/35))/(LN(2)/35)*ER75*ES75*VLOOKUP('Données projet'!$B$15,Paramètres!$A$1:$I$89,3,0)*0.475*44/12</f>
        <v>#N/A</v>
      </c>
      <c r="EW75" s="129" t="e">
        <f aca="false">EXP(-LN(2)/25)*EW74+(1-EXP(-LN(2)/25))/(LN(2)/25)*Calculateur!ER75*Calculateur!ET75*VLOOKUP('Données projet'!$B$15,Paramètres!$A$1:$I$89,3,0)*0.475*44/12</f>
        <v>#N/A</v>
      </c>
      <c r="EX75" s="129" t="e">
        <f aca="false">EXP(-LN(2)/2)*EX74+(1-EXP(-LN(2)/2))/(LN(2)/2)*ER75*EU75*VLOOKUP('Données projet'!$B$15,Paramètres!$A$1:$I$89,3,0)*0.475*44/12</f>
        <v>#N/A</v>
      </c>
      <c r="EY75" s="130" t="e">
        <f aca="false">SUM(EV75:EX75)</f>
        <v>#N/A</v>
      </c>
      <c r="EZ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8" t="e">
        <f aca="false">VLOOKUP(A75,'Données projet'!$A$217:$I$237,2,0)</f>
        <v>#N/A</v>
      </c>
      <c r="FC75" s="118" t="e">
        <f aca="false">VLOOKUP(A75,'Données projet'!$A$217:$I$237,9,0)</f>
        <v>#N/A</v>
      </c>
      <c r="FD75" s="118" t="n">
        <f aca="false" t="array" ref="FD75:FD75">INDEX(FC:FC,MIN(IF(ISNUMBER(FC75:FC271),ROW(FC75:FC271),"")))</f>
        <v>0</v>
      </c>
      <c r="FE75" s="118" t="n">
        <f aca="false">IF('Données projet'!$A$218&gt;35,FE74+FD75-FM74,IF(A75&lt;'Données projet'!$A$218,$FB$205^A75,IF(A75='Données projet'!$A$218,'Données projet'!$B$218,FE74+FD75-FM74)))</f>
        <v>0</v>
      </c>
      <c r="FF75" s="125" t="e">
        <f aca="false">FE75*VLOOKUP('Données projet'!$B$16,Paramètres!$A$1:$I$89,3,0)*VLOOKUP('Données projet'!$B$16,Paramètres!$A$1:$I$89,5,0)</f>
        <v>#N/A</v>
      </c>
      <c r="FG75" s="117" t="e">
        <f aca="false">EXP(-1.0587+0.8836*LN(FF75)+0.284)</f>
        <v>#N/A</v>
      </c>
      <c r="FH75" s="128" t="e">
        <f aca="false">(FF75+FG75)*0.475*44/12</f>
        <v>#N/A</v>
      </c>
      <c r="FI75" s="120" t="e">
        <f aca="false">FH75+(EZ75+FA75)*44/12</f>
        <v>#N/A</v>
      </c>
      <c r="FJ75" s="120" t="e">
        <f aca="true">AVERAGE(OFFSET($FI$3,0,0,'Données projet'!$E$16+1,1))-AVERAGE(OFFSET($H$3,0,0,'Données projet'!$E$16+1,1))</f>
        <v>#N/A</v>
      </c>
      <c r="FK75" s="120" t="e">
        <f aca="false">$FK$3</f>
        <v>#N/A</v>
      </c>
      <c r="FL75" s="121" t="n">
        <f aca="false">IF(ISNA(VLOOKUP(A75,'Données projet'!$A$217:$I$237,3,0)),0,VLOOKUP(A75,'Données projet'!$A$217:$I$237,3,0))</f>
        <v>0</v>
      </c>
      <c r="FM75" s="121" t="n">
        <f aca="false">IF(ISNA(VLOOKUP(A75,'Données projet'!$A$217:$I$237,4,0)),0,VLOOKUP(A75,'Données projet'!$A$217:$I$237,4,0))</f>
        <v>0</v>
      </c>
      <c r="FN75" s="122" t="n">
        <f aca="false">IF(ISNA(VLOOKUP(A75,'Données projet'!$A$217:$I$237,5,0)),0%,VLOOKUP(A75,'Données projet'!$A$217:$I$237,5,0)*VLOOKUP('Données projet'!$B$16,Paramètres!$A$1:$I$89,7,0))</f>
        <v>0</v>
      </c>
      <c r="FO75" s="122" t="n">
        <f aca="false">IF(ISNA(VLOOKUP(A75,'Données projet'!$A$217:$I$237,6,0)),0%,VLOOKUP(A75,'Données projet'!$A$217:$I$237,6,0)*VLOOKUP('Données projet'!$B$16,Paramètres!$A$1:$I$89,7,0))</f>
        <v>0</v>
      </c>
      <c r="FP75" s="122" t="n">
        <f aca="false">IF(ISNA(VLOOKUP(A75,'Données projet'!$A$217:$I$237,7,0)),0%,VLOOKUP(A75,'Données projet'!$A$217:$I$237,7,0))</f>
        <v>0</v>
      </c>
      <c r="FQ75" s="129" t="e">
        <f aca="false">EXP(-LN(2)/35)*FQ74+(1-EXP(-LN(2)/35))/(LN(2)/35)*FM75*FN75*VLOOKUP('Données projet'!$B$16,Paramètres!$A$1:$I$89,3,0)*0.475*44/12</f>
        <v>#N/A</v>
      </c>
      <c r="FR75" s="129" t="e">
        <f aca="false">EXP(-LN(2)/25)*FR74+(1-EXP(-LN(2)/25))/(LN(2)/25)*Calculateur!FM75*Calculateur!FO75*VLOOKUP('Données projet'!$B$16,Paramètres!$A$1:$I$89,3,0)*0.475*44/12</f>
        <v>#N/A</v>
      </c>
      <c r="FS75" s="129" t="e">
        <f aca="false">EXP(-LN(2)/2)*FS74+(1-EXP(-LN(2)/2))/(LN(2)/2)*FM75*FP75*VLOOKUP('Données projet'!$B$16,Paramètres!$A$1:$I$89,3,0)*0.475*44/12</f>
        <v>#N/A</v>
      </c>
      <c r="FT75" s="130" t="e">
        <f aca="false">SUM(FQ75:FS75)</f>
        <v>#N/A</v>
      </c>
      <c r="FU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8" t="e">
        <f aca="false">VLOOKUP(A75,'Données projet'!$A$243:$I$263,2,0)</f>
        <v>#N/A</v>
      </c>
      <c r="FX75" s="118" t="e">
        <f aca="false">VLOOKUP(A75,'Données projet'!$A$243:$I$263,9,0)</f>
        <v>#N/A</v>
      </c>
      <c r="FY75" s="118" t="n">
        <f aca="false" t="array" ref="FY75:FY75">INDEX(FX:FX,MIN(IF(ISNUMBER(FX75:FX271),ROW(FX75:FX271),"")))</f>
        <v>0</v>
      </c>
      <c r="FZ75" s="118" t="n">
        <f aca="false">IF('Données projet'!$A$244&gt;35,FZ74+FY75-GH74,IF(A75&lt;'Données projet'!$A$244,$FW$205^A75,IF(A75='Données projet'!$A$244,'Données projet'!$B$244,FZ74+FY75-GH74)))</f>
        <v>0</v>
      </c>
      <c r="GA75" s="125" t="e">
        <f aca="false">FZ75*VLOOKUP('Données projet'!$B$17,Paramètres!$A$1:$I$89,3,0)*VLOOKUP('Données projet'!$B$17,Paramètres!$A$1:$I$89,5,0)</f>
        <v>#N/A</v>
      </c>
      <c r="GB75" s="117" t="e">
        <f aca="false">EXP(-1.0587+0.8836*LN(GA75)+0.284)</f>
        <v>#N/A</v>
      </c>
      <c r="GC75" s="128" t="e">
        <f aca="false">(GA75+GB75)*0.475*44/12</f>
        <v>#N/A</v>
      </c>
      <c r="GD75" s="120" t="e">
        <f aca="false">GC75+(FU75+FV75)*44/12</f>
        <v>#N/A</v>
      </c>
      <c r="GE75" s="120" t="e">
        <f aca="true">AVERAGE(OFFSET($GD$3,0,0,'Données projet'!$E$17+1,1))-AVERAGE(OFFSET($H$3,0,0,'Données projet'!$E$17+1,1))</f>
        <v>#N/A</v>
      </c>
      <c r="GF75" s="120" t="e">
        <f aca="false">$GF$3</f>
        <v>#N/A</v>
      </c>
      <c r="GG75" s="121" t="n">
        <f aca="false">IF(ISNA(VLOOKUP(A75,'Données projet'!$A$243:$I$263,3,0)),0,VLOOKUP(A75,'Données projet'!$A$243:$I$263,3,0))</f>
        <v>0</v>
      </c>
      <c r="GH75" s="121" t="n">
        <f aca="false">IF(ISNA(VLOOKUP(A75,'Données projet'!$A$243:$I$263,4,0)),0,VLOOKUP(A75,'Données projet'!$A$243:$I$263,4,0))</f>
        <v>0</v>
      </c>
      <c r="GI75" s="122" t="n">
        <f aca="false">IF(ISNA(VLOOKUP(A75,'Données projet'!$A$243:$I$263,5,0)),0%,VLOOKUP(A75,'Données projet'!$A$243:$I$263,5,0)*VLOOKUP('Données projet'!$B$17,Paramètres!$A$1:$I$89,7,0))</f>
        <v>0</v>
      </c>
      <c r="GJ75" s="122" t="n">
        <f aca="false">IF(ISNA(VLOOKUP(A75,'Données projet'!$A$243:$I$263,6,0)),0%,VLOOKUP(A75,'Données projet'!$A$243:$I$263,6,0)*VLOOKUP('Données projet'!$B$17,Paramètres!$A$1:$I$89,7,0))</f>
        <v>0</v>
      </c>
      <c r="GK75" s="122" t="n">
        <f aca="false">IF(ISNA(VLOOKUP(A75,'Données projet'!$A$243:$I$263,7,0)),0%,VLOOKUP(A75,'Données projet'!$A$243:$I$263,7,0))</f>
        <v>0</v>
      </c>
      <c r="GL75" s="129" t="e">
        <f aca="false">EXP(-LN(2)/35)*GL74+(1-EXP(-LN(2)/35))/(LN(2)/35)*GH75*GI75*VLOOKUP('Données projet'!$B$17,Paramètres!$A$1:$I$89,3,0)*0.475*44/12</f>
        <v>#N/A</v>
      </c>
      <c r="GM75" s="129" t="e">
        <f aca="false">EXP(-LN(2)/25)*GM74+(1-EXP(-LN(2)/25))/(LN(2)/25)*Calculateur!GH75*Calculateur!GJ75*VLOOKUP('Données projet'!$B$17,Paramètres!$A$1:$I$89,3,0)*0.475*44/12</f>
        <v>#N/A</v>
      </c>
      <c r="GN75" s="129" t="e">
        <f aca="false">EXP(-LN(2)/2)*GN74+(1-EXP(-LN(2)/2))/(LN(2)/2)*GH75*GK75*VLOOKUP('Données projet'!$B$17,Paramètres!$A$1:$I$89,3,0)*0.475*44/12</f>
        <v>#N/A</v>
      </c>
      <c r="GO75" s="129" t="e">
        <f aca="false">SUM(GL75:GN75)</f>
        <v>#N/A</v>
      </c>
      <c r="GP75" s="126" t="n">
        <f aca="false"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8" t="n">
        <f aca="false"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8" t="e">
        <f aca="false">VLOOKUP(A75,'Données projet'!$A$269:$I$289,2,0)</f>
        <v>#N/A</v>
      </c>
      <c r="GS75" s="118" t="e">
        <f aca="false">VLOOKUP(A75,'Données projet'!$A$269:$I$289,9,0)</f>
        <v>#N/A</v>
      </c>
      <c r="GT75" s="118" t="n">
        <f aca="false" t="array" ref="GT75:GT75">INDEX(GS:GS,MIN(IF(ISNUMBER(GS75:GS271),ROW(GS75:GS271),"")))</f>
        <v>0</v>
      </c>
      <c r="GU75" s="118" t="n">
        <f aca="false">IF('Données projet'!$A$270&gt;35,GU74+GT75-HC74,IF(A75&lt;'Données projet'!$A$270,$GR$205^A75,IF(A75='Données projet'!$A$270,'Données projet'!$B$270,GU74+GT75-HC74)))</f>
        <v>0</v>
      </c>
      <c r="GV75" s="125" t="e">
        <f aca="false">GU75*VLOOKUP('Données projet'!$B$18,Paramètres!$A$1:$I$89,3,0)*VLOOKUP('Données projet'!$B$18,Paramètres!$A$1:$I$89,5,0)</f>
        <v>#N/A</v>
      </c>
      <c r="GW75" s="117" t="e">
        <f aca="false">EXP(-1.0587+0.8836*LN(GV75)+0.284)</f>
        <v>#N/A</v>
      </c>
      <c r="GX75" s="128" t="e">
        <f aca="false">(GV75+GW75)*0.475*44/12</f>
        <v>#N/A</v>
      </c>
      <c r="GY75" s="120" t="e">
        <f aca="false">GX75+(GP75+GQ75)*44/12</f>
        <v>#N/A</v>
      </c>
      <c r="GZ75" s="120" t="e">
        <f aca="true">AVERAGE(OFFSET($GY$3,0,0,'Données projet'!$E$18+1,1))-AVERAGE(OFFSET($H$3,0,0,'Données projet'!$E$18+1,1))</f>
        <v>#N/A</v>
      </c>
      <c r="HA75" s="120" t="e">
        <f aca="false">$HA$3</f>
        <v>#N/A</v>
      </c>
      <c r="HB75" s="121" t="n">
        <f aca="false">IF(ISNA(VLOOKUP(A75,'Données projet'!$A$269:$I$289,3,0)),0,VLOOKUP(A75,'Données projet'!$A$269:$I$289,3,0))</f>
        <v>0</v>
      </c>
      <c r="HC75" s="121" t="n">
        <f aca="false">IF(ISNA(VLOOKUP(A75,'Données projet'!$A$269:$I$289,4,0)),0,VLOOKUP(A75,'Données projet'!$A$269:$I$289,4,0))</f>
        <v>0</v>
      </c>
      <c r="HD75" s="122" t="n">
        <f aca="false">IF(ISNA(VLOOKUP(A75,'Données projet'!$A$269:$I$289,5,0)),0%,VLOOKUP(A75,'Données projet'!$A$269:$I$289,5,0)*VLOOKUP('Données projet'!$B$18,Paramètres!$A$1:$I$89,7,0))</f>
        <v>0</v>
      </c>
      <c r="HE75" s="122" t="n">
        <f aca="false">IF(ISNA(VLOOKUP(A75,'Données projet'!$A$269:$I$289,6,0)),0%,VLOOKUP(A75,'Données projet'!$A$269:$I$289,6,0)*VLOOKUP('Données projet'!$B$18,Paramètres!$A$1:$I$89,7,0))</f>
        <v>0</v>
      </c>
      <c r="HF75" s="122" t="n">
        <f aca="false">IF(ISNA(VLOOKUP(A75,'Données projet'!$A$269:$I$289,7,0)),0%,VLOOKUP(A75,'Données projet'!$A$269:$I$289,7,0))</f>
        <v>0</v>
      </c>
      <c r="HG75" s="129" t="e">
        <f aca="false">EXP(-LN(2)/35)*HG74+(1-EXP(-LN(2)/35))/(LN(2)/35)*HC75*HD75*VLOOKUP('Données projet'!$B$18,Paramètres!$A$1:$I$89,3,0)*0.475*44/12</f>
        <v>#N/A</v>
      </c>
      <c r="HH75" s="129" t="e">
        <f aca="false">EXP(-LN(2)/25)*HH74+(1-EXP(-LN(2)/25))/(LN(2)/25)*Calculateur!HC75*Calculateur!HE75*VLOOKUP('Données projet'!$B$18,Paramètres!$A$1:$I$89,3,0)*0.475*44/12</f>
        <v>#N/A</v>
      </c>
      <c r="HI75" s="129" t="e">
        <f aca="false">EXP(-LN(2)/2)*HI74+(1-EXP(-LN(2)/2))/(LN(2)/2)*HC75*HF75*VLOOKUP('Données projet'!$B$18,Paramètres!$A$1:$I$89,3,0)*0.475*44/12</f>
        <v>#N/A</v>
      </c>
      <c r="HJ75" s="130" t="e">
        <f aca="false">SUM(HG75:HI75)</f>
        <v>#N/A</v>
      </c>
    </row>
    <row r="76" customFormat="false" ht="14.25" hidden="false" customHeight="false" outlineLevel="0" collapsed="false">
      <c r="A76" s="112" t="n">
        <f aca="false">A75+1</f>
        <v>73</v>
      </c>
      <c r="B76" s="113" t="n">
        <f aca="false">'Scénario référence'!$B$16*5+'Scénario référence'!$B$17*0+'Scénario référence'!$B$18*5</f>
        <v>0</v>
      </c>
      <c r="C76" s="127" t="n">
        <f aca="false"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4" t="n">
        <f aca="false">IFERROR(EXP(-1.0587+0.8836*LN(C76)+0.284),0)</f>
        <v>0</v>
      </c>
      <c r="E7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6" s="114" t="n">
        <f aca="false">IF(OR('Scénario référence'!$F$8&gt;0,'Scénario référence'!$F$9&gt;0),('Scénario référence'!$F$8+'Scénario référence'!$F$9)*10,0)</f>
        <v>0</v>
      </c>
      <c r="G76" s="114" t="n">
        <f aca="false"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15" t="n">
        <f aca="false">(B76+E76+F76)*44/12+(C76+D76)*0.475*44/12</f>
        <v>256.666666666667</v>
      </c>
      <c r="I76" s="11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7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8" t="e">
        <f aca="false">VLOOKUP(A76,'Données projet'!$A$35:$I$55,2,0)</f>
        <v>#N/A</v>
      </c>
      <c r="L76" s="118" t="e">
        <f aca="false">VLOOKUP(A76,'Données projet'!$A$35:$I$55,9,0)</f>
        <v>#N/A</v>
      </c>
      <c r="M76" s="118" t="n">
        <f aca="false" t="array" ref="M76:M76">INDEX(L:L,MIN(IF(ISNUMBER(L76:L272),ROW(L76:L272),"")))</f>
        <v>17</v>
      </c>
      <c r="N76" s="117" t="n">
        <f aca="false">IF('Données projet'!$A$36&gt;35,N75+M76-V75,IF(A76&lt;'Données projet'!$A$36,$K$205^A76,IF(A76='Données projet'!$A$36,'Données projet'!$B$36,N75+M76-V75)))</f>
        <v>387.5</v>
      </c>
      <c r="O76" s="117" t="n">
        <f aca="false">N76*VLOOKUP('Données projet'!$B$9,Paramètres!$A$1:$I$89,3,0)*VLOOKUP('Données projet'!$B$9,Paramètres!$A$1:$I$89,5,0)</f>
        <v>181.35</v>
      </c>
      <c r="P76" s="117" t="n">
        <f aca="false">EXP(-1.0587+0.8836*LN(O76)+0.284)</f>
        <v>45.6224055559218</v>
      </c>
      <c r="Q76" s="128" t="n">
        <f aca="false">(O76+P76)*0.475*44/12</f>
        <v>395.310273009897</v>
      </c>
      <c r="R76" s="120" t="n">
        <f aca="false">Q76+(I76+J76)*44/12</f>
        <v>688.64360634323</v>
      </c>
      <c r="S76" s="120" t="n">
        <f aca="true">AVERAGE(OFFSET($R$3,0,0,'Données projet'!$E$9+1,1))-AVERAGE(OFFSET($H$3,0,0,'Données projet'!$E$9+1,1))</f>
        <v>319.229030946746</v>
      </c>
      <c r="T76" s="120" t="n">
        <f aca="false">$T$3</f>
        <v>254.586909731428</v>
      </c>
      <c r="U76" s="121" t="n">
        <f aca="false">IF(ISNA(VLOOKUP(A76,'Données projet'!$A$35:$I$55,3,0)),0,VLOOKUP(A76,'Données projet'!$A$35:$I$55,3,0))</f>
        <v>0</v>
      </c>
      <c r="V76" s="121" t="n">
        <f aca="false">IF(ISNA(VLOOKUP(A76,'Données projet'!$A$35:$I$55,4,0)),0,VLOOKUP(A76,'Données projet'!$A$35:$I$55,4,0))</f>
        <v>0</v>
      </c>
      <c r="W76" s="122" t="n">
        <f aca="false">IF(ISNA(VLOOKUP(A76,'Données projet'!$A$35:$I$55,5,0)),0%,VLOOKUP(A76,'Données projet'!$A$35:$I$55,5,0)*VLOOKUP('Données projet'!$B$9,Paramètres!$A$1:$I$89,7,0))</f>
        <v>0</v>
      </c>
      <c r="X76" s="122" t="n">
        <f aca="false">IF(ISNA(VLOOKUP(A76,'Données projet'!$A$35:$I$55,6,0)),0%,VLOOKUP(A76,'Données projet'!$A$35:$I$55,6,0)*VLOOKUP('Données projet'!$B$9,Paramètres!$A$1:$I$89,7,0))</f>
        <v>0</v>
      </c>
      <c r="Y76" s="122" t="n">
        <f aca="false">IF(ISNA(VLOOKUP(A76,'Données projet'!$A$35:$I$55,7,0)),0%,VLOOKUP(A76,'Données projet'!$A$35:$I$55,7,0))</f>
        <v>0</v>
      </c>
      <c r="Z76" s="129" t="n">
        <f aca="false">EXP(-LN(2)/35)*Z75+(1-EXP(-LN(2)/35))/(LN(2)/35)*V76*W76*VLOOKUP('Données projet'!$B$9,Paramètres!$A$1:$I$89,3,0)*0.475*44/12</f>
        <v>3.87316173766931</v>
      </c>
      <c r="AA76" s="129" t="n">
        <f aca="false">EXP(-LN(2)/25)*AA75+(1-EXP(-LN(2)/25))/(LN(2)/25)*Calculateur!V76*Calculateur!X76*VLOOKUP('Données projet'!$B$9,Paramètres!$A$1:$I$89,3,0)*0.475*44/12</f>
        <v>3.384968990339</v>
      </c>
      <c r="AB76" s="129" t="n">
        <f aca="false">EXP(-LN(2)/2)*AB75+(1-EXP(-LN(2)/2))/(LN(2)/2)*V76*Y76*VLOOKUP('Données projet'!$B$9,Paramètres!$A$1:$I$89,3,0)*0.475*44/12</f>
        <v>3.72346456022445E-006</v>
      </c>
      <c r="AC76" s="130" t="n">
        <f aca="false">SUM(Z76:AB76)</f>
        <v>7.25813445147287</v>
      </c>
      <c r="AD76" s="117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7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8" t="e">
        <f aca="false">VLOOKUP(A76,'Données projet'!$A$61:$I$81,2,0)</f>
        <v>#N/A</v>
      </c>
      <c r="AG76" s="118" t="e">
        <f aca="false">VLOOKUP(A76,'Données projet'!$A$61:$I$81,9,0)</f>
        <v>#N/A</v>
      </c>
      <c r="AH76" s="118" t="n">
        <f aca="false" t="array" ref="AH76:AH76">INDEX(AG:AG,MIN(IF(ISNUMBER(AG76:AG272),ROW(AG76:AG272),"")))</f>
        <v>0</v>
      </c>
      <c r="AI76" s="117" t="n">
        <f aca="false">IF('Données projet'!$A$62&gt;35,AI75+AH76-AQ75,IF(A76&lt;'Données projet'!$A$62,$AF$205^A76,IF(A76='Données projet'!$A$62,'Données projet'!$B$62,AI75+AH76-AQ75)))</f>
        <v>1.13686837721616E-013</v>
      </c>
      <c r="AJ76" s="117" t="n">
        <f aca="false">AI76*VLOOKUP('Données projet'!$B$10,Paramètres!$A$1:$I$89,3,0)*VLOOKUP('Données projet'!$B$10,Paramètres!$A$1:$I$89,5,0)</f>
        <v>6.35509422863834E-014</v>
      </c>
      <c r="AK76" s="117" t="n">
        <f aca="false">EXP(-1.0587+0.8836*LN(AJ76)+0.284)</f>
        <v>1.0064464192544E-012</v>
      </c>
      <c r="AL76" s="128" t="n">
        <f aca="false">(AJ76+AK76)*0.475*44/12</f>
        <v>1.86357873801686E-012</v>
      </c>
      <c r="AM76" s="120" t="n">
        <f aca="false">AL76+(AD76+AE76)*44/12</f>
        <v>293.333333333335</v>
      </c>
      <c r="AN76" s="120" t="n">
        <f aca="true">AVERAGE(OFFSET($AM$3,0,0,'Données projet'!$E$10+1,1))-AVERAGE(OFFSET($H$3,0,0,'Données projet'!$E$10+1,1))</f>
        <v>365.705101827279</v>
      </c>
      <c r="AO76" s="120" t="n">
        <f aca="false">$AO$3</f>
        <v>436.238338449625</v>
      </c>
      <c r="AP76" s="121" t="n">
        <f aca="false">IF(ISNA(VLOOKUP(A76,'Données projet'!$A$61:$I$81,3,0)),0,VLOOKUP(A76,'Données projet'!$A$61:$I$81,3,0))</f>
        <v>0</v>
      </c>
      <c r="AQ76" s="121" t="n">
        <f aca="false">IF(ISNA(VLOOKUP(A76,'Données projet'!$A$61:$I$81,4,0)),0,VLOOKUP(A76,'Données projet'!$A$61:$I$81,4,0))</f>
        <v>0</v>
      </c>
      <c r="AR76" s="122" t="n">
        <f aca="false">IF(ISNA(VLOOKUP(A76,'Données projet'!$A$61:$I$81,5,0)),0%,VLOOKUP(A76,'Données projet'!$A$61:$I$81,5,0)*VLOOKUP('Données projet'!$B$10,Paramètres!$A$1:$I$89,7,0))</f>
        <v>0</v>
      </c>
      <c r="AS76" s="122" t="n">
        <f aca="false">IF(ISNA(VLOOKUP(A76,'Données projet'!$A$61:$I$81,6,0)),0%,VLOOKUP(A76,'Données projet'!$A$61:$I$81,6,0)*VLOOKUP('Données projet'!$B$10,Paramètres!$A$1:$I$89,7,0))</f>
        <v>0</v>
      </c>
      <c r="AT76" s="122" t="n">
        <f aca="false">IF(ISNA(VLOOKUP(A76,'Données projet'!$A$61:$I$81,7,0)),0%,VLOOKUP(A76,'Données projet'!$A$61:$I$81,7,0))</f>
        <v>0</v>
      </c>
      <c r="AU76" s="129" t="n">
        <f aca="false">EXP(-LN(2)/35)*AU75+(1-EXP(-LN(2)/35))/(LN(2)/35)*AQ76*AR76*VLOOKUP('Données projet'!$B$10,Paramètres!$A$1:$I$89,3,0)*0.475*44/12</f>
        <v>1.46199298260678</v>
      </c>
      <c r="AV76" s="129" t="n">
        <f aca="false">EXP(-LN(2)/25)*AV75+(1-EXP(-LN(2)/25))/(LN(2)/25)*Calculateur!AQ76*Calculateur!AS76*VLOOKUP('Données projet'!$B$10,Paramètres!$A$1:$I$89,3,0)*0.475*44/12</f>
        <v>4.00931274419988</v>
      </c>
      <c r="AW76" s="129" t="n">
        <f aca="false">EXP(-LN(2)/2)*AW75+(1-EXP(-LN(2)/2))/(LN(2)/2)*AQ76*AT76*VLOOKUP('Données projet'!$B$10,Paramètres!$A$1:$I$89,3,0)*0.475*44/12</f>
        <v>2.00385225033055E-006</v>
      </c>
      <c r="AX76" s="129" t="n">
        <f aca="false">SUM(AU76:AW76)</f>
        <v>5.47130773065891</v>
      </c>
      <c r="AY76" s="124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8" t="e">
        <f aca="false">VLOOKUP(A76,'Données projet'!$A$87:$I$107,2,0)</f>
        <v>#N/A</v>
      </c>
      <c r="BB76" s="118" t="e">
        <f aca="false">VLOOKUP(A76,'Données projet'!$A$87:$I$107,9,0)</f>
        <v>#N/A</v>
      </c>
      <c r="BC76" s="118" t="n">
        <f aca="false" t="array" ref="BC76:BC76">INDEX(BB:BB,MIN(IF(ISNUMBER(BB76:BB272),ROW(BB76:BB272),"")))</f>
        <v>0</v>
      </c>
      <c r="BD76" s="118" t="n">
        <f aca="false">IF('Données projet'!$A$88&gt;35,BD75+BC76-BL75,IF(A76&lt;'Données projet'!$A$88,$BA$205^A76,IF(A76='Données projet'!$A$88,'Données projet'!$B$88,BD75+BC76-BL75)))</f>
        <v>1.98951966012828E-013</v>
      </c>
      <c r="BE76" s="117" t="n">
        <f aca="false">BD76*VLOOKUP('Données projet'!$B$11,Paramètres!$A$1:$I$89,3,0)*VLOOKUP('Données projet'!$B$11,Paramètres!$A$1:$I$89,5,0)</f>
        <v>1.73804437508807E-013</v>
      </c>
      <c r="BF76" s="117" t="n">
        <f aca="false">EXP(-1.0587+0.8836*LN(BE76)+0.284)</f>
        <v>2.44832936339505E-012</v>
      </c>
      <c r="BG76" s="128" t="n">
        <f aca="false">(BE76+BF76)*0.475*44/12</f>
        <v>4.56688303657421E-012</v>
      </c>
      <c r="BH76" s="120" t="n">
        <f aca="false">BG76+(AY76+AZ76)*44/12</f>
        <v>293.333333333338</v>
      </c>
      <c r="BI76" s="120" t="n">
        <f aca="true">AVERAGE(OFFSET($BH$3,0,0,'Données projet'!$E$11+1,1))-AVERAGE(OFFSET($H$3,0,0,'Données projet'!$E$11+1,1))</f>
        <v>321.235999689929</v>
      </c>
      <c r="BJ76" s="120" t="n">
        <f aca="false">$BJ$3</f>
        <v>388.051958478005</v>
      </c>
      <c r="BK76" s="121" t="n">
        <f aca="false">IF(ISNA(VLOOKUP(A76,'Données projet'!$A$87:$I$107,3,0)),0,VLOOKUP(A76,'Données projet'!$A$87:$I$107,3,0))</f>
        <v>0</v>
      </c>
      <c r="BL76" s="121" t="n">
        <f aca="false">IF(ISNA(VLOOKUP(A76,'Données projet'!$A$87:$I$107,4,0)),0,VLOOKUP(A76,'Données projet'!$A$87:$I$107,4,0))</f>
        <v>0</v>
      </c>
      <c r="BM76" s="122" t="n">
        <f aca="false">IF(ISNA(VLOOKUP(A76,'Données projet'!$A$87:$I$107,5,0)),0%,VLOOKUP(A76,'Données projet'!$A$87:$I$107,5,0)*VLOOKUP('Données projet'!$B$11,Paramètres!$A$1:$I$89,7,0))</f>
        <v>0</v>
      </c>
      <c r="BN76" s="122" t="n">
        <f aca="false">IF(ISNA(VLOOKUP(A76,'Données projet'!$A$87:$I$107,6,0)),0%,VLOOKUP(A76,'Données projet'!$A$87:$I$107,6,0)*VLOOKUP('Données projet'!$B$11,Paramètres!$A$1:$I$89,7,0))</f>
        <v>0</v>
      </c>
      <c r="BO76" s="122" t="n">
        <f aca="false">IF(ISNA(VLOOKUP(A76,'Données projet'!$A$87:$I$107,7,0)),0%,VLOOKUP(A76,'Données projet'!$A$87:$I$107,7,0))</f>
        <v>0</v>
      </c>
      <c r="BP76" s="129" t="n">
        <f aca="false">EXP(-LN(2)/35)*BP75+(1-EXP(-LN(2)/35))/(LN(2)/35)*BL76*BM76*VLOOKUP('Données projet'!$B$11,Paramètres!$A$1:$I$89,3,0)*0.475*44/12</f>
        <v>3.6705107985348</v>
      </c>
      <c r="BQ76" s="129" t="n">
        <f aca="false">EXP(-LN(2)/25)*BQ75+(1-EXP(-LN(2)/25))/(LN(2)/25)*Calculateur!BL76*Calculateur!BN76*VLOOKUP('Données projet'!$B$11,Paramètres!$A$1:$I$89,3,0)*0.475*44/12</f>
        <v>4.09246831082563</v>
      </c>
      <c r="BR76" s="129" t="n">
        <f aca="false">EXP(-LN(2)/2)*BR75+(1-EXP(-LN(2)/2))/(LN(2)/2)*BL76*BO76*VLOOKUP('Données projet'!$B$11,Paramètres!$A$1:$I$89,3,0)*0.475*44/12</f>
        <v>2.03687416169954E-006</v>
      </c>
      <c r="BS76" s="130" t="n">
        <f aca="false">SUM(BP76:BR76)</f>
        <v>7.7629811462346</v>
      </c>
      <c r="BT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8" t="e">
        <f aca="false">VLOOKUP(A76,'Données projet'!$A$113:$I$133,2,0)</f>
        <v>#N/A</v>
      </c>
      <c r="BW76" s="118" t="e">
        <f aca="false">VLOOKUP(A76,'Données projet'!$A$113:$I$133,9,0)</f>
        <v>#N/A</v>
      </c>
      <c r="BX76" s="118" t="n">
        <f aca="false" t="array" ref="BX76:BX76">INDEX(BW:BW,MIN(IF(ISNUMBER(BW76:BW272),ROW(BW76:BW272),"")))</f>
        <v>0</v>
      </c>
      <c r="BY76" s="118" t="n">
        <f aca="false">IF('Données projet'!$A$114&gt;35,BY75+BX76-CG75,IF(A76&lt;'Données projet'!$A$114,$BV$205^A76,IF(A76='Données projet'!$A$114,'Données projet'!$B$114,BY75+BX76-CG75)))</f>
        <v>0</v>
      </c>
      <c r="BZ76" s="117" t="n">
        <f aca="false">BY76*VLOOKUP('Données projet'!$B$12,Paramètres!$A$1:$I$89,3,0)*VLOOKUP('Données projet'!$B$12,Paramètres!$A$1:$I$89,5,0)</f>
        <v>0</v>
      </c>
      <c r="CA76" s="117" t="e">
        <f aca="false">EXP(-1.0587+0.8836*LN(BZ76)+0.284)</f>
        <v>#VALUE!</v>
      </c>
      <c r="CB76" s="128" t="e">
        <f aca="false">(BZ76+CA76)*0.475*44/12</f>
        <v>#VALUE!</v>
      </c>
      <c r="CC76" s="120" t="e">
        <f aca="false">CB76+(BT76+BU76)*44/12</f>
        <v>#VALUE!</v>
      </c>
      <c r="CD76" s="120" t="n">
        <f aca="true">AVERAGE(OFFSET($CC$3,0,0,'Données projet'!$E$12+1,1))-AVERAGE(OFFSET($H$3,0,0,'Données projet'!$E$12+1,1))</f>
        <v>240.228848647662</v>
      </c>
      <c r="CE76" s="120" t="n">
        <f aca="false">$CE$3</f>
        <v>343.237768841432</v>
      </c>
      <c r="CF76" s="121" t="n">
        <f aca="false">IF(ISNA(VLOOKUP(A76,'Données projet'!$A$113:$I$133,3,0)),0,VLOOKUP(A76,'Données projet'!$A$113:$I$133,3,0))</f>
        <v>0</v>
      </c>
      <c r="CG76" s="121" t="n">
        <f aca="false">IF(ISNA(VLOOKUP(A76,'Données projet'!$A$113:$I$133,4,0)),0,VLOOKUP(A76,'Données projet'!$A$113:$I$133,4,0))</f>
        <v>0</v>
      </c>
      <c r="CH76" s="122" t="n">
        <f aca="false">IF(ISNA(VLOOKUP(A76,'Données projet'!$A$113:$I$133,5,0)),0%,VLOOKUP(A76,'Données projet'!$A$113:$I$133,5,0)*VLOOKUP('Données projet'!$B$12,Paramètres!$A$1:$I$89,7,0))</f>
        <v>0</v>
      </c>
      <c r="CI76" s="122" t="n">
        <f aca="false">IF(ISNA(VLOOKUP(A76,'Données projet'!$A$113:$I$133,6,0)),0%,VLOOKUP(A76,'Données projet'!$A$113:$I$133,6,0)*VLOOKUP('Données projet'!$B$12,Paramètres!$A$1:$I$89,7,0))</f>
        <v>0</v>
      </c>
      <c r="CJ76" s="122" t="n">
        <f aca="false">IF(ISNA(VLOOKUP(A76,'Données projet'!$A$113:$I$133,7,0)),0%,VLOOKUP(A76,'Données projet'!$A$113:$I$133,7,0))</f>
        <v>0</v>
      </c>
      <c r="CK76" s="129" t="n">
        <f aca="false">EXP(-LN(2)/35)*CK75+(1-EXP(-LN(2)/35))/(LN(2)/35)*CG76*CH76*VLOOKUP('Données projet'!$B$12,Paramètres!$A$1:$I$89,3,0)*0.475*44/12</f>
        <v>2.24663856705023</v>
      </c>
      <c r="CL76" s="129" t="n">
        <f aca="false">EXP(-LN(2)/25)*CL75+(1-EXP(-LN(2)/25))/(LN(2)/25)*Calculateur!CG76*Calculateur!CI76*VLOOKUP('Données projet'!$B$12,Paramètres!$A$1:$I$89,3,0)*0.475*44/12</f>
        <v>7.22753594944482</v>
      </c>
      <c r="CM76" s="129" t="n">
        <f aca="false">EXP(-LN(2)/2)*CM75+(1-EXP(-LN(2)/2))/(LN(2)/2)*CG76*CJ76*VLOOKUP('Données projet'!$B$12,Paramètres!$A$1:$I$89,3,0)*0.475*44/12</f>
        <v>3.25030813173221E-006</v>
      </c>
      <c r="CN76" s="130" t="n">
        <f aca="false">SUM(CK76:CM76)</f>
        <v>9.47417776680318</v>
      </c>
      <c r="CO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8" t="e">
        <f aca="false">VLOOKUP(A76,'Données projet'!$A$139:$I$159,2,0)</f>
        <v>#N/A</v>
      </c>
      <c r="CR76" s="118" t="e">
        <f aca="false">VLOOKUP(A76,'Données projet'!$A$139:$I$159,9,0)</f>
        <v>#N/A</v>
      </c>
      <c r="CS76" s="118" t="n">
        <f aca="false" t="array" ref="CS76:CS76">INDEX(CR:CR,MIN(IF(ISNUMBER(CR76:CR272),ROW(CR76:CR272),"")))</f>
        <v>0</v>
      </c>
      <c r="CT76" s="118" t="n">
        <f aca="false">IF('Données projet'!$A$140&gt;35,CT75+CS76-DB75,IF(A76&lt;'Données projet'!$A$140,$CQ$205^A76,IF(A76='Données projet'!$A$140,'Données projet'!$B$140,CT75+CS76-DB75)))</f>
        <v>-5.6843418860808E-014</v>
      </c>
      <c r="CU76" s="125" t="n">
        <f aca="false">CT76*VLOOKUP('Données projet'!$B$13,Paramètres!$A$1:$I$89,3,0)*VLOOKUP('Données projet'!$B$13,Paramètres!$A$1:$I$89,5,0)</f>
        <v>-3.10365066980012E-014</v>
      </c>
      <c r="CV76" s="117" t="e">
        <f aca="false">EXP(-1.0587+0.8836*LN(CU76)+0.284)</f>
        <v>#VALUE!</v>
      </c>
      <c r="CW76" s="128" t="e">
        <f aca="false">(CU76+CV76)*0.475*44/12</f>
        <v>#VALUE!</v>
      </c>
      <c r="CX76" s="120" t="e">
        <f aca="false">CW76+(CO76+CP76)*44/12</f>
        <v>#VALUE!</v>
      </c>
      <c r="CY76" s="120" t="n">
        <f aca="true">AVERAGE(OFFSET($CX$3,0,0,'Données projet'!$E$13+1,1))-AVERAGE(OFFSET($H$3,0,0,'Données projet'!$E$13+1,1))</f>
        <v>207.023069645676</v>
      </c>
      <c r="CZ76" s="120" t="n">
        <f aca="false">$CZ$3</f>
        <v>342.068879333518</v>
      </c>
      <c r="DA76" s="121" t="n">
        <f aca="false">IF(ISNA(VLOOKUP(A76,'Données projet'!$A$139:$I$159,3,0)),0,VLOOKUP(A76,'Données projet'!$A$139:$I$159,3,0))</f>
        <v>0</v>
      </c>
      <c r="DB76" s="121" t="n">
        <f aca="false">IF(ISNA(VLOOKUP(A76,'Données projet'!$A$139:$I$159,4,0)),0,VLOOKUP(A76,'Données projet'!$A$139:$I$159,4,0))</f>
        <v>0</v>
      </c>
      <c r="DC76" s="122" t="n">
        <f aca="false">IF(ISNA(VLOOKUP(A76,'Données projet'!$A$139:$I$159,5,0)),0%,VLOOKUP(A76,'Données projet'!$A$139:$I$159,5,0)*VLOOKUP('Données projet'!$B$13,Paramètres!$A$1:$I$89,7,0))</f>
        <v>0</v>
      </c>
      <c r="DD76" s="122" t="n">
        <f aca="false">IF(ISNA(VLOOKUP(A76,'Données projet'!$A$139:$I$159,6,0)),0%,VLOOKUP(A76,'Données projet'!$A$139:$I$159,6,0)*VLOOKUP('Données projet'!$B$13,Paramètres!$A$1:$I$89,7,0))</f>
        <v>0</v>
      </c>
      <c r="DE76" s="122" t="n">
        <f aca="false">IF(ISNA(VLOOKUP(A76,'Données projet'!$A$139:$I$159,7,0)),0%,VLOOKUP(A76,'Données projet'!$A$139:$I$159,7,0))</f>
        <v>0</v>
      </c>
      <c r="DF76" s="129" t="n">
        <f aca="false">EXP(-LN(2)/35)*DF75+(1-EXP(-LN(2)/35))/(LN(2)/35)*DB76*DC76*VLOOKUP('Données projet'!$B$13,Paramètres!$A$1:$I$89,3,0)*0.475*44/12</f>
        <v>2.81889556054415</v>
      </c>
      <c r="DG76" s="129" t="n">
        <f aca="false">EXP(-LN(2)/25)*DG75+(1-EXP(-LN(2)/25))/(LN(2)/25)*Calculateur!DB76*Calculateur!DD76*VLOOKUP('Données projet'!$B$13,Paramètres!$A$1:$I$89,3,0)*0.475*44/12</f>
        <v>11.8140110893761</v>
      </c>
      <c r="DH76" s="129" t="n">
        <f aca="false">EXP(-LN(2)/2)*DH75+(1-EXP(-LN(2)/2))/(LN(2)/2)*DB76*DE76*VLOOKUP('Données projet'!$B$13,Paramètres!$A$1:$I$89,3,0)*0.475*44/12</f>
        <v>4.47567580431997E-006</v>
      </c>
      <c r="DI76" s="130" t="n">
        <f aca="false">SUM(DF76:DH76)</f>
        <v>14.632911125596</v>
      </c>
      <c r="DJ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8" t="e">
        <f aca="false">VLOOKUP(A76,'Données projet'!$A$165:$I$185,2,0)</f>
        <v>#N/A</v>
      </c>
      <c r="DM76" s="118" t="e">
        <f aca="false">VLOOKUP(A76,'Données projet'!$A$165:$I$185,9,0)</f>
        <v>#N/A</v>
      </c>
      <c r="DN76" s="118" t="n">
        <f aca="false" t="array" ref="DN76:DN76">INDEX(DM:DM,MIN(IF(ISNUMBER(DM76:DM272),ROW(DM76:DM272),"")))</f>
        <v>0</v>
      </c>
      <c r="DO76" s="118" t="n">
        <f aca="false">IF('Données projet'!$A$166&gt;35,DO75+DN76-DW75,IF(A76&lt;'Données projet'!$A$166,$DL$205^A76,IF(A76='Données projet'!$A$166,'Données projet'!$B$166,DO75+DN76-DW75)))</f>
        <v>0</v>
      </c>
      <c r="DP76" s="125" t="n">
        <f aca="false">DO76*VLOOKUP('Données projet'!$B$14,Paramètres!$A$1:$I$89,3,0)*VLOOKUP('Données projet'!$B$14,Paramètres!$A$1:$I$89,5,0)</f>
        <v>0</v>
      </c>
      <c r="DQ76" s="117" t="e">
        <f aca="false">EXP(-1.0587+0.8836*LN(DP76)+0.284)</f>
        <v>#VALUE!</v>
      </c>
      <c r="DR76" s="128" t="e">
        <f aca="false">(DP76+DQ76)*0.475*44/12</f>
        <v>#VALUE!</v>
      </c>
      <c r="DS76" s="120" t="e">
        <f aca="false">DR76+(DJ76+DK76)*44/12</f>
        <v>#VALUE!</v>
      </c>
      <c r="DT76" s="120" t="n">
        <f aca="true">AVERAGE(OFFSET($DS$3,0,0,'Données projet'!$E$14+1,1))-AVERAGE(OFFSET($H$3,0,0,'Données projet'!$E$14+1,1))</f>
        <v>549.432320957297</v>
      </c>
      <c r="DU76" s="120" t="n">
        <f aca="false">$DU$3</f>
        <v>280.26155987301</v>
      </c>
      <c r="DV76" s="121" t="n">
        <f aca="false">IF(ISNA(VLOOKUP(A76,'Données projet'!$A$165:$I$185,3,0)),0,VLOOKUP(A76,'Données projet'!$A$165:$I$185,3,0))</f>
        <v>0</v>
      </c>
      <c r="DW76" s="121" t="n">
        <f aca="false">IF(ISNA(VLOOKUP(A76,'Données projet'!$A$165:$I$185,4,0)),0,VLOOKUP(A76,'Données projet'!$A$165:$I$185,4,0))</f>
        <v>0</v>
      </c>
      <c r="DX76" s="122" t="n">
        <f aca="false">IF(ISNA(VLOOKUP(A76,'Données projet'!$A$165:$I$185,5,0)),0%,VLOOKUP(A76,'Données projet'!$A$165:$I$185,5,0)*VLOOKUP('Données projet'!$B$14,Paramètres!$A$1:$I$89,7,0))</f>
        <v>0</v>
      </c>
      <c r="DY76" s="122" t="n">
        <f aca="false">IF(ISNA(VLOOKUP(A76,'Données projet'!$A$165:$I$185,6,0)),0%,VLOOKUP(A76,'Données projet'!$A$165:$I$185,6,0)*VLOOKUP('Données projet'!$B$14,Paramètres!$A$1:$I$89,7,0))</f>
        <v>0</v>
      </c>
      <c r="DZ76" s="122" t="n">
        <f aca="false">IF(ISNA(VLOOKUP(A76,'Données projet'!$A$165:$I$185,7,0)),0%,VLOOKUP(A76,'Données projet'!$A$165:$I$185,7,0))</f>
        <v>0</v>
      </c>
      <c r="EA76" s="129" t="n">
        <f aca="false">EXP(-LN(2)/35)*EA75+(1-EXP(-LN(2)/35))/(LN(2)/35)*DW76*DX76*VLOOKUP('Données projet'!$B$14,Paramètres!$A$1:$I$89,3,0)*0.475*44/12</f>
        <v>1.02494728262178</v>
      </c>
      <c r="EB76" s="129" t="n">
        <f aca="false">EXP(-LN(2)/25)*EB75+(1-EXP(-LN(2)/25))/(LN(2)/25)*Calculateur!DW76*Calculateur!DY76*VLOOKUP('Données projet'!$B$14,Paramètres!$A$1:$I$89,3,0)*0.475*44/12</f>
        <v>2.35358409534571</v>
      </c>
      <c r="EC76" s="129" t="n">
        <f aca="false">EXP(-LN(2)/2)*EC75+(1-EXP(-LN(2)/2))/(LN(2)/2)*DW76*DZ76*VLOOKUP('Données projet'!$B$14,Paramètres!$A$1:$I$89,3,0)*0.475*44/12</f>
        <v>2.0631942877317E-006</v>
      </c>
      <c r="ED76" s="130" t="n">
        <f aca="false">SUM(EA76:EC76)</f>
        <v>3.37853344116178</v>
      </c>
      <c r="EE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8" t="e">
        <f aca="false">VLOOKUP(A76,'Données projet'!$A$191:$I$211,2,0)</f>
        <v>#N/A</v>
      </c>
      <c r="EH76" s="118" t="e">
        <f aca="false">VLOOKUP(A76,'Données projet'!$A$191:$I$211,9,0)</f>
        <v>#N/A</v>
      </c>
      <c r="EI76" s="118" t="n">
        <f aca="false" t="array" ref="EI76:EI76">INDEX(EH:EH,MIN(IF(ISNUMBER(EH76:EH272),ROW(EH76:EH272),"")))</f>
        <v>0</v>
      </c>
      <c r="EJ76" s="118" t="n">
        <f aca="false">IF('Données projet'!$A$192&gt;35,EJ75+EI76-ER75,IF(A76&lt;'Données projet'!$A$192,$EG$205^A76,IF(A76='Données projet'!$A$192,'Données projet'!$B$192,EJ75+EI76-ER75)))</f>
        <v>0</v>
      </c>
      <c r="EK76" s="125" t="e">
        <f aca="false">EJ76*VLOOKUP('Données projet'!$B$15,Paramètres!$A$1:$I$89,3,0)*VLOOKUP('Données projet'!$B$15,Paramètres!$A$1:$I$89,5,0)</f>
        <v>#N/A</v>
      </c>
      <c r="EL76" s="117" t="e">
        <f aca="false">EXP(-1.0587+0.8836*LN(EK76)+0.284)</f>
        <v>#N/A</v>
      </c>
      <c r="EM76" s="128" t="e">
        <f aca="false">(EK76+EL76)*0.475*44/12</f>
        <v>#N/A</v>
      </c>
      <c r="EN76" s="120" t="e">
        <f aca="false">EM76+(EE76+EF76)*44/12</f>
        <v>#N/A</v>
      </c>
      <c r="EO76" s="120" t="e">
        <f aca="true">AVERAGE(OFFSET($EN$3,0,0,'Données projet'!$E$15+1,1))-AVERAGE(OFFSET($H$3,0,0,'Données projet'!$E$15+1,1))</f>
        <v>#N/A</v>
      </c>
      <c r="EP76" s="120" t="e">
        <f aca="false">$EP$3</f>
        <v>#N/A</v>
      </c>
      <c r="EQ76" s="121" t="n">
        <f aca="false">IF(ISNA(VLOOKUP(A76,'Données projet'!$A$191:$I$211,3,0)),0,VLOOKUP(A76,'Données projet'!$A$191:$I$211,3,0))</f>
        <v>0</v>
      </c>
      <c r="ER76" s="121" t="n">
        <f aca="false">IF(ISNA(VLOOKUP(A76,'Données projet'!$A$191:$I$211,4,0)),0,VLOOKUP(A76,'Données projet'!$A$191:$I$211,4,0))</f>
        <v>0</v>
      </c>
      <c r="ES76" s="122" t="n">
        <f aca="false">IF(ISNA(VLOOKUP(A76,'Données projet'!$A$191:$I$211,5,0)),0%,VLOOKUP(A76,'Données projet'!$A$191:$I$211,5,0)*VLOOKUP('Données projet'!$B$15,Paramètres!$A$1:$I$89,7,0))</f>
        <v>0</v>
      </c>
      <c r="ET76" s="122" t="n">
        <f aca="false">IF(ISNA(VLOOKUP(A76,'Données projet'!$A$191:$I$211,6,0)),0%,VLOOKUP(A76,'Données projet'!$A$191:$I$211,6,0)*VLOOKUP('Données projet'!$B$15,Paramètres!$A$1:$I$89,7,0))</f>
        <v>0</v>
      </c>
      <c r="EU76" s="122" t="n">
        <f aca="false">IF(ISNA(VLOOKUP(A76,'Données projet'!$A$191:$I$211,7,0)),0%,VLOOKUP(A76,'Données projet'!$A$191:$I$211,7,0))</f>
        <v>0</v>
      </c>
      <c r="EV76" s="129" t="e">
        <f aca="false">EXP(-LN(2)/35)*EV75+(1-EXP(-LN(2)/35))/(LN(2)/35)*ER76*ES76*VLOOKUP('Données projet'!$B$15,Paramètres!$A$1:$I$89,3,0)*0.475*44/12</f>
        <v>#N/A</v>
      </c>
      <c r="EW76" s="129" t="e">
        <f aca="false">EXP(-LN(2)/25)*EW75+(1-EXP(-LN(2)/25))/(LN(2)/25)*Calculateur!ER76*Calculateur!ET76*VLOOKUP('Données projet'!$B$15,Paramètres!$A$1:$I$89,3,0)*0.475*44/12</f>
        <v>#N/A</v>
      </c>
      <c r="EX76" s="129" t="e">
        <f aca="false">EXP(-LN(2)/2)*EX75+(1-EXP(-LN(2)/2))/(LN(2)/2)*ER76*EU76*VLOOKUP('Données projet'!$B$15,Paramètres!$A$1:$I$89,3,0)*0.475*44/12</f>
        <v>#N/A</v>
      </c>
      <c r="EY76" s="130" t="e">
        <f aca="false">SUM(EV76:EX76)</f>
        <v>#N/A</v>
      </c>
      <c r="EZ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8" t="e">
        <f aca="false">VLOOKUP(A76,'Données projet'!$A$217:$I$237,2,0)</f>
        <v>#N/A</v>
      </c>
      <c r="FC76" s="118" t="e">
        <f aca="false">VLOOKUP(A76,'Données projet'!$A$217:$I$237,9,0)</f>
        <v>#N/A</v>
      </c>
      <c r="FD76" s="118" t="n">
        <f aca="false" t="array" ref="FD76:FD76">INDEX(FC:FC,MIN(IF(ISNUMBER(FC76:FC272),ROW(FC76:FC272),"")))</f>
        <v>0</v>
      </c>
      <c r="FE76" s="118" t="n">
        <f aca="false">IF('Données projet'!$A$218&gt;35,FE75+FD76-FM75,IF(A76&lt;'Données projet'!$A$218,$FB$205^A76,IF(A76='Données projet'!$A$218,'Données projet'!$B$218,FE75+FD76-FM75)))</f>
        <v>0</v>
      </c>
      <c r="FF76" s="125" t="e">
        <f aca="false">FE76*VLOOKUP('Données projet'!$B$16,Paramètres!$A$1:$I$89,3,0)*VLOOKUP('Données projet'!$B$16,Paramètres!$A$1:$I$89,5,0)</f>
        <v>#N/A</v>
      </c>
      <c r="FG76" s="117" t="e">
        <f aca="false">EXP(-1.0587+0.8836*LN(FF76)+0.284)</f>
        <v>#N/A</v>
      </c>
      <c r="FH76" s="128" t="e">
        <f aca="false">(FF76+FG76)*0.475*44/12</f>
        <v>#N/A</v>
      </c>
      <c r="FI76" s="120" t="e">
        <f aca="false">FH76+(EZ76+FA76)*44/12</f>
        <v>#N/A</v>
      </c>
      <c r="FJ76" s="120" t="e">
        <f aca="true">AVERAGE(OFFSET($FI$3,0,0,'Données projet'!$E$16+1,1))-AVERAGE(OFFSET($H$3,0,0,'Données projet'!$E$16+1,1))</f>
        <v>#N/A</v>
      </c>
      <c r="FK76" s="120" t="e">
        <f aca="false">$FK$3</f>
        <v>#N/A</v>
      </c>
      <c r="FL76" s="121" t="n">
        <f aca="false">IF(ISNA(VLOOKUP(A76,'Données projet'!$A$217:$I$237,3,0)),0,VLOOKUP(A76,'Données projet'!$A$217:$I$237,3,0))</f>
        <v>0</v>
      </c>
      <c r="FM76" s="121" t="n">
        <f aca="false">IF(ISNA(VLOOKUP(A76,'Données projet'!$A$217:$I$237,4,0)),0,VLOOKUP(A76,'Données projet'!$A$217:$I$237,4,0))</f>
        <v>0</v>
      </c>
      <c r="FN76" s="122" t="n">
        <f aca="false">IF(ISNA(VLOOKUP(A76,'Données projet'!$A$217:$I$237,5,0)),0%,VLOOKUP(A76,'Données projet'!$A$217:$I$237,5,0)*VLOOKUP('Données projet'!$B$16,Paramètres!$A$1:$I$89,7,0))</f>
        <v>0</v>
      </c>
      <c r="FO76" s="122" t="n">
        <f aca="false">IF(ISNA(VLOOKUP(A76,'Données projet'!$A$217:$I$237,6,0)),0%,VLOOKUP(A76,'Données projet'!$A$217:$I$237,6,0)*VLOOKUP('Données projet'!$B$16,Paramètres!$A$1:$I$89,7,0))</f>
        <v>0</v>
      </c>
      <c r="FP76" s="122" t="n">
        <f aca="false">IF(ISNA(VLOOKUP(A76,'Données projet'!$A$217:$I$237,7,0)),0%,VLOOKUP(A76,'Données projet'!$A$217:$I$237,7,0))</f>
        <v>0</v>
      </c>
      <c r="FQ76" s="129" t="e">
        <f aca="false">EXP(-LN(2)/35)*FQ75+(1-EXP(-LN(2)/35))/(LN(2)/35)*FM76*FN76*VLOOKUP('Données projet'!$B$16,Paramètres!$A$1:$I$89,3,0)*0.475*44/12</f>
        <v>#N/A</v>
      </c>
      <c r="FR76" s="129" t="e">
        <f aca="false">EXP(-LN(2)/25)*FR75+(1-EXP(-LN(2)/25))/(LN(2)/25)*Calculateur!FM76*Calculateur!FO76*VLOOKUP('Données projet'!$B$16,Paramètres!$A$1:$I$89,3,0)*0.475*44/12</f>
        <v>#N/A</v>
      </c>
      <c r="FS76" s="129" t="e">
        <f aca="false">EXP(-LN(2)/2)*FS75+(1-EXP(-LN(2)/2))/(LN(2)/2)*FM76*FP76*VLOOKUP('Données projet'!$B$16,Paramètres!$A$1:$I$89,3,0)*0.475*44/12</f>
        <v>#N/A</v>
      </c>
      <c r="FT76" s="130" t="e">
        <f aca="false">SUM(FQ76:FS76)</f>
        <v>#N/A</v>
      </c>
      <c r="FU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8" t="e">
        <f aca="false">VLOOKUP(A76,'Données projet'!$A$243:$I$263,2,0)</f>
        <v>#N/A</v>
      </c>
      <c r="FX76" s="118" t="e">
        <f aca="false">VLOOKUP(A76,'Données projet'!$A$243:$I$263,9,0)</f>
        <v>#N/A</v>
      </c>
      <c r="FY76" s="118" t="n">
        <f aca="false" t="array" ref="FY76:FY76">INDEX(FX:FX,MIN(IF(ISNUMBER(FX76:FX272),ROW(FX76:FX272),"")))</f>
        <v>0</v>
      </c>
      <c r="FZ76" s="118" t="n">
        <f aca="false">IF('Données projet'!$A$244&gt;35,FZ75+FY76-GH75,IF(A76&lt;'Données projet'!$A$244,$FW$205^A76,IF(A76='Données projet'!$A$244,'Données projet'!$B$244,FZ75+FY76-GH75)))</f>
        <v>0</v>
      </c>
      <c r="GA76" s="125" t="e">
        <f aca="false">FZ76*VLOOKUP('Données projet'!$B$17,Paramètres!$A$1:$I$89,3,0)*VLOOKUP('Données projet'!$B$17,Paramètres!$A$1:$I$89,5,0)</f>
        <v>#N/A</v>
      </c>
      <c r="GB76" s="117" t="e">
        <f aca="false">EXP(-1.0587+0.8836*LN(GA76)+0.284)</f>
        <v>#N/A</v>
      </c>
      <c r="GC76" s="128" t="e">
        <f aca="false">(GA76+GB76)*0.475*44/12</f>
        <v>#N/A</v>
      </c>
      <c r="GD76" s="120" t="e">
        <f aca="false">GC76+(FU76+FV76)*44/12</f>
        <v>#N/A</v>
      </c>
      <c r="GE76" s="120" t="e">
        <f aca="true">AVERAGE(OFFSET($GD$3,0,0,'Données projet'!$E$17+1,1))-AVERAGE(OFFSET($H$3,0,0,'Données projet'!$E$17+1,1))</f>
        <v>#N/A</v>
      </c>
      <c r="GF76" s="120" t="e">
        <f aca="false">$GF$3</f>
        <v>#N/A</v>
      </c>
      <c r="GG76" s="121" t="n">
        <f aca="false">IF(ISNA(VLOOKUP(A76,'Données projet'!$A$243:$I$263,3,0)),0,VLOOKUP(A76,'Données projet'!$A$243:$I$263,3,0))</f>
        <v>0</v>
      </c>
      <c r="GH76" s="121" t="n">
        <f aca="false">IF(ISNA(VLOOKUP(A76,'Données projet'!$A$243:$I$263,4,0)),0,VLOOKUP(A76,'Données projet'!$A$243:$I$263,4,0))</f>
        <v>0</v>
      </c>
      <c r="GI76" s="122" t="n">
        <f aca="false">IF(ISNA(VLOOKUP(A76,'Données projet'!$A$243:$I$263,5,0)),0%,VLOOKUP(A76,'Données projet'!$A$243:$I$263,5,0)*VLOOKUP('Données projet'!$B$17,Paramètres!$A$1:$I$89,7,0))</f>
        <v>0</v>
      </c>
      <c r="GJ76" s="122" t="n">
        <f aca="false">IF(ISNA(VLOOKUP(A76,'Données projet'!$A$243:$I$263,6,0)),0%,VLOOKUP(A76,'Données projet'!$A$243:$I$263,6,0)*VLOOKUP('Données projet'!$B$17,Paramètres!$A$1:$I$89,7,0))</f>
        <v>0</v>
      </c>
      <c r="GK76" s="122" t="n">
        <f aca="false">IF(ISNA(VLOOKUP(A76,'Données projet'!$A$243:$I$263,7,0)),0%,VLOOKUP(A76,'Données projet'!$A$243:$I$263,7,0))</f>
        <v>0</v>
      </c>
      <c r="GL76" s="129" t="e">
        <f aca="false">EXP(-LN(2)/35)*GL75+(1-EXP(-LN(2)/35))/(LN(2)/35)*GH76*GI76*VLOOKUP('Données projet'!$B$17,Paramètres!$A$1:$I$89,3,0)*0.475*44/12</f>
        <v>#N/A</v>
      </c>
      <c r="GM76" s="129" t="e">
        <f aca="false">EXP(-LN(2)/25)*GM75+(1-EXP(-LN(2)/25))/(LN(2)/25)*Calculateur!GH76*Calculateur!GJ76*VLOOKUP('Données projet'!$B$17,Paramètres!$A$1:$I$89,3,0)*0.475*44/12</f>
        <v>#N/A</v>
      </c>
      <c r="GN76" s="129" t="e">
        <f aca="false">EXP(-LN(2)/2)*GN75+(1-EXP(-LN(2)/2))/(LN(2)/2)*GH76*GK76*VLOOKUP('Données projet'!$B$17,Paramètres!$A$1:$I$89,3,0)*0.475*44/12</f>
        <v>#N/A</v>
      </c>
      <c r="GO76" s="129" t="e">
        <f aca="false">SUM(GL76:GN76)</f>
        <v>#N/A</v>
      </c>
      <c r="GP76" s="126" t="n">
        <f aca="false"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8" t="n">
        <f aca="false"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8" t="e">
        <f aca="false">VLOOKUP(A76,'Données projet'!$A$269:$I$289,2,0)</f>
        <v>#N/A</v>
      </c>
      <c r="GS76" s="118" t="e">
        <f aca="false">VLOOKUP(A76,'Données projet'!$A$269:$I$289,9,0)</f>
        <v>#N/A</v>
      </c>
      <c r="GT76" s="118" t="n">
        <f aca="false" t="array" ref="GT76:GT76">INDEX(GS:GS,MIN(IF(ISNUMBER(GS76:GS272),ROW(GS76:GS272),"")))</f>
        <v>0</v>
      </c>
      <c r="GU76" s="118" t="n">
        <f aca="false">IF('Données projet'!$A$270&gt;35,GU75+GT76-HC75,IF(A76&lt;'Données projet'!$A$270,$GR$205^A76,IF(A76='Données projet'!$A$270,'Données projet'!$B$270,GU75+GT76-HC75)))</f>
        <v>0</v>
      </c>
      <c r="GV76" s="125" t="e">
        <f aca="false">GU76*VLOOKUP('Données projet'!$B$18,Paramètres!$A$1:$I$89,3,0)*VLOOKUP('Données projet'!$B$18,Paramètres!$A$1:$I$89,5,0)</f>
        <v>#N/A</v>
      </c>
      <c r="GW76" s="117" t="e">
        <f aca="false">EXP(-1.0587+0.8836*LN(GV76)+0.284)</f>
        <v>#N/A</v>
      </c>
      <c r="GX76" s="128" t="e">
        <f aca="false">(GV76+GW76)*0.475*44/12</f>
        <v>#N/A</v>
      </c>
      <c r="GY76" s="120" t="e">
        <f aca="false">GX76+(GP76+GQ76)*44/12</f>
        <v>#N/A</v>
      </c>
      <c r="GZ76" s="120" t="e">
        <f aca="true">AVERAGE(OFFSET($GY$3,0,0,'Données projet'!$E$18+1,1))-AVERAGE(OFFSET($H$3,0,0,'Données projet'!$E$18+1,1))</f>
        <v>#N/A</v>
      </c>
      <c r="HA76" s="120" t="e">
        <f aca="false">$HA$3</f>
        <v>#N/A</v>
      </c>
      <c r="HB76" s="121" t="n">
        <f aca="false">IF(ISNA(VLOOKUP(A76,'Données projet'!$A$269:$I$289,3,0)),0,VLOOKUP(A76,'Données projet'!$A$269:$I$289,3,0))</f>
        <v>0</v>
      </c>
      <c r="HC76" s="121" t="n">
        <f aca="false">IF(ISNA(VLOOKUP(A76,'Données projet'!$A$269:$I$289,4,0)),0,VLOOKUP(A76,'Données projet'!$A$269:$I$289,4,0))</f>
        <v>0</v>
      </c>
      <c r="HD76" s="122" t="n">
        <f aca="false">IF(ISNA(VLOOKUP(A76,'Données projet'!$A$269:$I$289,5,0)),0%,VLOOKUP(A76,'Données projet'!$A$269:$I$289,5,0)*VLOOKUP('Données projet'!$B$18,Paramètres!$A$1:$I$89,7,0))</f>
        <v>0</v>
      </c>
      <c r="HE76" s="122" t="n">
        <f aca="false">IF(ISNA(VLOOKUP(A76,'Données projet'!$A$269:$I$289,6,0)),0%,VLOOKUP(A76,'Données projet'!$A$269:$I$289,6,0)*VLOOKUP('Données projet'!$B$18,Paramètres!$A$1:$I$89,7,0))</f>
        <v>0</v>
      </c>
      <c r="HF76" s="122" t="n">
        <f aca="false">IF(ISNA(VLOOKUP(A76,'Données projet'!$A$269:$I$289,7,0)),0%,VLOOKUP(A76,'Données projet'!$A$269:$I$289,7,0))</f>
        <v>0</v>
      </c>
      <c r="HG76" s="129" t="e">
        <f aca="false">EXP(-LN(2)/35)*HG75+(1-EXP(-LN(2)/35))/(LN(2)/35)*HC76*HD76*VLOOKUP('Données projet'!$B$18,Paramètres!$A$1:$I$89,3,0)*0.475*44/12</f>
        <v>#N/A</v>
      </c>
      <c r="HH76" s="129" t="e">
        <f aca="false">EXP(-LN(2)/25)*HH75+(1-EXP(-LN(2)/25))/(LN(2)/25)*Calculateur!HC76*Calculateur!HE76*VLOOKUP('Données projet'!$B$18,Paramètres!$A$1:$I$89,3,0)*0.475*44/12</f>
        <v>#N/A</v>
      </c>
      <c r="HI76" s="129" t="e">
        <f aca="false">EXP(-LN(2)/2)*HI75+(1-EXP(-LN(2)/2))/(LN(2)/2)*HC76*HF76*VLOOKUP('Données projet'!$B$18,Paramètres!$A$1:$I$89,3,0)*0.475*44/12</f>
        <v>#N/A</v>
      </c>
      <c r="HJ76" s="130" t="e">
        <f aca="false">SUM(HG76:HI76)</f>
        <v>#N/A</v>
      </c>
    </row>
    <row r="77" customFormat="false" ht="14.25" hidden="false" customHeight="false" outlineLevel="0" collapsed="false">
      <c r="A77" s="112" t="n">
        <f aca="false">A76+1</f>
        <v>74</v>
      </c>
      <c r="B77" s="113" t="n">
        <f aca="false">'Scénario référence'!$B$16*5+'Scénario référence'!$B$17*0+'Scénario référence'!$B$18*5</f>
        <v>0</v>
      </c>
      <c r="C77" s="127" t="n">
        <f aca="false"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4" t="n">
        <f aca="false">IFERROR(EXP(-1.0587+0.8836*LN(C77)+0.284),0)</f>
        <v>0</v>
      </c>
      <c r="E7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7" s="114" t="n">
        <f aca="false">IF(OR('Scénario référence'!$F$8&gt;0,'Scénario référence'!$F$9&gt;0),('Scénario référence'!$F$8+'Scénario référence'!$F$9)*10,0)</f>
        <v>0</v>
      </c>
      <c r="G77" s="114" t="n">
        <f aca="false"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15" t="n">
        <f aca="false">(B77+E77+F77)*44/12+(C77+D77)*0.475*44/12</f>
        <v>256.666666666667</v>
      </c>
      <c r="I77" s="11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7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8" t="e">
        <f aca="false">VLOOKUP(A77,'Données projet'!$A$35:$I$55,2,0)</f>
        <v>#N/A</v>
      </c>
      <c r="L77" s="118" t="e">
        <f aca="false">VLOOKUP(A77,'Données projet'!$A$35:$I$55,9,0)</f>
        <v>#N/A</v>
      </c>
      <c r="M77" s="118" t="n">
        <f aca="false" t="array" ref="M77:M77">INDEX(L:L,MIN(IF(ISNUMBER(L77:L273),ROW(L77:L273),"")))</f>
        <v>17</v>
      </c>
      <c r="N77" s="117" t="n">
        <f aca="false">IF('Données projet'!$A$36&gt;35,N76+M77-V76,IF(A77&lt;'Données projet'!$A$36,$K$205^A77,IF(A77='Données projet'!$A$36,'Données projet'!$B$36,N76+M77-V76)))</f>
        <v>404.5</v>
      </c>
      <c r="O77" s="117" t="n">
        <f aca="false">N77*VLOOKUP('Données projet'!$B$9,Paramètres!$A$1:$I$89,3,0)*VLOOKUP('Données projet'!$B$9,Paramètres!$A$1:$I$89,5,0)</f>
        <v>189.306</v>
      </c>
      <c r="P77" s="117" t="n">
        <f aca="false">EXP(-1.0587+0.8836*LN(O77)+0.284)</f>
        <v>47.3864866429791</v>
      </c>
      <c r="Q77" s="128" t="n">
        <f aca="false">(O77+P77)*0.475*44/12</f>
        <v>412.239414236522</v>
      </c>
      <c r="R77" s="120" t="n">
        <f aca="false">Q77+(I77+J77)*44/12</f>
        <v>705.572747569855</v>
      </c>
      <c r="S77" s="120" t="n">
        <f aca="true">AVERAGE(OFFSET($R$3,0,0,'Données projet'!$E$9+1,1))-AVERAGE(OFFSET($H$3,0,0,'Données projet'!$E$9+1,1))</f>
        <v>319.229030946746</v>
      </c>
      <c r="T77" s="120" t="n">
        <f aca="false">$T$3</f>
        <v>254.586909731428</v>
      </c>
      <c r="U77" s="121" t="n">
        <f aca="false">IF(ISNA(VLOOKUP(A77,'Données projet'!$A$35:$I$55,3,0)),0,VLOOKUP(A77,'Données projet'!$A$35:$I$55,3,0))</f>
        <v>0</v>
      </c>
      <c r="V77" s="121" t="n">
        <f aca="false">IF(ISNA(VLOOKUP(A77,'Données projet'!$A$35:$I$55,4,0)),0,VLOOKUP(A77,'Données projet'!$A$35:$I$55,4,0))</f>
        <v>0</v>
      </c>
      <c r="W77" s="122" t="n">
        <f aca="false">IF(ISNA(VLOOKUP(A77,'Données projet'!$A$35:$I$55,5,0)),0%,VLOOKUP(A77,'Données projet'!$A$35:$I$55,5,0)*VLOOKUP('Données projet'!$B$9,Paramètres!$A$1:$I$89,7,0))</f>
        <v>0</v>
      </c>
      <c r="X77" s="122" t="n">
        <f aca="false">IF(ISNA(VLOOKUP(A77,'Données projet'!$A$35:$I$55,6,0)),0%,VLOOKUP(A77,'Données projet'!$A$35:$I$55,6,0)*VLOOKUP('Données projet'!$B$9,Paramètres!$A$1:$I$89,7,0))</f>
        <v>0</v>
      </c>
      <c r="Y77" s="122" t="n">
        <f aca="false">IF(ISNA(VLOOKUP(A77,'Données projet'!$A$35:$I$55,7,0)),0%,VLOOKUP(A77,'Données projet'!$A$35:$I$55,7,0))</f>
        <v>0</v>
      </c>
      <c r="Z77" s="129" t="n">
        <f aca="false">EXP(-LN(2)/35)*Z76+(1-EXP(-LN(2)/35))/(LN(2)/35)*V77*W77*VLOOKUP('Données projet'!$B$9,Paramètres!$A$1:$I$89,3,0)*0.475*44/12</f>
        <v>3.79721139838901</v>
      </c>
      <c r="AA77" s="129" t="n">
        <f aca="false">EXP(-LN(2)/25)*AA76+(1-EXP(-LN(2)/25))/(LN(2)/25)*Calculateur!V77*Calculateur!X77*VLOOKUP('Données projet'!$B$9,Paramètres!$A$1:$I$89,3,0)*0.475*44/12</f>
        <v>3.29240683529039</v>
      </c>
      <c r="AB77" s="129" t="n">
        <f aca="false">EXP(-LN(2)/2)*AB76+(1-EXP(-LN(2)/2))/(LN(2)/2)*V77*Y77*VLOOKUP('Données projet'!$B$9,Paramètres!$A$1:$I$89,3,0)*0.475*44/12</f>
        <v>2.63288704004249E-006</v>
      </c>
      <c r="AC77" s="130" t="n">
        <f aca="false">SUM(Z77:AB77)</f>
        <v>7.08962086656644</v>
      </c>
      <c r="AD77" s="117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7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8" t="e">
        <f aca="false">VLOOKUP(A77,'Données projet'!$A$61:$I$81,2,0)</f>
        <v>#N/A</v>
      </c>
      <c r="AG77" s="118" t="e">
        <f aca="false">VLOOKUP(A77,'Données projet'!$A$61:$I$81,9,0)</f>
        <v>#N/A</v>
      </c>
      <c r="AH77" s="118" t="n">
        <f aca="false" t="array" ref="AH77:AH77">INDEX(AG:AG,MIN(IF(ISNUMBER(AG77:AG273),ROW(AG77:AG273),"")))</f>
        <v>0</v>
      </c>
      <c r="AI77" s="117" t="n">
        <f aca="false">IF('Données projet'!$A$62&gt;35,AI76+AH77-AQ76,IF(A77&lt;'Données projet'!$A$62,$AF$205^A77,IF(A77='Données projet'!$A$62,'Données projet'!$B$62,AI76+AH77-AQ76)))</f>
        <v>1.13686837721616E-013</v>
      </c>
      <c r="AJ77" s="117" t="n">
        <f aca="false">AI77*VLOOKUP('Données projet'!$B$10,Paramètres!$A$1:$I$89,3,0)*VLOOKUP('Données projet'!$B$10,Paramètres!$A$1:$I$89,5,0)</f>
        <v>6.35509422863834E-014</v>
      </c>
      <c r="AK77" s="117" t="n">
        <f aca="false">EXP(-1.0587+0.8836*LN(AJ77)+0.284)</f>
        <v>1.0064464192544E-012</v>
      </c>
      <c r="AL77" s="128" t="n">
        <f aca="false">(AJ77+AK77)*0.475*44/12</f>
        <v>1.86357873801686E-012</v>
      </c>
      <c r="AM77" s="120" t="n">
        <f aca="false">AL77+(AD77+AE77)*44/12</f>
        <v>293.333333333335</v>
      </c>
      <c r="AN77" s="120" t="n">
        <f aca="true">AVERAGE(OFFSET($AM$3,0,0,'Données projet'!$E$10+1,1))-AVERAGE(OFFSET($H$3,0,0,'Données projet'!$E$10+1,1))</f>
        <v>365.705101827279</v>
      </c>
      <c r="AO77" s="120" t="n">
        <f aca="false">$AO$3</f>
        <v>436.238338449625</v>
      </c>
      <c r="AP77" s="121" t="n">
        <f aca="false">IF(ISNA(VLOOKUP(A77,'Données projet'!$A$61:$I$81,3,0)),0,VLOOKUP(A77,'Données projet'!$A$61:$I$81,3,0))</f>
        <v>0</v>
      </c>
      <c r="AQ77" s="121" t="n">
        <f aca="false">IF(ISNA(VLOOKUP(A77,'Données projet'!$A$61:$I$81,4,0)),0,VLOOKUP(A77,'Données projet'!$A$61:$I$81,4,0))</f>
        <v>0</v>
      </c>
      <c r="AR77" s="122" t="n">
        <f aca="false">IF(ISNA(VLOOKUP(A77,'Données projet'!$A$61:$I$81,5,0)),0%,VLOOKUP(A77,'Données projet'!$A$61:$I$81,5,0)*VLOOKUP('Données projet'!$B$10,Paramètres!$A$1:$I$89,7,0))</f>
        <v>0</v>
      </c>
      <c r="AS77" s="122" t="n">
        <f aca="false">IF(ISNA(VLOOKUP(A77,'Données projet'!$A$61:$I$81,6,0)),0%,VLOOKUP(A77,'Données projet'!$A$61:$I$81,6,0)*VLOOKUP('Données projet'!$B$10,Paramètres!$A$1:$I$89,7,0))</f>
        <v>0</v>
      </c>
      <c r="AT77" s="122" t="n">
        <f aca="false">IF(ISNA(VLOOKUP(A77,'Données projet'!$A$61:$I$81,7,0)),0%,VLOOKUP(A77,'Données projet'!$A$61:$I$81,7,0))</f>
        <v>0</v>
      </c>
      <c r="AU77" s="129" t="n">
        <f aca="false">EXP(-LN(2)/35)*AU76+(1-EXP(-LN(2)/35))/(LN(2)/35)*AQ77*AR77*VLOOKUP('Données projet'!$B$10,Paramètres!$A$1:$I$89,3,0)*0.475*44/12</f>
        <v>1.43332419194553</v>
      </c>
      <c r="AV77" s="129" t="n">
        <f aca="false">EXP(-LN(2)/25)*AV76+(1-EXP(-LN(2)/25))/(LN(2)/25)*Calculateur!AQ77*Calculateur!AS77*VLOOKUP('Données projet'!$B$10,Paramètres!$A$1:$I$89,3,0)*0.475*44/12</f>
        <v>3.89967787636914</v>
      </c>
      <c r="AW77" s="129" t="n">
        <f aca="false">EXP(-LN(2)/2)*AW76+(1-EXP(-LN(2)/2))/(LN(2)/2)*AQ77*AT77*VLOOKUP('Données projet'!$B$10,Paramètres!$A$1:$I$89,3,0)*0.475*44/12</f>
        <v>1.41693751470465E-006</v>
      </c>
      <c r="AX77" s="129" t="n">
        <f aca="false">SUM(AU77:AW77)</f>
        <v>5.33300348525218</v>
      </c>
      <c r="AY77" s="124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8" t="e">
        <f aca="false">VLOOKUP(A77,'Données projet'!$A$87:$I$107,2,0)</f>
        <v>#N/A</v>
      </c>
      <c r="BB77" s="118" t="e">
        <f aca="false">VLOOKUP(A77,'Données projet'!$A$87:$I$107,9,0)</f>
        <v>#N/A</v>
      </c>
      <c r="BC77" s="118" t="n">
        <f aca="false" t="array" ref="BC77:BC77">INDEX(BB:BB,MIN(IF(ISNUMBER(BB77:BB273),ROW(BB77:BB273),"")))</f>
        <v>0</v>
      </c>
      <c r="BD77" s="118" t="n">
        <f aca="false">IF('Données projet'!$A$88&gt;35,BD76+BC77-BL76,IF(A77&lt;'Données projet'!$A$88,$BA$205^A77,IF(A77='Données projet'!$A$88,'Données projet'!$B$88,BD76+BC77-BL76)))</f>
        <v>1.98951966012828E-013</v>
      </c>
      <c r="BE77" s="117" t="n">
        <f aca="false">BD77*VLOOKUP('Données projet'!$B$11,Paramètres!$A$1:$I$89,3,0)*VLOOKUP('Données projet'!$B$11,Paramètres!$A$1:$I$89,5,0)</f>
        <v>1.73804437508807E-013</v>
      </c>
      <c r="BF77" s="117" t="n">
        <f aca="false">EXP(-1.0587+0.8836*LN(BE77)+0.284)</f>
        <v>2.44832936339505E-012</v>
      </c>
      <c r="BG77" s="128" t="n">
        <f aca="false">(BE77+BF77)*0.475*44/12</f>
        <v>4.56688303657421E-012</v>
      </c>
      <c r="BH77" s="120" t="n">
        <f aca="false">BG77+(AY77+AZ77)*44/12</f>
        <v>293.333333333338</v>
      </c>
      <c r="BI77" s="120" t="n">
        <f aca="true">AVERAGE(OFFSET($BH$3,0,0,'Données projet'!$E$11+1,1))-AVERAGE(OFFSET($H$3,0,0,'Données projet'!$E$11+1,1))</f>
        <v>321.235999689929</v>
      </c>
      <c r="BJ77" s="120" t="n">
        <f aca="false">$BJ$3</f>
        <v>388.051958478005</v>
      </c>
      <c r="BK77" s="121" t="n">
        <f aca="false">IF(ISNA(VLOOKUP(A77,'Données projet'!$A$87:$I$107,3,0)),0,VLOOKUP(A77,'Données projet'!$A$87:$I$107,3,0))</f>
        <v>0</v>
      </c>
      <c r="BL77" s="121" t="n">
        <f aca="false">IF(ISNA(VLOOKUP(A77,'Données projet'!$A$87:$I$107,4,0)),0,VLOOKUP(A77,'Données projet'!$A$87:$I$107,4,0))</f>
        <v>0</v>
      </c>
      <c r="BM77" s="122" t="n">
        <f aca="false">IF(ISNA(VLOOKUP(A77,'Données projet'!$A$87:$I$107,5,0)),0%,VLOOKUP(A77,'Données projet'!$A$87:$I$107,5,0)*VLOOKUP('Données projet'!$B$11,Paramètres!$A$1:$I$89,7,0))</f>
        <v>0</v>
      </c>
      <c r="BN77" s="122" t="n">
        <f aca="false">IF(ISNA(VLOOKUP(A77,'Données projet'!$A$87:$I$107,6,0)),0%,VLOOKUP(A77,'Données projet'!$A$87:$I$107,6,0)*VLOOKUP('Données projet'!$B$11,Paramètres!$A$1:$I$89,7,0))</f>
        <v>0</v>
      </c>
      <c r="BO77" s="122" t="n">
        <f aca="false">IF(ISNA(VLOOKUP(A77,'Données projet'!$A$87:$I$107,7,0)),0%,VLOOKUP(A77,'Données projet'!$A$87:$I$107,7,0))</f>
        <v>0</v>
      </c>
      <c r="BP77" s="129" t="n">
        <f aca="false">EXP(-LN(2)/35)*BP76+(1-EXP(-LN(2)/35))/(LN(2)/35)*BL77*BM77*VLOOKUP('Données projet'!$B$11,Paramètres!$A$1:$I$89,3,0)*0.475*44/12</f>
        <v>3.59853432056606</v>
      </c>
      <c r="BQ77" s="129" t="n">
        <f aca="false">EXP(-LN(2)/25)*BQ76+(1-EXP(-LN(2)/25))/(LN(2)/25)*Calculateur!BL77*Calculateur!BN77*VLOOKUP('Données projet'!$B$11,Paramètres!$A$1:$I$89,3,0)*0.475*44/12</f>
        <v>3.98055954965255</v>
      </c>
      <c r="BR77" s="129" t="n">
        <f aca="false">EXP(-LN(2)/2)*BR76+(1-EXP(-LN(2)/2))/(LN(2)/2)*BL77*BO77*VLOOKUP('Données projet'!$B$11,Paramètres!$A$1:$I$89,3,0)*0.475*44/12</f>
        <v>1.44028753216141E-006</v>
      </c>
      <c r="BS77" s="130" t="n">
        <f aca="false">SUM(BP77:BR77)</f>
        <v>7.57909531050614</v>
      </c>
      <c r="BT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8" t="e">
        <f aca="false">VLOOKUP(A77,'Données projet'!$A$113:$I$133,2,0)</f>
        <v>#N/A</v>
      </c>
      <c r="BW77" s="118" t="e">
        <f aca="false">VLOOKUP(A77,'Données projet'!$A$113:$I$133,9,0)</f>
        <v>#N/A</v>
      </c>
      <c r="BX77" s="118" t="n">
        <f aca="false" t="array" ref="BX77:BX77">INDEX(BW:BW,MIN(IF(ISNUMBER(BW77:BW273),ROW(BW77:BW273),"")))</f>
        <v>0</v>
      </c>
      <c r="BY77" s="118" t="n">
        <f aca="false">IF('Données projet'!$A$114&gt;35,BY76+BX77-CG76,IF(A77&lt;'Données projet'!$A$114,$BV$205^A77,IF(A77='Données projet'!$A$114,'Données projet'!$B$114,BY76+BX77-CG76)))</f>
        <v>0</v>
      </c>
      <c r="BZ77" s="117" t="n">
        <f aca="false">BY77*VLOOKUP('Données projet'!$B$12,Paramètres!$A$1:$I$89,3,0)*VLOOKUP('Données projet'!$B$12,Paramètres!$A$1:$I$89,5,0)</f>
        <v>0</v>
      </c>
      <c r="CA77" s="117" t="e">
        <f aca="false">EXP(-1.0587+0.8836*LN(BZ77)+0.284)</f>
        <v>#VALUE!</v>
      </c>
      <c r="CB77" s="128" t="e">
        <f aca="false">(BZ77+CA77)*0.475*44/12</f>
        <v>#VALUE!</v>
      </c>
      <c r="CC77" s="120" t="e">
        <f aca="false">CB77+(BT77+BU77)*44/12</f>
        <v>#VALUE!</v>
      </c>
      <c r="CD77" s="120" t="n">
        <f aca="true">AVERAGE(OFFSET($CC$3,0,0,'Données projet'!$E$12+1,1))-AVERAGE(OFFSET($H$3,0,0,'Données projet'!$E$12+1,1))</f>
        <v>240.228848647662</v>
      </c>
      <c r="CE77" s="120" t="n">
        <f aca="false">$CE$3</f>
        <v>343.237768841432</v>
      </c>
      <c r="CF77" s="121" t="n">
        <f aca="false">IF(ISNA(VLOOKUP(A77,'Données projet'!$A$113:$I$133,3,0)),0,VLOOKUP(A77,'Données projet'!$A$113:$I$133,3,0))</f>
        <v>0</v>
      </c>
      <c r="CG77" s="121" t="n">
        <f aca="false">IF(ISNA(VLOOKUP(A77,'Données projet'!$A$113:$I$133,4,0)),0,VLOOKUP(A77,'Données projet'!$A$113:$I$133,4,0))</f>
        <v>0</v>
      </c>
      <c r="CH77" s="122" t="n">
        <f aca="false">IF(ISNA(VLOOKUP(A77,'Données projet'!$A$113:$I$133,5,0)),0%,VLOOKUP(A77,'Données projet'!$A$113:$I$133,5,0)*VLOOKUP('Données projet'!$B$12,Paramètres!$A$1:$I$89,7,0))</f>
        <v>0</v>
      </c>
      <c r="CI77" s="122" t="n">
        <f aca="false">IF(ISNA(VLOOKUP(A77,'Données projet'!$A$113:$I$133,6,0)),0%,VLOOKUP(A77,'Données projet'!$A$113:$I$133,6,0)*VLOOKUP('Données projet'!$B$12,Paramètres!$A$1:$I$89,7,0))</f>
        <v>0</v>
      </c>
      <c r="CJ77" s="122" t="n">
        <f aca="false">IF(ISNA(VLOOKUP(A77,'Données projet'!$A$113:$I$133,7,0)),0%,VLOOKUP(A77,'Données projet'!$A$113:$I$133,7,0))</f>
        <v>0</v>
      </c>
      <c r="CK77" s="129" t="n">
        <f aca="false">EXP(-LN(2)/35)*CK76+(1-EXP(-LN(2)/35))/(LN(2)/35)*CG77*CH77*VLOOKUP('Données projet'!$B$12,Paramètres!$A$1:$I$89,3,0)*0.475*44/12</f>
        <v>2.20258335506459</v>
      </c>
      <c r="CL77" s="129" t="n">
        <f aca="false">EXP(-LN(2)/25)*CL76+(1-EXP(-LN(2)/25))/(LN(2)/25)*Calculateur!CG77*Calculateur!CI77*VLOOKUP('Données projet'!$B$12,Paramètres!$A$1:$I$89,3,0)*0.475*44/12</f>
        <v>7.02989859882766</v>
      </c>
      <c r="CM77" s="129" t="n">
        <f aca="false">EXP(-LN(2)/2)*CM76+(1-EXP(-LN(2)/2))/(LN(2)/2)*CG77*CJ77*VLOOKUP('Données projet'!$B$12,Paramètres!$A$1:$I$89,3,0)*0.475*44/12</f>
        <v>2.29831492089362E-006</v>
      </c>
      <c r="CN77" s="130" t="n">
        <f aca="false">SUM(CK77:CM77)</f>
        <v>9.23248425220717</v>
      </c>
      <c r="CO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8" t="e">
        <f aca="false">VLOOKUP(A77,'Données projet'!$A$139:$I$159,2,0)</f>
        <v>#N/A</v>
      </c>
      <c r="CR77" s="118" t="e">
        <f aca="false">VLOOKUP(A77,'Données projet'!$A$139:$I$159,9,0)</f>
        <v>#N/A</v>
      </c>
      <c r="CS77" s="118" t="n">
        <f aca="false" t="array" ref="CS77:CS77">INDEX(CR:CR,MIN(IF(ISNUMBER(CR77:CR273),ROW(CR77:CR273),"")))</f>
        <v>0</v>
      </c>
      <c r="CT77" s="118" t="n">
        <f aca="false">IF('Données projet'!$A$140&gt;35,CT76+CS77-DB76,IF(A77&lt;'Données projet'!$A$140,$CQ$205^A77,IF(A77='Données projet'!$A$140,'Données projet'!$B$140,CT76+CS77-DB76)))</f>
        <v>-5.6843418860808E-014</v>
      </c>
      <c r="CU77" s="125" t="n">
        <f aca="false">CT77*VLOOKUP('Données projet'!$B$13,Paramètres!$A$1:$I$89,3,0)*VLOOKUP('Données projet'!$B$13,Paramètres!$A$1:$I$89,5,0)</f>
        <v>-3.10365066980012E-014</v>
      </c>
      <c r="CV77" s="117" t="e">
        <f aca="false">EXP(-1.0587+0.8836*LN(CU77)+0.284)</f>
        <v>#VALUE!</v>
      </c>
      <c r="CW77" s="128" t="e">
        <f aca="false">(CU77+CV77)*0.475*44/12</f>
        <v>#VALUE!</v>
      </c>
      <c r="CX77" s="120" t="e">
        <f aca="false">CW77+(CO77+CP77)*44/12</f>
        <v>#VALUE!</v>
      </c>
      <c r="CY77" s="120" t="n">
        <f aca="true">AVERAGE(OFFSET($CX$3,0,0,'Données projet'!$E$13+1,1))-AVERAGE(OFFSET($H$3,0,0,'Données projet'!$E$13+1,1))</f>
        <v>207.023069645676</v>
      </c>
      <c r="CZ77" s="120" t="n">
        <f aca="false">$CZ$3</f>
        <v>342.068879333518</v>
      </c>
      <c r="DA77" s="121" t="n">
        <f aca="false">IF(ISNA(VLOOKUP(A77,'Données projet'!$A$139:$I$159,3,0)),0,VLOOKUP(A77,'Données projet'!$A$139:$I$159,3,0))</f>
        <v>0</v>
      </c>
      <c r="DB77" s="121" t="n">
        <f aca="false">IF(ISNA(VLOOKUP(A77,'Données projet'!$A$139:$I$159,4,0)),0,VLOOKUP(A77,'Données projet'!$A$139:$I$159,4,0))</f>
        <v>0</v>
      </c>
      <c r="DC77" s="122" t="n">
        <f aca="false">IF(ISNA(VLOOKUP(A77,'Données projet'!$A$139:$I$159,5,0)),0%,VLOOKUP(A77,'Données projet'!$A$139:$I$159,5,0)*VLOOKUP('Données projet'!$B$13,Paramètres!$A$1:$I$89,7,0))</f>
        <v>0</v>
      </c>
      <c r="DD77" s="122" t="n">
        <f aca="false">IF(ISNA(VLOOKUP(A77,'Données projet'!$A$139:$I$159,6,0)),0%,VLOOKUP(A77,'Données projet'!$A$139:$I$159,6,0)*VLOOKUP('Données projet'!$B$13,Paramètres!$A$1:$I$89,7,0))</f>
        <v>0</v>
      </c>
      <c r="DE77" s="122" t="n">
        <f aca="false">IF(ISNA(VLOOKUP(A77,'Données projet'!$A$139:$I$159,7,0)),0%,VLOOKUP(A77,'Données projet'!$A$139:$I$159,7,0))</f>
        <v>0</v>
      </c>
      <c r="DF77" s="129" t="n">
        <f aca="false">EXP(-LN(2)/35)*DF76+(1-EXP(-LN(2)/35))/(LN(2)/35)*DB77*DC77*VLOOKUP('Données projet'!$B$13,Paramètres!$A$1:$I$89,3,0)*0.475*44/12</f>
        <v>2.7636187379584</v>
      </c>
      <c r="DG77" s="129" t="n">
        <f aca="false">EXP(-LN(2)/25)*DG76+(1-EXP(-LN(2)/25))/(LN(2)/25)*Calculateur!DB77*Calculateur!DD77*VLOOKUP('Données projet'!$B$13,Paramètres!$A$1:$I$89,3,0)*0.475*44/12</f>
        <v>11.4909563348652</v>
      </c>
      <c r="DH77" s="129" t="n">
        <f aca="false">EXP(-LN(2)/2)*DH76+(1-EXP(-LN(2)/2))/(LN(2)/2)*DB77*DE77*VLOOKUP('Données projet'!$B$13,Paramètres!$A$1:$I$89,3,0)*0.475*44/12</f>
        <v>3.16478071162721E-006</v>
      </c>
      <c r="DI77" s="130" t="n">
        <f aca="false">SUM(DF77:DH77)</f>
        <v>14.2545782376043</v>
      </c>
      <c r="DJ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8" t="e">
        <f aca="false">VLOOKUP(A77,'Données projet'!$A$165:$I$185,2,0)</f>
        <v>#N/A</v>
      </c>
      <c r="DM77" s="118" t="e">
        <f aca="false">VLOOKUP(A77,'Données projet'!$A$165:$I$185,9,0)</f>
        <v>#N/A</v>
      </c>
      <c r="DN77" s="118" t="n">
        <f aca="false" t="array" ref="DN77:DN77">INDEX(DM:DM,MIN(IF(ISNUMBER(DM77:DM273),ROW(DM77:DM273),"")))</f>
        <v>0</v>
      </c>
      <c r="DO77" s="118" t="n">
        <f aca="false">IF('Données projet'!$A$166&gt;35,DO76+DN77-DW76,IF(A77&lt;'Données projet'!$A$166,$DL$205^A77,IF(A77='Données projet'!$A$166,'Données projet'!$B$166,DO76+DN77-DW76)))</f>
        <v>0</v>
      </c>
      <c r="DP77" s="125" t="n">
        <f aca="false">DO77*VLOOKUP('Données projet'!$B$14,Paramètres!$A$1:$I$89,3,0)*VLOOKUP('Données projet'!$B$14,Paramètres!$A$1:$I$89,5,0)</f>
        <v>0</v>
      </c>
      <c r="DQ77" s="117" t="e">
        <f aca="false">EXP(-1.0587+0.8836*LN(DP77)+0.284)</f>
        <v>#VALUE!</v>
      </c>
      <c r="DR77" s="128" t="e">
        <f aca="false">(DP77+DQ77)*0.475*44/12</f>
        <v>#VALUE!</v>
      </c>
      <c r="DS77" s="120" t="e">
        <f aca="false">DR77+(DJ77+DK77)*44/12</f>
        <v>#VALUE!</v>
      </c>
      <c r="DT77" s="120" t="n">
        <f aca="true">AVERAGE(OFFSET($DS$3,0,0,'Données projet'!$E$14+1,1))-AVERAGE(OFFSET($H$3,0,0,'Données projet'!$E$14+1,1))</f>
        <v>549.432320957297</v>
      </c>
      <c r="DU77" s="120" t="n">
        <f aca="false">$DU$3</f>
        <v>280.26155987301</v>
      </c>
      <c r="DV77" s="121" t="n">
        <f aca="false">IF(ISNA(VLOOKUP(A77,'Données projet'!$A$165:$I$185,3,0)),0,VLOOKUP(A77,'Données projet'!$A$165:$I$185,3,0))</f>
        <v>0</v>
      </c>
      <c r="DW77" s="121" t="n">
        <f aca="false">IF(ISNA(VLOOKUP(A77,'Données projet'!$A$165:$I$185,4,0)),0,VLOOKUP(A77,'Données projet'!$A$165:$I$185,4,0))</f>
        <v>0</v>
      </c>
      <c r="DX77" s="122" t="n">
        <f aca="false">IF(ISNA(VLOOKUP(A77,'Données projet'!$A$165:$I$185,5,0)),0%,VLOOKUP(A77,'Données projet'!$A$165:$I$185,5,0)*VLOOKUP('Données projet'!$B$14,Paramètres!$A$1:$I$89,7,0))</f>
        <v>0</v>
      </c>
      <c r="DY77" s="122" t="n">
        <f aca="false">IF(ISNA(VLOOKUP(A77,'Données projet'!$A$165:$I$185,6,0)),0%,VLOOKUP(A77,'Données projet'!$A$165:$I$185,6,0)*VLOOKUP('Données projet'!$B$14,Paramètres!$A$1:$I$89,7,0))</f>
        <v>0</v>
      </c>
      <c r="DZ77" s="122" t="n">
        <f aca="false">IF(ISNA(VLOOKUP(A77,'Données projet'!$A$165:$I$185,7,0)),0%,VLOOKUP(A77,'Données projet'!$A$165:$I$185,7,0))</f>
        <v>0</v>
      </c>
      <c r="EA77" s="129" t="n">
        <f aca="false">EXP(-LN(2)/35)*EA76+(1-EXP(-LN(2)/35))/(LN(2)/35)*DW77*DX77*VLOOKUP('Données projet'!$B$14,Paramètres!$A$1:$I$89,3,0)*0.475*44/12</f>
        <v>1.00484869156569</v>
      </c>
      <c r="EB77" s="129" t="n">
        <f aca="false">EXP(-LN(2)/25)*EB76+(1-EXP(-LN(2)/25))/(LN(2)/25)*Calculateur!DW77*Calculateur!DY77*VLOOKUP('Données projet'!$B$14,Paramètres!$A$1:$I$89,3,0)*0.475*44/12</f>
        <v>2.28922521448887</v>
      </c>
      <c r="EC77" s="129" t="n">
        <f aca="false">EXP(-LN(2)/2)*EC76+(1-EXP(-LN(2)/2))/(LN(2)/2)*DW77*DZ77*VLOOKUP('Données projet'!$B$14,Paramètres!$A$1:$I$89,3,0)*0.475*44/12</f>
        <v>1.45889867176043E-006</v>
      </c>
      <c r="ED77" s="130" t="n">
        <f aca="false">SUM(EA77:EC77)</f>
        <v>3.29407536495323</v>
      </c>
      <c r="EE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8" t="e">
        <f aca="false">VLOOKUP(A77,'Données projet'!$A$191:$I$211,2,0)</f>
        <v>#N/A</v>
      </c>
      <c r="EH77" s="118" t="e">
        <f aca="false">VLOOKUP(A77,'Données projet'!$A$191:$I$211,9,0)</f>
        <v>#N/A</v>
      </c>
      <c r="EI77" s="118" t="n">
        <f aca="false" t="array" ref="EI77:EI77">INDEX(EH:EH,MIN(IF(ISNUMBER(EH77:EH273),ROW(EH77:EH273),"")))</f>
        <v>0</v>
      </c>
      <c r="EJ77" s="118" t="n">
        <f aca="false">IF('Données projet'!$A$192&gt;35,EJ76+EI77-ER76,IF(A77&lt;'Données projet'!$A$192,$EG$205^A77,IF(A77='Données projet'!$A$192,'Données projet'!$B$192,EJ76+EI77-ER76)))</f>
        <v>0</v>
      </c>
      <c r="EK77" s="125" t="e">
        <f aca="false">EJ77*VLOOKUP('Données projet'!$B$15,Paramètres!$A$1:$I$89,3,0)*VLOOKUP('Données projet'!$B$15,Paramètres!$A$1:$I$89,5,0)</f>
        <v>#N/A</v>
      </c>
      <c r="EL77" s="117" t="e">
        <f aca="false">EXP(-1.0587+0.8836*LN(EK77)+0.284)</f>
        <v>#N/A</v>
      </c>
      <c r="EM77" s="128" t="e">
        <f aca="false">(EK77+EL77)*0.475*44/12</f>
        <v>#N/A</v>
      </c>
      <c r="EN77" s="120" t="e">
        <f aca="false">EM77+(EE77+EF77)*44/12</f>
        <v>#N/A</v>
      </c>
      <c r="EO77" s="120" t="e">
        <f aca="true">AVERAGE(OFFSET($EN$3,0,0,'Données projet'!$E$15+1,1))-AVERAGE(OFFSET($H$3,0,0,'Données projet'!$E$15+1,1))</f>
        <v>#N/A</v>
      </c>
      <c r="EP77" s="120" t="e">
        <f aca="false">$EP$3</f>
        <v>#N/A</v>
      </c>
      <c r="EQ77" s="121" t="n">
        <f aca="false">IF(ISNA(VLOOKUP(A77,'Données projet'!$A$191:$I$211,3,0)),0,VLOOKUP(A77,'Données projet'!$A$191:$I$211,3,0))</f>
        <v>0</v>
      </c>
      <c r="ER77" s="121" t="n">
        <f aca="false">IF(ISNA(VLOOKUP(A77,'Données projet'!$A$191:$I$211,4,0)),0,VLOOKUP(A77,'Données projet'!$A$191:$I$211,4,0))</f>
        <v>0</v>
      </c>
      <c r="ES77" s="122" t="n">
        <f aca="false">IF(ISNA(VLOOKUP(A77,'Données projet'!$A$191:$I$211,5,0)),0%,VLOOKUP(A77,'Données projet'!$A$191:$I$211,5,0)*VLOOKUP('Données projet'!$B$15,Paramètres!$A$1:$I$89,7,0))</f>
        <v>0</v>
      </c>
      <c r="ET77" s="122" t="n">
        <f aca="false">IF(ISNA(VLOOKUP(A77,'Données projet'!$A$191:$I$211,6,0)),0%,VLOOKUP(A77,'Données projet'!$A$191:$I$211,6,0)*VLOOKUP('Données projet'!$B$15,Paramètres!$A$1:$I$89,7,0))</f>
        <v>0</v>
      </c>
      <c r="EU77" s="122" t="n">
        <f aca="false">IF(ISNA(VLOOKUP(A77,'Données projet'!$A$191:$I$211,7,0)),0%,VLOOKUP(A77,'Données projet'!$A$191:$I$211,7,0))</f>
        <v>0</v>
      </c>
      <c r="EV77" s="129" t="e">
        <f aca="false">EXP(-LN(2)/35)*EV76+(1-EXP(-LN(2)/35))/(LN(2)/35)*ER77*ES77*VLOOKUP('Données projet'!$B$15,Paramètres!$A$1:$I$89,3,0)*0.475*44/12</f>
        <v>#N/A</v>
      </c>
      <c r="EW77" s="129" t="e">
        <f aca="false">EXP(-LN(2)/25)*EW76+(1-EXP(-LN(2)/25))/(LN(2)/25)*Calculateur!ER77*Calculateur!ET77*VLOOKUP('Données projet'!$B$15,Paramètres!$A$1:$I$89,3,0)*0.475*44/12</f>
        <v>#N/A</v>
      </c>
      <c r="EX77" s="129" t="e">
        <f aca="false">EXP(-LN(2)/2)*EX76+(1-EXP(-LN(2)/2))/(LN(2)/2)*ER77*EU77*VLOOKUP('Données projet'!$B$15,Paramètres!$A$1:$I$89,3,0)*0.475*44/12</f>
        <v>#N/A</v>
      </c>
      <c r="EY77" s="130" t="e">
        <f aca="false">SUM(EV77:EX77)</f>
        <v>#N/A</v>
      </c>
      <c r="EZ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8" t="e">
        <f aca="false">VLOOKUP(A77,'Données projet'!$A$217:$I$237,2,0)</f>
        <v>#N/A</v>
      </c>
      <c r="FC77" s="118" t="e">
        <f aca="false">VLOOKUP(A77,'Données projet'!$A$217:$I$237,9,0)</f>
        <v>#N/A</v>
      </c>
      <c r="FD77" s="118" t="n">
        <f aca="false" t="array" ref="FD77:FD77">INDEX(FC:FC,MIN(IF(ISNUMBER(FC77:FC273),ROW(FC77:FC273),"")))</f>
        <v>0</v>
      </c>
      <c r="FE77" s="118" t="n">
        <f aca="false">IF('Données projet'!$A$218&gt;35,FE76+FD77-FM76,IF(A77&lt;'Données projet'!$A$218,$FB$205^A77,IF(A77='Données projet'!$A$218,'Données projet'!$B$218,FE76+FD77-FM76)))</f>
        <v>0</v>
      </c>
      <c r="FF77" s="125" t="e">
        <f aca="false">FE77*VLOOKUP('Données projet'!$B$16,Paramètres!$A$1:$I$89,3,0)*VLOOKUP('Données projet'!$B$16,Paramètres!$A$1:$I$89,5,0)</f>
        <v>#N/A</v>
      </c>
      <c r="FG77" s="117" t="e">
        <f aca="false">EXP(-1.0587+0.8836*LN(FF77)+0.284)</f>
        <v>#N/A</v>
      </c>
      <c r="FH77" s="128" t="e">
        <f aca="false">(FF77+FG77)*0.475*44/12</f>
        <v>#N/A</v>
      </c>
      <c r="FI77" s="120" t="e">
        <f aca="false">FH77+(EZ77+FA77)*44/12</f>
        <v>#N/A</v>
      </c>
      <c r="FJ77" s="120" t="e">
        <f aca="true">AVERAGE(OFFSET($FI$3,0,0,'Données projet'!$E$16+1,1))-AVERAGE(OFFSET($H$3,0,0,'Données projet'!$E$16+1,1))</f>
        <v>#N/A</v>
      </c>
      <c r="FK77" s="120" t="e">
        <f aca="false">$FK$3</f>
        <v>#N/A</v>
      </c>
      <c r="FL77" s="121" t="n">
        <f aca="false">IF(ISNA(VLOOKUP(A77,'Données projet'!$A$217:$I$237,3,0)),0,VLOOKUP(A77,'Données projet'!$A$217:$I$237,3,0))</f>
        <v>0</v>
      </c>
      <c r="FM77" s="121" t="n">
        <f aca="false">IF(ISNA(VLOOKUP(A77,'Données projet'!$A$217:$I$237,4,0)),0,VLOOKUP(A77,'Données projet'!$A$217:$I$237,4,0))</f>
        <v>0</v>
      </c>
      <c r="FN77" s="122" t="n">
        <f aca="false">IF(ISNA(VLOOKUP(A77,'Données projet'!$A$217:$I$237,5,0)),0%,VLOOKUP(A77,'Données projet'!$A$217:$I$237,5,0)*VLOOKUP('Données projet'!$B$16,Paramètres!$A$1:$I$89,7,0))</f>
        <v>0</v>
      </c>
      <c r="FO77" s="122" t="n">
        <f aca="false">IF(ISNA(VLOOKUP(A77,'Données projet'!$A$217:$I$237,6,0)),0%,VLOOKUP(A77,'Données projet'!$A$217:$I$237,6,0)*VLOOKUP('Données projet'!$B$16,Paramètres!$A$1:$I$89,7,0))</f>
        <v>0</v>
      </c>
      <c r="FP77" s="122" t="n">
        <f aca="false">IF(ISNA(VLOOKUP(A77,'Données projet'!$A$217:$I$237,7,0)),0%,VLOOKUP(A77,'Données projet'!$A$217:$I$237,7,0))</f>
        <v>0</v>
      </c>
      <c r="FQ77" s="129" t="e">
        <f aca="false">EXP(-LN(2)/35)*FQ76+(1-EXP(-LN(2)/35))/(LN(2)/35)*FM77*FN77*VLOOKUP('Données projet'!$B$16,Paramètres!$A$1:$I$89,3,0)*0.475*44/12</f>
        <v>#N/A</v>
      </c>
      <c r="FR77" s="129" t="e">
        <f aca="false">EXP(-LN(2)/25)*FR76+(1-EXP(-LN(2)/25))/(LN(2)/25)*Calculateur!FM77*Calculateur!FO77*VLOOKUP('Données projet'!$B$16,Paramètres!$A$1:$I$89,3,0)*0.475*44/12</f>
        <v>#N/A</v>
      </c>
      <c r="FS77" s="129" t="e">
        <f aca="false">EXP(-LN(2)/2)*FS76+(1-EXP(-LN(2)/2))/(LN(2)/2)*FM77*FP77*VLOOKUP('Données projet'!$B$16,Paramètres!$A$1:$I$89,3,0)*0.475*44/12</f>
        <v>#N/A</v>
      </c>
      <c r="FT77" s="130" t="e">
        <f aca="false">SUM(FQ77:FS77)</f>
        <v>#N/A</v>
      </c>
      <c r="FU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8" t="e">
        <f aca="false">VLOOKUP(A77,'Données projet'!$A$243:$I$263,2,0)</f>
        <v>#N/A</v>
      </c>
      <c r="FX77" s="118" t="e">
        <f aca="false">VLOOKUP(A77,'Données projet'!$A$243:$I$263,9,0)</f>
        <v>#N/A</v>
      </c>
      <c r="FY77" s="118" t="n">
        <f aca="false" t="array" ref="FY77:FY77">INDEX(FX:FX,MIN(IF(ISNUMBER(FX77:FX273),ROW(FX77:FX273),"")))</f>
        <v>0</v>
      </c>
      <c r="FZ77" s="118" t="n">
        <f aca="false">IF('Données projet'!$A$244&gt;35,FZ76+FY77-GH76,IF(A77&lt;'Données projet'!$A$244,$FW$205^A77,IF(A77='Données projet'!$A$244,'Données projet'!$B$244,FZ76+FY77-GH76)))</f>
        <v>0</v>
      </c>
      <c r="GA77" s="125" t="e">
        <f aca="false">FZ77*VLOOKUP('Données projet'!$B$17,Paramètres!$A$1:$I$89,3,0)*VLOOKUP('Données projet'!$B$17,Paramètres!$A$1:$I$89,5,0)</f>
        <v>#N/A</v>
      </c>
      <c r="GB77" s="117" t="e">
        <f aca="false">EXP(-1.0587+0.8836*LN(GA77)+0.284)</f>
        <v>#N/A</v>
      </c>
      <c r="GC77" s="128" t="e">
        <f aca="false">(GA77+GB77)*0.475*44/12</f>
        <v>#N/A</v>
      </c>
      <c r="GD77" s="120" t="e">
        <f aca="false">GC77+(FU77+FV77)*44/12</f>
        <v>#N/A</v>
      </c>
      <c r="GE77" s="120" t="e">
        <f aca="true">AVERAGE(OFFSET($GD$3,0,0,'Données projet'!$E$17+1,1))-AVERAGE(OFFSET($H$3,0,0,'Données projet'!$E$17+1,1))</f>
        <v>#N/A</v>
      </c>
      <c r="GF77" s="120" t="e">
        <f aca="false">$GF$3</f>
        <v>#N/A</v>
      </c>
      <c r="GG77" s="121" t="n">
        <f aca="false">IF(ISNA(VLOOKUP(A77,'Données projet'!$A$243:$I$263,3,0)),0,VLOOKUP(A77,'Données projet'!$A$243:$I$263,3,0))</f>
        <v>0</v>
      </c>
      <c r="GH77" s="121" t="n">
        <f aca="false">IF(ISNA(VLOOKUP(A77,'Données projet'!$A$243:$I$263,4,0)),0,VLOOKUP(A77,'Données projet'!$A$243:$I$263,4,0))</f>
        <v>0</v>
      </c>
      <c r="GI77" s="122" t="n">
        <f aca="false">IF(ISNA(VLOOKUP(A77,'Données projet'!$A$243:$I$263,5,0)),0%,VLOOKUP(A77,'Données projet'!$A$243:$I$263,5,0)*VLOOKUP('Données projet'!$B$17,Paramètres!$A$1:$I$89,7,0))</f>
        <v>0</v>
      </c>
      <c r="GJ77" s="122" t="n">
        <f aca="false">IF(ISNA(VLOOKUP(A77,'Données projet'!$A$243:$I$263,6,0)),0%,VLOOKUP(A77,'Données projet'!$A$243:$I$263,6,0)*VLOOKUP('Données projet'!$B$17,Paramètres!$A$1:$I$89,7,0))</f>
        <v>0</v>
      </c>
      <c r="GK77" s="122" t="n">
        <f aca="false">IF(ISNA(VLOOKUP(A77,'Données projet'!$A$243:$I$263,7,0)),0%,VLOOKUP(A77,'Données projet'!$A$243:$I$263,7,0))</f>
        <v>0</v>
      </c>
      <c r="GL77" s="129" t="e">
        <f aca="false">EXP(-LN(2)/35)*GL76+(1-EXP(-LN(2)/35))/(LN(2)/35)*GH77*GI77*VLOOKUP('Données projet'!$B$17,Paramètres!$A$1:$I$89,3,0)*0.475*44/12</f>
        <v>#N/A</v>
      </c>
      <c r="GM77" s="129" t="e">
        <f aca="false">EXP(-LN(2)/25)*GM76+(1-EXP(-LN(2)/25))/(LN(2)/25)*Calculateur!GH77*Calculateur!GJ77*VLOOKUP('Données projet'!$B$17,Paramètres!$A$1:$I$89,3,0)*0.475*44/12</f>
        <v>#N/A</v>
      </c>
      <c r="GN77" s="129" t="e">
        <f aca="false">EXP(-LN(2)/2)*GN76+(1-EXP(-LN(2)/2))/(LN(2)/2)*GH77*GK77*VLOOKUP('Données projet'!$B$17,Paramètres!$A$1:$I$89,3,0)*0.475*44/12</f>
        <v>#N/A</v>
      </c>
      <c r="GO77" s="129" t="e">
        <f aca="false">SUM(GL77:GN77)</f>
        <v>#N/A</v>
      </c>
      <c r="GP77" s="126" t="n">
        <f aca="false"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8" t="n">
        <f aca="false"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8" t="e">
        <f aca="false">VLOOKUP(A77,'Données projet'!$A$269:$I$289,2,0)</f>
        <v>#N/A</v>
      </c>
      <c r="GS77" s="118" t="e">
        <f aca="false">VLOOKUP(A77,'Données projet'!$A$269:$I$289,9,0)</f>
        <v>#N/A</v>
      </c>
      <c r="GT77" s="118" t="n">
        <f aca="false" t="array" ref="GT77:GT77">INDEX(GS:GS,MIN(IF(ISNUMBER(GS77:GS273),ROW(GS77:GS273),"")))</f>
        <v>0</v>
      </c>
      <c r="GU77" s="118" t="n">
        <f aca="false">IF('Données projet'!$A$270&gt;35,GU76+GT77-HC76,IF(A77&lt;'Données projet'!$A$270,$GR$205^A77,IF(A77='Données projet'!$A$270,'Données projet'!$B$270,GU76+GT77-HC76)))</f>
        <v>0</v>
      </c>
      <c r="GV77" s="125" t="e">
        <f aca="false">GU77*VLOOKUP('Données projet'!$B$18,Paramètres!$A$1:$I$89,3,0)*VLOOKUP('Données projet'!$B$18,Paramètres!$A$1:$I$89,5,0)</f>
        <v>#N/A</v>
      </c>
      <c r="GW77" s="117" t="e">
        <f aca="false">EXP(-1.0587+0.8836*LN(GV77)+0.284)</f>
        <v>#N/A</v>
      </c>
      <c r="GX77" s="128" t="e">
        <f aca="false">(GV77+GW77)*0.475*44/12</f>
        <v>#N/A</v>
      </c>
      <c r="GY77" s="120" t="e">
        <f aca="false">GX77+(GP77+GQ77)*44/12</f>
        <v>#N/A</v>
      </c>
      <c r="GZ77" s="120" t="e">
        <f aca="true">AVERAGE(OFFSET($GY$3,0,0,'Données projet'!$E$18+1,1))-AVERAGE(OFFSET($H$3,0,0,'Données projet'!$E$18+1,1))</f>
        <v>#N/A</v>
      </c>
      <c r="HA77" s="120" t="e">
        <f aca="false">$HA$3</f>
        <v>#N/A</v>
      </c>
      <c r="HB77" s="121" t="n">
        <f aca="false">IF(ISNA(VLOOKUP(A77,'Données projet'!$A$269:$I$289,3,0)),0,VLOOKUP(A77,'Données projet'!$A$269:$I$289,3,0))</f>
        <v>0</v>
      </c>
      <c r="HC77" s="121" t="n">
        <f aca="false">IF(ISNA(VLOOKUP(A77,'Données projet'!$A$269:$I$289,4,0)),0,VLOOKUP(A77,'Données projet'!$A$269:$I$289,4,0))</f>
        <v>0</v>
      </c>
      <c r="HD77" s="122" t="n">
        <f aca="false">IF(ISNA(VLOOKUP(A77,'Données projet'!$A$269:$I$289,5,0)),0%,VLOOKUP(A77,'Données projet'!$A$269:$I$289,5,0)*VLOOKUP('Données projet'!$B$18,Paramètres!$A$1:$I$89,7,0))</f>
        <v>0</v>
      </c>
      <c r="HE77" s="122" t="n">
        <f aca="false">IF(ISNA(VLOOKUP(A77,'Données projet'!$A$269:$I$289,6,0)),0%,VLOOKUP(A77,'Données projet'!$A$269:$I$289,6,0)*VLOOKUP('Données projet'!$B$18,Paramètres!$A$1:$I$89,7,0))</f>
        <v>0</v>
      </c>
      <c r="HF77" s="122" t="n">
        <f aca="false">IF(ISNA(VLOOKUP(A77,'Données projet'!$A$269:$I$289,7,0)),0%,VLOOKUP(A77,'Données projet'!$A$269:$I$289,7,0))</f>
        <v>0</v>
      </c>
      <c r="HG77" s="129" t="e">
        <f aca="false">EXP(-LN(2)/35)*HG76+(1-EXP(-LN(2)/35))/(LN(2)/35)*HC77*HD77*VLOOKUP('Données projet'!$B$18,Paramètres!$A$1:$I$89,3,0)*0.475*44/12</f>
        <v>#N/A</v>
      </c>
      <c r="HH77" s="129" t="e">
        <f aca="false">EXP(-LN(2)/25)*HH76+(1-EXP(-LN(2)/25))/(LN(2)/25)*Calculateur!HC77*Calculateur!HE77*VLOOKUP('Données projet'!$B$18,Paramètres!$A$1:$I$89,3,0)*0.475*44/12</f>
        <v>#N/A</v>
      </c>
      <c r="HI77" s="129" t="e">
        <f aca="false">EXP(-LN(2)/2)*HI76+(1-EXP(-LN(2)/2))/(LN(2)/2)*HC77*HF77*VLOOKUP('Données projet'!$B$18,Paramètres!$A$1:$I$89,3,0)*0.475*44/12</f>
        <v>#N/A</v>
      </c>
      <c r="HJ77" s="130" t="e">
        <f aca="false">SUM(HG77:HI77)</f>
        <v>#N/A</v>
      </c>
    </row>
    <row r="78" customFormat="false" ht="14.25" hidden="false" customHeight="false" outlineLevel="0" collapsed="false">
      <c r="A78" s="112" t="n">
        <f aca="false">A77+1</f>
        <v>75</v>
      </c>
      <c r="B78" s="113" t="n">
        <f aca="false">'Scénario référence'!$B$16*5+'Scénario référence'!$B$17*0+'Scénario référence'!$B$18*5</f>
        <v>0</v>
      </c>
      <c r="C78" s="127" t="n">
        <f aca="false"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4" t="n">
        <f aca="false">IFERROR(EXP(-1.0587+0.8836*LN(C78)+0.284),0)</f>
        <v>0</v>
      </c>
      <c r="E7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8" s="114" t="n">
        <f aca="false">IF(OR('Scénario référence'!$F$8&gt;0,'Scénario référence'!$F$9&gt;0),('Scénario référence'!$F$8+'Scénario référence'!$F$9)*10,0)</f>
        <v>0</v>
      </c>
      <c r="G78" s="114" t="n">
        <f aca="false"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15" t="n">
        <f aca="false">(B78+E78+F78)*44/12+(C78+D78)*0.475*44/12</f>
        <v>256.666666666667</v>
      </c>
      <c r="I78" s="11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7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8" t="e">
        <f aca="false">VLOOKUP(A78,'Données projet'!$A$35:$I$55,2,0)</f>
        <v>#N/A</v>
      </c>
      <c r="L78" s="118" t="e">
        <f aca="false">VLOOKUP(A78,'Données projet'!$A$35:$I$55,9,0)</f>
        <v>#N/A</v>
      </c>
      <c r="M78" s="118" t="n">
        <f aca="false" t="array" ref="M78:M78">INDEX(L:L,MIN(IF(ISNUMBER(L78:L274),ROW(L78:L274),"")))</f>
        <v>17</v>
      </c>
      <c r="N78" s="117" t="n">
        <f aca="false">IF('Données projet'!$A$36&gt;35,N77+M78-V77,IF(A78&lt;'Données projet'!$A$36,$K$205^A78,IF(A78='Données projet'!$A$36,'Données projet'!$B$36,N77+M78-V77)))</f>
        <v>421.5</v>
      </c>
      <c r="O78" s="117" t="n">
        <f aca="false">N78*VLOOKUP('Données projet'!$B$9,Paramètres!$A$1:$I$89,3,0)*VLOOKUP('Données projet'!$B$9,Paramètres!$A$1:$I$89,5,0)</f>
        <v>197.262</v>
      </c>
      <c r="P78" s="117" t="n">
        <f aca="false">EXP(-1.0587+0.8836*LN(O78)+0.284)</f>
        <v>49.1419563032665</v>
      </c>
      <c r="Q78" s="128" t="n">
        <f aca="false">(O78+P78)*0.475*44/12</f>
        <v>429.153557228189</v>
      </c>
      <c r="R78" s="120" t="n">
        <f aca="false">Q78+(I78+J78)*44/12</f>
        <v>722.486890561522</v>
      </c>
      <c r="S78" s="120" t="n">
        <f aca="true">AVERAGE(OFFSET($R$3,0,0,'Données projet'!$E$9+1,1))-AVERAGE(OFFSET($H$3,0,0,'Données projet'!$E$9+1,1))</f>
        <v>319.229030946746</v>
      </c>
      <c r="T78" s="120" t="n">
        <f aca="false">$T$3</f>
        <v>254.586909731428</v>
      </c>
      <c r="U78" s="121" t="n">
        <f aca="false">IF(ISNA(VLOOKUP(A78,'Données projet'!$A$35:$I$55,3,0)),0,VLOOKUP(A78,'Données projet'!$A$35:$I$55,3,0))</f>
        <v>0</v>
      </c>
      <c r="V78" s="121" t="n">
        <f aca="false">IF(ISNA(VLOOKUP(A78,'Données projet'!$A$35:$I$55,4,0)),0,VLOOKUP(A78,'Données projet'!$A$35:$I$55,4,0))</f>
        <v>0</v>
      </c>
      <c r="W78" s="122" t="n">
        <f aca="false">IF(ISNA(VLOOKUP(A78,'Données projet'!$A$35:$I$55,5,0)),0%,VLOOKUP(A78,'Données projet'!$A$35:$I$55,5,0)*VLOOKUP('Données projet'!$B$9,Paramètres!$A$1:$I$89,7,0))</f>
        <v>0</v>
      </c>
      <c r="X78" s="122" t="n">
        <f aca="false">IF(ISNA(VLOOKUP(A78,'Données projet'!$A$35:$I$55,6,0)),0%,VLOOKUP(A78,'Données projet'!$A$35:$I$55,6,0)*VLOOKUP('Données projet'!$B$9,Paramètres!$A$1:$I$89,7,0))</f>
        <v>0</v>
      </c>
      <c r="Y78" s="122" t="n">
        <f aca="false">IF(ISNA(VLOOKUP(A78,'Données projet'!$A$35:$I$55,7,0)),0%,VLOOKUP(A78,'Données projet'!$A$35:$I$55,7,0))</f>
        <v>0</v>
      </c>
      <c r="Z78" s="129" t="n">
        <f aca="false">EXP(-LN(2)/35)*Z77+(1-EXP(-LN(2)/35))/(LN(2)/35)*V78*W78*VLOOKUP('Données projet'!$B$9,Paramètres!$A$1:$I$89,3,0)*0.475*44/12</f>
        <v>3.72275039893686</v>
      </c>
      <c r="AA78" s="129" t="n">
        <f aca="false">EXP(-LN(2)/25)*AA77+(1-EXP(-LN(2)/25))/(LN(2)/25)*Calculateur!V78*Calculateur!X78*VLOOKUP('Données projet'!$B$9,Paramètres!$A$1:$I$89,3,0)*0.475*44/12</f>
        <v>3.20237579723923</v>
      </c>
      <c r="AB78" s="129" t="n">
        <f aca="false">EXP(-LN(2)/2)*AB77+(1-EXP(-LN(2)/2))/(LN(2)/2)*V78*Y78*VLOOKUP('Données projet'!$B$9,Paramètres!$A$1:$I$89,3,0)*0.475*44/12</f>
        <v>1.86173228011222E-006</v>
      </c>
      <c r="AC78" s="130" t="n">
        <f aca="false">SUM(Z78:AB78)</f>
        <v>6.92512805790837</v>
      </c>
      <c r="AD78" s="117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7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8" t="e">
        <f aca="false">VLOOKUP(A78,'Données projet'!$A$61:$I$81,2,0)</f>
        <v>#N/A</v>
      </c>
      <c r="AG78" s="118" t="e">
        <f aca="false">VLOOKUP(A78,'Données projet'!$A$61:$I$81,9,0)</f>
        <v>#N/A</v>
      </c>
      <c r="AH78" s="118" t="n">
        <f aca="false" t="array" ref="AH78:AH78">INDEX(AG:AG,MIN(IF(ISNUMBER(AG78:AG274),ROW(AG78:AG274),"")))</f>
        <v>0</v>
      </c>
      <c r="AI78" s="117" t="n">
        <f aca="false">IF('Données projet'!$A$62&gt;35,AI77+AH78-AQ77,IF(A78&lt;'Données projet'!$A$62,$AF$205^A78,IF(A78='Données projet'!$A$62,'Données projet'!$B$62,AI77+AH78-AQ77)))</f>
        <v>1.13686837721616E-013</v>
      </c>
      <c r="AJ78" s="117" t="n">
        <f aca="false">AI78*VLOOKUP('Données projet'!$B$10,Paramètres!$A$1:$I$89,3,0)*VLOOKUP('Données projet'!$B$10,Paramètres!$A$1:$I$89,5,0)</f>
        <v>6.35509422863834E-014</v>
      </c>
      <c r="AK78" s="117" t="n">
        <f aca="false">EXP(-1.0587+0.8836*LN(AJ78)+0.284)</f>
        <v>1.0064464192544E-012</v>
      </c>
      <c r="AL78" s="128" t="n">
        <f aca="false">(AJ78+AK78)*0.475*44/12</f>
        <v>1.86357873801686E-012</v>
      </c>
      <c r="AM78" s="120" t="n">
        <f aca="false">AL78+(AD78+AE78)*44/12</f>
        <v>293.333333333335</v>
      </c>
      <c r="AN78" s="120" t="n">
        <f aca="true">AVERAGE(OFFSET($AM$3,0,0,'Données projet'!$E$10+1,1))-AVERAGE(OFFSET($H$3,0,0,'Données projet'!$E$10+1,1))</f>
        <v>365.705101827279</v>
      </c>
      <c r="AO78" s="120" t="n">
        <f aca="false">$AO$3</f>
        <v>436.238338449625</v>
      </c>
      <c r="AP78" s="121" t="n">
        <f aca="false">IF(ISNA(VLOOKUP(A78,'Données projet'!$A$61:$I$81,3,0)),0,VLOOKUP(A78,'Données projet'!$A$61:$I$81,3,0))</f>
        <v>0</v>
      </c>
      <c r="AQ78" s="121" t="n">
        <f aca="false">IF(ISNA(VLOOKUP(A78,'Données projet'!$A$61:$I$81,4,0)),0,VLOOKUP(A78,'Données projet'!$A$61:$I$81,4,0))</f>
        <v>0</v>
      </c>
      <c r="AR78" s="122" t="n">
        <f aca="false">IF(ISNA(VLOOKUP(A78,'Données projet'!$A$61:$I$81,5,0)),0%,VLOOKUP(A78,'Données projet'!$A$61:$I$81,5,0)*VLOOKUP('Données projet'!$B$10,Paramètres!$A$1:$I$89,7,0))</f>
        <v>0</v>
      </c>
      <c r="AS78" s="122" t="n">
        <f aca="false">IF(ISNA(VLOOKUP(A78,'Données projet'!$A$61:$I$81,6,0)),0%,VLOOKUP(A78,'Données projet'!$A$61:$I$81,6,0)*VLOOKUP('Données projet'!$B$10,Paramètres!$A$1:$I$89,7,0))</f>
        <v>0</v>
      </c>
      <c r="AT78" s="122" t="n">
        <f aca="false">IF(ISNA(VLOOKUP(A78,'Données projet'!$A$61:$I$81,7,0)),0%,VLOOKUP(A78,'Données projet'!$A$61:$I$81,7,0))</f>
        <v>0</v>
      </c>
      <c r="AU78" s="129" t="n">
        <f aca="false">EXP(-LN(2)/35)*AU77+(1-EXP(-LN(2)/35))/(LN(2)/35)*AQ78*AR78*VLOOKUP('Données projet'!$B$10,Paramètres!$A$1:$I$89,3,0)*0.475*44/12</f>
        <v>1.40521757878291</v>
      </c>
      <c r="AV78" s="129" t="n">
        <f aca="false">EXP(-LN(2)/25)*AV77+(1-EXP(-LN(2)/25))/(LN(2)/25)*Calculateur!AQ78*Calculateur!AS78*VLOOKUP('Données projet'!$B$10,Paramètres!$A$1:$I$89,3,0)*0.475*44/12</f>
        <v>3.79304097976468</v>
      </c>
      <c r="AW78" s="129" t="n">
        <f aca="false">EXP(-LN(2)/2)*AW77+(1-EXP(-LN(2)/2))/(LN(2)/2)*AQ78*AT78*VLOOKUP('Données projet'!$B$10,Paramètres!$A$1:$I$89,3,0)*0.475*44/12</f>
        <v>1.00192612516527E-006</v>
      </c>
      <c r="AX78" s="129" t="n">
        <f aca="false">SUM(AU78:AW78)</f>
        <v>5.19825956047372</v>
      </c>
      <c r="AY78" s="124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8" t="e">
        <f aca="false">VLOOKUP(A78,'Données projet'!$A$87:$I$107,2,0)</f>
        <v>#N/A</v>
      </c>
      <c r="BB78" s="118" t="e">
        <f aca="false">VLOOKUP(A78,'Données projet'!$A$87:$I$107,9,0)</f>
        <v>#N/A</v>
      </c>
      <c r="BC78" s="118" t="n">
        <f aca="false" t="array" ref="BC78:BC78">INDEX(BB:BB,MIN(IF(ISNUMBER(BB78:BB274),ROW(BB78:BB274),"")))</f>
        <v>0</v>
      </c>
      <c r="BD78" s="118" t="n">
        <f aca="false">IF('Données projet'!$A$88&gt;35,BD77+BC78-BL77,IF(A78&lt;'Données projet'!$A$88,$BA$205^A78,IF(A78='Données projet'!$A$88,'Données projet'!$B$88,BD77+BC78-BL77)))</f>
        <v>1.98951966012828E-013</v>
      </c>
      <c r="BE78" s="117" t="n">
        <f aca="false">BD78*VLOOKUP('Données projet'!$B$11,Paramètres!$A$1:$I$89,3,0)*VLOOKUP('Données projet'!$B$11,Paramètres!$A$1:$I$89,5,0)</f>
        <v>1.73804437508807E-013</v>
      </c>
      <c r="BF78" s="117" t="n">
        <f aca="false">EXP(-1.0587+0.8836*LN(BE78)+0.284)</f>
        <v>2.44832936339505E-012</v>
      </c>
      <c r="BG78" s="128" t="n">
        <f aca="false">(BE78+BF78)*0.475*44/12</f>
        <v>4.56688303657421E-012</v>
      </c>
      <c r="BH78" s="120" t="n">
        <f aca="false">BG78+(AY78+AZ78)*44/12</f>
        <v>293.333333333338</v>
      </c>
      <c r="BI78" s="120" t="n">
        <f aca="true">AVERAGE(OFFSET($BH$3,0,0,'Données projet'!$E$11+1,1))-AVERAGE(OFFSET($H$3,0,0,'Données projet'!$E$11+1,1))</f>
        <v>321.235999689929</v>
      </c>
      <c r="BJ78" s="120" t="n">
        <f aca="false">$BJ$3</f>
        <v>388.051958478005</v>
      </c>
      <c r="BK78" s="121" t="n">
        <f aca="false">IF(ISNA(VLOOKUP(A78,'Données projet'!$A$87:$I$107,3,0)),0,VLOOKUP(A78,'Données projet'!$A$87:$I$107,3,0))</f>
        <v>0</v>
      </c>
      <c r="BL78" s="121" t="n">
        <f aca="false">IF(ISNA(VLOOKUP(A78,'Données projet'!$A$87:$I$107,4,0)),0,VLOOKUP(A78,'Données projet'!$A$87:$I$107,4,0))</f>
        <v>0</v>
      </c>
      <c r="BM78" s="122" t="n">
        <f aca="false">IF(ISNA(VLOOKUP(A78,'Données projet'!$A$87:$I$107,5,0)),0%,VLOOKUP(A78,'Données projet'!$A$87:$I$107,5,0)*VLOOKUP('Données projet'!$B$11,Paramètres!$A$1:$I$89,7,0))</f>
        <v>0</v>
      </c>
      <c r="BN78" s="122" t="n">
        <f aca="false">IF(ISNA(VLOOKUP(A78,'Données projet'!$A$87:$I$107,6,0)),0%,VLOOKUP(A78,'Données projet'!$A$87:$I$107,6,0)*VLOOKUP('Données projet'!$B$11,Paramètres!$A$1:$I$89,7,0))</f>
        <v>0</v>
      </c>
      <c r="BO78" s="122" t="n">
        <f aca="false">IF(ISNA(VLOOKUP(A78,'Données projet'!$A$87:$I$107,7,0)),0%,VLOOKUP(A78,'Données projet'!$A$87:$I$107,7,0))</f>
        <v>0</v>
      </c>
      <c r="BP78" s="129" t="n">
        <f aca="false">EXP(-LN(2)/35)*BP77+(1-EXP(-LN(2)/35))/(LN(2)/35)*BL78*BM78*VLOOKUP('Données projet'!$B$11,Paramètres!$A$1:$I$89,3,0)*0.475*44/12</f>
        <v>3.52796925742897</v>
      </c>
      <c r="BQ78" s="129" t="n">
        <f aca="false">EXP(-LN(2)/25)*BQ77+(1-EXP(-LN(2)/25))/(LN(2)/25)*Calculateur!BL78*Calculateur!BN78*VLOOKUP('Données projet'!$B$11,Paramètres!$A$1:$I$89,3,0)*0.475*44/12</f>
        <v>3.87171093943877</v>
      </c>
      <c r="BR78" s="129" t="n">
        <f aca="false">EXP(-LN(2)/2)*BR77+(1-EXP(-LN(2)/2))/(LN(2)/2)*BL78*BO78*VLOOKUP('Données projet'!$B$11,Paramètres!$A$1:$I$89,3,0)*0.475*44/12</f>
        <v>1.01843708084977E-006</v>
      </c>
      <c r="BS78" s="130" t="n">
        <f aca="false">SUM(BP78:BR78)</f>
        <v>7.39968121530482</v>
      </c>
      <c r="BT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8" t="e">
        <f aca="false">VLOOKUP(A78,'Données projet'!$A$113:$I$133,2,0)</f>
        <v>#N/A</v>
      </c>
      <c r="BW78" s="118" t="e">
        <f aca="false">VLOOKUP(A78,'Données projet'!$A$113:$I$133,9,0)</f>
        <v>#N/A</v>
      </c>
      <c r="BX78" s="118" t="n">
        <f aca="false" t="array" ref="BX78:BX78">INDEX(BW:BW,MIN(IF(ISNUMBER(BW78:BW274),ROW(BW78:BW274),"")))</f>
        <v>0</v>
      </c>
      <c r="BY78" s="118" t="n">
        <f aca="false">IF('Données projet'!$A$114&gt;35,BY77+BX78-CG77,IF(A78&lt;'Données projet'!$A$114,$BV$205^A78,IF(A78='Données projet'!$A$114,'Données projet'!$B$114,BY77+BX78-CG77)))</f>
        <v>0</v>
      </c>
      <c r="BZ78" s="117" t="n">
        <f aca="false">BY78*VLOOKUP('Données projet'!$B$12,Paramètres!$A$1:$I$89,3,0)*VLOOKUP('Données projet'!$B$12,Paramètres!$A$1:$I$89,5,0)</f>
        <v>0</v>
      </c>
      <c r="CA78" s="117" t="e">
        <f aca="false">EXP(-1.0587+0.8836*LN(BZ78)+0.284)</f>
        <v>#VALUE!</v>
      </c>
      <c r="CB78" s="128" t="e">
        <f aca="false">(BZ78+CA78)*0.475*44/12</f>
        <v>#VALUE!</v>
      </c>
      <c r="CC78" s="120" t="e">
        <f aca="false">CB78+(BT78+BU78)*44/12</f>
        <v>#VALUE!</v>
      </c>
      <c r="CD78" s="120" t="n">
        <f aca="true">AVERAGE(OFFSET($CC$3,0,0,'Données projet'!$E$12+1,1))-AVERAGE(OFFSET($H$3,0,0,'Données projet'!$E$12+1,1))</f>
        <v>240.228848647662</v>
      </c>
      <c r="CE78" s="120" t="n">
        <f aca="false">$CE$3</f>
        <v>343.237768841432</v>
      </c>
      <c r="CF78" s="121" t="n">
        <f aca="false">IF(ISNA(VLOOKUP(A78,'Données projet'!$A$113:$I$133,3,0)),0,VLOOKUP(A78,'Données projet'!$A$113:$I$133,3,0))</f>
        <v>0</v>
      </c>
      <c r="CG78" s="121" t="n">
        <f aca="false">IF(ISNA(VLOOKUP(A78,'Données projet'!$A$113:$I$133,4,0)),0,VLOOKUP(A78,'Données projet'!$A$113:$I$133,4,0))</f>
        <v>0</v>
      </c>
      <c r="CH78" s="122" t="n">
        <f aca="false">IF(ISNA(VLOOKUP(A78,'Données projet'!$A$113:$I$133,5,0)),0%,VLOOKUP(A78,'Données projet'!$A$113:$I$133,5,0)*VLOOKUP('Données projet'!$B$12,Paramètres!$A$1:$I$89,7,0))</f>
        <v>0</v>
      </c>
      <c r="CI78" s="122" t="n">
        <f aca="false">IF(ISNA(VLOOKUP(A78,'Données projet'!$A$113:$I$133,6,0)),0%,VLOOKUP(A78,'Données projet'!$A$113:$I$133,6,0)*VLOOKUP('Données projet'!$B$12,Paramètres!$A$1:$I$89,7,0))</f>
        <v>0</v>
      </c>
      <c r="CJ78" s="122" t="n">
        <f aca="false">IF(ISNA(VLOOKUP(A78,'Données projet'!$A$113:$I$133,7,0)),0%,VLOOKUP(A78,'Données projet'!$A$113:$I$133,7,0))</f>
        <v>0</v>
      </c>
      <c r="CK78" s="129" t="n">
        <f aca="false">EXP(-LN(2)/35)*CK77+(1-EXP(-LN(2)/35))/(LN(2)/35)*CG78*CH78*VLOOKUP('Données projet'!$B$12,Paramètres!$A$1:$I$89,3,0)*0.475*44/12</f>
        <v>2.15939203891497</v>
      </c>
      <c r="CL78" s="129" t="n">
        <f aca="false">EXP(-LN(2)/25)*CL77+(1-EXP(-LN(2)/25))/(LN(2)/25)*Calculateur!CG78*Calculateur!CI78*VLOOKUP('Données projet'!$B$12,Paramètres!$A$1:$I$89,3,0)*0.475*44/12</f>
        <v>6.83766565195642</v>
      </c>
      <c r="CM78" s="129" t="n">
        <f aca="false">EXP(-LN(2)/2)*CM77+(1-EXP(-LN(2)/2))/(LN(2)/2)*CG78*CJ78*VLOOKUP('Données projet'!$B$12,Paramètres!$A$1:$I$89,3,0)*0.475*44/12</f>
        <v>1.6251540658661E-006</v>
      </c>
      <c r="CN78" s="130" t="n">
        <f aca="false">SUM(CK78:CM78)</f>
        <v>8.99705931602545</v>
      </c>
      <c r="CO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8" t="e">
        <f aca="false">VLOOKUP(A78,'Données projet'!$A$139:$I$159,2,0)</f>
        <v>#N/A</v>
      </c>
      <c r="CR78" s="118" t="e">
        <f aca="false">VLOOKUP(A78,'Données projet'!$A$139:$I$159,9,0)</f>
        <v>#N/A</v>
      </c>
      <c r="CS78" s="118" t="n">
        <f aca="false" t="array" ref="CS78:CS78">INDEX(CR:CR,MIN(IF(ISNUMBER(CR78:CR274),ROW(CR78:CR274),"")))</f>
        <v>0</v>
      </c>
      <c r="CT78" s="118" t="n">
        <f aca="false">IF('Données projet'!$A$140&gt;35,CT77+CS78-DB77,IF(A78&lt;'Données projet'!$A$140,$CQ$205^A78,IF(A78='Données projet'!$A$140,'Données projet'!$B$140,CT77+CS78-DB77)))</f>
        <v>-5.6843418860808E-014</v>
      </c>
      <c r="CU78" s="125" t="n">
        <f aca="false">CT78*VLOOKUP('Données projet'!$B$13,Paramètres!$A$1:$I$89,3,0)*VLOOKUP('Données projet'!$B$13,Paramètres!$A$1:$I$89,5,0)</f>
        <v>-3.10365066980012E-014</v>
      </c>
      <c r="CV78" s="117" t="e">
        <f aca="false">EXP(-1.0587+0.8836*LN(CU78)+0.284)</f>
        <v>#VALUE!</v>
      </c>
      <c r="CW78" s="128" t="e">
        <f aca="false">(CU78+CV78)*0.475*44/12</f>
        <v>#VALUE!</v>
      </c>
      <c r="CX78" s="120" t="e">
        <f aca="false">CW78+(CO78+CP78)*44/12</f>
        <v>#VALUE!</v>
      </c>
      <c r="CY78" s="120" t="n">
        <f aca="true">AVERAGE(OFFSET($CX$3,0,0,'Données projet'!$E$13+1,1))-AVERAGE(OFFSET($H$3,0,0,'Données projet'!$E$13+1,1))</f>
        <v>207.023069645676</v>
      </c>
      <c r="CZ78" s="120" t="n">
        <f aca="false">$CZ$3</f>
        <v>342.068879333518</v>
      </c>
      <c r="DA78" s="121" t="n">
        <f aca="false">IF(ISNA(VLOOKUP(A78,'Données projet'!$A$139:$I$159,3,0)),0,VLOOKUP(A78,'Données projet'!$A$139:$I$159,3,0))</f>
        <v>0</v>
      </c>
      <c r="DB78" s="121" t="n">
        <f aca="false">IF(ISNA(VLOOKUP(A78,'Données projet'!$A$139:$I$159,4,0)),0,VLOOKUP(A78,'Données projet'!$A$139:$I$159,4,0))</f>
        <v>0</v>
      </c>
      <c r="DC78" s="122" t="n">
        <f aca="false">IF(ISNA(VLOOKUP(A78,'Données projet'!$A$139:$I$159,5,0)),0%,VLOOKUP(A78,'Données projet'!$A$139:$I$159,5,0)*VLOOKUP('Données projet'!$B$13,Paramètres!$A$1:$I$89,7,0))</f>
        <v>0</v>
      </c>
      <c r="DD78" s="122" t="n">
        <f aca="false">IF(ISNA(VLOOKUP(A78,'Données projet'!$A$139:$I$159,6,0)),0%,VLOOKUP(A78,'Données projet'!$A$139:$I$159,6,0)*VLOOKUP('Données projet'!$B$13,Paramètres!$A$1:$I$89,7,0))</f>
        <v>0</v>
      </c>
      <c r="DE78" s="122" t="n">
        <f aca="false">IF(ISNA(VLOOKUP(A78,'Données projet'!$A$139:$I$159,7,0)),0%,VLOOKUP(A78,'Données projet'!$A$139:$I$159,7,0))</f>
        <v>0</v>
      </c>
      <c r="DF78" s="129" t="n">
        <f aca="false">EXP(-LN(2)/35)*DF77+(1-EXP(-LN(2)/35))/(LN(2)/35)*DB78*DC78*VLOOKUP('Données projet'!$B$13,Paramètres!$A$1:$I$89,3,0)*0.475*44/12</f>
        <v>2.70942586014802</v>
      </c>
      <c r="DG78" s="129" t="n">
        <f aca="false">EXP(-LN(2)/25)*DG77+(1-EXP(-LN(2)/25))/(LN(2)/25)*Calculateur!DB78*Calculateur!DD78*VLOOKUP('Données projet'!$B$13,Paramètres!$A$1:$I$89,3,0)*0.475*44/12</f>
        <v>11.1767355296052</v>
      </c>
      <c r="DH78" s="129" t="n">
        <f aca="false">EXP(-LN(2)/2)*DH77+(1-EXP(-LN(2)/2))/(LN(2)/2)*DB78*DE78*VLOOKUP('Données projet'!$B$13,Paramètres!$A$1:$I$89,3,0)*0.475*44/12</f>
        <v>2.23783790215999E-006</v>
      </c>
      <c r="DI78" s="130" t="n">
        <f aca="false">SUM(DF78:DH78)</f>
        <v>13.8861636275911</v>
      </c>
      <c r="DJ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8" t="e">
        <f aca="false">VLOOKUP(A78,'Données projet'!$A$165:$I$185,2,0)</f>
        <v>#N/A</v>
      </c>
      <c r="DM78" s="118" t="e">
        <f aca="false">VLOOKUP(A78,'Données projet'!$A$165:$I$185,9,0)</f>
        <v>#N/A</v>
      </c>
      <c r="DN78" s="118" t="n">
        <f aca="false" t="array" ref="DN78:DN78">INDEX(DM:DM,MIN(IF(ISNUMBER(DM78:DM274),ROW(DM78:DM274),"")))</f>
        <v>0</v>
      </c>
      <c r="DO78" s="118" t="n">
        <f aca="false">IF('Données projet'!$A$166&gt;35,DO77+DN78-DW77,IF(A78&lt;'Données projet'!$A$166,$DL$205^A78,IF(A78='Données projet'!$A$166,'Données projet'!$B$166,DO77+DN78-DW77)))</f>
        <v>0</v>
      </c>
      <c r="DP78" s="125" t="n">
        <f aca="false">DO78*VLOOKUP('Données projet'!$B$14,Paramètres!$A$1:$I$89,3,0)*VLOOKUP('Données projet'!$B$14,Paramètres!$A$1:$I$89,5,0)</f>
        <v>0</v>
      </c>
      <c r="DQ78" s="117" t="e">
        <f aca="false">EXP(-1.0587+0.8836*LN(DP78)+0.284)</f>
        <v>#VALUE!</v>
      </c>
      <c r="DR78" s="128" t="e">
        <f aca="false">(DP78+DQ78)*0.475*44/12</f>
        <v>#VALUE!</v>
      </c>
      <c r="DS78" s="120" t="e">
        <f aca="false">DR78+(DJ78+DK78)*44/12</f>
        <v>#VALUE!</v>
      </c>
      <c r="DT78" s="120" t="n">
        <f aca="true">AVERAGE(OFFSET($DS$3,0,0,'Données projet'!$E$14+1,1))-AVERAGE(OFFSET($H$3,0,0,'Données projet'!$E$14+1,1))</f>
        <v>549.432320957297</v>
      </c>
      <c r="DU78" s="120" t="n">
        <f aca="false">$DU$3</f>
        <v>280.26155987301</v>
      </c>
      <c r="DV78" s="121" t="n">
        <f aca="false">IF(ISNA(VLOOKUP(A78,'Données projet'!$A$165:$I$185,3,0)),0,VLOOKUP(A78,'Données projet'!$A$165:$I$185,3,0))</f>
        <v>0</v>
      </c>
      <c r="DW78" s="121" t="n">
        <f aca="false">IF(ISNA(VLOOKUP(A78,'Données projet'!$A$165:$I$185,4,0)),0,VLOOKUP(A78,'Données projet'!$A$165:$I$185,4,0))</f>
        <v>0</v>
      </c>
      <c r="DX78" s="122" t="n">
        <f aca="false">IF(ISNA(VLOOKUP(A78,'Données projet'!$A$165:$I$185,5,0)),0%,VLOOKUP(A78,'Données projet'!$A$165:$I$185,5,0)*VLOOKUP('Données projet'!$B$14,Paramètres!$A$1:$I$89,7,0))</f>
        <v>0</v>
      </c>
      <c r="DY78" s="122" t="n">
        <f aca="false">IF(ISNA(VLOOKUP(A78,'Données projet'!$A$165:$I$185,6,0)),0%,VLOOKUP(A78,'Données projet'!$A$165:$I$185,6,0)*VLOOKUP('Données projet'!$B$14,Paramètres!$A$1:$I$89,7,0))</f>
        <v>0</v>
      </c>
      <c r="DZ78" s="122" t="n">
        <f aca="false">IF(ISNA(VLOOKUP(A78,'Données projet'!$A$165:$I$185,7,0)),0%,VLOOKUP(A78,'Données projet'!$A$165:$I$185,7,0))</f>
        <v>0</v>
      </c>
      <c r="EA78" s="129" t="n">
        <f aca="false">EXP(-LN(2)/35)*EA77+(1-EXP(-LN(2)/35))/(LN(2)/35)*DW78*DX78*VLOOKUP('Données projet'!$B$14,Paramètres!$A$1:$I$89,3,0)*0.475*44/12</f>
        <v>0.985144221621265</v>
      </c>
      <c r="EB78" s="129" t="n">
        <f aca="false">EXP(-LN(2)/25)*EB77+(1-EXP(-LN(2)/25))/(LN(2)/25)*Calculateur!DW78*Calculateur!DY78*VLOOKUP('Données projet'!$B$14,Paramètres!$A$1:$I$89,3,0)*0.475*44/12</f>
        <v>2.22662623061355</v>
      </c>
      <c r="EC78" s="129" t="n">
        <f aca="false">EXP(-LN(2)/2)*EC77+(1-EXP(-LN(2)/2))/(LN(2)/2)*DW78*DZ78*VLOOKUP('Données projet'!$B$14,Paramètres!$A$1:$I$89,3,0)*0.475*44/12</f>
        <v>1.03159714386585E-006</v>
      </c>
      <c r="ED78" s="130" t="n">
        <f aca="false">SUM(EA78:EC78)</f>
        <v>3.21177148383196</v>
      </c>
      <c r="EE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8" t="e">
        <f aca="false">VLOOKUP(A78,'Données projet'!$A$191:$I$211,2,0)</f>
        <v>#N/A</v>
      </c>
      <c r="EH78" s="118" t="e">
        <f aca="false">VLOOKUP(A78,'Données projet'!$A$191:$I$211,9,0)</f>
        <v>#N/A</v>
      </c>
      <c r="EI78" s="118" t="n">
        <f aca="false" t="array" ref="EI78:EI78">INDEX(EH:EH,MIN(IF(ISNUMBER(EH78:EH274),ROW(EH78:EH274),"")))</f>
        <v>0</v>
      </c>
      <c r="EJ78" s="118" t="n">
        <f aca="false">IF('Données projet'!$A$192&gt;35,EJ77+EI78-ER77,IF(A78&lt;'Données projet'!$A$192,$EG$205^A78,IF(A78='Données projet'!$A$192,'Données projet'!$B$192,EJ77+EI78-ER77)))</f>
        <v>0</v>
      </c>
      <c r="EK78" s="125" t="e">
        <f aca="false">EJ78*VLOOKUP('Données projet'!$B$15,Paramètres!$A$1:$I$89,3,0)*VLOOKUP('Données projet'!$B$15,Paramètres!$A$1:$I$89,5,0)</f>
        <v>#N/A</v>
      </c>
      <c r="EL78" s="117" t="e">
        <f aca="false">EXP(-1.0587+0.8836*LN(EK78)+0.284)</f>
        <v>#N/A</v>
      </c>
      <c r="EM78" s="128" t="e">
        <f aca="false">(EK78+EL78)*0.475*44/12</f>
        <v>#N/A</v>
      </c>
      <c r="EN78" s="120" t="e">
        <f aca="false">EM78+(EE78+EF78)*44/12</f>
        <v>#N/A</v>
      </c>
      <c r="EO78" s="120" t="e">
        <f aca="true">AVERAGE(OFFSET($EN$3,0,0,'Données projet'!$E$15+1,1))-AVERAGE(OFFSET($H$3,0,0,'Données projet'!$E$15+1,1))</f>
        <v>#N/A</v>
      </c>
      <c r="EP78" s="120" t="e">
        <f aca="false">$EP$3</f>
        <v>#N/A</v>
      </c>
      <c r="EQ78" s="121" t="n">
        <f aca="false">IF(ISNA(VLOOKUP(A78,'Données projet'!$A$191:$I$211,3,0)),0,VLOOKUP(A78,'Données projet'!$A$191:$I$211,3,0))</f>
        <v>0</v>
      </c>
      <c r="ER78" s="121" t="n">
        <f aca="false">IF(ISNA(VLOOKUP(A78,'Données projet'!$A$191:$I$211,4,0)),0,VLOOKUP(A78,'Données projet'!$A$191:$I$211,4,0))</f>
        <v>0</v>
      </c>
      <c r="ES78" s="122" t="n">
        <f aca="false">IF(ISNA(VLOOKUP(A78,'Données projet'!$A$191:$I$211,5,0)),0%,VLOOKUP(A78,'Données projet'!$A$191:$I$211,5,0)*VLOOKUP('Données projet'!$B$15,Paramètres!$A$1:$I$89,7,0))</f>
        <v>0</v>
      </c>
      <c r="ET78" s="122" t="n">
        <f aca="false">IF(ISNA(VLOOKUP(A78,'Données projet'!$A$191:$I$211,6,0)),0%,VLOOKUP(A78,'Données projet'!$A$191:$I$211,6,0)*VLOOKUP('Données projet'!$B$15,Paramètres!$A$1:$I$89,7,0))</f>
        <v>0</v>
      </c>
      <c r="EU78" s="122" t="n">
        <f aca="false">IF(ISNA(VLOOKUP(A78,'Données projet'!$A$191:$I$211,7,0)),0%,VLOOKUP(A78,'Données projet'!$A$191:$I$211,7,0))</f>
        <v>0</v>
      </c>
      <c r="EV78" s="129" t="e">
        <f aca="false">EXP(-LN(2)/35)*EV77+(1-EXP(-LN(2)/35))/(LN(2)/35)*ER78*ES78*VLOOKUP('Données projet'!$B$15,Paramètres!$A$1:$I$89,3,0)*0.475*44/12</f>
        <v>#N/A</v>
      </c>
      <c r="EW78" s="129" t="e">
        <f aca="false">EXP(-LN(2)/25)*EW77+(1-EXP(-LN(2)/25))/(LN(2)/25)*Calculateur!ER78*Calculateur!ET78*VLOOKUP('Données projet'!$B$15,Paramètres!$A$1:$I$89,3,0)*0.475*44/12</f>
        <v>#N/A</v>
      </c>
      <c r="EX78" s="129" t="e">
        <f aca="false">EXP(-LN(2)/2)*EX77+(1-EXP(-LN(2)/2))/(LN(2)/2)*ER78*EU78*VLOOKUP('Données projet'!$B$15,Paramètres!$A$1:$I$89,3,0)*0.475*44/12</f>
        <v>#N/A</v>
      </c>
      <c r="EY78" s="130" t="e">
        <f aca="false">SUM(EV78:EX78)</f>
        <v>#N/A</v>
      </c>
      <c r="EZ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8" t="e">
        <f aca="false">VLOOKUP(A78,'Données projet'!$A$217:$I$237,2,0)</f>
        <v>#N/A</v>
      </c>
      <c r="FC78" s="118" t="e">
        <f aca="false">VLOOKUP(A78,'Données projet'!$A$217:$I$237,9,0)</f>
        <v>#N/A</v>
      </c>
      <c r="FD78" s="118" t="n">
        <f aca="false" t="array" ref="FD78:FD78">INDEX(FC:FC,MIN(IF(ISNUMBER(FC78:FC274),ROW(FC78:FC274),"")))</f>
        <v>0</v>
      </c>
      <c r="FE78" s="118" t="n">
        <f aca="false">IF('Données projet'!$A$218&gt;35,FE77+FD78-FM77,IF(A78&lt;'Données projet'!$A$218,$FB$205^A78,IF(A78='Données projet'!$A$218,'Données projet'!$B$218,FE77+FD78-FM77)))</f>
        <v>0</v>
      </c>
      <c r="FF78" s="125" t="e">
        <f aca="false">FE78*VLOOKUP('Données projet'!$B$16,Paramètres!$A$1:$I$89,3,0)*VLOOKUP('Données projet'!$B$16,Paramètres!$A$1:$I$89,5,0)</f>
        <v>#N/A</v>
      </c>
      <c r="FG78" s="117" t="e">
        <f aca="false">EXP(-1.0587+0.8836*LN(FF78)+0.284)</f>
        <v>#N/A</v>
      </c>
      <c r="FH78" s="128" t="e">
        <f aca="false">(FF78+FG78)*0.475*44/12</f>
        <v>#N/A</v>
      </c>
      <c r="FI78" s="120" t="e">
        <f aca="false">FH78+(EZ78+FA78)*44/12</f>
        <v>#N/A</v>
      </c>
      <c r="FJ78" s="120" t="e">
        <f aca="true">AVERAGE(OFFSET($FI$3,0,0,'Données projet'!$E$16+1,1))-AVERAGE(OFFSET($H$3,0,0,'Données projet'!$E$16+1,1))</f>
        <v>#N/A</v>
      </c>
      <c r="FK78" s="120" t="e">
        <f aca="false">$FK$3</f>
        <v>#N/A</v>
      </c>
      <c r="FL78" s="121" t="n">
        <f aca="false">IF(ISNA(VLOOKUP(A78,'Données projet'!$A$217:$I$237,3,0)),0,VLOOKUP(A78,'Données projet'!$A$217:$I$237,3,0))</f>
        <v>0</v>
      </c>
      <c r="FM78" s="121" t="n">
        <f aca="false">IF(ISNA(VLOOKUP(A78,'Données projet'!$A$217:$I$237,4,0)),0,VLOOKUP(A78,'Données projet'!$A$217:$I$237,4,0))</f>
        <v>0</v>
      </c>
      <c r="FN78" s="122" t="n">
        <f aca="false">IF(ISNA(VLOOKUP(A78,'Données projet'!$A$217:$I$237,5,0)),0%,VLOOKUP(A78,'Données projet'!$A$217:$I$237,5,0)*VLOOKUP('Données projet'!$B$16,Paramètres!$A$1:$I$89,7,0))</f>
        <v>0</v>
      </c>
      <c r="FO78" s="122" t="n">
        <f aca="false">IF(ISNA(VLOOKUP(A78,'Données projet'!$A$217:$I$237,6,0)),0%,VLOOKUP(A78,'Données projet'!$A$217:$I$237,6,0)*VLOOKUP('Données projet'!$B$16,Paramètres!$A$1:$I$89,7,0))</f>
        <v>0</v>
      </c>
      <c r="FP78" s="122" t="n">
        <f aca="false">IF(ISNA(VLOOKUP(A78,'Données projet'!$A$217:$I$237,7,0)),0%,VLOOKUP(A78,'Données projet'!$A$217:$I$237,7,0))</f>
        <v>0</v>
      </c>
      <c r="FQ78" s="129" t="e">
        <f aca="false">EXP(-LN(2)/35)*FQ77+(1-EXP(-LN(2)/35))/(LN(2)/35)*FM78*FN78*VLOOKUP('Données projet'!$B$16,Paramètres!$A$1:$I$89,3,0)*0.475*44/12</f>
        <v>#N/A</v>
      </c>
      <c r="FR78" s="129" t="e">
        <f aca="false">EXP(-LN(2)/25)*FR77+(1-EXP(-LN(2)/25))/(LN(2)/25)*Calculateur!FM78*Calculateur!FO78*VLOOKUP('Données projet'!$B$16,Paramètres!$A$1:$I$89,3,0)*0.475*44/12</f>
        <v>#N/A</v>
      </c>
      <c r="FS78" s="129" t="e">
        <f aca="false">EXP(-LN(2)/2)*FS77+(1-EXP(-LN(2)/2))/(LN(2)/2)*FM78*FP78*VLOOKUP('Données projet'!$B$16,Paramètres!$A$1:$I$89,3,0)*0.475*44/12</f>
        <v>#N/A</v>
      </c>
      <c r="FT78" s="130" t="e">
        <f aca="false">SUM(FQ78:FS78)</f>
        <v>#N/A</v>
      </c>
      <c r="FU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8" t="e">
        <f aca="false">VLOOKUP(A78,'Données projet'!$A$243:$I$263,2,0)</f>
        <v>#N/A</v>
      </c>
      <c r="FX78" s="118" t="e">
        <f aca="false">VLOOKUP(A78,'Données projet'!$A$243:$I$263,9,0)</f>
        <v>#N/A</v>
      </c>
      <c r="FY78" s="118" t="n">
        <f aca="false" t="array" ref="FY78:FY78">INDEX(FX:FX,MIN(IF(ISNUMBER(FX78:FX274),ROW(FX78:FX274),"")))</f>
        <v>0</v>
      </c>
      <c r="FZ78" s="118" t="n">
        <f aca="false">IF('Données projet'!$A$244&gt;35,FZ77+FY78-GH77,IF(A78&lt;'Données projet'!$A$244,$FW$205^A78,IF(A78='Données projet'!$A$244,'Données projet'!$B$244,FZ77+FY78-GH77)))</f>
        <v>0</v>
      </c>
      <c r="GA78" s="125" t="e">
        <f aca="false">FZ78*VLOOKUP('Données projet'!$B$17,Paramètres!$A$1:$I$89,3,0)*VLOOKUP('Données projet'!$B$17,Paramètres!$A$1:$I$89,5,0)</f>
        <v>#N/A</v>
      </c>
      <c r="GB78" s="117" t="e">
        <f aca="false">EXP(-1.0587+0.8836*LN(GA78)+0.284)</f>
        <v>#N/A</v>
      </c>
      <c r="GC78" s="128" t="e">
        <f aca="false">(GA78+GB78)*0.475*44/12</f>
        <v>#N/A</v>
      </c>
      <c r="GD78" s="120" t="e">
        <f aca="false">GC78+(FU78+FV78)*44/12</f>
        <v>#N/A</v>
      </c>
      <c r="GE78" s="120" t="e">
        <f aca="true">AVERAGE(OFFSET($GD$3,0,0,'Données projet'!$E$17+1,1))-AVERAGE(OFFSET($H$3,0,0,'Données projet'!$E$17+1,1))</f>
        <v>#N/A</v>
      </c>
      <c r="GF78" s="120" t="e">
        <f aca="false">$GF$3</f>
        <v>#N/A</v>
      </c>
      <c r="GG78" s="121" t="n">
        <f aca="false">IF(ISNA(VLOOKUP(A78,'Données projet'!$A$243:$I$263,3,0)),0,VLOOKUP(A78,'Données projet'!$A$243:$I$263,3,0))</f>
        <v>0</v>
      </c>
      <c r="GH78" s="121" t="n">
        <f aca="false">IF(ISNA(VLOOKUP(A78,'Données projet'!$A$243:$I$263,4,0)),0,VLOOKUP(A78,'Données projet'!$A$243:$I$263,4,0))</f>
        <v>0</v>
      </c>
      <c r="GI78" s="122" t="n">
        <f aca="false">IF(ISNA(VLOOKUP(A78,'Données projet'!$A$243:$I$263,5,0)),0%,VLOOKUP(A78,'Données projet'!$A$243:$I$263,5,0)*VLOOKUP('Données projet'!$B$17,Paramètres!$A$1:$I$89,7,0))</f>
        <v>0</v>
      </c>
      <c r="GJ78" s="122" t="n">
        <f aca="false">IF(ISNA(VLOOKUP(A78,'Données projet'!$A$243:$I$263,6,0)),0%,VLOOKUP(A78,'Données projet'!$A$243:$I$263,6,0)*VLOOKUP('Données projet'!$B$17,Paramètres!$A$1:$I$89,7,0))</f>
        <v>0</v>
      </c>
      <c r="GK78" s="122" t="n">
        <f aca="false">IF(ISNA(VLOOKUP(A78,'Données projet'!$A$243:$I$263,7,0)),0%,VLOOKUP(A78,'Données projet'!$A$243:$I$263,7,0))</f>
        <v>0</v>
      </c>
      <c r="GL78" s="129" t="e">
        <f aca="false">EXP(-LN(2)/35)*GL77+(1-EXP(-LN(2)/35))/(LN(2)/35)*GH78*GI78*VLOOKUP('Données projet'!$B$17,Paramètres!$A$1:$I$89,3,0)*0.475*44/12</f>
        <v>#N/A</v>
      </c>
      <c r="GM78" s="129" t="e">
        <f aca="false">EXP(-LN(2)/25)*GM77+(1-EXP(-LN(2)/25))/(LN(2)/25)*Calculateur!GH78*Calculateur!GJ78*VLOOKUP('Données projet'!$B$17,Paramètres!$A$1:$I$89,3,0)*0.475*44/12</f>
        <v>#N/A</v>
      </c>
      <c r="GN78" s="129" t="e">
        <f aca="false">EXP(-LN(2)/2)*GN77+(1-EXP(-LN(2)/2))/(LN(2)/2)*GH78*GK78*VLOOKUP('Données projet'!$B$17,Paramètres!$A$1:$I$89,3,0)*0.475*44/12</f>
        <v>#N/A</v>
      </c>
      <c r="GO78" s="129" t="e">
        <f aca="false">SUM(GL78:GN78)</f>
        <v>#N/A</v>
      </c>
      <c r="GP78" s="126" t="n">
        <f aca="false"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8" t="n">
        <f aca="false"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8" t="e">
        <f aca="false">VLOOKUP(A78,'Données projet'!$A$269:$I$289,2,0)</f>
        <v>#N/A</v>
      </c>
      <c r="GS78" s="118" t="e">
        <f aca="false">VLOOKUP(A78,'Données projet'!$A$269:$I$289,9,0)</f>
        <v>#N/A</v>
      </c>
      <c r="GT78" s="118" t="n">
        <f aca="false" t="array" ref="GT78:GT78">INDEX(GS:GS,MIN(IF(ISNUMBER(GS78:GS274),ROW(GS78:GS274),"")))</f>
        <v>0</v>
      </c>
      <c r="GU78" s="118" t="n">
        <f aca="false">IF('Données projet'!$A$270&gt;35,GU77+GT78-HC77,IF(A78&lt;'Données projet'!$A$270,$GR$205^A78,IF(A78='Données projet'!$A$270,'Données projet'!$B$270,GU77+GT78-HC77)))</f>
        <v>0</v>
      </c>
      <c r="GV78" s="125" t="e">
        <f aca="false">GU78*VLOOKUP('Données projet'!$B$18,Paramètres!$A$1:$I$89,3,0)*VLOOKUP('Données projet'!$B$18,Paramètres!$A$1:$I$89,5,0)</f>
        <v>#N/A</v>
      </c>
      <c r="GW78" s="117" t="e">
        <f aca="false">EXP(-1.0587+0.8836*LN(GV78)+0.284)</f>
        <v>#N/A</v>
      </c>
      <c r="GX78" s="128" t="e">
        <f aca="false">(GV78+GW78)*0.475*44/12</f>
        <v>#N/A</v>
      </c>
      <c r="GY78" s="120" t="e">
        <f aca="false">GX78+(GP78+GQ78)*44/12</f>
        <v>#N/A</v>
      </c>
      <c r="GZ78" s="120" t="e">
        <f aca="true">AVERAGE(OFFSET($GY$3,0,0,'Données projet'!$E$18+1,1))-AVERAGE(OFFSET($H$3,0,0,'Données projet'!$E$18+1,1))</f>
        <v>#N/A</v>
      </c>
      <c r="HA78" s="120" t="e">
        <f aca="false">$HA$3</f>
        <v>#N/A</v>
      </c>
      <c r="HB78" s="121" t="n">
        <f aca="false">IF(ISNA(VLOOKUP(A78,'Données projet'!$A$269:$I$289,3,0)),0,VLOOKUP(A78,'Données projet'!$A$269:$I$289,3,0))</f>
        <v>0</v>
      </c>
      <c r="HC78" s="121" t="n">
        <f aca="false">IF(ISNA(VLOOKUP(A78,'Données projet'!$A$269:$I$289,4,0)),0,VLOOKUP(A78,'Données projet'!$A$269:$I$289,4,0))</f>
        <v>0</v>
      </c>
      <c r="HD78" s="122" t="n">
        <f aca="false">IF(ISNA(VLOOKUP(A78,'Données projet'!$A$269:$I$289,5,0)),0%,VLOOKUP(A78,'Données projet'!$A$269:$I$289,5,0)*VLOOKUP('Données projet'!$B$18,Paramètres!$A$1:$I$89,7,0))</f>
        <v>0</v>
      </c>
      <c r="HE78" s="122" t="n">
        <f aca="false">IF(ISNA(VLOOKUP(A78,'Données projet'!$A$269:$I$289,6,0)),0%,VLOOKUP(A78,'Données projet'!$A$269:$I$289,6,0)*VLOOKUP('Données projet'!$B$18,Paramètres!$A$1:$I$89,7,0))</f>
        <v>0</v>
      </c>
      <c r="HF78" s="122" t="n">
        <f aca="false">IF(ISNA(VLOOKUP(A78,'Données projet'!$A$269:$I$289,7,0)),0%,VLOOKUP(A78,'Données projet'!$A$269:$I$289,7,0))</f>
        <v>0</v>
      </c>
      <c r="HG78" s="129" t="e">
        <f aca="false">EXP(-LN(2)/35)*HG77+(1-EXP(-LN(2)/35))/(LN(2)/35)*HC78*HD78*VLOOKUP('Données projet'!$B$18,Paramètres!$A$1:$I$89,3,0)*0.475*44/12</f>
        <v>#N/A</v>
      </c>
      <c r="HH78" s="129" t="e">
        <f aca="false">EXP(-LN(2)/25)*HH77+(1-EXP(-LN(2)/25))/(LN(2)/25)*Calculateur!HC78*Calculateur!HE78*VLOOKUP('Données projet'!$B$18,Paramètres!$A$1:$I$89,3,0)*0.475*44/12</f>
        <v>#N/A</v>
      </c>
      <c r="HI78" s="129" t="e">
        <f aca="false">EXP(-LN(2)/2)*HI77+(1-EXP(-LN(2)/2))/(LN(2)/2)*HC78*HF78*VLOOKUP('Données projet'!$B$18,Paramètres!$A$1:$I$89,3,0)*0.475*44/12</f>
        <v>#N/A</v>
      </c>
      <c r="HJ78" s="130" t="e">
        <f aca="false">SUM(HG78:HI78)</f>
        <v>#N/A</v>
      </c>
    </row>
    <row r="79" customFormat="false" ht="14.25" hidden="false" customHeight="false" outlineLevel="0" collapsed="false">
      <c r="A79" s="112" t="n">
        <f aca="false">A78+1</f>
        <v>76</v>
      </c>
      <c r="B79" s="113" t="n">
        <f aca="false">'Scénario référence'!$B$16*5+'Scénario référence'!$B$17*0+'Scénario référence'!$B$18*5</f>
        <v>0</v>
      </c>
      <c r="C79" s="127" t="n">
        <f aca="false"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4" t="n">
        <f aca="false">IFERROR(EXP(-1.0587+0.8836*LN(C79)+0.284),0)</f>
        <v>0</v>
      </c>
      <c r="E7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79" s="114" t="n">
        <f aca="false">IF(OR('Scénario référence'!$F$8&gt;0,'Scénario référence'!$F$9&gt;0),('Scénario référence'!$F$8+'Scénario référence'!$F$9)*10,0)</f>
        <v>0</v>
      </c>
      <c r="G79" s="114" t="n">
        <f aca="false"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15" t="n">
        <f aca="false">(B79+E79+F79)*44/12+(C79+D79)*0.475*44/12</f>
        <v>256.666666666667</v>
      </c>
      <c r="I79" s="11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7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8" t="e">
        <f aca="false">VLOOKUP(A79,'Données projet'!$A$35:$I$55,2,0)</f>
        <v>#N/A</v>
      </c>
      <c r="L79" s="118" t="e">
        <f aca="false">VLOOKUP(A79,'Données projet'!$A$35:$I$55,9,0)</f>
        <v>#N/A</v>
      </c>
      <c r="M79" s="118" t="n">
        <f aca="false" t="array" ref="M79:M79">INDEX(L:L,MIN(IF(ISNUMBER(L79:L275),ROW(L79:L275),"")))</f>
        <v>17</v>
      </c>
      <c r="N79" s="117" t="n">
        <f aca="false">IF('Données projet'!$A$36&gt;35,N78+M79-V78,IF(A79&lt;'Données projet'!$A$36,$K$205^A79,IF(A79='Données projet'!$A$36,'Données projet'!$B$36,N78+M79-V78)))</f>
        <v>438.5</v>
      </c>
      <c r="O79" s="117" t="n">
        <f aca="false">N79*VLOOKUP('Données projet'!$B$9,Paramètres!$A$1:$I$89,3,0)*VLOOKUP('Données projet'!$B$9,Paramètres!$A$1:$I$89,5,0)</f>
        <v>205.218</v>
      </c>
      <c r="P79" s="117" t="n">
        <f aca="false">EXP(-1.0587+0.8836*LN(O79)+0.284)</f>
        <v>50.8892015869855</v>
      </c>
      <c r="Q79" s="128" t="n">
        <f aca="false">(O79+P79)*0.475*44/12</f>
        <v>446.053376097333</v>
      </c>
      <c r="R79" s="120" t="n">
        <f aca="false">Q79+(I79+J79)*44/12</f>
        <v>739.386709430666</v>
      </c>
      <c r="S79" s="120" t="n">
        <f aca="true">AVERAGE(OFFSET($R$3,0,0,'Données projet'!$E$9+1,1))-AVERAGE(OFFSET($H$3,0,0,'Données projet'!$E$9+1,1))</f>
        <v>319.229030946746</v>
      </c>
      <c r="T79" s="120" t="n">
        <f aca="false">$T$3</f>
        <v>254.586909731428</v>
      </c>
      <c r="U79" s="121" t="n">
        <f aca="false">IF(ISNA(VLOOKUP(A79,'Données projet'!$A$35:$I$55,3,0)),0,VLOOKUP(A79,'Données projet'!$A$35:$I$55,3,0))</f>
        <v>0</v>
      </c>
      <c r="V79" s="121" t="n">
        <f aca="false">IF(ISNA(VLOOKUP(A79,'Données projet'!$A$35:$I$55,4,0)),0,VLOOKUP(A79,'Données projet'!$A$35:$I$55,4,0))</f>
        <v>0</v>
      </c>
      <c r="W79" s="122" t="n">
        <f aca="false">IF(ISNA(VLOOKUP(A79,'Données projet'!$A$35:$I$55,5,0)),0%,VLOOKUP(A79,'Données projet'!$A$35:$I$55,5,0)*VLOOKUP('Données projet'!$B$9,Paramètres!$A$1:$I$89,7,0))</f>
        <v>0</v>
      </c>
      <c r="X79" s="122" t="n">
        <f aca="false">IF(ISNA(VLOOKUP(A79,'Données projet'!$A$35:$I$55,6,0)),0%,VLOOKUP(A79,'Données projet'!$A$35:$I$55,6,0)*VLOOKUP('Données projet'!$B$9,Paramètres!$A$1:$I$89,7,0))</f>
        <v>0</v>
      </c>
      <c r="Y79" s="122" t="n">
        <f aca="false">IF(ISNA(VLOOKUP(A79,'Données projet'!$A$35:$I$55,7,0)),0%,VLOOKUP(A79,'Données projet'!$A$35:$I$55,7,0))</f>
        <v>0</v>
      </c>
      <c r="Z79" s="129" t="n">
        <f aca="false">EXP(-LN(2)/35)*Z78+(1-EXP(-LN(2)/35))/(LN(2)/35)*V79*W79*VLOOKUP('Données projet'!$B$9,Paramètres!$A$1:$I$89,3,0)*0.475*44/12</f>
        <v>3.64974953426724</v>
      </c>
      <c r="AA79" s="129" t="n">
        <f aca="false">EXP(-LN(2)/25)*AA78+(1-EXP(-LN(2)/25))/(LN(2)/25)*Calculateur!V79*Calculateur!X79*VLOOKUP('Données projet'!$B$9,Paramètres!$A$1:$I$89,3,0)*0.475*44/12</f>
        <v>3.1148066626581</v>
      </c>
      <c r="AB79" s="129" t="n">
        <f aca="false">EXP(-LN(2)/2)*AB78+(1-EXP(-LN(2)/2))/(LN(2)/2)*V79*Y79*VLOOKUP('Données projet'!$B$9,Paramètres!$A$1:$I$89,3,0)*0.475*44/12</f>
        <v>1.31644352002125E-006</v>
      </c>
      <c r="AC79" s="130" t="n">
        <f aca="false">SUM(Z79:AB79)</f>
        <v>6.76455751336886</v>
      </c>
      <c r="AD79" s="117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7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8" t="e">
        <f aca="false">VLOOKUP(A79,'Données projet'!$A$61:$I$81,2,0)</f>
        <v>#N/A</v>
      </c>
      <c r="AG79" s="118" t="e">
        <f aca="false">VLOOKUP(A79,'Données projet'!$A$61:$I$81,9,0)</f>
        <v>#N/A</v>
      </c>
      <c r="AH79" s="118" t="n">
        <f aca="false" t="array" ref="AH79:AH79">INDEX(AG:AG,MIN(IF(ISNUMBER(AG79:AG275),ROW(AG79:AG275),"")))</f>
        <v>0</v>
      </c>
      <c r="AI79" s="117" t="n">
        <f aca="false">IF('Données projet'!$A$62&gt;35,AI78+AH79-AQ78,IF(A79&lt;'Données projet'!$A$62,$AF$205^A79,IF(A79='Données projet'!$A$62,'Données projet'!$B$62,AI78+AH79-AQ78)))</f>
        <v>1.13686837721616E-013</v>
      </c>
      <c r="AJ79" s="117" t="n">
        <f aca="false">AI79*VLOOKUP('Données projet'!$B$10,Paramètres!$A$1:$I$89,3,0)*VLOOKUP('Données projet'!$B$10,Paramètres!$A$1:$I$89,5,0)</f>
        <v>6.35509422863834E-014</v>
      </c>
      <c r="AK79" s="117" t="n">
        <f aca="false">EXP(-1.0587+0.8836*LN(AJ79)+0.284)</f>
        <v>1.0064464192544E-012</v>
      </c>
      <c r="AL79" s="128" t="n">
        <f aca="false">(AJ79+AK79)*0.475*44/12</f>
        <v>1.86357873801686E-012</v>
      </c>
      <c r="AM79" s="120" t="n">
        <f aca="false">AL79+(AD79+AE79)*44/12</f>
        <v>293.333333333335</v>
      </c>
      <c r="AN79" s="120" t="n">
        <f aca="true">AVERAGE(OFFSET($AM$3,0,0,'Données projet'!$E$10+1,1))-AVERAGE(OFFSET($H$3,0,0,'Données projet'!$E$10+1,1))</f>
        <v>365.705101827279</v>
      </c>
      <c r="AO79" s="120" t="n">
        <f aca="false">$AO$3</f>
        <v>436.238338449625</v>
      </c>
      <c r="AP79" s="121" t="n">
        <f aca="false">IF(ISNA(VLOOKUP(A79,'Données projet'!$A$61:$I$81,3,0)),0,VLOOKUP(A79,'Données projet'!$A$61:$I$81,3,0))</f>
        <v>0</v>
      </c>
      <c r="AQ79" s="121" t="n">
        <f aca="false">IF(ISNA(VLOOKUP(A79,'Données projet'!$A$61:$I$81,4,0)),0,VLOOKUP(A79,'Données projet'!$A$61:$I$81,4,0))</f>
        <v>0</v>
      </c>
      <c r="AR79" s="122" t="n">
        <f aca="false">IF(ISNA(VLOOKUP(A79,'Données projet'!$A$61:$I$81,5,0)),0%,VLOOKUP(A79,'Données projet'!$A$61:$I$81,5,0)*VLOOKUP('Données projet'!$B$10,Paramètres!$A$1:$I$89,7,0))</f>
        <v>0</v>
      </c>
      <c r="AS79" s="122" t="n">
        <f aca="false">IF(ISNA(VLOOKUP(A79,'Données projet'!$A$61:$I$81,6,0)),0%,VLOOKUP(A79,'Données projet'!$A$61:$I$81,6,0)*VLOOKUP('Données projet'!$B$10,Paramètres!$A$1:$I$89,7,0))</f>
        <v>0</v>
      </c>
      <c r="AT79" s="122" t="n">
        <f aca="false">IF(ISNA(VLOOKUP(A79,'Données projet'!$A$61:$I$81,7,0)),0%,VLOOKUP(A79,'Données projet'!$A$61:$I$81,7,0))</f>
        <v>0</v>
      </c>
      <c r="AU79" s="129" t="n">
        <f aca="false">EXP(-LN(2)/35)*AU78+(1-EXP(-LN(2)/35))/(LN(2)/35)*AQ79*AR79*VLOOKUP('Données projet'!$B$10,Paramètres!$A$1:$I$89,3,0)*0.475*44/12</f>
        <v>1.37766211916107</v>
      </c>
      <c r="AV79" s="129" t="n">
        <f aca="false">EXP(-LN(2)/25)*AV78+(1-EXP(-LN(2)/25))/(LN(2)/25)*Calculateur!AQ79*Calculateur!AS79*VLOOKUP('Données projet'!$B$10,Paramètres!$A$1:$I$89,3,0)*0.475*44/12</f>
        <v>3.68932007470566</v>
      </c>
      <c r="AW79" s="129" t="n">
        <f aca="false">EXP(-LN(2)/2)*AW78+(1-EXP(-LN(2)/2))/(LN(2)/2)*AQ79*AT79*VLOOKUP('Données projet'!$B$10,Paramètres!$A$1:$I$89,3,0)*0.475*44/12</f>
        <v>7.08468757352327E-007</v>
      </c>
      <c r="AX79" s="129" t="n">
        <f aca="false">SUM(AU79:AW79)</f>
        <v>5.06698290233548</v>
      </c>
      <c r="AY79" s="124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8" t="e">
        <f aca="false">VLOOKUP(A79,'Données projet'!$A$87:$I$107,2,0)</f>
        <v>#N/A</v>
      </c>
      <c r="BB79" s="118" t="e">
        <f aca="false">VLOOKUP(A79,'Données projet'!$A$87:$I$107,9,0)</f>
        <v>#N/A</v>
      </c>
      <c r="BC79" s="118" t="n">
        <f aca="false" t="array" ref="BC79:BC79">INDEX(BB:BB,MIN(IF(ISNUMBER(BB79:BB275),ROW(BB79:BB275),"")))</f>
        <v>0</v>
      </c>
      <c r="BD79" s="118" t="n">
        <f aca="false">IF('Données projet'!$A$88&gt;35,BD78+BC79-BL78,IF(A79&lt;'Données projet'!$A$88,$BA$205^A79,IF(A79='Données projet'!$A$88,'Données projet'!$B$88,BD78+BC79-BL78)))</f>
        <v>1.98951966012828E-013</v>
      </c>
      <c r="BE79" s="117" t="n">
        <f aca="false">BD79*VLOOKUP('Données projet'!$B$11,Paramètres!$A$1:$I$89,3,0)*VLOOKUP('Données projet'!$B$11,Paramètres!$A$1:$I$89,5,0)</f>
        <v>1.73804437508807E-013</v>
      </c>
      <c r="BF79" s="117" t="n">
        <f aca="false">EXP(-1.0587+0.8836*LN(BE79)+0.284)</f>
        <v>2.44832936339505E-012</v>
      </c>
      <c r="BG79" s="128" t="n">
        <f aca="false">(BE79+BF79)*0.475*44/12</f>
        <v>4.56688303657421E-012</v>
      </c>
      <c r="BH79" s="120" t="n">
        <f aca="false">BG79+(AY79+AZ79)*44/12</f>
        <v>293.333333333338</v>
      </c>
      <c r="BI79" s="120" t="n">
        <f aca="true">AVERAGE(OFFSET($BH$3,0,0,'Données projet'!$E$11+1,1))-AVERAGE(OFFSET($H$3,0,0,'Données projet'!$E$11+1,1))</f>
        <v>321.235999689929</v>
      </c>
      <c r="BJ79" s="120" t="n">
        <f aca="false">$BJ$3</f>
        <v>388.051958478005</v>
      </c>
      <c r="BK79" s="121" t="n">
        <f aca="false">IF(ISNA(VLOOKUP(A79,'Données projet'!$A$87:$I$107,3,0)),0,VLOOKUP(A79,'Données projet'!$A$87:$I$107,3,0))</f>
        <v>0</v>
      </c>
      <c r="BL79" s="121" t="n">
        <f aca="false">IF(ISNA(VLOOKUP(A79,'Données projet'!$A$87:$I$107,4,0)),0,VLOOKUP(A79,'Données projet'!$A$87:$I$107,4,0))</f>
        <v>0</v>
      </c>
      <c r="BM79" s="122" t="n">
        <f aca="false">IF(ISNA(VLOOKUP(A79,'Données projet'!$A$87:$I$107,5,0)),0%,VLOOKUP(A79,'Données projet'!$A$87:$I$107,5,0)*VLOOKUP('Données projet'!$B$11,Paramètres!$A$1:$I$89,7,0))</f>
        <v>0</v>
      </c>
      <c r="BN79" s="122" t="n">
        <f aca="false">IF(ISNA(VLOOKUP(A79,'Données projet'!$A$87:$I$107,6,0)),0%,VLOOKUP(A79,'Données projet'!$A$87:$I$107,6,0)*VLOOKUP('Données projet'!$B$11,Paramètres!$A$1:$I$89,7,0))</f>
        <v>0</v>
      </c>
      <c r="BO79" s="122" t="n">
        <f aca="false">IF(ISNA(VLOOKUP(A79,'Données projet'!$A$87:$I$107,7,0)),0%,VLOOKUP(A79,'Données projet'!$A$87:$I$107,7,0))</f>
        <v>0</v>
      </c>
      <c r="BP79" s="129" t="n">
        <f aca="false">EXP(-LN(2)/35)*BP78+(1-EXP(-LN(2)/35))/(LN(2)/35)*BL79*BM79*VLOOKUP('Données projet'!$B$11,Paramètres!$A$1:$I$89,3,0)*0.475*44/12</f>
        <v>3.45878793213956</v>
      </c>
      <c r="BQ79" s="129" t="n">
        <f aca="false">EXP(-LN(2)/25)*BQ78+(1-EXP(-LN(2)/25))/(LN(2)/25)*Calculateur!BL79*Calculateur!BN79*VLOOKUP('Données projet'!$B$11,Paramètres!$A$1:$I$89,3,0)*0.475*44/12</f>
        <v>3.76583880019539</v>
      </c>
      <c r="BR79" s="129" t="n">
        <f aca="false">EXP(-LN(2)/2)*BR78+(1-EXP(-LN(2)/2))/(LN(2)/2)*BL79*BO79*VLOOKUP('Données projet'!$B$11,Paramètres!$A$1:$I$89,3,0)*0.475*44/12</f>
        <v>7.20143766080706E-007</v>
      </c>
      <c r="BS79" s="130" t="n">
        <f aca="false">SUM(BP79:BR79)</f>
        <v>7.22462745247871</v>
      </c>
      <c r="BT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8" t="e">
        <f aca="false">VLOOKUP(A79,'Données projet'!$A$113:$I$133,2,0)</f>
        <v>#N/A</v>
      </c>
      <c r="BW79" s="118" t="e">
        <f aca="false">VLOOKUP(A79,'Données projet'!$A$113:$I$133,9,0)</f>
        <v>#N/A</v>
      </c>
      <c r="BX79" s="118" t="n">
        <f aca="false" t="array" ref="BX79:BX79">INDEX(BW:BW,MIN(IF(ISNUMBER(BW79:BW275),ROW(BW79:BW275),"")))</f>
        <v>0</v>
      </c>
      <c r="BY79" s="118" t="n">
        <f aca="false">IF('Données projet'!$A$114&gt;35,BY78+BX79-CG78,IF(A79&lt;'Données projet'!$A$114,$BV$205^A79,IF(A79='Données projet'!$A$114,'Données projet'!$B$114,BY78+BX79-CG78)))</f>
        <v>0</v>
      </c>
      <c r="BZ79" s="117" t="n">
        <f aca="false">BY79*VLOOKUP('Données projet'!$B$12,Paramètres!$A$1:$I$89,3,0)*VLOOKUP('Données projet'!$B$12,Paramètres!$A$1:$I$89,5,0)</f>
        <v>0</v>
      </c>
      <c r="CA79" s="117" t="e">
        <f aca="false">EXP(-1.0587+0.8836*LN(BZ79)+0.284)</f>
        <v>#VALUE!</v>
      </c>
      <c r="CB79" s="128" t="e">
        <f aca="false">(BZ79+CA79)*0.475*44/12</f>
        <v>#VALUE!</v>
      </c>
      <c r="CC79" s="120" t="e">
        <f aca="false">CB79+(BT79+BU79)*44/12</f>
        <v>#VALUE!</v>
      </c>
      <c r="CD79" s="120" t="n">
        <f aca="true">AVERAGE(OFFSET($CC$3,0,0,'Données projet'!$E$12+1,1))-AVERAGE(OFFSET($H$3,0,0,'Données projet'!$E$12+1,1))</f>
        <v>240.228848647662</v>
      </c>
      <c r="CE79" s="120" t="n">
        <f aca="false">$CE$3</f>
        <v>343.237768841432</v>
      </c>
      <c r="CF79" s="121" t="n">
        <f aca="false">IF(ISNA(VLOOKUP(A79,'Données projet'!$A$113:$I$133,3,0)),0,VLOOKUP(A79,'Données projet'!$A$113:$I$133,3,0))</f>
        <v>0</v>
      </c>
      <c r="CG79" s="121" t="n">
        <f aca="false">IF(ISNA(VLOOKUP(A79,'Données projet'!$A$113:$I$133,4,0)),0,VLOOKUP(A79,'Données projet'!$A$113:$I$133,4,0))</f>
        <v>0</v>
      </c>
      <c r="CH79" s="122" t="n">
        <f aca="false">IF(ISNA(VLOOKUP(A79,'Données projet'!$A$113:$I$133,5,0)),0%,VLOOKUP(A79,'Données projet'!$A$113:$I$133,5,0)*VLOOKUP('Données projet'!$B$12,Paramètres!$A$1:$I$89,7,0))</f>
        <v>0</v>
      </c>
      <c r="CI79" s="122" t="n">
        <f aca="false">IF(ISNA(VLOOKUP(A79,'Données projet'!$A$113:$I$133,6,0)),0%,VLOOKUP(A79,'Données projet'!$A$113:$I$133,6,0)*VLOOKUP('Données projet'!$B$12,Paramètres!$A$1:$I$89,7,0))</f>
        <v>0</v>
      </c>
      <c r="CJ79" s="122" t="n">
        <f aca="false">IF(ISNA(VLOOKUP(A79,'Données projet'!$A$113:$I$133,7,0)),0%,VLOOKUP(A79,'Données projet'!$A$113:$I$133,7,0))</f>
        <v>0</v>
      </c>
      <c r="CK79" s="129" t="n">
        <f aca="false">EXP(-LN(2)/35)*CK78+(1-EXP(-LN(2)/35))/(LN(2)/35)*CG79*CH79*VLOOKUP('Données projet'!$B$12,Paramètres!$A$1:$I$89,3,0)*0.475*44/12</f>
        <v>2.11704767813093</v>
      </c>
      <c r="CL79" s="129" t="n">
        <f aca="false">EXP(-LN(2)/25)*CL78+(1-EXP(-LN(2)/25))/(LN(2)/25)*Calculateur!CG79*Calculateur!CI79*VLOOKUP('Données projet'!$B$12,Paramètres!$A$1:$I$89,3,0)*0.475*44/12</f>
        <v>6.65068932512646</v>
      </c>
      <c r="CM79" s="129" t="n">
        <f aca="false">EXP(-LN(2)/2)*CM78+(1-EXP(-LN(2)/2))/(LN(2)/2)*CG79*CJ79*VLOOKUP('Données projet'!$B$12,Paramètres!$A$1:$I$89,3,0)*0.475*44/12</f>
        <v>1.14915746044681E-006</v>
      </c>
      <c r="CN79" s="130" t="n">
        <f aca="false">SUM(CK79:CM79)</f>
        <v>8.76773815241485</v>
      </c>
      <c r="CO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8" t="e">
        <f aca="false">VLOOKUP(A79,'Données projet'!$A$139:$I$159,2,0)</f>
        <v>#N/A</v>
      </c>
      <c r="CR79" s="118" t="e">
        <f aca="false">VLOOKUP(A79,'Données projet'!$A$139:$I$159,9,0)</f>
        <v>#N/A</v>
      </c>
      <c r="CS79" s="118" t="n">
        <f aca="false" t="array" ref="CS79:CS79">INDEX(CR:CR,MIN(IF(ISNUMBER(CR79:CR275),ROW(CR79:CR275),"")))</f>
        <v>0</v>
      </c>
      <c r="CT79" s="118" t="n">
        <f aca="false">IF('Données projet'!$A$140&gt;35,CT78+CS79-DB78,IF(A79&lt;'Données projet'!$A$140,$CQ$205^A79,IF(A79='Données projet'!$A$140,'Données projet'!$B$140,CT78+CS79-DB78)))</f>
        <v>-5.6843418860808E-014</v>
      </c>
      <c r="CU79" s="125" t="n">
        <f aca="false">CT79*VLOOKUP('Données projet'!$B$13,Paramètres!$A$1:$I$89,3,0)*VLOOKUP('Données projet'!$B$13,Paramètres!$A$1:$I$89,5,0)</f>
        <v>-3.10365066980012E-014</v>
      </c>
      <c r="CV79" s="117" t="e">
        <f aca="false">EXP(-1.0587+0.8836*LN(CU79)+0.284)</f>
        <v>#VALUE!</v>
      </c>
      <c r="CW79" s="128" t="e">
        <f aca="false">(CU79+CV79)*0.475*44/12</f>
        <v>#VALUE!</v>
      </c>
      <c r="CX79" s="120" t="e">
        <f aca="false">CW79+(CO79+CP79)*44/12</f>
        <v>#VALUE!</v>
      </c>
      <c r="CY79" s="120" t="n">
        <f aca="true">AVERAGE(OFFSET($CX$3,0,0,'Données projet'!$E$13+1,1))-AVERAGE(OFFSET($H$3,0,0,'Données projet'!$E$13+1,1))</f>
        <v>207.023069645676</v>
      </c>
      <c r="CZ79" s="120" t="n">
        <f aca="false">$CZ$3</f>
        <v>342.068879333518</v>
      </c>
      <c r="DA79" s="121" t="n">
        <f aca="false">IF(ISNA(VLOOKUP(A79,'Données projet'!$A$139:$I$159,3,0)),0,VLOOKUP(A79,'Données projet'!$A$139:$I$159,3,0))</f>
        <v>0</v>
      </c>
      <c r="DB79" s="121" t="n">
        <f aca="false">IF(ISNA(VLOOKUP(A79,'Données projet'!$A$139:$I$159,4,0)),0,VLOOKUP(A79,'Données projet'!$A$139:$I$159,4,0))</f>
        <v>0</v>
      </c>
      <c r="DC79" s="122" t="n">
        <f aca="false">IF(ISNA(VLOOKUP(A79,'Données projet'!$A$139:$I$159,5,0)),0%,VLOOKUP(A79,'Données projet'!$A$139:$I$159,5,0)*VLOOKUP('Données projet'!$B$13,Paramètres!$A$1:$I$89,7,0))</f>
        <v>0</v>
      </c>
      <c r="DD79" s="122" t="n">
        <f aca="false">IF(ISNA(VLOOKUP(A79,'Données projet'!$A$139:$I$159,6,0)),0%,VLOOKUP(A79,'Données projet'!$A$139:$I$159,6,0)*VLOOKUP('Données projet'!$B$13,Paramètres!$A$1:$I$89,7,0))</f>
        <v>0</v>
      </c>
      <c r="DE79" s="122" t="n">
        <f aca="false">IF(ISNA(VLOOKUP(A79,'Données projet'!$A$139:$I$159,7,0)),0%,VLOOKUP(A79,'Données projet'!$A$139:$I$159,7,0))</f>
        <v>0</v>
      </c>
      <c r="DF79" s="129" t="n">
        <f aca="false">EXP(-LN(2)/35)*DF78+(1-EXP(-LN(2)/35))/(LN(2)/35)*DB79*DC79*VLOOKUP('Données projet'!$B$13,Paramètres!$A$1:$I$89,3,0)*0.475*44/12</f>
        <v>2.65629567161711</v>
      </c>
      <c r="DG79" s="129" t="n">
        <f aca="false">EXP(-LN(2)/25)*DG78+(1-EXP(-LN(2)/25))/(LN(2)/25)*Calculateur!DB79*Calculateur!DD79*VLOOKUP('Données projet'!$B$13,Paramètres!$A$1:$I$89,3,0)*0.475*44/12</f>
        <v>10.8711071087892</v>
      </c>
      <c r="DH79" s="129" t="n">
        <f aca="false">EXP(-LN(2)/2)*DH78+(1-EXP(-LN(2)/2))/(LN(2)/2)*DB79*DE79*VLOOKUP('Données projet'!$B$13,Paramètres!$A$1:$I$89,3,0)*0.475*44/12</f>
        <v>1.5823903558136E-006</v>
      </c>
      <c r="DI79" s="130" t="n">
        <f aca="false">SUM(DF79:DH79)</f>
        <v>13.5274043627966</v>
      </c>
      <c r="DJ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8" t="e">
        <f aca="false">VLOOKUP(A79,'Données projet'!$A$165:$I$185,2,0)</f>
        <v>#N/A</v>
      </c>
      <c r="DM79" s="118" t="e">
        <f aca="false">VLOOKUP(A79,'Données projet'!$A$165:$I$185,9,0)</f>
        <v>#N/A</v>
      </c>
      <c r="DN79" s="118" t="n">
        <f aca="false" t="array" ref="DN79:DN79">INDEX(DM:DM,MIN(IF(ISNUMBER(DM79:DM275),ROW(DM79:DM275),"")))</f>
        <v>0</v>
      </c>
      <c r="DO79" s="118" t="n">
        <f aca="false">IF('Données projet'!$A$166&gt;35,DO78+DN79-DW78,IF(A79&lt;'Données projet'!$A$166,$DL$205^A79,IF(A79='Données projet'!$A$166,'Données projet'!$B$166,DO78+DN79-DW78)))</f>
        <v>0</v>
      </c>
      <c r="DP79" s="125" t="n">
        <f aca="false">DO79*VLOOKUP('Données projet'!$B$14,Paramètres!$A$1:$I$89,3,0)*VLOOKUP('Données projet'!$B$14,Paramètres!$A$1:$I$89,5,0)</f>
        <v>0</v>
      </c>
      <c r="DQ79" s="117" t="e">
        <f aca="false">EXP(-1.0587+0.8836*LN(DP79)+0.284)</f>
        <v>#VALUE!</v>
      </c>
      <c r="DR79" s="128" t="e">
        <f aca="false">(DP79+DQ79)*0.475*44/12</f>
        <v>#VALUE!</v>
      </c>
      <c r="DS79" s="120" t="e">
        <f aca="false">DR79+(DJ79+DK79)*44/12</f>
        <v>#VALUE!</v>
      </c>
      <c r="DT79" s="120" t="n">
        <f aca="true">AVERAGE(OFFSET($DS$3,0,0,'Données projet'!$E$14+1,1))-AVERAGE(OFFSET($H$3,0,0,'Données projet'!$E$14+1,1))</f>
        <v>549.432320957297</v>
      </c>
      <c r="DU79" s="120" t="n">
        <f aca="false">$DU$3</f>
        <v>280.26155987301</v>
      </c>
      <c r="DV79" s="121" t="n">
        <f aca="false">IF(ISNA(VLOOKUP(A79,'Données projet'!$A$165:$I$185,3,0)),0,VLOOKUP(A79,'Données projet'!$A$165:$I$185,3,0))</f>
        <v>0</v>
      </c>
      <c r="DW79" s="121" t="n">
        <f aca="false">IF(ISNA(VLOOKUP(A79,'Données projet'!$A$165:$I$185,4,0)),0,VLOOKUP(A79,'Données projet'!$A$165:$I$185,4,0))</f>
        <v>0</v>
      </c>
      <c r="DX79" s="122" t="n">
        <f aca="false">IF(ISNA(VLOOKUP(A79,'Données projet'!$A$165:$I$185,5,0)),0%,VLOOKUP(A79,'Données projet'!$A$165:$I$185,5,0)*VLOOKUP('Données projet'!$B$14,Paramètres!$A$1:$I$89,7,0))</f>
        <v>0</v>
      </c>
      <c r="DY79" s="122" t="n">
        <f aca="false">IF(ISNA(VLOOKUP(A79,'Données projet'!$A$165:$I$185,6,0)),0%,VLOOKUP(A79,'Données projet'!$A$165:$I$185,6,0)*VLOOKUP('Données projet'!$B$14,Paramètres!$A$1:$I$89,7,0))</f>
        <v>0</v>
      </c>
      <c r="DZ79" s="122" t="n">
        <f aca="false">IF(ISNA(VLOOKUP(A79,'Données projet'!$A$165:$I$185,7,0)),0%,VLOOKUP(A79,'Données projet'!$A$165:$I$185,7,0))</f>
        <v>0</v>
      </c>
      <c r="EA79" s="129" t="n">
        <f aca="false">EXP(-LN(2)/35)*EA78+(1-EXP(-LN(2)/35))/(LN(2)/35)*DW79*DX79*VLOOKUP('Données projet'!$B$14,Paramètres!$A$1:$I$89,3,0)*0.475*44/12</f>
        <v>0.965826144313915</v>
      </c>
      <c r="EB79" s="129" t="n">
        <f aca="false">EXP(-LN(2)/25)*EB78+(1-EXP(-LN(2)/25))/(LN(2)/25)*Calculateur!DW79*Calculateur!DY79*VLOOKUP('Données projet'!$B$14,Paramètres!$A$1:$I$89,3,0)*0.475*44/12</f>
        <v>2.16573901924424</v>
      </c>
      <c r="EC79" s="129" t="n">
        <f aca="false">EXP(-LN(2)/2)*EC78+(1-EXP(-LN(2)/2))/(LN(2)/2)*DW79*DZ79*VLOOKUP('Données projet'!$B$14,Paramètres!$A$1:$I$89,3,0)*0.475*44/12</f>
        <v>7.29449335880217E-007</v>
      </c>
      <c r="ED79" s="130" t="n">
        <f aca="false">SUM(EA79:EC79)</f>
        <v>3.13156589300749</v>
      </c>
      <c r="EE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8" t="e">
        <f aca="false">VLOOKUP(A79,'Données projet'!$A$191:$I$211,2,0)</f>
        <v>#N/A</v>
      </c>
      <c r="EH79" s="118" t="e">
        <f aca="false">VLOOKUP(A79,'Données projet'!$A$191:$I$211,9,0)</f>
        <v>#N/A</v>
      </c>
      <c r="EI79" s="118" t="n">
        <f aca="false" t="array" ref="EI79:EI79">INDEX(EH:EH,MIN(IF(ISNUMBER(EH79:EH275),ROW(EH79:EH275),"")))</f>
        <v>0</v>
      </c>
      <c r="EJ79" s="118" t="n">
        <f aca="false">IF('Données projet'!$A$192&gt;35,EJ78+EI79-ER78,IF(A79&lt;'Données projet'!$A$192,$EG$205^A79,IF(A79='Données projet'!$A$192,'Données projet'!$B$192,EJ78+EI79-ER78)))</f>
        <v>0</v>
      </c>
      <c r="EK79" s="125" t="e">
        <f aca="false">EJ79*VLOOKUP('Données projet'!$B$15,Paramètres!$A$1:$I$89,3,0)*VLOOKUP('Données projet'!$B$15,Paramètres!$A$1:$I$89,5,0)</f>
        <v>#N/A</v>
      </c>
      <c r="EL79" s="117" t="e">
        <f aca="false">EXP(-1.0587+0.8836*LN(EK79)+0.284)</f>
        <v>#N/A</v>
      </c>
      <c r="EM79" s="128" t="e">
        <f aca="false">(EK79+EL79)*0.475*44/12</f>
        <v>#N/A</v>
      </c>
      <c r="EN79" s="120" t="e">
        <f aca="false">EM79+(EE79+EF79)*44/12</f>
        <v>#N/A</v>
      </c>
      <c r="EO79" s="120" t="e">
        <f aca="true">AVERAGE(OFFSET($EN$3,0,0,'Données projet'!$E$15+1,1))-AVERAGE(OFFSET($H$3,0,0,'Données projet'!$E$15+1,1))</f>
        <v>#N/A</v>
      </c>
      <c r="EP79" s="120" t="e">
        <f aca="false">$EP$3</f>
        <v>#N/A</v>
      </c>
      <c r="EQ79" s="121" t="n">
        <f aca="false">IF(ISNA(VLOOKUP(A79,'Données projet'!$A$191:$I$211,3,0)),0,VLOOKUP(A79,'Données projet'!$A$191:$I$211,3,0))</f>
        <v>0</v>
      </c>
      <c r="ER79" s="121" t="n">
        <f aca="false">IF(ISNA(VLOOKUP(A79,'Données projet'!$A$191:$I$211,4,0)),0,VLOOKUP(A79,'Données projet'!$A$191:$I$211,4,0))</f>
        <v>0</v>
      </c>
      <c r="ES79" s="122" t="n">
        <f aca="false">IF(ISNA(VLOOKUP(A79,'Données projet'!$A$191:$I$211,5,0)),0%,VLOOKUP(A79,'Données projet'!$A$191:$I$211,5,0)*VLOOKUP('Données projet'!$B$15,Paramètres!$A$1:$I$89,7,0))</f>
        <v>0</v>
      </c>
      <c r="ET79" s="122" t="n">
        <f aca="false">IF(ISNA(VLOOKUP(A79,'Données projet'!$A$191:$I$211,6,0)),0%,VLOOKUP(A79,'Données projet'!$A$191:$I$211,6,0)*VLOOKUP('Données projet'!$B$15,Paramètres!$A$1:$I$89,7,0))</f>
        <v>0</v>
      </c>
      <c r="EU79" s="122" t="n">
        <f aca="false">IF(ISNA(VLOOKUP(A79,'Données projet'!$A$191:$I$211,7,0)),0%,VLOOKUP(A79,'Données projet'!$A$191:$I$211,7,0))</f>
        <v>0</v>
      </c>
      <c r="EV79" s="129" t="e">
        <f aca="false">EXP(-LN(2)/35)*EV78+(1-EXP(-LN(2)/35))/(LN(2)/35)*ER79*ES79*VLOOKUP('Données projet'!$B$15,Paramètres!$A$1:$I$89,3,0)*0.475*44/12</f>
        <v>#N/A</v>
      </c>
      <c r="EW79" s="129" t="e">
        <f aca="false">EXP(-LN(2)/25)*EW78+(1-EXP(-LN(2)/25))/(LN(2)/25)*Calculateur!ER79*Calculateur!ET79*VLOOKUP('Données projet'!$B$15,Paramètres!$A$1:$I$89,3,0)*0.475*44/12</f>
        <v>#N/A</v>
      </c>
      <c r="EX79" s="129" t="e">
        <f aca="false">EXP(-LN(2)/2)*EX78+(1-EXP(-LN(2)/2))/(LN(2)/2)*ER79*EU79*VLOOKUP('Données projet'!$B$15,Paramètres!$A$1:$I$89,3,0)*0.475*44/12</f>
        <v>#N/A</v>
      </c>
      <c r="EY79" s="130" t="e">
        <f aca="false">SUM(EV79:EX79)</f>
        <v>#N/A</v>
      </c>
      <c r="EZ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8" t="e">
        <f aca="false">VLOOKUP(A79,'Données projet'!$A$217:$I$237,2,0)</f>
        <v>#N/A</v>
      </c>
      <c r="FC79" s="118" t="e">
        <f aca="false">VLOOKUP(A79,'Données projet'!$A$217:$I$237,9,0)</f>
        <v>#N/A</v>
      </c>
      <c r="FD79" s="118" t="n">
        <f aca="false" t="array" ref="FD79:FD79">INDEX(FC:FC,MIN(IF(ISNUMBER(FC79:FC275),ROW(FC79:FC275),"")))</f>
        <v>0</v>
      </c>
      <c r="FE79" s="118" t="n">
        <f aca="false">IF('Données projet'!$A$218&gt;35,FE78+FD79-FM78,IF(A79&lt;'Données projet'!$A$218,$FB$205^A79,IF(A79='Données projet'!$A$218,'Données projet'!$B$218,FE78+FD79-FM78)))</f>
        <v>0</v>
      </c>
      <c r="FF79" s="125" t="e">
        <f aca="false">FE79*VLOOKUP('Données projet'!$B$16,Paramètres!$A$1:$I$89,3,0)*VLOOKUP('Données projet'!$B$16,Paramètres!$A$1:$I$89,5,0)</f>
        <v>#N/A</v>
      </c>
      <c r="FG79" s="117" t="e">
        <f aca="false">EXP(-1.0587+0.8836*LN(FF79)+0.284)</f>
        <v>#N/A</v>
      </c>
      <c r="FH79" s="128" t="e">
        <f aca="false">(FF79+FG79)*0.475*44/12</f>
        <v>#N/A</v>
      </c>
      <c r="FI79" s="120" t="e">
        <f aca="false">FH79+(EZ79+FA79)*44/12</f>
        <v>#N/A</v>
      </c>
      <c r="FJ79" s="120" t="e">
        <f aca="true">AVERAGE(OFFSET($FI$3,0,0,'Données projet'!$E$16+1,1))-AVERAGE(OFFSET($H$3,0,0,'Données projet'!$E$16+1,1))</f>
        <v>#N/A</v>
      </c>
      <c r="FK79" s="120" t="e">
        <f aca="false">$FK$3</f>
        <v>#N/A</v>
      </c>
      <c r="FL79" s="121" t="n">
        <f aca="false">IF(ISNA(VLOOKUP(A79,'Données projet'!$A$217:$I$237,3,0)),0,VLOOKUP(A79,'Données projet'!$A$217:$I$237,3,0))</f>
        <v>0</v>
      </c>
      <c r="FM79" s="121" t="n">
        <f aca="false">IF(ISNA(VLOOKUP(A79,'Données projet'!$A$217:$I$237,4,0)),0,VLOOKUP(A79,'Données projet'!$A$217:$I$237,4,0))</f>
        <v>0</v>
      </c>
      <c r="FN79" s="122" t="n">
        <f aca="false">IF(ISNA(VLOOKUP(A79,'Données projet'!$A$217:$I$237,5,0)),0%,VLOOKUP(A79,'Données projet'!$A$217:$I$237,5,0)*VLOOKUP('Données projet'!$B$16,Paramètres!$A$1:$I$89,7,0))</f>
        <v>0</v>
      </c>
      <c r="FO79" s="122" t="n">
        <f aca="false">IF(ISNA(VLOOKUP(A79,'Données projet'!$A$217:$I$237,6,0)),0%,VLOOKUP(A79,'Données projet'!$A$217:$I$237,6,0)*VLOOKUP('Données projet'!$B$16,Paramètres!$A$1:$I$89,7,0))</f>
        <v>0</v>
      </c>
      <c r="FP79" s="122" t="n">
        <f aca="false">IF(ISNA(VLOOKUP(A79,'Données projet'!$A$217:$I$237,7,0)),0%,VLOOKUP(A79,'Données projet'!$A$217:$I$237,7,0))</f>
        <v>0</v>
      </c>
      <c r="FQ79" s="129" t="e">
        <f aca="false">EXP(-LN(2)/35)*FQ78+(1-EXP(-LN(2)/35))/(LN(2)/35)*FM79*FN79*VLOOKUP('Données projet'!$B$16,Paramètres!$A$1:$I$89,3,0)*0.475*44/12</f>
        <v>#N/A</v>
      </c>
      <c r="FR79" s="129" t="e">
        <f aca="false">EXP(-LN(2)/25)*FR78+(1-EXP(-LN(2)/25))/(LN(2)/25)*Calculateur!FM79*Calculateur!FO79*VLOOKUP('Données projet'!$B$16,Paramètres!$A$1:$I$89,3,0)*0.475*44/12</f>
        <v>#N/A</v>
      </c>
      <c r="FS79" s="129" t="e">
        <f aca="false">EXP(-LN(2)/2)*FS78+(1-EXP(-LN(2)/2))/(LN(2)/2)*FM79*FP79*VLOOKUP('Données projet'!$B$16,Paramètres!$A$1:$I$89,3,0)*0.475*44/12</f>
        <v>#N/A</v>
      </c>
      <c r="FT79" s="130" t="e">
        <f aca="false">SUM(FQ79:FS79)</f>
        <v>#N/A</v>
      </c>
      <c r="FU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8" t="e">
        <f aca="false">VLOOKUP(A79,'Données projet'!$A$243:$I$263,2,0)</f>
        <v>#N/A</v>
      </c>
      <c r="FX79" s="118" t="e">
        <f aca="false">VLOOKUP(A79,'Données projet'!$A$243:$I$263,9,0)</f>
        <v>#N/A</v>
      </c>
      <c r="FY79" s="118" t="n">
        <f aca="false" t="array" ref="FY79:FY79">INDEX(FX:FX,MIN(IF(ISNUMBER(FX79:FX275),ROW(FX79:FX275),"")))</f>
        <v>0</v>
      </c>
      <c r="FZ79" s="118" t="n">
        <f aca="false">IF('Données projet'!$A$244&gt;35,FZ78+FY79-GH78,IF(A79&lt;'Données projet'!$A$244,$FW$205^A79,IF(A79='Données projet'!$A$244,'Données projet'!$B$244,FZ78+FY79-GH78)))</f>
        <v>0</v>
      </c>
      <c r="GA79" s="125" t="e">
        <f aca="false">FZ79*VLOOKUP('Données projet'!$B$17,Paramètres!$A$1:$I$89,3,0)*VLOOKUP('Données projet'!$B$17,Paramètres!$A$1:$I$89,5,0)</f>
        <v>#N/A</v>
      </c>
      <c r="GB79" s="117" t="e">
        <f aca="false">EXP(-1.0587+0.8836*LN(GA79)+0.284)</f>
        <v>#N/A</v>
      </c>
      <c r="GC79" s="128" t="e">
        <f aca="false">(GA79+GB79)*0.475*44/12</f>
        <v>#N/A</v>
      </c>
      <c r="GD79" s="120" t="e">
        <f aca="false">GC79+(FU79+FV79)*44/12</f>
        <v>#N/A</v>
      </c>
      <c r="GE79" s="120" t="e">
        <f aca="true">AVERAGE(OFFSET($GD$3,0,0,'Données projet'!$E$17+1,1))-AVERAGE(OFFSET($H$3,0,0,'Données projet'!$E$17+1,1))</f>
        <v>#N/A</v>
      </c>
      <c r="GF79" s="120" t="e">
        <f aca="false">$GF$3</f>
        <v>#N/A</v>
      </c>
      <c r="GG79" s="121" t="n">
        <f aca="false">IF(ISNA(VLOOKUP(A79,'Données projet'!$A$243:$I$263,3,0)),0,VLOOKUP(A79,'Données projet'!$A$243:$I$263,3,0))</f>
        <v>0</v>
      </c>
      <c r="GH79" s="121" t="n">
        <f aca="false">IF(ISNA(VLOOKUP(A79,'Données projet'!$A$243:$I$263,4,0)),0,VLOOKUP(A79,'Données projet'!$A$243:$I$263,4,0))</f>
        <v>0</v>
      </c>
      <c r="GI79" s="122" t="n">
        <f aca="false">IF(ISNA(VLOOKUP(A79,'Données projet'!$A$243:$I$263,5,0)),0%,VLOOKUP(A79,'Données projet'!$A$243:$I$263,5,0)*VLOOKUP('Données projet'!$B$17,Paramètres!$A$1:$I$89,7,0))</f>
        <v>0</v>
      </c>
      <c r="GJ79" s="122" t="n">
        <f aca="false">IF(ISNA(VLOOKUP(A79,'Données projet'!$A$243:$I$263,6,0)),0%,VLOOKUP(A79,'Données projet'!$A$243:$I$263,6,0)*VLOOKUP('Données projet'!$B$17,Paramètres!$A$1:$I$89,7,0))</f>
        <v>0</v>
      </c>
      <c r="GK79" s="122" t="n">
        <f aca="false">IF(ISNA(VLOOKUP(A79,'Données projet'!$A$243:$I$263,7,0)),0%,VLOOKUP(A79,'Données projet'!$A$243:$I$263,7,0))</f>
        <v>0</v>
      </c>
      <c r="GL79" s="129" t="e">
        <f aca="false">EXP(-LN(2)/35)*GL78+(1-EXP(-LN(2)/35))/(LN(2)/35)*GH79*GI79*VLOOKUP('Données projet'!$B$17,Paramètres!$A$1:$I$89,3,0)*0.475*44/12</f>
        <v>#N/A</v>
      </c>
      <c r="GM79" s="129" t="e">
        <f aca="false">EXP(-LN(2)/25)*GM78+(1-EXP(-LN(2)/25))/(LN(2)/25)*Calculateur!GH79*Calculateur!GJ79*VLOOKUP('Données projet'!$B$17,Paramètres!$A$1:$I$89,3,0)*0.475*44/12</f>
        <v>#N/A</v>
      </c>
      <c r="GN79" s="129" t="e">
        <f aca="false">EXP(-LN(2)/2)*GN78+(1-EXP(-LN(2)/2))/(LN(2)/2)*GH79*GK79*VLOOKUP('Données projet'!$B$17,Paramètres!$A$1:$I$89,3,0)*0.475*44/12</f>
        <v>#N/A</v>
      </c>
      <c r="GO79" s="129" t="e">
        <f aca="false">SUM(GL79:GN79)</f>
        <v>#N/A</v>
      </c>
      <c r="GP79" s="126" t="n">
        <f aca="false"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8" t="n">
        <f aca="false"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8" t="e">
        <f aca="false">VLOOKUP(A79,'Données projet'!$A$269:$I$289,2,0)</f>
        <v>#N/A</v>
      </c>
      <c r="GS79" s="118" t="e">
        <f aca="false">VLOOKUP(A79,'Données projet'!$A$269:$I$289,9,0)</f>
        <v>#N/A</v>
      </c>
      <c r="GT79" s="118" t="n">
        <f aca="false" t="array" ref="GT79:GT79">INDEX(GS:GS,MIN(IF(ISNUMBER(GS79:GS275),ROW(GS79:GS275),"")))</f>
        <v>0</v>
      </c>
      <c r="GU79" s="118" t="n">
        <f aca="false">IF('Données projet'!$A$270&gt;35,GU78+GT79-HC78,IF(A79&lt;'Données projet'!$A$270,$GR$205^A79,IF(A79='Données projet'!$A$270,'Données projet'!$B$270,GU78+GT79-HC78)))</f>
        <v>0</v>
      </c>
      <c r="GV79" s="125" t="e">
        <f aca="false">GU79*VLOOKUP('Données projet'!$B$18,Paramètres!$A$1:$I$89,3,0)*VLOOKUP('Données projet'!$B$18,Paramètres!$A$1:$I$89,5,0)</f>
        <v>#N/A</v>
      </c>
      <c r="GW79" s="117" t="e">
        <f aca="false">EXP(-1.0587+0.8836*LN(GV79)+0.284)</f>
        <v>#N/A</v>
      </c>
      <c r="GX79" s="128" t="e">
        <f aca="false">(GV79+GW79)*0.475*44/12</f>
        <v>#N/A</v>
      </c>
      <c r="GY79" s="120" t="e">
        <f aca="false">GX79+(GP79+GQ79)*44/12</f>
        <v>#N/A</v>
      </c>
      <c r="GZ79" s="120" t="e">
        <f aca="true">AVERAGE(OFFSET($GY$3,0,0,'Données projet'!$E$18+1,1))-AVERAGE(OFFSET($H$3,0,0,'Données projet'!$E$18+1,1))</f>
        <v>#N/A</v>
      </c>
      <c r="HA79" s="120" t="e">
        <f aca="false">$HA$3</f>
        <v>#N/A</v>
      </c>
      <c r="HB79" s="121" t="n">
        <f aca="false">IF(ISNA(VLOOKUP(A79,'Données projet'!$A$269:$I$289,3,0)),0,VLOOKUP(A79,'Données projet'!$A$269:$I$289,3,0))</f>
        <v>0</v>
      </c>
      <c r="HC79" s="121" t="n">
        <f aca="false">IF(ISNA(VLOOKUP(A79,'Données projet'!$A$269:$I$289,4,0)),0,VLOOKUP(A79,'Données projet'!$A$269:$I$289,4,0))</f>
        <v>0</v>
      </c>
      <c r="HD79" s="122" t="n">
        <f aca="false">IF(ISNA(VLOOKUP(A79,'Données projet'!$A$269:$I$289,5,0)),0%,VLOOKUP(A79,'Données projet'!$A$269:$I$289,5,0)*VLOOKUP('Données projet'!$B$18,Paramètres!$A$1:$I$89,7,0))</f>
        <v>0</v>
      </c>
      <c r="HE79" s="122" t="n">
        <f aca="false">IF(ISNA(VLOOKUP(A79,'Données projet'!$A$269:$I$289,6,0)),0%,VLOOKUP(A79,'Données projet'!$A$269:$I$289,6,0)*VLOOKUP('Données projet'!$B$18,Paramètres!$A$1:$I$89,7,0))</f>
        <v>0</v>
      </c>
      <c r="HF79" s="122" t="n">
        <f aca="false">IF(ISNA(VLOOKUP(A79,'Données projet'!$A$269:$I$289,7,0)),0%,VLOOKUP(A79,'Données projet'!$A$269:$I$289,7,0))</f>
        <v>0</v>
      </c>
      <c r="HG79" s="129" t="e">
        <f aca="false">EXP(-LN(2)/35)*HG78+(1-EXP(-LN(2)/35))/(LN(2)/35)*HC79*HD79*VLOOKUP('Données projet'!$B$18,Paramètres!$A$1:$I$89,3,0)*0.475*44/12</f>
        <v>#N/A</v>
      </c>
      <c r="HH79" s="129" t="e">
        <f aca="false">EXP(-LN(2)/25)*HH78+(1-EXP(-LN(2)/25))/(LN(2)/25)*Calculateur!HC79*Calculateur!HE79*VLOOKUP('Données projet'!$B$18,Paramètres!$A$1:$I$89,3,0)*0.475*44/12</f>
        <v>#N/A</v>
      </c>
      <c r="HI79" s="129" t="e">
        <f aca="false">EXP(-LN(2)/2)*HI78+(1-EXP(-LN(2)/2))/(LN(2)/2)*HC79*HF79*VLOOKUP('Données projet'!$B$18,Paramètres!$A$1:$I$89,3,0)*0.475*44/12</f>
        <v>#N/A</v>
      </c>
      <c r="HJ79" s="130" t="e">
        <f aca="false">SUM(HG79:HI79)</f>
        <v>#N/A</v>
      </c>
    </row>
    <row r="80" customFormat="false" ht="14.25" hidden="false" customHeight="false" outlineLevel="0" collapsed="false">
      <c r="A80" s="112" t="n">
        <f aca="false">A79+1</f>
        <v>77</v>
      </c>
      <c r="B80" s="113" t="n">
        <f aca="false">'Scénario référence'!$B$16*5+'Scénario référence'!$B$17*0+'Scénario référence'!$B$18*5</f>
        <v>0</v>
      </c>
      <c r="C80" s="127" t="n">
        <f aca="false"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4" t="n">
        <f aca="false">IFERROR(EXP(-1.0587+0.8836*LN(C80)+0.284),0)</f>
        <v>0</v>
      </c>
      <c r="E8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0" s="114" t="n">
        <f aca="false">IF(OR('Scénario référence'!$F$8&gt;0,'Scénario référence'!$F$9&gt;0),('Scénario référence'!$F$8+'Scénario référence'!$F$9)*10,0)</f>
        <v>0</v>
      </c>
      <c r="G80" s="114" t="n">
        <f aca="false"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15" t="n">
        <f aca="false">(B80+E80+F80)*44/12+(C80+D80)*0.475*44/12</f>
        <v>256.666666666667</v>
      </c>
      <c r="I80" s="11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7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8" t="e">
        <f aca="false">VLOOKUP(A80,'Données projet'!$A$35:$I$55,2,0)</f>
        <v>#N/A</v>
      </c>
      <c r="L80" s="118" t="e">
        <f aca="false">VLOOKUP(A80,'Données projet'!$A$35:$I$55,9,0)</f>
        <v>#N/A</v>
      </c>
      <c r="M80" s="118" t="n">
        <f aca="false" t="array" ref="M80:M80">INDEX(L:L,MIN(IF(ISNUMBER(L80:L276),ROW(L80:L276),"")))</f>
        <v>17</v>
      </c>
      <c r="N80" s="117" t="n">
        <f aca="false">IF('Données projet'!$A$36&gt;35,N79+M80-V79,IF(A80&lt;'Données projet'!$A$36,$K$205^A80,IF(A80='Données projet'!$A$36,'Données projet'!$B$36,N79+M80-V79)))</f>
        <v>455.5</v>
      </c>
      <c r="O80" s="117" t="n">
        <f aca="false">N80*VLOOKUP('Données projet'!$B$9,Paramètres!$A$1:$I$89,3,0)*VLOOKUP('Données projet'!$B$9,Paramètres!$A$1:$I$89,5,0)</f>
        <v>213.174</v>
      </c>
      <c r="P80" s="117" t="n">
        <f aca="false">EXP(-1.0587+0.8836*LN(O80)+0.284)</f>
        <v>52.6285778342326</v>
      </c>
      <c r="Q80" s="128" t="n">
        <f aca="false">(O80+P80)*0.475*44/12</f>
        <v>462.939489727955</v>
      </c>
      <c r="R80" s="120" t="n">
        <f aca="false">Q80+(I80+J80)*44/12</f>
        <v>756.272823061288</v>
      </c>
      <c r="S80" s="120" t="n">
        <f aca="true">AVERAGE(OFFSET($R$3,0,0,'Données projet'!$E$9+1,1))-AVERAGE(OFFSET($H$3,0,0,'Données projet'!$E$9+1,1))</f>
        <v>319.229030946746</v>
      </c>
      <c r="T80" s="120" t="n">
        <f aca="false">$T$3</f>
        <v>254.586909731428</v>
      </c>
      <c r="U80" s="121" t="n">
        <f aca="false">IF(ISNA(VLOOKUP(A80,'Données projet'!$A$35:$I$55,3,0)),0,VLOOKUP(A80,'Données projet'!$A$35:$I$55,3,0))</f>
        <v>0</v>
      </c>
      <c r="V80" s="121" t="n">
        <f aca="false">IF(ISNA(VLOOKUP(A80,'Données projet'!$A$35:$I$55,4,0)),0,VLOOKUP(A80,'Données projet'!$A$35:$I$55,4,0))</f>
        <v>0</v>
      </c>
      <c r="W80" s="122" t="n">
        <f aca="false">IF(ISNA(VLOOKUP(A80,'Données projet'!$A$35:$I$55,5,0)),0%,VLOOKUP(A80,'Données projet'!$A$35:$I$55,5,0)*VLOOKUP('Données projet'!$B$9,Paramètres!$A$1:$I$89,7,0))</f>
        <v>0</v>
      </c>
      <c r="X80" s="122" t="n">
        <f aca="false">IF(ISNA(VLOOKUP(A80,'Données projet'!$A$35:$I$55,6,0)),0%,VLOOKUP(A80,'Données projet'!$A$35:$I$55,6,0)*VLOOKUP('Données projet'!$B$9,Paramètres!$A$1:$I$89,7,0))</f>
        <v>0</v>
      </c>
      <c r="Y80" s="122" t="n">
        <f aca="false">IF(ISNA(VLOOKUP(A80,'Données projet'!$A$35:$I$55,7,0)),0%,VLOOKUP(A80,'Données projet'!$A$35:$I$55,7,0))</f>
        <v>0</v>
      </c>
      <c r="Z80" s="129" t="n">
        <f aca="false">EXP(-LN(2)/35)*Z79+(1-EXP(-LN(2)/35))/(LN(2)/35)*V80*W80*VLOOKUP('Données projet'!$B$9,Paramètres!$A$1:$I$89,3,0)*0.475*44/12</f>
        <v>3.57818017202766</v>
      </c>
      <c r="AA80" s="129" t="n">
        <f aca="false">EXP(-LN(2)/25)*AA79+(1-EXP(-LN(2)/25))/(LN(2)/25)*Calculateur!V80*Calculateur!X80*VLOOKUP('Données projet'!$B$9,Paramètres!$A$1:$I$89,3,0)*0.475*44/12</f>
        <v>3.02963211066715</v>
      </c>
      <c r="AB80" s="129" t="n">
        <f aca="false">EXP(-LN(2)/2)*AB79+(1-EXP(-LN(2)/2))/(LN(2)/2)*V80*Y80*VLOOKUP('Données projet'!$B$9,Paramètres!$A$1:$I$89,3,0)*0.475*44/12</f>
        <v>9.30866140056112E-007</v>
      </c>
      <c r="AC80" s="130" t="n">
        <f aca="false">SUM(Z80:AB80)</f>
        <v>6.60781321356095</v>
      </c>
      <c r="AD80" s="117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7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8" t="e">
        <f aca="false">VLOOKUP(A80,'Données projet'!$A$61:$I$81,2,0)</f>
        <v>#N/A</v>
      </c>
      <c r="AG80" s="118" t="e">
        <f aca="false">VLOOKUP(A80,'Données projet'!$A$61:$I$81,9,0)</f>
        <v>#N/A</v>
      </c>
      <c r="AH80" s="118" t="n">
        <f aca="false" t="array" ref="AH80:AH80">INDEX(AG:AG,MIN(IF(ISNUMBER(AG80:AG276),ROW(AG80:AG276),"")))</f>
        <v>0</v>
      </c>
      <c r="AI80" s="117" t="n">
        <f aca="false">IF('Données projet'!$A$62&gt;35,AI79+AH80-AQ79,IF(A80&lt;'Données projet'!$A$62,$AF$205^A80,IF(A80='Données projet'!$A$62,'Données projet'!$B$62,AI79+AH80-AQ79)))</f>
        <v>1.13686837721616E-013</v>
      </c>
      <c r="AJ80" s="117" t="n">
        <f aca="false">AI80*VLOOKUP('Données projet'!$B$10,Paramètres!$A$1:$I$89,3,0)*VLOOKUP('Données projet'!$B$10,Paramètres!$A$1:$I$89,5,0)</f>
        <v>6.35509422863834E-014</v>
      </c>
      <c r="AK80" s="117" t="n">
        <f aca="false">EXP(-1.0587+0.8836*LN(AJ80)+0.284)</f>
        <v>1.0064464192544E-012</v>
      </c>
      <c r="AL80" s="128" t="n">
        <f aca="false">(AJ80+AK80)*0.475*44/12</f>
        <v>1.86357873801686E-012</v>
      </c>
      <c r="AM80" s="120" t="n">
        <f aca="false">AL80+(AD80+AE80)*44/12</f>
        <v>293.333333333335</v>
      </c>
      <c r="AN80" s="120" t="n">
        <f aca="true">AVERAGE(OFFSET($AM$3,0,0,'Données projet'!$E$10+1,1))-AVERAGE(OFFSET($H$3,0,0,'Données projet'!$E$10+1,1))</f>
        <v>365.705101827279</v>
      </c>
      <c r="AO80" s="120" t="n">
        <f aca="false">$AO$3</f>
        <v>436.238338449625</v>
      </c>
      <c r="AP80" s="121" t="n">
        <f aca="false">IF(ISNA(VLOOKUP(A80,'Données projet'!$A$61:$I$81,3,0)),0,VLOOKUP(A80,'Données projet'!$A$61:$I$81,3,0))</f>
        <v>0</v>
      </c>
      <c r="AQ80" s="121" t="n">
        <f aca="false">IF(ISNA(VLOOKUP(A80,'Données projet'!$A$61:$I$81,4,0)),0,VLOOKUP(A80,'Données projet'!$A$61:$I$81,4,0))</f>
        <v>0</v>
      </c>
      <c r="AR80" s="122" t="n">
        <f aca="false">IF(ISNA(VLOOKUP(A80,'Données projet'!$A$61:$I$81,5,0)),0%,VLOOKUP(A80,'Données projet'!$A$61:$I$81,5,0)*VLOOKUP('Données projet'!$B$10,Paramètres!$A$1:$I$89,7,0))</f>
        <v>0</v>
      </c>
      <c r="AS80" s="122" t="n">
        <f aca="false">IF(ISNA(VLOOKUP(A80,'Données projet'!$A$61:$I$81,6,0)),0%,VLOOKUP(A80,'Données projet'!$A$61:$I$81,6,0)*VLOOKUP('Données projet'!$B$10,Paramètres!$A$1:$I$89,7,0))</f>
        <v>0</v>
      </c>
      <c r="AT80" s="122" t="n">
        <f aca="false">IF(ISNA(VLOOKUP(A80,'Données projet'!$A$61:$I$81,7,0)),0%,VLOOKUP(A80,'Données projet'!$A$61:$I$81,7,0))</f>
        <v>0</v>
      </c>
      <c r="AU80" s="129" t="n">
        <f aca="false">EXP(-LN(2)/35)*AU79+(1-EXP(-LN(2)/35))/(LN(2)/35)*AQ80*AR80*VLOOKUP('Données projet'!$B$10,Paramètres!$A$1:$I$89,3,0)*0.475*44/12</f>
        <v>1.35064700529524</v>
      </c>
      <c r="AV80" s="129" t="n">
        <f aca="false">EXP(-LN(2)/25)*AV79+(1-EXP(-LN(2)/25))/(LN(2)/25)*Calculateur!AQ80*Calculateur!AS80*VLOOKUP('Données projet'!$B$10,Paramètres!$A$1:$I$89,3,0)*0.475*44/12</f>
        <v>3.58843542324992</v>
      </c>
      <c r="AW80" s="129" t="n">
        <f aca="false">EXP(-LN(2)/2)*AW79+(1-EXP(-LN(2)/2))/(LN(2)/2)*AQ80*AT80*VLOOKUP('Données projet'!$B$10,Paramètres!$A$1:$I$89,3,0)*0.475*44/12</f>
        <v>5.00963062582637E-007</v>
      </c>
      <c r="AX80" s="129" t="n">
        <f aca="false">SUM(AU80:AW80)</f>
        <v>4.93908292950823</v>
      </c>
      <c r="AY80" s="124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8" t="e">
        <f aca="false">VLOOKUP(A80,'Données projet'!$A$87:$I$107,2,0)</f>
        <v>#N/A</v>
      </c>
      <c r="BB80" s="118" t="e">
        <f aca="false">VLOOKUP(A80,'Données projet'!$A$87:$I$107,9,0)</f>
        <v>#N/A</v>
      </c>
      <c r="BC80" s="118" t="n">
        <f aca="false" t="array" ref="BC80:BC80">INDEX(BB:BB,MIN(IF(ISNUMBER(BB80:BB276),ROW(BB80:BB276),"")))</f>
        <v>0</v>
      </c>
      <c r="BD80" s="118" t="n">
        <f aca="false">IF('Données projet'!$A$88&gt;35,BD79+BC80-BL79,IF(A80&lt;'Données projet'!$A$88,$BA$205^A80,IF(A80='Données projet'!$A$88,'Données projet'!$B$88,BD79+BC80-BL79)))</f>
        <v>1.98951966012828E-013</v>
      </c>
      <c r="BE80" s="117" t="n">
        <f aca="false">BD80*VLOOKUP('Données projet'!$B$11,Paramètres!$A$1:$I$89,3,0)*VLOOKUP('Données projet'!$B$11,Paramètres!$A$1:$I$89,5,0)</f>
        <v>1.73804437508807E-013</v>
      </c>
      <c r="BF80" s="117" t="n">
        <f aca="false">EXP(-1.0587+0.8836*LN(BE80)+0.284)</f>
        <v>2.44832936339505E-012</v>
      </c>
      <c r="BG80" s="128" t="n">
        <f aca="false">(BE80+BF80)*0.475*44/12</f>
        <v>4.56688303657421E-012</v>
      </c>
      <c r="BH80" s="120" t="n">
        <f aca="false">BG80+(AY80+AZ80)*44/12</f>
        <v>293.333333333338</v>
      </c>
      <c r="BI80" s="120" t="n">
        <f aca="true">AVERAGE(OFFSET($BH$3,0,0,'Données projet'!$E$11+1,1))-AVERAGE(OFFSET($H$3,0,0,'Données projet'!$E$11+1,1))</f>
        <v>321.235999689929</v>
      </c>
      <c r="BJ80" s="120" t="n">
        <f aca="false">$BJ$3</f>
        <v>388.051958478005</v>
      </c>
      <c r="BK80" s="121" t="n">
        <f aca="false">IF(ISNA(VLOOKUP(A80,'Données projet'!$A$87:$I$107,3,0)),0,VLOOKUP(A80,'Données projet'!$A$87:$I$107,3,0))</f>
        <v>0</v>
      </c>
      <c r="BL80" s="121" t="n">
        <f aca="false">IF(ISNA(VLOOKUP(A80,'Données projet'!$A$87:$I$107,4,0)),0,VLOOKUP(A80,'Données projet'!$A$87:$I$107,4,0))</f>
        <v>0</v>
      </c>
      <c r="BM80" s="122" t="n">
        <f aca="false">IF(ISNA(VLOOKUP(A80,'Données projet'!$A$87:$I$107,5,0)),0%,VLOOKUP(A80,'Données projet'!$A$87:$I$107,5,0)*VLOOKUP('Données projet'!$B$11,Paramètres!$A$1:$I$89,7,0))</f>
        <v>0</v>
      </c>
      <c r="BN80" s="122" t="n">
        <f aca="false">IF(ISNA(VLOOKUP(A80,'Données projet'!$A$87:$I$107,6,0)),0%,VLOOKUP(A80,'Données projet'!$A$87:$I$107,6,0)*VLOOKUP('Données projet'!$B$11,Paramètres!$A$1:$I$89,7,0))</f>
        <v>0</v>
      </c>
      <c r="BO80" s="122" t="n">
        <f aca="false">IF(ISNA(VLOOKUP(A80,'Données projet'!$A$87:$I$107,7,0)),0%,VLOOKUP(A80,'Données projet'!$A$87:$I$107,7,0))</f>
        <v>0</v>
      </c>
      <c r="BP80" s="129" t="n">
        <f aca="false">EXP(-LN(2)/35)*BP79+(1-EXP(-LN(2)/35))/(LN(2)/35)*BL80*BM80*VLOOKUP('Données projet'!$B$11,Paramètres!$A$1:$I$89,3,0)*0.475*44/12</f>
        <v>3.39096321044263</v>
      </c>
      <c r="BQ80" s="129" t="n">
        <f aca="false">EXP(-LN(2)/25)*BQ79+(1-EXP(-LN(2)/25))/(LN(2)/25)*Calculateur!BL80*Calculateur!BN80*VLOOKUP('Données projet'!$B$11,Paramètres!$A$1:$I$89,3,0)*0.475*44/12</f>
        <v>3.66286174016719</v>
      </c>
      <c r="BR80" s="129" t="n">
        <f aca="false">EXP(-LN(2)/2)*BR79+(1-EXP(-LN(2)/2))/(LN(2)/2)*BL80*BO80*VLOOKUP('Données projet'!$B$11,Paramètres!$A$1:$I$89,3,0)*0.475*44/12</f>
        <v>5.09218540424886E-007</v>
      </c>
      <c r="BS80" s="130" t="n">
        <f aca="false">SUM(BP80:BR80)</f>
        <v>7.05382545982836</v>
      </c>
      <c r="BT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8" t="e">
        <f aca="false">VLOOKUP(A80,'Données projet'!$A$113:$I$133,2,0)</f>
        <v>#N/A</v>
      </c>
      <c r="BW80" s="118" t="e">
        <f aca="false">VLOOKUP(A80,'Données projet'!$A$113:$I$133,9,0)</f>
        <v>#N/A</v>
      </c>
      <c r="BX80" s="118" t="n">
        <f aca="false" t="array" ref="BX80:BX80">INDEX(BW:BW,MIN(IF(ISNUMBER(BW80:BW276),ROW(BW80:BW276),"")))</f>
        <v>0</v>
      </c>
      <c r="BY80" s="118" t="n">
        <f aca="false">IF('Données projet'!$A$114&gt;35,BY79+BX80-CG79,IF(A80&lt;'Données projet'!$A$114,$BV$205^A80,IF(A80='Données projet'!$A$114,'Données projet'!$B$114,BY79+BX80-CG79)))</f>
        <v>0</v>
      </c>
      <c r="BZ80" s="117" t="n">
        <f aca="false">BY80*VLOOKUP('Données projet'!$B$12,Paramètres!$A$1:$I$89,3,0)*VLOOKUP('Données projet'!$B$12,Paramètres!$A$1:$I$89,5,0)</f>
        <v>0</v>
      </c>
      <c r="CA80" s="117" t="e">
        <f aca="false">EXP(-1.0587+0.8836*LN(BZ80)+0.284)</f>
        <v>#VALUE!</v>
      </c>
      <c r="CB80" s="128" t="e">
        <f aca="false">(BZ80+CA80)*0.475*44/12</f>
        <v>#VALUE!</v>
      </c>
      <c r="CC80" s="120" t="e">
        <f aca="false">CB80+(BT80+BU80)*44/12</f>
        <v>#VALUE!</v>
      </c>
      <c r="CD80" s="120" t="n">
        <f aca="true">AVERAGE(OFFSET($CC$3,0,0,'Données projet'!$E$12+1,1))-AVERAGE(OFFSET($H$3,0,0,'Données projet'!$E$12+1,1))</f>
        <v>240.228848647662</v>
      </c>
      <c r="CE80" s="120" t="n">
        <f aca="false">$CE$3</f>
        <v>343.237768841432</v>
      </c>
      <c r="CF80" s="121" t="n">
        <f aca="false">IF(ISNA(VLOOKUP(A80,'Données projet'!$A$113:$I$133,3,0)),0,VLOOKUP(A80,'Données projet'!$A$113:$I$133,3,0))</f>
        <v>0</v>
      </c>
      <c r="CG80" s="121" t="n">
        <f aca="false">IF(ISNA(VLOOKUP(A80,'Données projet'!$A$113:$I$133,4,0)),0,VLOOKUP(A80,'Données projet'!$A$113:$I$133,4,0))</f>
        <v>0</v>
      </c>
      <c r="CH80" s="122" t="n">
        <f aca="false">IF(ISNA(VLOOKUP(A80,'Données projet'!$A$113:$I$133,5,0)),0%,VLOOKUP(A80,'Données projet'!$A$113:$I$133,5,0)*VLOOKUP('Données projet'!$B$12,Paramètres!$A$1:$I$89,7,0))</f>
        <v>0</v>
      </c>
      <c r="CI80" s="122" t="n">
        <f aca="false">IF(ISNA(VLOOKUP(A80,'Données projet'!$A$113:$I$133,6,0)),0%,VLOOKUP(A80,'Données projet'!$A$113:$I$133,6,0)*VLOOKUP('Données projet'!$B$12,Paramètres!$A$1:$I$89,7,0))</f>
        <v>0</v>
      </c>
      <c r="CJ80" s="122" t="n">
        <f aca="false">IF(ISNA(VLOOKUP(A80,'Données projet'!$A$113:$I$133,7,0)),0%,VLOOKUP(A80,'Données projet'!$A$113:$I$133,7,0))</f>
        <v>0</v>
      </c>
      <c r="CK80" s="129" t="n">
        <f aca="false">EXP(-LN(2)/35)*CK79+(1-EXP(-LN(2)/35))/(LN(2)/35)*CG80*CH80*VLOOKUP('Données projet'!$B$12,Paramètres!$A$1:$I$89,3,0)*0.475*44/12</f>
        <v>2.07553366443437</v>
      </c>
      <c r="CL80" s="129" t="n">
        <f aca="false">EXP(-LN(2)/25)*CL79+(1-EXP(-LN(2)/25))/(LN(2)/25)*Calculateur!CG80*Calculateur!CI80*VLOOKUP('Données projet'!$B$12,Paramètres!$A$1:$I$89,3,0)*0.475*44/12</f>
        <v>6.46882587578633</v>
      </c>
      <c r="CM80" s="129" t="n">
        <f aca="false">EXP(-LN(2)/2)*CM79+(1-EXP(-LN(2)/2))/(LN(2)/2)*CG80*CJ80*VLOOKUP('Données projet'!$B$12,Paramètres!$A$1:$I$89,3,0)*0.475*44/12</f>
        <v>8.12577032933053E-007</v>
      </c>
      <c r="CN80" s="130" t="n">
        <f aca="false">SUM(CK80:CM80)</f>
        <v>8.54436035279773</v>
      </c>
      <c r="CO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8" t="e">
        <f aca="false">VLOOKUP(A80,'Données projet'!$A$139:$I$159,2,0)</f>
        <v>#N/A</v>
      </c>
      <c r="CR80" s="118" t="e">
        <f aca="false">VLOOKUP(A80,'Données projet'!$A$139:$I$159,9,0)</f>
        <v>#N/A</v>
      </c>
      <c r="CS80" s="118" t="n">
        <f aca="false" t="array" ref="CS80:CS80">INDEX(CR:CR,MIN(IF(ISNUMBER(CR80:CR276),ROW(CR80:CR276),"")))</f>
        <v>0</v>
      </c>
      <c r="CT80" s="118" t="n">
        <f aca="false">IF('Données projet'!$A$140&gt;35,CT79+CS80-DB79,IF(A80&lt;'Données projet'!$A$140,$CQ$205^A80,IF(A80='Données projet'!$A$140,'Données projet'!$B$140,CT79+CS80-DB79)))</f>
        <v>-5.6843418860808E-014</v>
      </c>
      <c r="CU80" s="125" t="n">
        <f aca="false">CT80*VLOOKUP('Données projet'!$B$13,Paramètres!$A$1:$I$89,3,0)*VLOOKUP('Données projet'!$B$13,Paramètres!$A$1:$I$89,5,0)</f>
        <v>-3.10365066980012E-014</v>
      </c>
      <c r="CV80" s="117" t="e">
        <f aca="false">EXP(-1.0587+0.8836*LN(CU80)+0.284)</f>
        <v>#VALUE!</v>
      </c>
      <c r="CW80" s="128" t="e">
        <f aca="false">(CU80+CV80)*0.475*44/12</f>
        <v>#VALUE!</v>
      </c>
      <c r="CX80" s="120" t="e">
        <f aca="false">CW80+(CO80+CP80)*44/12</f>
        <v>#VALUE!</v>
      </c>
      <c r="CY80" s="120" t="n">
        <f aca="true">AVERAGE(OFFSET($CX$3,0,0,'Données projet'!$E$13+1,1))-AVERAGE(OFFSET($H$3,0,0,'Données projet'!$E$13+1,1))</f>
        <v>207.023069645676</v>
      </c>
      <c r="CZ80" s="120" t="n">
        <f aca="false">$CZ$3</f>
        <v>342.068879333518</v>
      </c>
      <c r="DA80" s="121" t="n">
        <f aca="false">IF(ISNA(VLOOKUP(A80,'Données projet'!$A$139:$I$159,3,0)),0,VLOOKUP(A80,'Données projet'!$A$139:$I$159,3,0))</f>
        <v>0</v>
      </c>
      <c r="DB80" s="121" t="n">
        <f aca="false">IF(ISNA(VLOOKUP(A80,'Données projet'!$A$139:$I$159,4,0)),0,VLOOKUP(A80,'Données projet'!$A$139:$I$159,4,0))</f>
        <v>0</v>
      </c>
      <c r="DC80" s="122" t="n">
        <f aca="false">IF(ISNA(VLOOKUP(A80,'Données projet'!$A$139:$I$159,5,0)),0%,VLOOKUP(A80,'Données projet'!$A$139:$I$159,5,0)*VLOOKUP('Données projet'!$B$13,Paramètres!$A$1:$I$89,7,0))</f>
        <v>0</v>
      </c>
      <c r="DD80" s="122" t="n">
        <f aca="false">IF(ISNA(VLOOKUP(A80,'Données projet'!$A$139:$I$159,6,0)),0%,VLOOKUP(A80,'Données projet'!$A$139:$I$159,6,0)*VLOOKUP('Données projet'!$B$13,Paramètres!$A$1:$I$89,7,0))</f>
        <v>0</v>
      </c>
      <c r="DE80" s="122" t="n">
        <f aca="false">IF(ISNA(VLOOKUP(A80,'Données projet'!$A$139:$I$159,7,0)),0%,VLOOKUP(A80,'Données projet'!$A$139:$I$159,7,0))</f>
        <v>0</v>
      </c>
      <c r="DF80" s="129" t="n">
        <f aca="false">EXP(-LN(2)/35)*DF79+(1-EXP(-LN(2)/35))/(LN(2)/35)*DB80*DC80*VLOOKUP('Données projet'!$B$13,Paramètres!$A$1:$I$89,3,0)*0.475*44/12</f>
        <v>2.60420733367708</v>
      </c>
      <c r="DG80" s="129" t="n">
        <f aca="false">EXP(-LN(2)/25)*DG79+(1-EXP(-LN(2)/25))/(LN(2)/25)*Calculateur!DB80*Calculateur!DD80*VLOOKUP('Données projet'!$B$13,Paramètres!$A$1:$I$89,3,0)*0.475*44/12</f>
        <v>10.5738361132127</v>
      </c>
      <c r="DH80" s="129" t="n">
        <f aca="false">EXP(-LN(2)/2)*DH79+(1-EXP(-LN(2)/2))/(LN(2)/2)*DB80*DE80*VLOOKUP('Données projet'!$B$13,Paramètres!$A$1:$I$89,3,0)*0.475*44/12</f>
        <v>1.11891895107999E-006</v>
      </c>
      <c r="DI80" s="130" t="n">
        <f aca="false">SUM(DF80:DH80)</f>
        <v>13.1780445658087</v>
      </c>
      <c r="DJ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8" t="e">
        <f aca="false">VLOOKUP(A80,'Données projet'!$A$165:$I$185,2,0)</f>
        <v>#N/A</v>
      </c>
      <c r="DM80" s="118" t="e">
        <f aca="false">VLOOKUP(A80,'Données projet'!$A$165:$I$185,9,0)</f>
        <v>#N/A</v>
      </c>
      <c r="DN80" s="118" t="n">
        <f aca="false" t="array" ref="DN80:DN80">INDEX(DM:DM,MIN(IF(ISNUMBER(DM80:DM276),ROW(DM80:DM276),"")))</f>
        <v>0</v>
      </c>
      <c r="DO80" s="118" t="n">
        <f aca="false">IF('Données projet'!$A$166&gt;35,DO79+DN80-DW79,IF(A80&lt;'Données projet'!$A$166,$DL$205^A80,IF(A80='Données projet'!$A$166,'Données projet'!$B$166,DO79+DN80-DW79)))</f>
        <v>0</v>
      </c>
      <c r="DP80" s="125" t="n">
        <f aca="false">DO80*VLOOKUP('Données projet'!$B$14,Paramètres!$A$1:$I$89,3,0)*VLOOKUP('Données projet'!$B$14,Paramètres!$A$1:$I$89,5,0)</f>
        <v>0</v>
      </c>
      <c r="DQ80" s="117" t="e">
        <f aca="false">EXP(-1.0587+0.8836*LN(DP80)+0.284)</f>
        <v>#VALUE!</v>
      </c>
      <c r="DR80" s="128" t="e">
        <f aca="false">(DP80+DQ80)*0.475*44/12</f>
        <v>#VALUE!</v>
      </c>
      <c r="DS80" s="120" t="e">
        <f aca="false">DR80+(DJ80+DK80)*44/12</f>
        <v>#VALUE!</v>
      </c>
      <c r="DT80" s="120" t="n">
        <f aca="true">AVERAGE(OFFSET($DS$3,0,0,'Données projet'!$E$14+1,1))-AVERAGE(OFFSET($H$3,0,0,'Données projet'!$E$14+1,1))</f>
        <v>549.432320957297</v>
      </c>
      <c r="DU80" s="120" t="n">
        <f aca="false">$DU$3</f>
        <v>280.26155987301</v>
      </c>
      <c r="DV80" s="121" t="n">
        <f aca="false">IF(ISNA(VLOOKUP(A80,'Données projet'!$A$165:$I$185,3,0)),0,VLOOKUP(A80,'Données projet'!$A$165:$I$185,3,0))</f>
        <v>0</v>
      </c>
      <c r="DW80" s="121" t="n">
        <f aca="false">IF(ISNA(VLOOKUP(A80,'Données projet'!$A$165:$I$185,4,0)),0,VLOOKUP(A80,'Données projet'!$A$165:$I$185,4,0))</f>
        <v>0</v>
      </c>
      <c r="DX80" s="122" t="n">
        <f aca="false">IF(ISNA(VLOOKUP(A80,'Données projet'!$A$165:$I$185,5,0)),0%,VLOOKUP(A80,'Données projet'!$A$165:$I$185,5,0)*VLOOKUP('Données projet'!$B$14,Paramètres!$A$1:$I$89,7,0))</f>
        <v>0</v>
      </c>
      <c r="DY80" s="122" t="n">
        <f aca="false">IF(ISNA(VLOOKUP(A80,'Données projet'!$A$165:$I$185,6,0)),0%,VLOOKUP(A80,'Données projet'!$A$165:$I$185,6,0)*VLOOKUP('Données projet'!$B$14,Paramètres!$A$1:$I$89,7,0))</f>
        <v>0</v>
      </c>
      <c r="DZ80" s="122" t="n">
        <f aca="false">IF(ISNA(VLOOKUP(A80,'Données projet'!$A$165:$I$185,7,0)),0%,VLOOKUP(A80,'Données projet'!$A$165:$I$185,7,0))</f>
        <v>0</v>
      </c>
      <c r="EA80" s="129" t="n">
        <f aca="false">EXP(-LN(2)/35)*EA79+(1-EXP(-LN(2)/35))/(LN(2)/35)*DW80*DX80*VLOOKUP('Données projet'!$B$14,Paramètres!$A$1:$I$89,3,0)*0.475*44/12</f>
        <v>0.946886882719699</v>
      </c>
      <c r="EB80" s="129" t="n">
        <f aca="false">EXP(-LN(2)/25)*EB79+(1-EXP(-LN(2)/25))/(LN(2)/25)*Calculateur!DW80*Calculateur!DY80*VLOOKUP('Données projet'!$B$14,Paramètres!$A$1:$I$89,3,0)*0.475*44/12</f>
        <v>2.10651677187174</v>
      </c>
      <c r="EC80" s="129" t="n">
        <f aca="false">EXP(-LN(2)/2)*EC79+(1-EXP(-LN(2)/2))/(LN(2)/2)*DW80*DZ80*VLOOKUP('Données projet'!$B$14,Paramètres!$A$1:$I$89,3,0)*0.475*44/12</f>
        <v>5.15798571932925E-007</v>
      </c>
      <c r="ED80" s="130" t="n">
        <f aca="false">SUM(EA80:EC80)</f>
        <v>3.05340417039001</v>
      </c>
      <c r="EE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8" t="e">
        <f aca="false">VLOOKUP(A80,'Données projet'!$A$191:$I$211,2,0)</f>
        <v>#N/A</v>
      </c>
      <c r="EH80" s="118" t="e">
        <f aca="false">VLOOKUP(A80,'Données projet'!$A$191:$I$211,9,0)</f>
        <v>#N/A</v>
      </c>
      <c r="EI80" s="118" t="n">
        <f aca="false" t="array" ref="EI80:EI80">INDEX(EH:EH,MIN(IF(ISNUMBER(EH80:EH276),ROW(EH80:EH276),"")))</f>
        <v>0</v>
      </c>
      <c r="EJ80" s="118" t="n">
        <f aca="false">IF('Données projet'!$A$192&gt;35,EJ79+EI80-ER79,IF(A80&lt;'Données projet'!$A$192,$EG$205^A80,IF(A80='Données projet'!$A$192,'Données projet'!$B$192,EJ79+EI80-ER79)))</f>
        <v>0</v>
      </c>
      <c r="EK80" s="125" t="e">
        <f aca="false">EJ80*VLOOKUP('Données projet'!$B$15,Paramètres!$A$1:$I$89,3,0)*VLOOKUP('Données projet'!$B$15,Paramètres!$A$1:$I$89,5,0)</f>
        <v>#N/A</v>
      </c>
      <c r="EL80" s="117" t="e">
        <f aca="false">EXP(-1.0587+0.8836*LN(EK80)+0.284)</f>
        <v>#N/A</v>
      </c>
      <c r="EM80" s="128" t="e">
        <f aca="false">(EK80+EL80)*0.475*44/12</f>
        <v>#N/A</v>
      </c>
      <c r="EN80" s="120" t="e">
        <f aca="false">EM80+(EE80+EF80)*44/12</f>
        <v>#N/A</v>
      </c>
      <c r="EO80" s="120" t="e">
        <f aca="true">AVERAGE(OFFSET($EN$3,0,0,'Données projet'!$E$15+1,1))-AVERAGE(OFFSET($H$3,0,0,'Données projet'!$E$15+1,1))</f>
        <v>#N/A</v>
      </c>
      <c r="EP80" s="120" t="e">
        <f aca="false">$EP$3</f>
        <v>#N/A</v>
      </c>
      <c r="EQ80" s="121" t="n">
        <f aca="false">IF(ISNA(VLOOKUP(A80,'Données projet'!$A$191:$I$211,3,0)),0,VLOOKUP(A80,'Données projet'!$A$191:$I$211,3,0))</f>
        <v>0</v>
      </c>
      <c r="ER80" s="121" t="n">
        <f aca="false">IF(ISNA(VLOOKUP(A80,'Données projet'!$A$191:$I$211,4,0)),0,VLOOKUP(A80,'Données projet'!$A$191:$I$211,4,0))</f>
        <v>0</v>
      </c>
      <c r="ES80" s="122" t="n">
        <f aca="false">IF(ISNA(VLOOKUP(A80,'Données projet'!$A$191:$I$211,5,0)),0%,VLOOKUP(A80,'Données projet'!$A$191:$I$211,5,0)*VLOOKUP('Données projet'!$B$15,Paramètres!$A$1:$I$89,7,0))</f>
        <v>0</v>
      </c>
      <c r="ET80" s="122" t="n">
        <f aca="false">IF(ISNA(VLOOKUP(A80,'Données projet'!$A$191:$I$211,6,0)),0%,VLOOKUP(A80,'Données projet'!$A$191:$I$211,6,0)*VLOOKUP('Données projet'!$B$15,Paramètres!$A$1:$I$89,7,0))</f>
        <v>0</v>
      </c>
      <c r="EU80" s="122" t="n">
        <f aca="false">IF(ISNA(VLOOKUP(A80,'Données projet'!$A$191:$I$211,7,0)),0%,VLOOKUP(A80,'Données projet'!$A$191:$I$211,7,0))</f>
        <v>0</v>
      </c>
      <c r="EV80" s="129" t="e">
        <f aca="false">EXP(-LN(2)/35)*EV79+(1-EXP(-LN(2)/35))/(LN(2)/35)*ER80*ES80*VLOOKUP('Données projet'!$B$15,Paramètres!$A$1:$I$89,3,0)*0.475*44/12</f>
        <v>#N/A</v>
      </c>
      <c r="EW80" s="129" t="e">
        <f aca="false">EXP(-LN(2)/25)*EW79+(1-EXP(-LN(2)/25))/(LN(2)/25)*Calculateur!ER80*Calculateur!ET80*VLOOKUP('Données projet'!$B$15,Paramètres!$A$1:$I$89,3,0)*0.475*44/12</f>
        <v>#N/A</v>
      </c>
      <c r="EX80" s="129" t="e">
        <f aca="false">EXP(-LN(2)/2)*EX79+(1-EXP(-LN(2)/2))/(LN(2)/2)*ER80*EU80*VLOOKUP('Données projet'!$B$15,Paramètres!$A$1:$I$89,3,0)*0.475*44/12</f>
        <v>#N/A</v>
      </c>
      <c r="EY80" s="130" t="e">
        <f aca="false">SUM(EV80:EX80)</f>
        <v>#N/A</v>
      </c>
      <c r="EZ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8" t="e">
        <f aca="false">VLOOKUP(A80,'Données projet'!$A$217:$I$237,2,0)</f>
        <v>#N/A</v>
      </c>
      <c r="FC80" s="118" t="e">
        <f aca="false">VLOOKUP(A80,'Données projet'!$A$217:$I$237,9,0)</f>
        <v>#N/A</v>
      </c>
      <c r="FD80" s="118" t="n">
        <f aca="false" t="array" ref="FD80:FD80">INDEX(FC:FC,MIN(IF(ISNUMBER(FC80:FC276),ROW(FC80:FC276),"")))</f>
        <v>0</v>
      </c>
      <c r="FE80" s="118" t="n">
        <f aca="false">IF('Données projet'!$A$218&gt;35,FE79+FD80-FM79,IF(A80&lt;'Données projet'!$A$218,$FB$205^A80,IF(A80='Données projet'!$A$218,'Données projet'!$B$218,FE79+FD80-FM79)))</f>
        <v>0</v>
      </c>
      <c r="FF80" s="125" t="e">
        <f aca="false">FE80*VLOOKUP('Données projet'!$B$16,Paramètres!$A$1:$I$89,3,0)*VLOOKUP('Données projet'!$B$16,Paramètres!$A$1:$I$89,5,0)</f>
        <v>#N/A</v>
      </c>
      <c r="FG80" s="117" t="e">
        <f aca="false">EXP(-1.0587+0.8836*LN(FF80)+0.284)</f>
        <v>#N/A</v>
      </c>
      <c r="FH80" s="128" t="e">
        <f aca="false">(FF80+FG80)*0.475*44/12</f>
        <v>#N/A</v>
      </c>
      <c r="FI80" s="120" t="e">
        <f aca="false">FH80+(EZ80+FA80)*44/12</f>
        <v>#N/A</v>
      </c>
      <c r="FJ80" s="120" t="e">
        <f aca="true">AVERAGE(OFFSET($FI$3,0,0,'Données projet'!$E$16+1,1))-AVERAGE(OFFSET($H$3,0,0,'Données projet'!$E$16+1,1))</f>
        <v>#N/A</v>
      </c>
      <c r="FK80" s="120" t="e">
        <f aca="false">$FK$3</f>
        <v>#N/A</v>
      </c>
      <c r="FL80" s="121" t="n">
        <f aca="false">IF(ISNA(VLOOKUP(A80,'Données projet'!$A$217:$I$237,3,0)),0,VLOOKUP(A80,'Données projet'!$A$217:$I$237,3,0))</f>
        <v>0</v>
      </c>
      <c r="FM80" s="121" t="n">
        <f aca="false">IF(ISNA(VLOOKUP(A80,'Données projet'!$A$217:$I$237,4,0)),0,VLOOKUP(A80,'Données projet'!$A$217:$I$237,4,0))</f>
        <v>0</v>
      </c>
      <c r="FN80" s="122" t="n">
        <f aca="false">IF(ISNA(VLOOKUP(A80,'Données projet'!$A$217:$I$237,5,0)),0%,VLOOKUP(A80,'Données projet'!$A$217:$I$237,5,0)*VLOOKUP('Données projet'!$B$16,Paramètres!$A$1:$I$89,7,0))</f>
        <v>0</v>
      </c>
      <c r="FO80" s="122" t="n">
        <f aca="false">IF(ISNA(VLOOKUP(A80,'Données projet'!$A$217:$I$237,6,0)),0%,VLOOKUP(A80,'Données projet'!$A$217:$I$237,6,0)*VLOOKUP('Données projet'!$B$16,Paramètres!$A$1:$I$89,7,0))</f>
        <v>0</v>
      </c>
      <c r="FP80" s="122" t="n">
        <f aca="false">IF(ISNA(VLOOKUP(A80,'Données projet'!$A$217:$I$237,7,0)),0%,VLOOKUP(A80,'Données projet'!$A$217:$I$237,7,0))</f>
        <v>0</v>
      </c>
      <c r="FQ80" s="129" t="e">
        <f aca="false">EXP(-LN(2)/35)*FQ79+(1-EXP(-LN(2)/35))/(LN(2)/35)*FM80*FN80*VLOOKUP('Données projet'!$B$16,Paramètres!$A$1:$I$89,3,0)*0.475*44/12</f>
        <v>#N/A</v>
      </c>
      <c r="FR80" s="129" t="e">
        <f aca="false">EXP(-LN(2)/25)*FR79+(1-EXP(-LN(2)/25))/(LN(2)/25)*Calculateur!FM80*Calculateur!FO80*VLOOKUP('Données projet'!$B$16,Paramètres!$A$1:$I$89,3,0)*0.475*44/12</f>
        <v>#N/A</v>
      </c>
      <c r="FS80" s="129" t="e">
        <f aca="false">EXP(-LN(2)/2)*FS79+(1-EXP(-LN(2)/2))/(LN(2)/2)*FM80*FP80*VLOOKUP('Données projet'!$B$16,Paramètres!$A$1:$I$89,3,0)*0.475*44/12</f>
        <v>#N/A</v>
      </c>
      <c r="FT80" s="130" t="e">
        <f aca="false">SUM(FQ80:FS80)</f>
        <v>#N/A</v>
      </c>
      <c r="FU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8" t="e">
        <f aca="false">VLOOKUP(A80,'Données projet'!$A$243:$I$263,2,0)</f>
        <v>#N/A</v>
      </c>
      <c r="FX80" s="118" t="e">
        <f aca="false">VLOOKUP(A80,'Données projet'!$A$243:$I$263,9,0)</f>
        <v>#N/A</v>
      </c>
      <c r="FY80" s="118" t="n">
        <f aca="false" t="array" ref="FY80:FY80">INDEX(FX:FX,MIN(IF(ISNUMBER(FX80:FX276),ROW(FX80:FX276),"")))</f>
        <v>0</v>
      </c>
      <c r="FZ80" s="118" t="n">
        <f aca="false">IF('Données projet'!$A$244&gt;35,FZ79+FY80-GH79,IF(A80&lt;'Données projet'!$A$244,$FW$205^A80,IF(A80='Données projet'!$A$244,'Données projet'!$B$244,FZ79+FY80-GH79)))</f>
        <v>0</v>
      </c>
      <c r="GA80" s="125" t="e">
        <f aca="false">FZ80*VLOOKUP('Données projet'!$B$17,Paramètres!$A$1:$I$89,3,0)*VLOOKUP('Données projet'!$B$17,Paramètres!$A$1:$I$89,5,0)</f>
        <v>#N/A</v>
      </c>
      <c r="GB80" s="117" t="e">
        <f aca="false">EXP(-1.0587+0.8836*LN(GA80)+0.284)</f>
        <v>#N/A</v>
      </c>
      <c r="GC80" s="128" t="e">
        <f aca="false">(GA80+GB80)*0.475*44/12</f>
        <v>#N/A</v>
      </c>
      <c r="GD80" s="120" t="e">
        <f aca="false">GC80+(FU80+FV80)*44/12</f>
        <v>#N/A</v>
      </c>
      <c r="GE80" s="120" t="e">
        <f aca="true">AVERAGE(OFFSET($GD$3,0,0,'Données projet'!$E$17+1,1))-AVERAGE(OFFSET($H$3,0,0,'Données projet'!$E$17+1,1))</f>
        <v>#N/A</v>
      </c>
      <c r="GF80" s="120" t="e">
        <f aca="false">$GF$3</f>
        <v>#N/A</v>
      </c>
      <c r="GG80" s="121" t="n">
        <f aca="false">IF(ISNA(VLOOKUP(A80,'Données projet'!$A$243:$I$263,3,0)),0,VLOOKUP(A80,'Données projet'!$A$243:$I$263,3,0))</f>
        <v>0</v>
      </c>
      <c r="GH80" s="121" t="n">
        <f aca="false">IF(ISNA(VLOOKUP(A80,'Données projet'!$A$243:$I$263,4,0)),0,VLOOKUP(A80,'Données projet'!$A$243:$I$263,4,0))</f>
        <v>0</v>
      </c>
      <c r="GI80" s="122" t="n">
        <f aca="false">IF(ISNA(VLOOKUP(A80,'Données projet'!$A$243:$I$263,5,0)),0%,VLOOKUP(A80,'Données projet'!$A$243:$I$263,5,0)*VLOOKUP('Données projet'!$B$17,Paramètres!$A$1:$I$89,7,0))</f>
        <v>0</v>
      </c>
      <c r="GJ80" s="122" t="n">
        <f aca="false">IF(ISNA(VLOOKUP(A80,'Données projet'!$A$243:$I$263,6,0)),0%,VLOOKUP(A80,'Données projet'!$A$243:$I$263,6,0)*VLOOKUP('Données projet'!$B$17,Paramètres!$A$1:$I$89,7,0))</f>
        <v>0</v>
      </c>
      <c r="GK80" s="122" t="n">
        <f aca="false">IF(ISNA(VLOOKUP(A80,'Données projet'!$A$243:$I$263,7,0)),0%,VLOOKUP(A80,'Données projet'!$A$243:$I$263,7,0))</f>
        <v>0</v>
      </c>
      <c r="GL80" s="129" t="e">
        <f aca="false">EXP(-LN(2)/35)*GL79+(1-EXP(-LN(2)/35))/(LN(2)/35)*GH80*GI80*VLOOKUP('Données projet'!$B$17,Paramètres!$A$1:$I$89,3,0)*0.475*44/12</f>
        <v>#N/A</v>
      </c>
      <c r="GM80" s="129" t="e">
        <f aca="false">EXP(-LN(2)/25)*GM79+(1-EXP(-LN(2)/25))/(LN(2)/25)*Calculateur!GH80*Calculateur!GJ80*VLOOKUP('Données projet'!$B$17,Paramètres!$A$1:$I$89,3,0)*0.475*44/12</f>
        <v>#N/A</v>
      </c>
      <c r="GN80" s="129" t="e">
        <f aca="false">EXP(-LN(2)/2)*GN79+(1-EXP(-LN(2)/2))/(LN(2)/2)*GH80*GK80*VLOOKUP('Données projet'!$B$17,Paramètres!$A$1:$I$89,3,0)*0.475*44/12</f>
        <v>#N/A</v>
      </c>
      <c r="GO80" s="129" t="e">
        <f aca="false">SUM(GL80:GN80)</f>
        <v>#N/A</v>
      </c>
      <c r="GP80" s="126" t="n">
        <f aca="false"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8" t="n">
        <f aca="false"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8" t="e">
        <f aca="false">VLOOKUP(A80,'Données projet'!$A$269:$I$289,2,0)</f>
        <v>#N/A</v>
      </c>
      <c r="GS80" s="118" t="e">
        <f aca="false">VLOOKUP(A80,'Données projet'!$A$269:$I$289,9,0)</f>
        <v>#N/A</v>
      </c>
      <c r="GT80" s="118" t="n">
        <f aca="false" t="array" ref="GT80:GT80">INDEX(GS:GS,MIN(IF(ISNUMBER(GS80:GS276),ROW(GS80:GS276),"")))</f>
        <v>0</v>
      </c>
      <c r="GU80" s="118" t="n">
        <f aca="false">IF('Données projet'!$A$270&gt;35,GU79+GT80-HC79,IF(A80&lt;'Données projet'!$A$270,$GR$205^A80,IF(A80='Données projet'!$A$270,'Données projet'!$B$270,GU79+GT80-HC79)))</f>
        <v>0</v>
      </c>
      <c r="GV80" s="125" t="e">
        <f aca="false">GU80*VLOOKUP('Données projet'!$B$18,Paramètres!$A$1:$I$89,3,0)*VLOOKUP('Données projet'!$B$18,Paramètres!$A$1:$I$89,5,0)</f>
        <v>#N/A</v>
      </c>
      <c r="GW80" s="117" t="e">
        <f aca="false">EXP(-1.0587+0.8836*LN(GV80)+0.284)</f>
        <v>#N/A</v>
      </c>
      <c r="GX80" s="128" t="e">
        <f aca="false">(GV80+GW80)*0.475*44/12</f>
        <v>#N/A</v>
      </c>
      <c r="GY80" s="120" t="e">
        <f aca="false">GX80+(GP80+GQ80)*44/12</f>
        <v>#N/A</v>
      </c>
      <c r="GZ80" s="120" t="e">
        <f aca="true">AVERAGE(OFFSET($GY$3,0,0,'Données projet'!$E$18+1,1))-AVERAGE(OFFSET($H$3,0,0,'Données projet'!$E$18+1,1))</f>
        <v>#N/A</v>
      </c>
      <c r="HA80" s="120" t="e">
        <f aca="false">$HA$3</f>
        <v>#N/A</v>
      </c>
      <c r="HB80" s="121" t="n">
        <f aca="false">IF(ISNA(VLOOKUP(A80,'Données projet'!$A$269:$I$289,3,0)),0,VLOOKUP(A80,'Données projet'!$A$269:$I$289,3,0))</f>
        <v>0</v>
      </c>
      <c r="HC80" s="121" t="n">
        <f aca="false">IF(ISNA(VLOOKUP(A80,'Données projet'!$A$269:$I$289,4,0)),0,VLOOKUP(A80,'Données projet'!$A$269:$I$289,4,0))</f>
        <v>0</v>
      </c>
      <c r="HD80" s="122" t="n">
        <f aca="false">IF(ISNA(VLOOKUP(A80,'Données projet'!$A$269:$I$289,5,0)),0%,VLOOKUP(A80,'Données projet'!$A$269:$I$289,5,0)*VLOOKUP('Données projet'!$B$18,Paramètres!$A$1:$I$89,7,0))</f>
        <v>0</v>
      </c>
      <c r="HE80" s="122" t="n">
        <f aca="false">IF(ISNA(VLOOKUP(A80,'Données projet'!$A$269:$I$289,6,0)),0%,VLOOKUP(A80,'Données projet'!$A$269:$I$289,6,0)*VLOOKUP('Données projet'!$B$18,Paramètres!$A$1:$I$89,7,0))</f>
        <v>0</v>
      </c>
      <c r="HF80" s="122" t="n">
        <f aca="false">IF(ISNA(VLOOKUP(A80,'Données projet'!$A$269:$I$289,7,0)),0%,VLOOKUP(A80,'Données projet'!$A$269:$I$289,7,0))</f>
        <v>0</v>
      </c>
      <c r="HG80" s="129" t="e">
        <f aca="false">EXP(-LN(2)/35)*HG79+(1-EXP(-LN(2)/35))/(LN(2)/35)*HC80*HD80*VLOOKUP('Données projet'!$B$18,Paramètres!$A$1:$I$89,3,0)*0.475*44/12</f>
        <v>#N/A</v>
      </c>
      <c r="HH80" s="129" t="e">
        <f aca="false">EXP(-LN(2)/25)*HH79+(1-EXP(-LN(2)/25))/(LN(2)/25)*Calculateur!HC80*Calculateur!HE80*VLOOKUP('Données projet'!$B$18,Paramètres!$A$1:$I$89,3,0)*0.475*44/12</f>
        <v>#N/A</v>
      </c>
      <c r="HI80" s="129" t="e">
        <f aca="false">EXP(-LN(2)/2)*HI79+(1-EXP(-LN(2)/2))/(LN(2)/2)*HC80*HF80*VLOOKUP('Données projet'!$B$18,Paramètres!$A$1:$I$89,3,0)*0.475*44/12</f>
        <v>#N/A</v>
      </c>
      <c r="HJ80" s="130" t="e">
        <f aca="false">SUM(HG80:HI80)</f>
        <v>#N/A</v>
      </c>
    </row>
    <row r="81" customFormat="false" ht="14.25" hidden="false" customHeight="false" outlineLevel="0" collapsed="false">
      <c r="A81" s="112" t="n">
        <f aca="false">A80+1</f>
        <v>78</v>
      </c>
      <c r="B81" s="113" t="n">
        <f aca="false">'Scénario référence'!$B$16*5+'Scénario référence'!$B$17*0+'Scénario référence'!$B$18*5</f>
        <v>0</v>
      </c>
      <c r="C81" s="127" t="n">
        <f aca="false"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4" t="n">
        <f aca="false">IFERROR(EXP(-1.0587+0.8836*LN(C81)+0.284),0)</f>
        <v>0</v>
      </c>
      <c r="E8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1" s="114" t="n">
        <f aca="false">IF(OR('Scénario référence'!$F$8&gt;0,'Scénario référence'!$F$9&gt;0),('Scénario référence'!$F$8+'Scénario référence'!$F$9)*10,0)</f>
        <v>0</v>
      </c>
      <c r="G81" s="114" t="n">
        <f aca="false"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15" t="n">
        <f aca="false">(B81+E81+F81)*44/12+(C81+D81)*0.475*44/12</f>
        <v>256.666666666667</v>
      </c>
      <c r="I81" s="11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7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8" t="e">
        <f aca="false">VLOOKUP(A81,'Données projet'!$A$35:$I$55,2,0)</f>
        <v>#N/A</v>
      </c>
      <c r="L81" s="118" t="e">
        <f aca="false">VLOOKUP(A81,'Données projet'!$A$35:$I$55,9,0)</f>
        <v>#N/A</v>
      </c>
      <c r="M81" s="118" t="n">
        <f aca="false" t="array" ref="M81:M81">INDEX(L:L,MIN(IF(ISNUMBER(L81:L277),ROW(L81:L277),"")))</f>
        <v>17</v>
      </c>
      <c r="N81" s="117" t="n">
        <f aca="false">IF('Données projet'!$A$36&gt;35,N80+M81-V80,IF(A81&lt;'Données projet'!$A$36,$K$205^A81,IF(A81='Données projet'!$A$36,'Données projet'!$B$36,N80+M81-V80)))</f>
        <v>472.5</v>
      </c>
      <c r="O81" s="117" t="n">
        <f aca="false">N81*VLOOKUP('Données projet'!$B$9,Paramètres!$A$1:$I$89,3,0)*VLOOKUP('Données projet'!$B$9,Paramètres!$A$1:$I$89,5,0)</f>
        <v>221.13</v>
      </c>
      <c r="P81" s="117" t="n">
        <f aca="false">EXP(-1.0587+0.8836*LN(O81)+0.284)</f>
        <v>54.3604123586927</v>
      </c>
      <c r="Q81" s="128" t="n">
        <f aca="false">(O81+P81)*0.475*44/12</f>
        <v>479.81246819139</v>
      </c>
      <c r="R81" s="120" t="n">
        <f aca="false">Q81+(I81+J81)*44/12</f>
        <v>773.145801524723</v>
      </c>
      <c r="S81" s="120" t="n">
        <f aca="true">AVERAGE(OFFSET($R$3,0,0,'Données projet'!$E$9+1,1))-AVERAGE(OFFSET($H$3,0,0,'Données projet'!$E$9+1,1))</f>
        <v>319.229030946746</v>
      </c>
      <c r="T81" s="120" t="n">
        <f aca="false">$T$3</f>
        <v>254.586909731428</v>
      </c>
      <c r="U81" s="121" t="n">
        <f aca="false">IF(ISNA(VLOOKUP(A81,'Données projet'!$A$35:$I$55,3,0)),0,VLOOKUP(A81,'Données projet'!$A$35:$I$55,3,0))</f>
        <v>0</v>
      </c>
      <c r="V81" s="121" t="n">
        <f aca="false">IF(ISNA(VLOOKUP(A81,'Données projet'!$A$35:$I$55,4,0)),0,VLOOKUP(A81,'Données projet'!$A$35:$I$55,4,0))</f>
        <v>0</v>
      </c>
      <c r="W81" s="122" t="n">
        <f aca="false">IF(ISNA(VLOOKUP(A81,'Données projet'!$A$35:$I$55,5,0)),0%,VLOOKUP(A81,'Données projet'!$A$35:$I$55,5,0)*VLOOKUP('Données projet'!$B$9,Paramètres!$A$1:$I$89,7,0))</f>
        <v>0</v>
      </c>
      <c r="X81" s="122" t="n">
        <f aca="false">IF(ISNA(VLOOKUP(A81,'Données projet'!$A$35:$I$55,6,0)),0%,VLOOKUP(A81,'Données projet'!$A$35:$I$55,6,0)*VLOOKUP('Données projet'!$B$9,Paramètres!$A$1:$I$89,7,0))</f>
        <v>0</v>
      </c>
      <c r="Y81" s="122" t="n">
        <f aca="false">IF(ISNA(VLOOKUP(A81,'Données projet'!$A$35:$I$55,7,0)),0%,VLOOKUP(A81,'Données projet'!$A$35:$I$55,7,0))</f>
        <v>0</v>
      </c>
      <c r="Z81" s="129" t="n">
        <f aca="false">EXP(-LN(2)/35)*Z80+(1-EXP(-LN(2)/35))/(LN(2)/35)*V81*W81*VLOOKUP('Données projet'!$B$9,Paramètres!$A$1:$I$89,3,0)*0.475*44/12</f>
        <v>3.50801424132861</v>
      </c>
      <c r="AA81" s="129" t="n">
        <f aca="false">EXP(-LN(2)/25)*AA80+(1-EXP(-LN(2)/25))/(LN(2)/25)*Calculateur!V81*Calculateur!X81*VLOOKUP('Données projet'!$B$9,Paramètres!$A$1:$I$89,3,0)*0.475*44/12</f>
        <v>2.94678666127953</v>
      </c>
      <c r="AB81" s="129" t="n">
        <f aca="false">EXP(-LN(2)/2)*AB80+(1-EXP(-LN(2)/2))/(LN(2)/2)*V81*Y81*VLOOKUP('Données projet'!$B$9,Paramètres!$A$1:$I$89,3,0)*0.475*44/12</f>
        <v>6.58221760010624E-007</v>
      </c>
      <c r="AC81" s="130" t="n">
        <f aca="false">SUM(Z81:AB81)</f>
        <v>6.45480156082989</v>
      </c>
      <c r="AD81" s="117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7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8" t="e">
        <f aca="false">VLOOKUP(A81,'Données projet'!$A$61:$I$81,2,0)</f>
        <v>#N/A</v>
      </c>
      <c r="AG81" s="118" t="e">
        <f aca="false">VLOOKUP(A81,'Données projet'!$A$61:$I$81,9,0)</f>
        <v>#N/A</v>
      </c>
      <c r="AH81" s="118" t="n">
        <f aca="false" t="array" ref="AH81:AH81">INDEX(AG:AG,MIN(IF(ISNUMBER(AG81:AG277),ROW(AG81:AG277),"")))</f>
        <v>0</v>
      </c>
      <c r="AI81" s="117" t="n">
        <f aca="false">IF('Données projet'!$A$62&gt;35,AI80+AH81-AQ80,IF(A81&lt;'Données projet'!$A$62,$AF$205^A81,IF(A81='Données projet'!$A$62,'Données projet'!$B$62,AI80+AH81-AQ80)))</f>
        <v>1.13686837721616E-013</v>
      </c>
      <c r="AJ81" s="117" t="n">
        <f aca="false">AI81*VLOOKUP('Données projet'!$B$10,Paramètres!$A$1:$I$89,3,0)*VLOOKUP('Données projet'!$B$10,Paramètres!$A$1:$I$89,5,0)</f>
        <v>6.35509422863834E-014</v>
      </c>
      <c r="AK81" s="117" t="n">
        <f aca="false">EXP(-1.0587+0.8836*LN(AJ81)+0.284)</f>
        <v>1.0064464192544E-012</v>
      </c>
      <c r="AL81" s="128" t="n">
        <f aca="false">(AJ81+AK81)*0.475*44/12</f>
        <v>1.86357873801686E-012</v>
      </c>
      <c r="AM81" s="120" t="n">
        <f aca="false">AL81+(AD81+AE81)*44/12</f>
        <v>293.333333333335</v>
      </c>
      <c r="AN81" s="120" t="n">
        <f aca="true">AVERAGE(OFFSET($AM$3,0,0,'Données projet'!$E$10+1,1))-AVERAGE(OFFSET($H$3,0,0,'Données projet'!$E$10+1,1))</f>
        <v>365.705101827279</v>
      </c>
      <c r="AO81" s="120" t="n">
        <f aca="false">$AO$3</f>
        <v>436.238338449625</v>
      </c>
      <c r="AP81" s="121" t="n">
        <f aca="false">IF(ISNA(VLOOKUP(A81,'Données projet'!$A$61:$I$81,3,0)),0,VLOOKUP(A81,'Données projet'!$A$61:$I$81,3,0))</f>
        <v>0</v>
      </c>
      <c r="AQ81" s="121" t="n">
        <f aca="false">IF(ISNA(VLOOKUP(A81,'Données projet'!$A$61:$I$81,4,0)),0,VLOOKUP(A81,'Données projet'!$A$61:$I$81,4,0))</f>
        <v>0</v>
      </c>
      <c r="AR81" s="122" t="n">
        <f aca="false">IF(ISNA(VLOOKUP(A81,'Données projet'!$A$61:$I$81,5,0)),0%,VLOOKUP(A81,'Données projet'!$A$61:$I$81,5,0)*VLOOKUP('Données projet'!$B$10,Paramètres!$A$1:$I$89,7,0))</f>
        <v>0</v>
      </c>
      <c r="AS81" s="122" t="n">
        <f aca="false">IF(ISNA(VLOOKUP(A81,'Données projet'!$A$61:$I$81,6,0)),0%,VLOOKUP(A81,'Données projet'!$A$61:$I$81,6,0)*VLOOKUP('Données projet'!$B$10,Paramètres!$A$1:$I$89,7,0))</f>
        <v>0</v>
      </c>
      <c r="AT81" s="122" t="n">
        <f aca="false">IF(ISNA(VLOOKUP(A81,'Données projet'!$A$61:$I$81,7,0)),0%,VLOOKUP(A81,'Données projet'!$A$61:$I$81,7,0))</f>
        <v>0</v>
      </c>
      <c r="AU81" s="129" t="n">
        <f aca="false">EXP(-LN(2)/35)*AU80+(1-EXP(-LN(2)/35))/(LN(2)/35)*AQ81*AR81*VLOOKUP('Données projet'!$B$10,Paramètres!$A$1:$I$89,3,0)*0.475*44/12</f>
        <v>1.32416164133473</v>
      </c>
      <c r="AV81" s="129" t="n">
        <f aca="false">EXP(-LN(2)/25)*AV80+(1-EXP(-LN(2)/25))/(LN(2)/25)*Calculateur!AQ81*Calculateur!AS81*VLOOKUP('Données projet'!$B$10,Paramètres!$A$1:$I$89,3,0)*0.475*44/12</f>
        <v>3.49030946789353</v>
      </c>
      <c r="AW81" s="129" t="n">
        <f aca="false">EXP(-LN(2)/2)*AW80+(1-EXP(-LN(2)/2))/(LN(2)/2)*AQ81*AT81*VLOOKUP('Données projet'!$B$10,Paramètres!$A$1:$I$89,3,0)*0.475*44/12</f>
        <v>3.54234378676164E-007</v>
      </c>
      <c r="AX81" s="129" t="n">
        <f aca="false">SUM(AU81:AW81)</f>
        <v>4.81447146346264</v>
      </c>
      <c r="AY81" s="124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8" t="e">
        <f aca="false">VLOOKUP(A81,'Données projet'!$A$87:$I$107,2,0)</f>
        <v>#N/A</v>
      </c>
      <c r="BB81" s="118" t="e">
        <f aca="false">VLOOKUP(A81,'Données projet'!$A$87:$I$107,9,0)</f>
        <v>#N/A</v>
      </c>
      <c r="BC81" s="118" t="n">
        <f aca="false" t="array" ref="BC81:BC81">INDEX(BB:BB,MIN(IF(ISNUMBER(BB81:BB277),ROW(BB81:BB277),"")))</f>
        <v>0</v>
      </c>
      <c r="BD81" s="118" t="n">
        <f aca="false">IF('Données projet'!$A$88&gt;35,BD80+BC81-BL80,IF(A81&lt;'Données projet'!$A$88,$BA$205^A81,IF(A81='Données projet'!$A$88,'Données projet'!$B$88,BD80+BC81-BL80)))</f>
        <v>1.98951966012828E-013</v>
      </c>
      <c r="BE81" s="117" t="n">
        <f aca="false">BD81*VLOOKUP('Données projet'!$B$11,Paramètres!$A$1:$I$89,3,0)*VLOOKUP('Données projet'!$B$11,Paramètres!$A$1:$I$89,5,0)</f>
        <v>1.73804437508807E-013</v>
      </c>
      <c r="BF81" s="117" t="n">
        <f aca="false">EXP(-1.0587+0.8836*LN(BE81)+0.284)</f>
        <v>2.44832936339505E-012</v>
      </c>
      <c r="BG81" s="128" t="n">
        <f aca="false">(BE81+BF81)*0.475*44/12</f>
        <v>4.56688303657421E-012</v>
      </c>
      <c r="BH81" s="120" t="n">
        <f aca="false">BG81+(AY81+AZ81)*44/12</f>
        <v>293.333333333338</v>
      </c>
      <c r="BI81" s="120" t="n">
        <f aca="true">AVERAGE(OFFSET($BH$3,0,0,'Données projet'!$E$11+1,1))-AVERAGE(OFFSET($H$3,0,0,'Données projet'!$E$11+1,1))</f>
        <v>321.235999689929</v>
      </c>
      <c r="BJ81" s="120" t="n">
        <f aca="false">$BJ$3</f>
        <v>388.051958478005</v>
      </c>
      <c r="BK81" s="121" t="n">
        <f aca="false">IF(ISNA(VLOOKUP(A81,'Données projet'!$A$87:$I$107,3,0)),0,VLOOKUP(A81,'Données projet'!$A$87:$I$107,3,0))</f>
        <v>0</v>
      </c>
      <c r="BL81" s="121" t="n">
        <f aca="false">IF(ISNA(VLOOKUP(A81,'Données projet'!$A$87:$I$107,4,0)),0,VLOOKUP(A81,'Données projet'!$A$87:$I$107,4,0))</f>
        <v>0</v>
      </c>
      <c r="BM81" s="122" t="n">
        <f aca="false">IF(ISNA(VLOOKUP(A81,'Données projet'!$A$87:$I$107,5,0)),0%,VLOOKUP(A81,'Données projet'!$A$87:$I$107,5,0)*VLOOKUP('Données projet'!$B$11,Paramètres!$A$1:$I$89,7,0))</f>
        <v>0</v>
      </c>
      <c r="BN81" s="122" t="n">
        <f aca="false">IF(ISNA(VLOOKUP(A81,'Données projet'!$A$87:$I$107,6,0)),0%,VLOOKUP(A81,'Données projet'!$A$87:$I$107,6,0)*VLOOKUP('Données projet'!$B$11,Paramètres!$A$1:$I$89,7,0))</f>
        <v>0</v>
      </c>
      <c r="BO81" s="122" t="n">
        <f aca="false">IF(ISNA(VLOOKUP(A81,'Données projet'!$A$87:$I$107,7,0)),0%,VLOOKUP(A81,'Données projet'!$A$87:$I$107,7,0))</f>
        <v>0</v>
      </c>
      <c r="BP81" s="129" t="n">
        <f aca="false">EXP(-LN(2)/35)*BP80+(1-EXP(-LN(2)/35))/(LN(2)/35)*BL81*BM81*VLOOKUP('Données projet'!$B$11,Paramètres!$A$1:$I$89,3,0)*0.475*44/12</f>
        <v>3.32446849016918</v>
      </c>
      <c r="BQ81" s="129" t="n">
        <f aca="false">EXP(-LN(2)/25)*BQ80+(1-EXP(-LN(2)/25))/(LN(2)/25)*Calculateur!BL81*Calculateur!BN81*VLOOKUP('Données projet'!$B$11,Paramètres!$A$1:$I$89,3,0)*0.475*44/12</f>
        <v>3.56270059326079</v>
      </c>
      <c r="BR81" s="129" t="n">
        <f aca="false">EXP(-LN(2)/2)*BR80+(1-EXP(-LN(2)/2))/(LN(2)/2)*BL81*BO81*VLOOKUP('Données projet'!$B$11,Paramètres!$A$1:$I$89,3,0)*0.475*44/12</f>
        <v>3.60071883040353E-007</v>
      </c>
      <c r="BS81" s="130" t="n">
        <f aca="false">SUM(BP81:BR81)</f>
        <v>6.88716944350185</v>
      </c>
      <c r="BT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8" t="e">
        <f aca="false">VLOOKUP(A81,'Données projet'!$A$113:$I$133,2,0)</f>
        <v>#N/A</v>
      </c>
      <c r="BW81" s="118" t="e">
        <f aca="false">VLOOKUP(A81,'Données projet'!$A$113:$I$133,9,0)</f>
        <v>#N/A</v>
      </c>
      <c r="BX81" s="118" t="n">
        <f aca="false" t="array" ref="BX81:BX81">INDEX(BW:BW,MIN(IF(ISNUMBER(BW81:BW277),ROW(BW81:BW277),"")))</f>
        <v>0</v>
      </c>
      <c r="BY81" s="118" t="n">
        <f aca="false">IF('Données projet'!$A$114&gt;35,BY80+BX81-CG80,IF(A81&lt;'Données projet'!$A$114,$BV$205^A81,IF(A81='Données projet'!$A$114,'Données projet'!$B$114,BY80+BX81-CG80)))</f>
        <v>0</v>
      </c>
      <c r="BZ81" s="117" t="n">
        <f aca="false">BY81*VLOOKUP('Données projet'!$B$12,Paramètres!$A$1:$I$89,3,0)*VLOOKUP('Données projet'!$B$12,Paramètres!$A$1:$I$89,5,0)</f>
        <v>0</v>
      </c>
      <c r="CA81" s="117" t="e">
        <f aca="false">EXP(-1.0587+0.8836*LN(BZ81)+0.284)</f>
        <v>#VALUE!</v>
      </c>
      <c r="CB81" s="128" t="e">
        <f aca="false">(BZ81+CA81)*0.475*44/12</f>
        <v>#VALUE!</v>
      </c>
      <c r="CC81" s="120" t="e">
        <f aca="false">CB81+(BT81+BU81)*44/12</f>
        <v>#VALUE!</v>
      </c>
      <c r="CD81" s="120" t="n">
        <f aca="true">AVERAGE(OFFSET($CC$3,0,0,'Données projet'!$E$12+1,1))-AVERAGE(OFFSET($H$3,0,0,'Données projet'!$E$12+1,1))</f>
        <v>240.228848647662</v>
      </c>
      <c r="CE81" s="120" t="n">
        <f aca="false">$CE$3</f>
        <v>343.237768841432</v>
      </c>
      <c r="CF81" s="121" t="n">
        <f aca="false">IF(ISNA(VLOOKUP(A81,'Données projet'!$A$113:$I$133,3,0)),0,VLOOKUP(A81,'Données projet'!$A$113:$I$133,3,0))</f>
        <v>0</v>
      </c>
      <c r="CG81" s="121" t="n">
        <f aca="false">IF(ISNA(VLOOKUP(A81,'Données projet'!$A$113:$I$133,4,0)),0,VLOOKUP(A81,'Données projet'!$A$113:$I$133,4,0))</f>
        <v>0</v>
      </c>
      <c r="CH81" s="122" t="n">
        <f aca="false">IF(ISNA(VLOOKUP(A81,'Données projet'!$A$113:$I$133,5,0)),0%,VLOOKUP(A81,'Données projet'!$A$113:$I$133,5,0)*VLOOKUP('Données projet'!$B$12,Paramètres!$A$1:$I$89,7,0))</f>
        <v>0</v>
      </c>
      <c r="CI81" s="122" t="n">
        <f aca="false">IF(ISNA(VLOOKUP(A81,'Données projet'!$A$113:$I$133,6,0)),0%,VLOOKUP(A81,'Données projet'!$A$113:$I$133,6,0)*VLOOKUP('Données projet'!$B$12,Paramètres!$A$1:$I$89,7,0))</f>
        <v>0</v>
      </c>
      <c r="CJ81" s="122" t="n">
        <f aca="false">IF(ISNA(VLOOKUP(A81,'Données projet'!$A$113:$I$133,7,0)),0%,VLOOKUP(A81,'Données projet'!$A$113:$I$133,7,0))</f>
        <v>0</v>
      </c>
      <c r="CK81" s="129" t="n">
        <f aca="false">EXP(-LN(2)/35)*CK80+(1-EXP(-LN(2)/35))/(LN(2)/35)*CG81*CH81*VLOOKUP('Données projet'!$B$12,Paramètres!$A$1:$I$89,3,0)*0.475*44/12</f>
        <v>2.03483371522534</v>
      </c>
      <c r="CL81" s="129" t="n">
        <f aca="false">EXP(-LN(2)/25)*CL80+(1-EXP(-LN(2)/25))/(LN(2)/25)*Calculateur!CG81*Calculateur!CI81*VLOOKUP('Données projet'!$B$12,Paramètres!$A$1:$I$89,3,0)*0.475*44/12</f>
        <v>6.29193549203218</v>
      </c>
      <c r="CM81" s="129" t="n">
        <f aca="false">EXP(-LN(2)/2)*CM80+(1-EXP(-LN(2)/2))/(LN(2)/2)*CG81*CJ81*VLOOKUP('Données projet'!$B$12,Paramètres!$A$1:$I$89,3,0)*0.475*44/12</f>
        <v>5.74578730223406E-007</v>
      </c>
      <c r="CN81" s="130" t="n">
        <f aca="false">SUM(CK81:CM81)</f>
        <v>8.32676978183625</v>
      </c>
      <c r="CO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8" t="e">
        <f aca="false">VLOOKUP(A81,'Données projet'!$A$139:$I$159,2,0)</f>
        <v>#N/A</v>
      </c>
      <c r="CR81" s="118" t="e">
        <f aca="false">VLOOKUP(A81,'Données projet'!$A$139:$I$159,9,0)</f>
        <v>#N/A</v>
      </c>
      <c r="CS81" s="118" t="n">
        <f aca="false" t="array" ref="CS81:CS81">INDEX(CR:CR,MIN(IF(ISNUMBER(CR81:CR277),ROW(CR81:CR277),"")))</f>
        <v>0</v>
      </c>
      <c r="CT81" s="118" t="n">
        <f aca="false">IF('Données projet'!$A$140&gt;35,CT80+CS81-DB80,IF(A81&lt;'Données projet'!$A$140,$CQ$205^A81,IF(A81='Données projet'!$A$140,'Données projet'!$B$140,CT80+CS81-DB80)))</f>
        <v>-5.6843418860808E-014</v>
      </c>
      <c r="CU81" s="125" t="n">
        <f aca="false">CT81*VLOOKUP('Données projet'!$B$13,Paramètres!$A$1:$I$89,3,0)*VLOOKUP('Données projet'!$B$13,Paramètres!$A$1:$I$89,5,0)</f>
        <v>-3.10365066980012E-014</v>
      </c>
      <c r="CV81" s="117" t="e">
        <f aca="false">EXP(-1.0587+0.8836*LN(CU81)+0.284)</f>
        <v>#VALUE!</v>
      </c>
      <c r="CW81" s="128" t="e">
        <f aca="false">(CU81+CV81)*0.475*44/12</f>
        <v>#VALUE!</v>
      </c>
      <c r="CX81" s="120" t="e">
        <f aca="false">CW81+(CO81+CP81)*44/12</f>
        <v>#VALUE!</v>
      </c>
      <c r="CY81" s="120" t="n">
        <f aca="true">AVERAGE(OFFSET($CX$3,0,0,'Données projet'!$E$13+1,1))-AVERAGE(OFFSET($H$3,0,0,'Données projet'!$E$13+1,1))</f>
        <v>207.023069645676</v>
      </c>
      <c r="CZ81" s="120" t="n">
        <f aca="false">$CZ$3</f>
        <v>342.068879333518</v>
      </c>
      <c r="DA81" s="121" t="n">
        <f aca="false">IF(ISNA(VLOOKUP(A81,'Données projet'!$A$139:$I$159,3,0)),0,VLOOKUP(A81,'Données projet'!$A$139:$I$159,3,0))</f>
        <v>0</v>
      </c>
      <c r="DB81" s="121" t="n">
        <f aca="false">IF(ISNA(VLOOKUP(A81,'Données projet'!$A$139:$I$159,4,0)),0,VLOOKUP(A81,'Données projet'!$A$139:$I$159,4,0))</f>
        <v>0</v>
      </c>
      <c r="DC81" s="122" t="n">
        <f aca="false">IF(ISNA(VLOOKUP(A81,'Données projet'!$A$139:$I$159,5,0)),0%,VLOOKUP(A81,'Données projet'!$A$139:$I$159,5,0)*VLOOKUP('Données projet'!$B$13,Paramètres!$A$1:$I$89,7,0))</f>
        <v>0</v>
      </c>
      <c r="DD81" s="122" t="n">
        <f aca="false">IF(ISNA(VLOOKUP(A81,'Données projet'!$A$139:$I$159,6,0)),0%,VLOOKUP(A81,'Données projet'!$A$139:$I$159,6,0)*VLOOKUP('Données projet'!$B$13,Paramètres!$A$1:$I$89,7,0))</f>
        <v>0</v>
      </c>
      <c r="DE81" s="122" t="n">
        <f aca="false">IF(ISNA(VLOOKUP(A81,'Données projet'!$A$139:$I$159,7,0)),0%,VLOOKUP(A81,'Données projet'!$A$139:$I$159,7,0))</f>
        <v>0</v>
      </c>
      <c r="DF81" s="129" t="n">
        <f aca="false">EXP(-LN(2)/35)*DF80+(1-EXP(-LN(2)/35))/(LN(2)/35)*DB81*DC81*VLOOKUP('Données projet'!$B$13,Paramètres!$A$1:$I$89,3,0)*0.475*44/12</f>
        <v>2.55314041627331</v>
      </c>
      <c r="DG81" s="129" t="n">
        <f aca="false">EXP(-LN(2)/25)*DG80+(1-EXP(-LN(2)/25))/(LN(2)/25)*Calculateur!DB81*Calculateur!DD81*VLOOKUP('Données projet'!$B$13,Paramètres!$A$1:$I$89,3,0)*0.475*44/12</f>
        <v>10.284694008643</v>
      </c>
      <c r="DH81" s="129" t="n">
        <f aca="false">EXP(-LN(2)/2)*DH80+(1-EXP(-LN(2)/2))/(LN(2)/2)*DB81*DE81*VLOOKUP('Données projet'!$B$13,Paramètres!$A$1:$I$89,3,0)*0.475*44/12</f>
        <v>7.91195177906802E-007</v>
      </c>
      <c r="DI81" s="130" t="n">
        <f aca="false">SUM(DF81:DH81)</f>
        <v>12.8378352161115</v>
      </c>
      <c r="DJ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8" t="e">
        <f aca="false">VLOOKUP(A81,'Données projet'!$A$165:$I$185,2,0)</f>
        <v>#N/A</v>
      </c>
      <c r="DM81" s="118" t="e">
        <f aca="false">VLOOKUP(A81,'Données projet'!$A$165:$I$185,9,0)</f>
        <v>#N/A</v>
      </c>
      <c r="DN81" s="118" t="n">
        <f aca="false" t="array" ref="DN81:DN81">INDEX(DM:DM,MIN(IF(ISNUMBER(DM81:DM277),ROW(DM81:DM277),"")))</f>
        <v>0</v>
      </c>
      <c r="DO81" s="118" t="n">
        <f aca="false">IF('Données projet'!$A$166&gt;35,DO80+DN81-DW80,IF(A81&lt;'Données projet'!$A$166,$DL$205^A81,IF(A81='Données projet'!$A$166,'Données projet'!$B$166,DO80+DN81-DW80)))</f>
        <v>0</v>
      </c>
      <c r="DP81" s="125" t="n">
        <f aca="false">DO81*VLOOKUP('Données projet'!$B$14,Paramètres!$A$1:$I$89,3,0)*VLOOKUP('Données projet'!$B$14,Paramètres!$A$1:$I$89,5,0)</f>
        <v>0</v>
      </c>
      <c r="DQ81" s="117" t="e">
        <f aca="false">EXP(-1.0587+0.8836*LN(DP81)+0.284)</f>
        <v>#VALUE!</v>
      </c>
      <c r="DR81" s="128" t="e">
        <f aca="false">(DP81+DQ81)*0.475*44/12</f>
        <v>#VALUE!</v>
      </c>
      <c r="DS81" s="120" t="e">
        <f aca="false">DR81+(DJ81+DK81)*44/12</f>
        <v>#VALUE!</v>
      </c>
      <c r="DT81" s="120" t="n">
        <f aca="true">AVERAGE(OFFSET($DS$3,0,0,'Données projet'!$E$14+1,1))-AVERAGE(OFFSET($H$3,0,0,'Données projet'!$E$14+1,1))</f>
        <v>549.432320957297</v>
      </c>
      <c r="DU81" s="120" t="n">
        <f aca="false">$DU$3</f>
        <v>280.26155987301</v>
      </c>
      <c r="DV81" s="121" t="n">
        <f aca="false">IF(ISNA(VLOOKUP(A81,'Données projet'!$A$165:$I$185,3,0)),0,VLOOKUP(A81,'Données projet'!$A$165:$I$185,3,0))</f>
        <v>0</v>
      </c>
      <c r="DW81" s="121" t="n">
        <f aca="false">IF(ISNA(VLOOKUP(A81,'Données projet'!$A$165:$I$185,4,0)),0,VLOOKUP(A81,'Données projet'!$A$165:$I$185,4,0))</f>
        <v>0</v>
      </c>
      <c r="DX81" s="122" t="n">
        <f aca="false">IF(ISNA(VLOOKUP(A81,'Données projet'!$A$165:$I$185,5,0)),0%,VLOOKUP(A81,'Données projet'!$A$165:$I$185,5,0)*VLOOKUP('Données projet'!$B$14,Paramètres!$A$1:$I$89,7,0))</f>
        <v>0</v>
      </c>
      <c r="DY81" s="122" t="n">
        <f aca="false">IF(ISNA(VLOOKUP(A81,'Données projet'!$A$165:$I$185,6,0)),0%,VLOOKUP(A81,'Données projet'!$A$165:$I$185,6,0)*VLOOKUP('Données projet'!$B$14,Paramètres!$A$1:$I$89,7,0))</f>
        <v>0</v>
      </c>
      <c r="DZ81" s="122" t="n">
        <f aca="false">IF(ISNA(VLOOKUP(A81,'Données projet'!$A$165:$I$185,7,0)),0%,VLOOKUP(A81,'Données projet'!$A$165:$I$185,7,0))</f>
        <v>0</v>
      </c>
      <c r="EA81" s="129" t="n">
        <f aca="false">EXP(-LN(2)/35)*EA80+(1-EXP(-LN(2)/35))/(LN(2)/35)*DW81*DX81*VLOOKUP('Données projet'!$B$14,Paramètres!$A$1:$I$89,3,0)*0.475*44/12</f>
        <v>0.928319008493537</v>
      </c>
      <c r="EB81" s="129" t="n">
        <f aca="false">EXP(-LN(2)/25)*EB80+(1-EXP(-LN(2)/25))/(LN(2)/25)*Calculateur!DW81*Calculateur!DY81*VLOOKUP('Données projet'!$B$14,Paramètres!$A$1:$I$89,3,0)*0.475*44/12</f>
        <v>2.04891395996801</v>
      </c>
      <c r="EC81" s="129" t="n">
        <f aca="false">EXP(-LN(2)/2)*EC80+(1-EXP(-LN(2)/2))/(LN(2)/2)*DW81*DZ81*VLOOKUP('Données projet'!$B$14,Paramètres!$A$1:$I$89,3,0)*0.475*44/12</f>
        <v>3.64724667940108E-007</v>
      </c>
      <c r="ED81" s="130" t="n">
        <f aca="false">SUM(EA81:EC81)</f>
        <v>2.97723333318621</v>
      </c>
      <c r="EE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8" t="e">
        <f aca="false">VLOOKUP(A81,'Données projet'!$A$191:$I$211,2,0)</f>
        <v>#N/A</v>
      </c>
      <c r="EH81" s="118" t="e">
        <f aca="false">VLOOKUP(A81,'Données projet'!$A$191:$I$211,9,0)</f>
        <v>#N/A</v>
      </c>
      <c r="EI81" s="118" t="n">
        <f aca="false" t="array" ref="EI81:EI81">INDEX(EH:EH,MIN(IF(ISNUMBER(EH81:EH277),ROW(EH81:EH277),"")))</f>
        <v>0</v>
      </c>
      <c r="EJ81" s="118" t="n">
        <f aca="false">IF('Données projet'!$A$192&gt;35,EJ80+EI81-ER80,IF(A81&lt;'Données projet'!$A$192,$EG$205^A81,IF(A81='Données projet'!$A$192,'Données projet'!$B$192,EJ80+EI81-ER80)))</f>
        <v>0</v>
      </c>
      <c r="EK81" s="125" t="e">
        <f aca="false">EJ81*VLOOKUP('Données projet'!$B$15,Paramètres!$A$1:$I$89,3,0)*VLOOKUP('Données projet'!$B$15,Paramètres!$A$1:$I$89,5,0)</f>
        <v>#N/A</v>
      </c>
      <c r="EL81" s="117" t="e">
        <f aca="false">EXP(-1.0587+0.8836*LN(EK81)+0.284)</f>
        <v>#N/A</v>
      </c>
      <c r="EM81" s="128" t="e">
        <f aca="false">(EK81+EL81)*0.475*44/12</f>
        <v>#N/A</v>
      </c>
      <c r="EN81" s="120" t="e">
        <f aca="false">EM81+(EE81+EF81)*44/12</f>
        <v>#N/A</v>
      </c>
      <c r="EO81" s="120" t="e">
        <f aca="true">AVERAGE(OFFSET($EN$3,0,0,'Données projet'!$E$15+1,1))-AVERAGE(OFFSET($H$3,0,0,'Données projet'!$E$15+1,1))</f>
        <v>#N/A</v>
      </c>
      <c r="EP81" s="120" t="e">
        <f aca="false">$EP$3</f>
        <v>#N/A</v>
      </c>
      <c r="EQ81" s="121" t="n">
        <f aca="false">IF(ISNA(VLOOKUP(A81,'Données projet'!$A$191:$I$211,3,0)),0,VLOOKUP(A81,'Données projet'!$A$191:$I$211,3,0))</f>
        <v>0</v>
      </c>
      <c r="ER81" s="121" t="n">
        <f aca="false">IF(ISNA(VLOOKUP(A81,'Données projet'!$A$191:$I$211,4,0)),0,VLOOKUP(A81,'Données projet'!$A$191:$I$211,4,0))</f>
        <v>0</v>
      </c>
      <c r="ES81" s="122" t="n">
        <f aca="false">IF(ISNA(VLOOKUP(A81,'Données projet'!$A$191:$I$211,5,0)),0%,VLOOKUP(A81,'Données projet'!$A$191:$I$211,5,0)*VLOOKUP('Données projet'!$B$15,Paramètres!$A$1:$I$89,7,0))</f>
        <v>0</v>
      </c>
      <c r="ET81" s="122" t="n">
        <f aca="false">IF(ISNA(VLOOKUP(A81,'Données projet'!$A$191:$I$211,6,0)),0%,VLOOKUP(A81,'Données projet'!$A$191:$I$211,6,0)*VLOOKUP('Données projet'!$B$15,Paramètres!$A$1:$I$89,7,0))</f>
        <v>0</v>
      </c>
      <c r="EU81" s="122" t="n">
        <f aca="false">IF(ISNA(VLOOKUP(A81,'Données projet'!$A$191:$I$211,7,0)),0%,VLOOKUP(A81,'Données projet'!$A$191:$I$211,7,0))</f>
        <v>0</v>
      </c>
      <c r="EV81" s="129" t="e">
        <f aca="false">EXP(-LN(2)/35)*EV80+(1-EXP(-LN(2)/35))/(LN(2)/35)*ER81*ES81*VLOOKUP('Données projet'!$B$15,Paramètres!$A$1:$I$89,3,0)*0.475*44/12</f>
        <v>#N/A</v>
      </c>
      <c r="EW81" s="129" t="e">
        <f aca="false">EXP(-LN(2)/25)*EW80+(1-EXP(-LN(2)/25))/(LN(2)/25)*Calculateur!ER81*Calculateur!ET81*VLOOKUP('Données projet'!$B$15,Paramètres!$A$1:$I$89,3,0)*0.475*44/12</f>
        <v>#N/A</v>
      </c>
      <c r="EX81" s="129" t="e">
        <f aca="false">EXP(-LN(2)/2)*EX80+(1-EXP(-LN(2)/2))/(LN(2)/2)*ER81*EU81*VLOOKUP('Données projet'!$B$15,Paramètres!$A$1:$I$89,3,0)*0.475*44/12</f>
        <v>#N/A</v>
      </c>
      <c r="EY81" s="130" t="e">
        <f aca="false">SUM(EV81:EX81)</f>
        <v>#N/A</v>
      </c>
      <c r="EZ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8" t="e">
        <f aca="false">VLOOKUP(A81,'Données projet'!$A$217:$I$237,2,0)</f>
        <v>#N/A</v>
      </c>
      <c r="FC81" s="118" t="e">
        <f aca="false">VLOOKUP(A81,'Données projet'!$A$217:$I$237,9,0)</f>
        <v>#N/A</v>
      </c>
      <c r="FD81" s="118" t="n">
        <f aca="false" t="array" ref="FD81:FD81">INDEX(FC:FC,MIN(IF(ISNUMBER(FC81:FC277),ROW(FC81:FC277),"")))</f>
        <v>0</v>
      </c>
      <c r="FE81" s="118" t="n">
        <f aca="false">IF('Données projet'!$A$218&gt;35,FE80+FD81-FM80,IF(A81&lt;'Données projet'!$A$218,$FB$205^A81,IF(A81='Données projet'!$A$218,'Données projet'!$B$218,FE80+FD81-FM80)))</f>
        <v>0</v>
      </c>
      <c r="FF81" s="125" t="e">
        <f aca="false">FE81*VLOOKUP('Données projet'!$B$16,Paramètres!$A$1:$I$89,3,0)*VLOOKUP('Données projet'!$B$16,Paramètres!$A$1:$I$89,5,0)</f>
        <v>#N/A</v>
      </c>
      <c r="FG81" s="117" t="e">
        <f aca="false">EXP(-1.0587+0.8836*LN(FF81)+0.284)</f>
        <v>#N/A</v>
      </c>
      <c r="FH81" s="128" t="e">
        <f aca="false">(FF81+FG81)*0.475*44/12</f>
        <v>#N/A</v>
      </c>
      <c r="FI81" s="120" t="e">
        <f aca="false">FH81+(EZ81+FA81)*44/12</f>
        <v>#N/A</v>
      </c>
      <c r="FJ81" s="120" t="e">
        <f aca="true">AVERAGE(OFFSET($FI$3,0,0,'Données projet'!$E$16+1,1))-AVERAGE(OFFSET($H$3,0,0,'Données projet'!$E$16+1,1))</f>
        <v>#N/A</v>
      </c>
      <c r="FK81" s="120" t="e">
        <f aca="false">$FK$3</f>
        <v>#N/A</v>
      </c>
      <c r="FL81" s="121" t="n">
        <f aca="false">IF(ISNA(VLOOKUP(A81,'Données projet'!$A$217:$I$237,3,0)),0,VLOOKUP(A81,'Données projet'!$A$217:$I$237,3,0))</f>
        <v>0</v>
      </c>
      <c r="FM81" s="121" t="n">
        <f aca="false">IF(ISNA(VLOOKUP(A81,'Données projet'!$A$217:$I$237,4,0)),0,VLOOKUP(A81,'Données projet'!$A$217:$I$237,4,0))</f>
        <v>0</v>
      </c>
      <c r="FN81" s="122" t="n">
        <f aca="false">IF(ISNA(VLOOKUP(A81,'Données projet'!$A$217:$I$237,5,0)),0%,VLOOKUP(A81,'Données projet'!$A$217:$I$237,5,0)*VLOOKUP('Données projet'!$B$16,Paramètres!$A$1:$I$89,7,0))</f>
        <v>0</v>
      </c>
      <c r="FO81" s="122" t="n">
        <f aca="false">IF(ISNA(VLOOKUP(A81,'Données projet'!$A$217:$I$237,6,0)),0%,VLOOKUP(A81,'Données projet'!$A$217:$I$237,6,0)*VLOOKUP('Données projet'!$B$16,Paramètres!$A$1:$I$89,7,0))</f>
        <v>0</v>
      </c>
      <c r="FP81" s="122" t="n">
        <f aca="false">IF(ISNA(VLOOKUP(A81,'Données projet'!$A$217:$I$237,7,0)),0%,VLOOKUP(A81,'Données projet'!$A$217:$I$237,7,0))</f>
        <v>0</v>
      </c>
      <c r="FQ81" s="129" t="e">
        <f aca="false">EXP(-LN(2)/35)*FQ80+(1-EXP(-LN(2)/35))/(LN(2)/35)*FM81*FN81*VLOOKUP('Données projet'!$B$16,Paramètres!$A$1:$I$89,3,0)*0.475*44/12</f>
        <v>#N/A</v>
      </c>
      <c r="FR81" s="129" t="e">
        <f aca="false">EXP(-LN(2)/25)*FR80+(1-EXP(-LN(2)/25))/(LN(2)/25)*Calculateur!FM81*Calculateur!FO81*VLOOKUP('Données projet'!$B$16,Paramètres!$A$1:$I$89,3,0)*0.475*44/12</f>
        <v>#N/A</v>
      </c>
      <c r="FS81" s="129" t="e">
        <f aca="false">EXP(-LN(2)/2)*FS80+(1-EXP(-LN(2)/2))/(LN(2)/2)*FM81*FP81*VLOOKUP('Données projet'!$B$16,Paramètres!$A$1:$I$89,3,0)*0.475*44/12</f>
        <v>#N/A</v>
      </c>
      <c r="FT81" s="130" t="e">
        <f aca="false">SUM(FQ81:FS81)</f>
        <v>#N/A</v>
      </c>
      <c r="FU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8" t="e">
        <f aca="false">VLOOKUP(A81,'Données projet'!$A$243:$I$263,2,0)</f>
        <v>#N/A</v>
      </c>
      <c r="FX81" s="118" t="e">
        <f aca="false">VLOOKUP(A81,'Données projet'!$A$243:$I$263,9,0)</f>
        <v>#N/A</v>
      </c>
      <c r="FY81" s="118" t="n">
        <f aca="false" t="array" ref="FY81:FY81">INDEX(FX:FX,MIN(IF(ISNUMBER(FX81:FX277),ROW(FX81:FX277),"")))</f>
        <v>0</v>
      </c>
      <c r="FZ81" s="118" t="n">
        <f aca="false">IF('Données projet'!$A$244&gt;35,FZ80+FY81-GH80,IF(A81&lt;'Données projet'!$A$244,$FW$205^A81,IF(A81='Données projet'!$A$244,'Données projet'!$B$244,FZ80+FY81-GH80)))</f>
        <v>0</v>
      </c>
      <c r="GA81" s="125" t="e">
        <f aca="false">FZ81*VLOOKUP('Données projet'!$B$17,Paramètres!$A$1:$I$89,3,0)*VLOOKUP('Données projet'!$B$17,Paramètres!$A$1:$I$89,5,0)</f>
        <v>#N/A</v>
      </c>
      <c r="GB81" s="117" t="e">
        <f aca="false">EXP(-1.0587+0.8836*LN(GA81)+0.284)</f>
        <v>#N/A</v>
      </c>
      <c r="GC81" s="128" t="e">
        <f aca="false">(GA81+GB81)*0.475*44/12</f>
        <v>#N/A</v>
      </c>
      <c r="GD81" s="120" t="e">
        <f aca="false">GC81+(FU81+FV81)*44/12</f>
        <v>#N/A</v>
      </c>
      <c r="GE81" s="120" t="e">
        <f aca="true">AVERAGE(OFFSET($GD$3,0,0,'Données projet'!$E$17+1,1))-AVERAGE(OFFSET($H$3,0,0,'Données projet'!$E$17+1,1))</f>
        <v>#N/A</v>
      </c>
      <c r="GF81" s="120" t="e">
        <f aca="false">$GF$3</f>
        <v>#N/A</v>
      </c>
      <c r="GG81" s="121" t="n">
        <f aca="false">IF(ISNA(VLOOKUP(A81,'Données projet'!$A$243:$I$263,3,0)),0,VLOOKUP(A81,'Données projet'!$A$243:$I$263,3,0))</f>
        <v>0</v>
      </c>
      <c r="GH81" s="121" t="n">
        <f aca="false">IF(ISNA(VLOOKUP(A81,'Données projet'!$A$243:$I$263,4,0)),0,VLOOKUP(A81,'Données projet'!$A$243:$I$263,4,0))</f>
        <v>0</v>
      </c>
      <c r="GI81" s="122" t="n">
        <f aca="false">IF(ISNA(VLOOKUP(A81,'Données projet'!$A$243:$I$263,5,0)),0%,VLOOKUP(A81,'Données projet'!$A$243:$I$263,5,0)*VLOOKUP('Données projet'!$B$17,Paramètres!$A$1:$I$89,7,0))</f>
        <v>0</v>
      </c>
      <c r="GJ81" s="122" t="n">
        <f aca="false">IF(ISNA(VLOOKUP(A81,'Données projet'!$A$243:$I$263,6,0)),0%,VLOOKUP(A81,'Données projet'!$A$243:$I$263,6,0)*VLOOKUP('Données projet'!$B$17,Paramètres!$A$1:$I$89,7,0))</f>
        <v>0</v>
      </c>
      <c r="GK81" s="122" t="n">
        <f aca="false">IF(ISNA(VLOOKUP(A81,'Données projet'!$A$243:$I$263,7,0)),0%,VLOOKUP(A81,'Données projet'!$A$243:$I$263,7,0))</f>
        <v>0</v>
      </c>
      <c r="GL81" s="129" t="e">
        <f aca="false">EXP(-LN(2)/35)*GL80+(1-EXP(-LN(2)/35))/(LN(2)/35)*GH81*GI81*VLOOKUP('Données projet'!$B$17,Paramètres!$A$1:$I$89,3,0)*0.475*44/12</f>
        <v>#N/A</v>
      </c>
      <c r="GM81" s="129" t="e">
        <f aca="false">EXP(-LN(2)/25)*GM80+(1-EXP(-LN(2)/25))/(LN(2)/25)*Calculateur!GH81*Calculateur!GJ81*VLOOKUP('Données projet'!$B$17,Paramètres!$A$1:$I$89,3,0)*0.475*44/12</f>
        <v>#N/A</v>
      </c>
      <c r="GN81" s="129" t="e">
        <f aca="false">EXP(-LN(2)/2)*GN80+(1-EXP(-LN(2)/2))/(LN(2)/2)*GH81*GK81*VLOOKUP('Données projet'!$B$17,Paramètres!$A$1:$I$89,3,0)*0.475*44/12</f>
        <v>#N/A</v>
      </c>
      <c r="GO81" s="129" t="e">
        <f aca="false">SUM(GL81:GN81)</f>
        <v>#N/A</v>
      </c>
      <c r="GP81" s="126" t="n">
        <f aca="false"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8" t="n">
        <f aca="false"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8" t="e">
        <f aca="false">VLOOKUP(A81,'Données projet'!$A$269:$I$289,2,0)</f>
        <v>#N/A</v>
      </c>
      <c r="GS81" s="118" t="e">
        <f aca="false">VLOOKUP(A81,'Données projet'!$A$269:$I$289,9,0)</f>
        <v>#N/A</v>
      </c>
      <c r="GT81" s="118" t="n">
        <f aca="false" t="array" ref="GT81:GT81">INDEX(GS:GS,MIN(IF(ISNUMBER(GS81:GS277),ROW(GS81:GS277),"")))</f>
        <v>0</v>
      </c>
      <c r="GU81" s="118" t="n">
        <f aca="false">IF('Données projet'!$A$270&gt;35,GU80+GT81-HC80,IF(A81&lt;'Données projet'!$A$270,$GR$205^A81,IF(A81='Données projet'!$A$270,'Données projet'!$B$270,GU80+GT81-HC80)))</f>
        <v>0</v>
      </c>
      <c r="GV81" s="125" t="e">
        <f aca="false">GU81*VLOOKUP('Données projet'!$B$18,Paramètres!$A$1:$I$89,3,0)*VLOOKUP('Données projet'!$B$18,Paramètres!$A$1:$I$89,5,0)</f>
        <v>#N/A</v>
      </c>
      <c r="GW81" s="117" t="e">
        <f aca="false">EXP(-1.0587+0.8836*LN(GV81)+0.284)</f>
        <v>#N/A</v>
      </c>
      <c r="GX81" s="128" t="e">
        <f aca="false">(GV81+GW81)*0.475*44/12</f>
        <v>#N/A</v>
      </c>
      <c r="GY81" s="120" t="e">
        <f aca="false">GX81+(GP81+GQ81)*44/12</f>
        <v>#N/A</v>
      </c>
      <c r="GZ81" s="120" t="e">
        <f aca="true">AVERAGE(OFFSET($GY$3,0,0,'Données projet'!$E$18+1,1))-AVERAGE(OFFSET($H$3,0,0,'Données projet'!$E$18+1,1))</f>
        <v>#N/A</v>
      </c>
      <c r="HA81" s="120" t="e">
        <f aca="false">$HA$3</f>
        <v>#N/A</v>
      </c>
      <c r="HB81" s="121" t="n">
        <f aca="false">IF(ISNA(VLOOKUP(A81,'Données projet'!$A$269:$I$289,3,0)),0,VLOOKUP(A81,'Données projet'!$A$269:$I$289,3,0))</f>
        <v>0</v>
      </c>
      <c r="HC81" s="121" t="n">
        <f aca="false">IF(ISNA(VLOOKUP(A81,'Données projet'!$A$269:$I$289,4,0)),0,VLOOKUP(A81,'Données projet'!$A$269:$I$289,4,0))</f>
        <v>0</v>
      </c>
      <c r="HD81" s="122" t="n">
        <f aca="false">IF(ISNA(VLOOKUP(A81,'Données projet'!$A$269:$I$289,5,0)),0%,VLOOKUP(A81,'Données projet'!$A$269:$I$289,5,0)*VLOOKUP('Données projet'!$B$18,Paramètres!$A$1:$I$89,7,0))</f>
        <v>0</v>
      </c>
      <c r="HE81" s="122" t="n">
        <f aca="false">IF(ISNA(VLOOKUP(A81,'Données projet'!$A$269:$I$289,6,0)),0%,VLOOKUP(A81,'Données projet'!$A$269:$I$289,6,0)*VLOOKUP('Données projet'!$B$18,Paramètres!$A$1:$I$89,7,0))</f>
        <v>0</v>
      </c>
      <c r="HF81" s="122" t="n">
        <f aca="false">IF(ISNA(VLOOKUP(A81,'Données projet'!$A$269:$I$289,7,0)),0%,VLOOKUP(A81,'Données projet'!$A$269:$I$289,7,0))</f>
        <v>0</v>
      </c>
      <c r="HG81" s="129" t="e">
        <f aca="false">EXP(-LN(2)/35)*HG80+(1-EXP(-LN(2)/35))/(LN(2)/35)*HC81*HD81*VLOOKUP('Données projet'!$B$18,Paramètres!$A$1:$I$89,3,0)*0.475*44/12</f>
        <v>#N/A</v>
      </c>
      <c r="HH81" s="129" t="e">
        <f aca="false">EXP(-LN(2)/25)*HH80+(1-EXP(-LN(2)/25))/(LN(2)/25)*Calculateur!HC81*Calculateur!HE81*VLOOKUP('Données projet'!$B$18,Paramètres!$A$1:$I$89,3,0)*0.475*44/12</f>
        <v>#N/A</v>
      </c>
      <c r="HI81" s="129" t="e">
        <f aca="false">EXP(-LN(2)/2)*HI80+(1-EXP(-LN(2)/2))/(LN(2)/2)*HC81*HF81*VLOOKUP('Données projet'!$B$18,Paramètres!$A$1:$I$89,3,0)*0.475*44/12</f>
        <v>#N/A</v>
      </c>
      <c r="HJ81" s="130" t="e">
        <f aca="false">SUM(HG81:HI81)</f>
        <v>#N/A</v>
      </c>
    </row>
    <row r="82" customFormat="false" ht="14.25" hidden="false" customHeight="false" outlineLevel="0" collapsed="false">
      <c r="A82" s="112" t="n">
        <f aca="false">A81+1</f>
        <v>79</v>
      </c>
      <c r="B82" s="113" t="n">
        <f aca="false">'Scénario référence'!$B$16*5+'Scénario référence'!$B$17*0+'Scénario référence'!$B$18*5</f>
        <v>0</v>
      </c>
      <c r="C82" s="127" t="n">
        <f aca="false"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4" t="n">
        <f aca="false">IFERROR(EXP(-1.0587+0.8836*LN(C82)+0.284),0)</f>
        <v>0</v>
      </c>
      <c r="E8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2" s="114" t="n">
        <f aca="false">IF(OR('Scénario référence'!$F$8&gt;0,'Scénario référence'!$F$9&gt;0),('Scénario référence'!$F$8+'Scénario référence'!$F$9)*10,0)</f>
        <v>0</v>
      </c>
      <c r="G82" s="114" t="n">
        <f aca="false"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15" t="n">
        <f aca="false">(B82+E82+F82)*44/12+(C82+D82)*0.475*44/12</f>
        <v>256.666666666667</v>
      </c>
      <c r="I82" s="11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7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8" t="e">
        <f aca="false">VLOOKUP(A82,'Données projet'!$A$35:$I$55,2,0)</f>
        <v>#N/A</v>
      </c>
      <c r="L82" s="118" t="e">
        <f aca="false">VLOOKUP(A82,'Données projet'!$A$35:$I$55,9,0)</f>
        <v>#N/A</v>
      </c>
      <c r="M82" s="118" t="n">
        <f aca="false" t="array" ref="M82:M82">INDEX(L:L,MIN(IF(ISNUMBER(L82:L278),ROW(L82:L278),"")))</f>
        <v>17</v>
      </c>
      <c r="N82" s="117" t="n">
        <f aca="false">IF('Données projet'!$A$36&gt;35,N81+M82-V81,IF(A82&lt;'Données projet'!$A$36,$K$205^A82,IF(A82='Données projet'!$A$36,'Données projet'!$B$36,N81+M82-V81)))</f>
        <v>489.5</v>
      </c>
      <c r="O82" s="117" t="n">
        <f aca="false">N82*VLOOKUP('Données projet'!$B$9,Paramètres!$A$1:$I$89,3,0)*VLOOKUP('Données projet'!$B$9,Paramètres!$A$1:$I$89,5,0)</f>
        <v>229.086</v>
      </c>
      <c r="P82" s="117" t="n">
        <f aca="false">EXP(-1.0587+0.8836*LN(O82)+0.284)</f>
        <v>56.0850075862943</v>
      </c>
      <c r="Q82" s="128" t="n">
        <f aca="false">(O82+P82)*0.475*44/12</f>
        <v>496.672838212796</v>
      </c>
      <c r="R82" s="120" t="n">
        <f aca="false">Q82+(I82+J82)*44/12</f>
        <v>790.006171546129</v>
      </c>
      <c r="S82" s="120" t="n">
        <f aca="true">AVERAGE(OFFSET($R$3,0,0,'Données projet'!$E$9+1,1))-AVERAGE(OFFSET($H$3,0,0,'Données projet'!$E$9+1,1))</f>
        <v>319.229030946746</v>
      </c>
      <c r="T82" s="120" t="n">
        <f aca="false">$T$3</f>
        <v>254.586909731428</v>
      </c>
      <c r="U82" s="121" t="n">
        <f aca="false">IF(ISNA(VLOOKUP(A82,'Données projet'!$A$35:$I$55,3,0)),0,VLOOKUP(A82,'Données projet'!$A$35:$I$55,3,0))</f>
        <v>0</v>
      </c>
      <c r="V82" s="121" t="n">
        <f aca="false">IF(ISNA(VLOOKUP(A82,'Données projet'!$A$35:$I$55,4,0)),0,VLOOKUP(A82,'Données projet'!$A$35:$I$55,4,0))</f>
        <v>0</v>
      </c>
      <c r="W82" s="122" t="n">
        <f aca="false">IF(ISNA(VLOOKUP(A82,'Données projet'!$A$35:$I$55,5,0)),0%,VLOOKUP(A82,'Données projet'!$A$35:$I$55,5,0)*VLOOKUP('Données projet'!$B$9,Paramètres!$A$1:$I$89,7,0))</f>
        <v>0</v>
      </c>
      <c r="X82" s="122" t="n">
        <f aca="false">IF(ISNA(VLOOKUP(A82,'Données projet'!$A$35:$I$55,6,0)),0%,VLOOKUP(A82,'Données projet'!$A$35:$I$55,6,0)*VLOOKUP('Données projet'!$B$9,Paramètres!$A$1:$I$89,7,0))</f>
        <v>0</v>
      </c>
      <c r="Y82" s="122" t="n">
        <f aca="false">IF(ISNA(VLOOKUP(A82,'Données projet'!$A$35:$I$55,7,0)),0%,VLOOKUP(A82,'Données projet'!$A$35:$I$55,7,0))</f>
        <v>0</v>
      </c>
      <c r="Z82" s="129" t="n">
        <f aca="false">EXP(-LN(2)/35)*Z81+(1-EXP(-LN(2)/35))/(LN(2)/35)*V82*W82*VLOOKUP('Données projet'!$B$9,Paramètres!$A$1:$I$89,3,0)*0.475*44/12</f>
        <v>3.43922422173356</v>
      </c>
      <c r="AA82" s="129" t="n">
        <f aca="false">EXP(-LN(2)/25)*AA81+(1-EXP(-LN(2)/25))/(LN(2)/25)*Calculateur!V82*Calculateur!X82*VLOOKUP('Données projet'!$B$9,Paramètres!$A$1:$I$89,3,0)*0.475*44/12</f>
        <v>2.86620662506206</v>
      </c>
      <c r="AB82" s="129" t="n">
        <f aca="false">EXP(-LN(2)/2)*AB81+(1-EXP(-LN(2)/2))/(LN(2)/2)*V82*Y82*VLOOKUP('Données projet'!$B$9,Paramètres!$A$1:$I$89,3,0)*0.475*44/12</f>
        <v>4.65433070028056E-007</v>
      </c>
      <c r="AC82" s="130" t="n">
        <f aca="false">SUM(Z82:AB82)</f>
        <v>6.3054313122287</v>
      </c>
      <c r="AD82" s="117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7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8" t="e">
        <f aca="false">VLOOKUP(A82,'Données projet'!$A$61:$I$81,2,0)</f>
        <v>#N/A</v>
      </c>
      <c r="AG82" s="118" t="e">
        <f aca="false">VLOOKUP(A82,'Données projet'!$A$61:$I$81,9,0)</f>
        <v>#N/A</v>
      </c>
      <c r="AH82" s="118" t="n">
        <f aca="false" t="array" ref="AH82:AH82">INDEX(AG:AG,MIN(IF(ISNUMBER(AG82:AG278),ROW(AG82:AG278),"")))</f>
        <v>0</v>
      </c>
      <c r="AI82" s="117" t="n">
        <f aca="false">IF('Données projet'!$A$62&gt;35,AI81+AH82-AQ81,IF(A82&lt;'Données projet'!$A$62,$AF$205^A82,IF(A82='Données projet'!$A$62,'Données projet'!$B$62,AI81+AH82-AQ81)))</f>
        <v>1.13686837721616E-013</v>
      </c>
      <c r="AJ82" s="117" t="n">
        <f aca="false">AI82*VLOOKUP('Données projet'!$B$10,Paramètres!$A$1:$I$89,3,0)*VLOOKUP('Données projet'!$B$10,Paramètres!$A$1:$I$89,5,0)</f>
        <v>6.35509422863834E-014</v>
      </c>
      <c r="AK82" s="117" t="n">
        <f aca="false">EXP(-1.0587+0.8836*LN(AJ82)+0.284)</f>
        <v>1.0064464192544E-012</v>
      </c>
      <c r="AL82" s="128" t="n">
        <f aca="false">(AJ82+AK82)*0.475*44/12</f>
        <v>1.86357873801686E-012</v>
      </c>
      <c r="AM82" s="120" t="n">
        <f aca="false">AL82+(AD82+AE82)*44/12</f>
        <v>293.333333333335</v>
      </c>
      <c r="AN82" s="120" t="n">
        <f aca="true">AVERAGE(OFFSET($AM$3,0,0,'Données projet'!$E$10+1,1))-AVERAGE(OFFSET($H$3,0,0,'Données projet'!$E$10+1,1))</f>
        <v>365.705101827279</v>
      </c>
      <c r="AO82" s="120" t="n">
        <f aca="false">$AO$3</f>
        <v>436.238338449625</v>
      </c>
      <c r="AP82" s="121" t="n">
        <f aca="false">IF(ISNA(VLOOKUP(A82,'Données projet'!$A$61:$I$81,3,0)),0,VLOOKUP(A82,'Données projet'!$A$61:$I$81,3,0))</f>
        <v>0</v>
      </c>
      <c r="AQ82" s="121" t="n">
        <f aca="false">IF(ISNA(VLOOKUP(A82,'Données projet'!$A$61:$I$81,4,0)),0,VLOOKUP(A82,'Données projet'!$A$61:$I$81,4,0))</f>
        <v>0</v>
      </c>
      <c r="AR82" s="122" t="n">
        <f aca="false">IF(ISNA(VLOOKUP(A82,'Données projet'!$A$61:$I$81,5,0)),0%,VLOOKUP(A82,'Données projet'!$A$61:$I$81,5,0)*VLOOKUP('Données projet'!$B$10,Paramètres!$A$1:$I$89,7,0))</f>
        <v>0</v>
      </c>
      <c r="AS82" s="122" t="n">
        <f aca="false">IF(ISNA(VLOOKUP(A82,'Données projet'!$A$61:$I$81,6,0)),0%,VLOOKUP(A82,'Données projet'!$A$61:$I$81,6,0)*VLOOKUP('Données projet'!$B$10,Paramètres!$A$1:$I$89,7,0))</f>
        <v>0</v>
      </c>
      <c r="AT82" s="122" t="n">
        <f aca="false">IF(ISNA(VLOOKUP(A82,'Données projet'!$A$61:$I$81,7,0)),0%,VLOOKUP(A82,'Données projet'!$A$61:$I$81,7,0))</f>
        <v>0</v>
      </c>
      <c r="AU82" s="129" t="n">
        <f aca="false">EXP(-LN(2)/35)*AU81+(1-EXP(-LN(2)/35))/(LN(2)/35)*AQ82*AR82*VLOOKUP('Données projet'!$B$10,Paramètres!$A$1:$I$89,3,0)*0.475*44/12</f>
        <v>1.29819563920701</v>
      </c>
      <c r="AV82" s="129" t="n">
        <f aca="false">EXP(-LN(2)/25)*AV81+(1-EXP(-LN(2)/25))/(LN(2)/25)*Calculateur!AQ82*Calculateur!AS82*VLOOKUP('Données projet'!$B$10,Paramètres!$A$1:$I$89,3,0)*0.475*44/12</f>
        <v>3.39486677194659</v>
      </c>
      <c r="AW82" s="129" t="n">
        <f aca="false">EXP(-LN(2)/2)*AW81+(1-EXP(-LN(2)/2))/(LN(2)/2)*AQ82*AT82*VLOOKUP('Données projet'!$B$10,Paramètres!$A$1:$I$89,3,0)*0.475*44/12</f>
        <v>2.50481531291319E-007</v>
      </c>
      <c r="AX82" s="129" t="n">
        <f aca="false">SUM(AU82:AW82)</f>
        <v>4.69306266163513</v>
      </c>
      <c r="AY82" s="124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8" t="e">
        <f aca="false">VLOOKUP(A82,'Données projet'!$A$87:$I$107,2,0)</f>
        <v>#N/A</v>
      </c>
      <c r="BB82" s="118" t="e">
        <f aca="false">VLOOKUP(A82,'Données projet'!$A$87:$I$107,9,0)</f>
        <v>#N/A</v>
      </c>
      <c r="BC82" s="118" t="n">
        <f aca="false" t="array" ref="BC82:BC82">INDEX(BB:BB,MIN(IF(ISNUMBER(BB82:BB278),ROW(BB82:BB278),"")))</f>
        <v>0</v>
      </c>
      <c r="BD82" s="118" t="n">
        <f aca="false">IF('Données projet'!$A$88&gt;35,BD81+BC82-BL81,IF(A82&lt;'Données projet'!$A$88,$BA$205^A82,IF(A82='Données projet'!$A$88,'Données projet'!$B$88,BD81+BC82-BL81)))</f>
        <v>1.98951966012828E-013</v>
      </c>
      <c r="BE82" s="117" t="n">
        <f aca="false">BD82*VLOOKUP('Données projet'!$B$11,Paramètres!$A$1:$I$89,3,0)*VLOOKUP('Données projet'!$B$11,Paramètres!$A$1:$I$89,5,0)</f>
        <v>1.73804437508807E-013</v>
      </c>
      <c r="BF82" s="117" t="n">
        <f aca="false">EXP(-1.0587+0.8836*LN(BE82)+0.284)</f>
        <v>2.44832936339505E-012</v>
      </c>
      <c r="BG82" s="128" t="n">
        <f aca="false">(BE82+BF82)*0.475*44/12</f>
        <v>4.56688303657421E-012</v>
      </c>
      <c r="BH82" s="120" t="n">
        <f aca="false">BG82+(AY82+AZ82)*44/12</f>
        <v>293.333333333338</v>
      </c>
      <c r="BI82" s="120" t="n">
        <f aca="true">AVERAGE(OFFSET($BH$3,0,0,'Données projet'!$E$11+1,1))-AVERAGE(OFFSET($H$3,0,0,'Données projet'!$E$11+1,1))</f>
        <v>321.235999689929</v>
      </c>
      <c r="BJ82" s="120" t="n">
        <f aca="false">$BJ$3</f>
        <v>388.051958478005</v>
      </c>
      <c r="BK82" s="121" t="n">
        <f aca="false">IF(ISNA(VLOOKUP(A82,'Données projet'!$A$87:$I$107,3,0)),0,VLOOKUP(A82,'Données projet'!$A$87:$I$107,3,0))</f>
        <v>0</v>
      </c>
      <c r="BL82" s="121" t="n">
        <f aca="false">IF(ISNA(VLOOKUP(A82,'Données projet'!$A$87:$I$107,4,0)),0,VLOOKUP(A82,'Données projet'!$A$87:$I$107,4,0))</f>
        <v>0</v>
      </c>
      <c r="BM82" s="122" t="n">
        <f aca="false">IF(ISNA(VLOOKUP(A82,'Données projet'!$A$87:$I$107,5,0)),0%,VLOOKUP(A82,'Données projet'!$A$87:$I$107,5,0)*VLOOKUP('Données projet'!$B$11,Paramètres!$A$1:$I$89,7,0))</f>
        <v>0</v>
      </c>
      <c r="BN82" s="122" t="n">
        <f aca="false">IF(ISNA(VLOOKUP(A82,'Données projet'!$A$87:$I$107,6,0)),0%,VLOOKUP(A82,'Données projet'!$A$87:$I$107,6,0)*VLOOKUP('Données projet'!$B$11,Paramètres!$A$1:$I$89,7,0))</f>
        <v>0</v>
      </c>
      <c r="BO82" s="122" t="n">
        <f aca="false">IF(ISNA(VLOOKUP(A82,'Données projet'!$A$87:$I$107,7,0)),0%,VLOOKUP(A82,'Données projet'!$A$87:$I$107,7,0))</f>
        <v>0</v>
      </c>
      <c r="BP82" s="129" t="n">
        <f aca="false">EXP(-LN(2)/35)*BP81+(1-EXP(-LN(2)/35))/(LN(2)/35)*BL82*BM82*VLOOKUP('Données projet'!$B$11,Paramètres!$A$1:$I$89,3,0)*0.475*44/12</f>
        <v>3.25927769080252</v>
      </c>
      <c r="BQ82" s="129" t="n">
        <f aca="false">EXP(-LN(2)/25)*BQ81+(1-EXP(-LN(2)/25))/(LN(2)/25)*Calculateur!BL82*Calculateur!BN82*VLOOKUP('Données projet'!$B$11,Paramètres!$A$1:$I$89,3,0)*0.475*44/12</f>
        <v>3.46527835818379</v>
      </c>
      <c r="BR82" s="129" t="n">
        <f aca="false">EXP(-LN(2)/2)*BR81+(1-EXP(-LN(2)/2))/(LN(2)/2)*BL82*BO82*VLOOKUP('Données projet'!$B$11,Paramètres!$A$1:$I$89,3,0)*0.475*44/12</f>
        <v>2.54609270212443E-007</v>
      </c>
      <c r="BS82" s="130" t="n">
        <f aca="false">SUM(BP82:BR82)</f>
        <v>6.72455630359558</v>
      </c>
      <c r="BT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8" t="e">
        <f aca="false">VLOOKUP(A82,'Données projet'!$A$113:$I$133,2,0)</f>
        <v>#N/A</v>
      </c>
      <c r="BW82" s="118" t="e">
        <f aca="false">VLOOKUP(A82,'Données projet'!$A$113:$I$133,9,0)</f>
        <v>#N/A</v>
      </c>
      <c r="BX82" s="118" t="n">
        <f aca="false" t="array" ref="BX82:BX82">INDEX(BW:BW,MIN(IF(ISNUMBER(BW82:BW278),ROW(BW82:BW278),"")))</f>
        <v>0</v>
      </c>
      <c r="BY82" s="118" t="n">
        <f aca="false">IF('Données projet'!$A$114&gt;35,BY81+BX82-CG81,IF(A82&lt;'Données projet'!$A$114,$BV$205^A82,IF(A82='Données projet'!$A$114,'Données projet'!$B$114,BY81+BX82-CG81)))</f>
        <v>0</v>
      </c>
      <c r="BZ82" s="117" t="n">
        <f aca="false">BY82*VLOOKUP('Données projet'!$B$12,Paramètres!$A$1:$I$89,3,0)*VLOOKUP('Données projet'!$B$12,Paramètres!$A$1:$I$89,5,0)</f>
        <v>0</v>
      </c>
      <c r="CA82" s="117" t="e">
        <f aca="false">EXP(-1.0587+0.8836*LN(BZ82)+0.284)</f>
        <v>#VALUE!</v>
      </c>
      <c r="CB82" s="128" t="e">
        <f aca="false">(BZ82+CA82)*0.475*44/12</f>
        <v>#VALUE!</v>
      </c>
      <c r="CC82" s="120" t="e">
        <f aca="false">CB82+(BT82+BU82)*44/12</f>
        <v>#VALUE!</v>
      </c>
      <c r="CD82" s="120" t="n">
        <f aca="true">AVERAGE(OFFSET($CC$3,0,0,'Données projet'!$E$12+1,1))-AVERAGE(OFFSET($H$3,0,0,'Données projet'!$E$12+1,1))</f>
        <v>240.228848647662</v>
      </c>
      <c r="CE82" s="120" t="n">
        <f aca="false">$CE$3</f>
        <v>343.237768841432</v>
      </c>
      <c r="CF82" s="121" t="n">
        <f aca="false">IF(ISNA(VLOOKUP(A82,'Données projet'!$A$113:$I$133,3,0)),0,VLOOKUP(A82,'Données projet'!$A$113:$I$133,3,0))</f>
        <v>0</v>
      </c>
      <c r="CG82" s="121" t="n">
        <f aca="false">IF(ISNA(VLOOKUP(A82,'Données projet'!$A$113:$I$133,4,0)),0,VLOOKUP(A82,'Données projet'!$A$113:$I$133,4,0))</f>
        <v>0</v>
      </c>
      <c r="CH82" s="122" t="n">
        <f aca="false">IF(ISNA(VLOOKUP(A82,'Données projet'!$A$113:$I$133,5,0)),0%,VLOOKUP(A82,'Données projet'!$A$113:$I$133,5,0)*VLOOKUP('Données projet'!$B$12,Paramètres!$A$1:$I$89,7,0))</f>
        <v>0</v>
      </c>
      <c r="CI82" s="122" t="n">
        <f aca="false">IF(ISNA(VLOOKUP(A82,'Données projet'!$A$113:$I$133,6,0)),0%,VLOOKUP(A82,'Données projet'!$A$113:$I$133,6,0)*VLOOKUP('Données projet'!$B$12,Paramètres!$A$1:$I$89,7,0))</f>
        <v>0</v>
      </c>
      <c r="CJ82" s="122" t="n">
        <f aca="false">IF(ISNA(VLOOKUP(A82,'Données projet'!$A$113:$I$133,7,0)),0%,VLOOKUP(A82,'Données projet'!$A$113:$I$133,7,0))</f>
        <v>0</v>
      </c>
      <c r="CK82" s="129" t="n">
        <f aca="false">EXP(-LN(2)/35)*CK81+(1-EXP(-LN(2)/35))/(LN(2)/35)*CG82*CH82*VLOOKUP('Données projet'!$B$12,Paramètres!$A$1:$I$89,3,0)*0.475*44/12</f>
        <v>1.99493186719579</v>
      </c>
      <c r="CL82" s="129" t="n">
        <f aca="false">EXP(-LN(2)/25)*CL81+(1-EXP(-LN(2)/25))/(LN(2)/25)*Calculateur!CG82*Calculateur!CI82*VLOOKUP('Données projet'!$B$12,Paramètres!$A$1:$I$89,3,0)*0.475*44/12</f>
        <v>6.11988218512405</v>
      </c>
      <c r="CM82" s="129" t="n">
        <f aca="false">EXP(-LN(2)/2)*CM81+(1-EXP(-LN(2)/2))/(LN(2)/2)*CG82*CJ82*VLOOKUP('Données projet'!$B$12,Paramètres!$A$1:$I$89,3,0)*0.475*44/12</f>
        <v>4.06288516466526E-007</v>
      </c>
      <c r="CN82" s="130" t="n">
        <f aca="false">SUM(CK82:CM82)</f>
        <v>8.11481445860836</v>
      </c>
      <c r="CO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8" t="e">
        <f aca="false">VLOOKUP(A82,'Données projet'!$A$139:$I$159,2,0)</f>
        <v>#N/A</v>
      </c>
      <c r="CR82" s="118" t="e">
        <f aca="false">VLOOKUP(A82,'Données projet'!$A$139:$I$159,9,0)</f>
        <v>#N/A</v>
      </c>
      <c r="CS82" s="118" t="n">
        <f aca="false" t="array" ref="CS82:CS82">INDEX(CR:CR,MIN(IF(ISNUMBER(CR82:CR278),ROW(CR82:CR278),"")))</f>
        <v>0</v>
      </c>
      <c r="CT82" s="118" t="n">
        <f aca="false">IF('Données projet'!$A$140&gt;35,CT81+CS82-DB81,IF(A82&lt;'Données projet'!$A$140,$CQ$205^A82,IF(A82='Données projet'!$A$140,'Données projet'!$B$140,CT81+CS82-DB81)))</f>
        <v>-5.6843418860808E-014</v>
      </c>
      <c r="CU82" s="125" t="n">
        <f aca="false">CT82*VLOOKUP('Données projet'!$B$13,Paramètres!$A$1:$I$89,3,0)*VLOOKUP('Données projet'!$B$13,Paramètres!$A$1:$I$89,5,0)</f>
        <v>-3.10365066980012E-014</v>
      </c>
      <c r="CV82" s="117" t="e">
        <f aca="false">EXP(-1.0587+0.8836*LN(CU82)+0.284)</f>
        <v>#VALUE!</v>
      </c>
      <c r="CW82" s="128" t="e">
        <f aca="false">(CU82+CV82)*0.475*44/12</f>
        <v>#VALUE!</v>
      </c>
      <c r="CX82" s="120" t="e">
        <f aca="false">CW82+(CO82+CP82)*44/12</f>
        <v>#VALUE!</v>
      </c>
      <c r="CY82" s="120" t="n">
        <f aca="true">AVERAGE(OFFSET($CX$3,0,0,'Données projet'!$E$13+1,1))-AVERAGE(OFFSET($H$3,0,0,'Données projet'!$E$13+1,1))</f>
        <v>207.023069645676</v>
      </c>
      <c r="CZ82" s="120" t="n">
        <f aca="false">$CZ$3</f>
        <v>342.068879333518</v>
      </c>
      <c r="DA82" s="121" t="n">
        <f aca="false">IF(ISNA(VLOOKUP(A82,'Données projet'!$A$139:$I$159,3,0)),0,VLOOKUP(A82,'Données projet'!$A$139:$I$159,3,0))</f>
        <v>0</v>
      </c>
      <c r="DB82" s="121" t="n">
        <f aca="false">IF(ISNA(VLOOKUP(A82,'Données projet'!$A$139:$I$159,4,0)),0,VLOOKUP(A82,'Données projet'!$A$139:$I$159,4,0))</f>
        <v>0</v>
      </c>
      <c r="DC82" s="122" t="n">
        <f aca="false">IF(ISNA(VLOOKUP(A82,'Données projet'!$A$139:$I$159,5,0)),0%,VLOOKUP(A82,'Données projet'!$A$139:$I$159,5,0)*VLOOKUP('Données projet'!$B$13,Paramètres!$A$1:$I$89,7,0))</f>
        <v>0</v>
      </c>
      <c r="DD82" s="122" t="n">
        <f aca="false">IF(ISNA(VLOOKUP(A82,'Données projet'!$A$139:$I$159,6,0)),0%,VLOOKUP(A82,'Données projet'!$A$139:$I$159,6,0)*VLOOKUP('Données projet'!$B$13,Paramètres!$A$1:$I$89,7,0))</f>
        <v>0</v>
      </c>
      <c r="DE82" s="122" t="n">
        <f aca="false">IF(ISNA(VLOOKUP(A82,'Données projet'!$A$139:$I$159,7,0)),0%,VLOOKUP(A82,'Données projet'!$A$139:$I$159,7,0))</f>
        <v>0</v>
      </c>
      <c r="DF82" s="129" t="n">
        <f aca="false">EXP(-LN(2)/35)*DF81+(1-EXP(-LN(2)/35))/(LN(2)/35)*DB82*DC82*VLOOKUP('Données projet'!$B$13,Paramètres!$A$1:$I$89,3,0)*0.475*44/12</f>
        <v>2.50307488997207</v>
      </c>
      <c r="DG82" s="129" t="n">
        <f aca="false">EXP(-LN(2)/25)*DG81+(1-EXP(-LN(2)/25))/(LN(2)/25)*Calculateur!DB82*Calculateur!DD82*VLOOKUP('Données projet'!$B$13,Paramètres!$A$1:$I$89,3,0)*0.475*44/12</f>
        <v>10.0034585101281</v>
      </c>
      <c r="DH82" s="129" t="n">
        <f aca="false">EXP(-LN(2)/2)*DH81+(1-EXP(-LN(2)/2))/(LN(2)/2)*DB82*DE82*VLOOKUP('Données projet'!$B$13,Paramètres!$A$1:$I$89,3,0)*0.475*44/12</f>
        <v>5.59459475539996E-007</v>
      </c>
      <c r="DI82" s="130" t="n">
        <f aca="false">SUM(DF82:DH82)</f>
        <v>12.5065339595596</v>
      </c>
      <c r="DJ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8" t="e">
        <f aca="false">VLOOKUP(A82,'Données projet'!$A$165:$I$185,2,0)</f>
        <v>#N/A</v>
      </c>
      <c r="DM82" s="118" t="e">
        <f aca="false">VLOOKUP(A82,'Données projet'!$A$165:$I$185,9,0)</f>
        <v>#N/A</v>
      </c>
      <c r="DN82" s="118" t="n">
        <f aca="false" t="array" ref="DN82:DN82">INDEX(DM:DM,MIN(IF(ISNUMBER(DM82:DM278),ROW(DM82:DM278),"")))</f>
        <v>0</v>
      </c>
      <c r="DO82" s="118" t="n">
        <f aca="false">IF('Données projet'!$A$166&gt;35,DO81+DN82-DW81,IF(A82&lt;'Données projet'!$A$166,$DL$205^A82,IF(A82='Données projet'!$A$166,'Données projet'!$B$166,DO81+DN82-DW81)))</f>
        <v>0</v>
      </c>
      <c r="DP82" s="125" t="n">
        <f aca="false">DO82*VLOOKUP('Données projet'!$B$14,Paramètres!$A$1:$I$89,3,0)*VLOOKUP('Données projet'!$B$14,Paramètres!$A$1:$I$89,5,0)</f>
        <v>0</v>
      </c>
      <c r="DQ82" s="117" t="e">
        <f aca="false">EXP(-1.0587+0.8836*LN(DP82)+0.284)</f>
        <v>#VALUE!</v>
      </c>
      <c r="DR82" s="128" t="e">
        <f aca="false">(DP82+DQ82)*0.475*44/12</f>
        <v>#VALUE!</v>
      </c>
      <c r="DS82" s="120" t="e">
        <f aca="false">DR82+(DJ82+DK82)*44/12</f>
        <v>#VALUE!</v>
      </c>
      <c r="DT82" s="120" t="n">
        <f aca="true">AVERAGE(OFFSET($DS$3,0,0,'Données projet'!$E$14+1,1))-AVERAGE(OFFSET($H$3,0,0,'Données projet'!$E$14+1,1))</f>
        <v>549.432320957297</v>
      </c>
      <c r="DU82" s="120" t="n">
        <f aca="false">$DU$3</f>
        <v>280.26155987301</v>
      </c>
      <c r="DV82" s="121" t="n">
        <f aca="false">IF(ISNA(VLOOKUP(A82,'Données projet'!$A$165:$I$185,3,0)),0,VLOOKUP(A82,'Données projet'!$A$165:$I$185,3,0))</f>
        <v>0</v>
      </c>
      <c r="DW82" s="121" t="n">
        <f aca="false">IF(ISNA(VLOOKUP(A82,'Données projet'!$A$165:$I$185,4,0)),0,VLOOKUP(A82,'Données projet'!$A$165:$I$185,4,0))</f>
        <v>0</v>
      </c>
      <c r="DX82" s="122" t="n">
        <f aca="false">IF(ISNA(VLOOKUP(A82,'Données projet'!$A$165:$I$185,5,0)),0%,VLOOKUP(A82,'Données projet'!$A$165:$I$185,5,0)*VLOOKUP('Données projet'!$B$14,Paramètres!$A$1:$I$89,7,0))</f>
        <v>0</v>
      </c>
      <c r="DY82" s="122" t="n">
        <f aca="false">IF(ISNA(VLOOKUP(A82,'Données projet'!$A$165:$I$185,6,0)),0%,VLOOKUP(A82,'Données projet'!$A$165:$I$185,6,0)*VLOOKUP('Données projet'!$B$14,Paramètres!$A$1:$I$89,7,0))</f>
        <v>0</v>
      </c>
      <c r="DZ82" s="122" t="n">
        <f aca="false">IF(ISNA(VLOOKUP(A82,'Données projet'!$A$165:$I$185,7,0)),0%,VLOOKUP(A82,'Données projet'!$A$165:$I$185,7,0))</f>
        <v>0</v>
      </c>
      <c r="EA82" s="129" t="n">
        <f aca="false">EXP(-LN(2)/35)*EA81+(1-EXP(-LN(2)/35))/(LN(2)/35)*DW82*DX82*VLOOKUP('Données projet'!$B$14,Paramètres!$A$1:$I$89,3,0)*0.475*44/12</f>
        <v>0.910115238955664</v>
      </c>
      <c r="EB82" s="129" t="n">
        <f aca="false">EXP(-LN(2)/25)*EB81+(1-EXP(-LN(2)/25))/(LN(2)/25)*Calculateur!DW82*Calculateur!DY82*VLOOKUP('Données projet'!$B$14,Paramètres!$A$1:$I$89,3,0)*0.475*44/12</f>
        <v>1.99288629998498</v>
      </c>
      <c r="EC82" s="129" t="n">
        <f aca="false">EXP(-LN(2)/2)*EC81+(1-EXP(-LN(2)/2))/(LN(2)/2)*DW82*DZ82*VLOOKUP('Données projet'!$B$14,Paramètres!$A$1:$I$89,3,0)*0.475*44/12</f>
        <v>2.57899285966462E-007</v>
      </c>
      <c r="ED82" s="130" t="n">
        <f aca="false">SUM(EA82:EC82)</f>
        <v>2.90300179683993</v>
      </c>
      <c r="EE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8" t="e">
        <f aca="false">VLOOKUP(A82,'Données projet'!$A$191:$I$211,2,0)</f>
        <v>#N/A</v>
      </c>
      <c r="EH82" s="118" t="e">
        <f aca="false">VLOOKUP(A82,'Données projet'!$A$191:$I$211,9,0)</f>
        <v>#N/A</v>
      </c>
      <c r="EI82" s="118" t="n">
        <f aca="false" t="array" ref="EI82:EI82">INDEX(EH:EH,MIN(IF(ISNUMBER(EH82:EH278),ROW(EH82:EH278),"")))</f>
        <v>0</v>
      </c>
      <c r="EJ82" s="118" t="n">
        <f aca="false">IF('Données projet'!$A$192&gt;35,EJ81+EI82-ER81,IF(A82&lt;'Données projet'!$A$192,$EG$205^A82,IF(A82='Données projet'!$A$192,'Données projet'!$B$192,EJ81+EI82-ER81)))</f>
        <v>0</v>
      </c>
      <c r="EK82" s="125" t="e">
        <f aca="false">EJ82*VLOOKUP('Données projet'!$B$15,Paramètres!$A$1:$I$89,3,0)*VLOOKUP('Données projet'!$B$15,Paramètres!$A$1:$I$89,5,0)</f>
        <v>#N/A</v>
      </c>
      <c r="EL82" s="117" t="e">
        <f aca="false">EXP(-1.0587+0.8836*LN(EK82)+0.284)</f>
        <v>#N/A</v>
      </c>
      <c r="EM82" s="128" t="e">
        <f aca="false">(EK82+EL82)*0.475*44/12</f>
        <v>#N/A</v>
      </c>
      <c r="EN82" s="120" t="e">
        <f aca="false">EM82+(EE82+EF82)*44/12</f>
        <v>#N/A</v>
      </c>
      <c r="EO82" s="120" t="e">
        <f aca="true">AVERAGE(OFFSET($EN$3,0,0,'Données projet'!$E$15+1,1))-AVERAGE(OFFSET($H$3,0,0,'Données projet'!$E$15+1,1))</f>
        <v>#N/A</v>
      </c>
      <c r="EP82" s="120" t="e">
        <f aca="false">$EP$3</f>
        <v>#N/A</v>
      </c>
      <c r="EQ82" s="121" t="n">
        <f aca="false">IF(ISNA(VLOOKUP(A82,'Données projet'!$A$191:$I$211,3,0)),0,VLOOKUP(A82,'Données projet'!$A$191:$I$211,3,0))</f>
        <v>0</v>
      </c>
      <c r="ER82" s="121" t="n">
        <f aca="false">IF(ISNA(VLOOKUP(A82,'Données projet'!$A$191:$I$211,4,0)),0,VLOOKUP(A82,'Données projet'!$A$191:$I$211,4,0))</f>
        <v>0</v>
      </c>
      <c r="ES82" s="122" t="n">
        <f aca="false">IF(ISNA(VLOOKUP(A82,'Données projet'!$A$191:$I$211,5,0)),0%,VLOOKUP(A82,'Données projet'!$A$191:$I$211,5,0)*VLOOKUP('Données projet'!$B$15,Paramètres!$A$1:$I$89,7,0))</f>
        <v>0</v>
      </c>
      <c r="ET82" s="122" t="n">
        <f aca="false">IF(ISNA(VLOOKUP(A82,'Données projet'!$A$191:$I$211,6,0)),0%,VLOOKUP(A82,'Données projet'!$A$191:$I$211,6,0)*VLOOKUP('Données projet'!$B$15,Paramètres!$A$1:$I$89,7,0))</f>
        <v>0</v>
      </c>
      <c r="EU82" s="122" t="n">
        <f aca="false">IF(ISNA(VLOOKUP(A82,'Données projet'!$A$191:$I$211,7,0)),0%,VLOOKUP(A82,'Données projet'!$A$191:$I$211,7,0))</f>
        <v>0</v>
      </c>
      <c r="EV82" s="129" t="e">
        <f aca="false">EXP(-LN(2)/35)*EV81+(1-EXP(-LN(2)/35))/(LN(2)/35)*ER82*ES82*VLOOKUP('Données projet'!$B$15,Paramètres!$A$1:$I$89,3,0)*0.475*44/12</f>
        <v>#N/A</v>
      </c>
      <c r="EW82" s="129" t="e">
        <f aca="false">EXP(-LN(2)/25)*EW81+(1-EXP(-LN(2)/25))/(LN(2)/25)*Calculateur!ER82*Calculateur!ET82*VLOOKUP('Données projet'!$B$15,Paramètres!$A$1:$I$89,3,0)*0.475*44/12</f>
        <v>#N/A</v>
      </c>
      <c r="EX82" s="129" t="e">
        <f aca="false">EXP(-LN(2)/2)*EX81+(1-EXP(-LN(2)/2))/(LN(2)/2)*ER82*EU82*VLOOKUP('Données projet'!$B$15,Paramètres!$A$1:$I$89,3,0)*0.475*44/12</f>
        <v>#N/A</v>
      </c>
      <c r="EY82" s="130" t="e">
        <f aca="false">SUM(EV82:EX82)</f>
        <v>#N/A</v>
      </c>
      <c r="EZ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8" t="e">
        <f aca="false">VLOOKUP(A82,'Données projet'!$A$217:$I$237,2,0)</f>
        <v>#N/A</v>
      </c>
      <c r="FC82" s="118" t="e">
        <f aca="false">VLOOKUP(A82,'Données projet'!$A$217:$I$237,9,0)</f>
        <v>#N/A</v>
      </c>
      <c r="FD82" s="118" t="n">
        <f aca="false" t="array" ref="FD82:FD82">INDEX(FC:FC,MIN(IF(ISNUMBER(FC82:FC278),ROW(FC82:FC278),"")))</f>
        <v>0</v>
      </c>
      <c r="FE82" s="118" t="n">
        <f aca="false">IF('Données projet'!$A$218&gt;35,FE81+FD82-FM81,IF(A82&lt;'Données projet'!$A$218,$FB$205^A82,IF(A82='Données projet'!$A$218,'Données projet'!$B$218,FE81+FD82-FM81)))</f>
        <v>0</v>
      </c>
      <c r="FF82" s="125" t="e">
        <f aca="false">FE82*VLOOKUP('Données projet'!$B$16,Paramètres!$A$1:$I$89,3,0)*VLOOKUP('Données projet'!$B$16,Paramètres!$A$1:$I$89,5,0)</f>
        <v>#N/A</v>
      </c>
      <c r="FG82" s="117" t="e">
        <f aca="false">EXP(-1.0587+0.8836*LN(FF82)+0.284)</f>
        <v>#N/A</v>
      </c>
      <c r="FH82" s="128" t="e">
        <f aca="false">(FF82+FG82)*0.475*44/12</f>
        <v>#N/A</v>
      </c>
      <c r="FI82" s="120" t="e">
        <f aca="false">FH82+(EZ82+FA82)*44/12</f>
        <v>#N/A</v>
      </c>
      <c r="FJ82" s="120" t="e">
        <f aca="true">AVERAGE(OFFSET($FI$3,0,0,'Données projet'!$E$16+1,1))-AVERAGE(OFFSET($H$3,0,0,'Données projet'!$E$16+1,1))</f>
        <v>#N/A</v>
      </c>
      <c r="FK82" s="120" t="e">
        <f aca="false">$FK$3</f>
        <v>#N/A</v>
      </c>
      <c r="FL82" s="121" t="n">
        <f aca="false">IF(ISNA(VLOOKUP(A82,'Données projet'!$A$217:$I$237,3,0)),0,VLOOKUP(A82,'Données projet'!$A$217:$I$237,3,0))</f>
        <v>0</v>
      </c>
      <c r="FM82" s="121" t="n">
        <f aca="false">IF(ISNA(VLOOKUP(A82,'Données projet'!$A$217:$I$237,4,0)),0,VLOOKUP(A82,'Données projet'!$A$217:$I$237,4,0))</f>
        <v>0</v>
      </c>
      <c r="FN82" s="122" t="n">
        <f aca="false">IF(ISNA(VLOOKUP(A82,'Données projet'!$A$217:$I$237,5,0)),0%,VLOOKUP(A82,'Données projet'!$A$217:$I$237,5,0)*VLOOKUP('Données projet'!$B$16,Paramètres!$A$1:$I$89,7,0))</f>
        <v>0</v>
      </c>
      <c r="FO82" s="122" t="n">
        <f aca="false">IF(ISNA(VLOOKUP(A82,'Données projet'!$A$217:$I$237,6,0)),0%,VLOOKUP(A82,'Données projet'!$A$217:$I$237,6,0)*VLOOKUP('Données projet'!$B$16,Paramètres!$A$1:$I$89,7,0))</f>
        <v>0</v>
      </c>
      <c r="FP82" s="122" t="n">
        <f aca="false">IF(ISNA(VLOOKUP(A82,'Données projet'!$A$217:$I$237,7,0)),0%,VLOOKUP(A82,'Données projet'!$A$217:$I$237,7,0))</f>
        <v>0</v>
      </c>
      <c r="FQ82" s="129" t="e">
        <f aca="false">EXP(-LN(2)/35)*FQ81+(1-EXP(-LN(2)/35))/(LN(2)/35)*FM82*FN82*VLOOKUP('Données projet'!$B$16,Paramètres!$A$1:$I$89,3,0)*0.475*44/12</f>
        <v>#N/A</v>
      </c>
      <c r="FR82" s="129" t="e">
        <f aca="false">EXP(-LN(2)/25)*FR81+(1-EXP(-LN(2)/25))/(LN(2)/25)*Calculateur!FM82*Calculateur!FO82*VLOOKUP('Données projet'!$B$16,Paramètres!$A$1:$I$89,3,0)*0.475*44/12</f>
        <v>#N/A</v>
      </c>
      <c r="FS82" s="129" t="e">
        <f aca="false">EXP(-LN(2)/2)*FS81+(1-EXP(-LN(2)/2))/(LN(2)/2)*FM82*FP82*VLOOKUP('Données projet'!$B$16,Paramètres!$A$1:$I$89,3,0)*0.475*44/12</f>
        <v>#N/A</v>
      </c>
      <c r="FT82" s="130" t="e">
        <f aca="false">SUM(FQ82:FS82)</f>
        <v>#N/A</v>
      </c>
      <c r="FU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8" t="e">
        <f aca="false">VLOOKUP(A82,'Données projet'!$A$243:$I$263,2,0)</f>
        <v>#N/A</v>
      </c>
      <c r="FX82" s="118" t="e">
        <f aca="false">VLOOKUP(A82,'Données projet'!$A$243:$I$263,9,0)</f>
        <v>#N/A</v>
      </c>
      <c r="FY82" s="118" t="n">
        <f aca="false" t="array" ref="FY82:FY82">INDEX(FX:FX,MIN(IF(ISNUMBER(FX82:FX278),ROW(FX82:FX278),"")))</f>
        <v>0</v>
      </c>
      <c r="FZ82" s="118" t="n">
        <f aca="false">IF('Données projet'!$A$244&gt;35,FZ81+FY82-GH81,IF(A82&lt;'Données projet'!$A$244,$FW$205^A82,IF(A82='Données projet'!$A$244,'Données projet'!$B$244,FZ81+FY82-GH81)))</f>
        <v>0</v>
      </c>
      <c r="GA82" s="125" t="e">
        <f aca="false">FZ82*VLOOKUP('Données projet'!$B$17,Paramètres!$A$1:$I$89,3,0)*VLOOKUP('Données projet'!$B$17,Paramètres!$A$1:$I$89,5,0)</f>
        <v>#N/A</v>
      </c>
      <c r="GB82" s="117" t="e">
        <f aca="false">EXP(-1.0587+0.8836*LN(GA82)+0.284)</f>
        <v>#N/A</v>
      </c>
      <c r="GC82" s="128" t="e">
        <f aca="false">(GA82+GB82)*0.475*44/12</f>
        <v>#N/A</v>
      </c>
      <c r="GD82" s="120" t="e">
        <f aca="false">GC82+(FU82+FV82)*44/12</f>
        <v>#N/A</v>
      </c>
      <c r="GE82" s="120" t="e">
        <f aca="true">AVERAGE(OFFSET($GD$3,0,0,'Données projet'!$E$17+1,1))-AVERAGE(OFFSET($H$3,0,0,'Données projet'!$E$17+1,1))</f>
        <v>#N/A</v>
      </c>
      <c r="GF82" s="120" t="e">
        <f aca="false">$GF$3</f>
        <v>#N/A</v>
      </c>
      <c r="GG82" s="121" t="n">
        <f aca="false">IF(ISNA(VLOOKUP(A82,'Données projet'!$A$243:$I$263,3,0)),0,VLOOKUP(A82,'Données projet'!$A$243:$I$263,3,0))</f>
        <v>0</v>
      </c>
      <c r="GH82" s="121" t="n">
        <f aca="false">IF(ISNA(VLOOKUP(A82,'Données projet'!$A$243:$I$263,4,0)),0,VLOOKUP(A82,'Données projet'!$A$243:$I$263,4,0))</f>
        <v>0</v>
      </c>
      <c r="GI82" s="122" t="n">
        <f aca="false">IF(ISNA(VLOOKUP(A82,'Données projet'!$A$243:$I$263,5,0)),0%,VLOOKUP(A82,'Données projet'!$A$243:$I$263,5,0)*VLOOKUP('Données projet'!$B$17,Paramètres!$A$1:$I$89,7,0))</f>
        <v>0</v>
      </c>
      <c r="GJ82" s="122" t="n">
        <f aca="false">IF(ISNA(VLOOKUP(A82,'Données projet'!$A$243:$I$263,6,0)),0%,VLOOKUP(A82,'Données projet'!$A$243:$I$263,6,0)*VLOOKUP('Données projet'!$B$17,Paramètres!$A$1:$I$89,7,0))</f>
        <v>0</v>
      </c>
      <c r="GK82" s="122" t="n">
        <f aca="false">IF(ISNA(VLOOKUP(A82,'Données projet'!$A$243:$I$263,7,0)),0%,VLOOKUP(A82,'Données projet'!$A$243:$I$263,7,0))</f>
        <v>0</v>
      </c>
      <c r="GL82" s="129" t="e">
        <f aca="false">EXP(-LN(2)/35)*GL81+(1-EXP(-LN(2)/35))/(LN(2)/35)*GH82*GI82*VLOOKUP('Données projet'!$B$17,Paramètres!$A$1:$I$89,3,0)*0.475*44/12</f>
        <v>#N/A</v>
      </c>
      <c r="GM82" s="129" t="e">
        <f aca="false">EXP(-LN(2)/25)*GM81+(1-EXP(-LN(2)/25))/(LN(2)/25)*Calculateur!GH82*Calculateur!GJ82*VLOOKUP('Données projet'!$B$17,Paramètres!$A$1:$I$89,3,0)*0.475*44/12</f>
        <v>#N/A</v>
      </c>
      <c r="GN82" s="129" t="e">
        <f aca="false">EXP(-LN(2)/2)*GN81+(1-EXP(-LN(2)/2))/(LN(2)/2)*GH82*GK82*VLOOKUP('Données projet'!$B$17,Paramètres!$A$1:$I$89,3,0)*0.475*44/12</f>
        <v>#N/A</v>
      </c>
      <c r="GO82" s="129" t="e">
        <f aca="false">SUM(GL82:GN82)</f>
        <v>#N/A</v>
      </c>
      <c r="GP82" s="126" t="n">
        <f aca="false"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8" t="n">
        <f aca="false"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8" t="e">
        <f aca="false">VLOOKUP(A82,'Données projet'!$A$269:$I$289,2,0)</f>
        <v>#N/A</v>
      </c>
      <c r="GS82" s="118" t="e">
        <f aca="false">VLOOKUP(A82,'Données projet'!$A$269:$I$289,9,0)</f>
        <v>#N/A</v>
      </c>
      <c r="GT82" s="118" t="n">
        <f aca="false" t="array" ref="GT82:GT82">INDEX(GS:GS,MIN(IF(ISNUMBER(GS82:GS278),ROW(GS82:GS278),"")))</f>
        <v>0</v>
      </c>
      <c r="GU82" s="118" t="n">
        <f aca="false">IF('Données projet'!$A$270&gt;35,GU81+GT82-HC81,IF(A82&lt;'Données projet'!$A$270,$GR$205^A82,IF(A82='Données projet'!$A$270,'Données projet'!$B$270,GU81+GT82-HC81)))</f>
        <v>0</v>
      </c>
      <c r="GV82" s="125" t="e">
        <f aca="false">GU82*VLOOKUP('Données projet'!$B$18,Paramètres!$A$1:$I$89,3,0)*VLOOKUP('Données projet'!$B$18,Paramètres!$A$1:$I$89,5,0)</f>
        <v>#N/A</v>
      </c>
      <c r="GW82" s="117" t="e">
        <f aca="false">EXP(-1.0587+0.8836*LN(GV82)+0.284)</f>
        <v>#N/A</v>
      </c>
      <c r="GX82" s="128" t="e">
        <f aca="false">(GV82+GW82)*0.475*44/12</f>
        <v>#N/A</v>
      </c>
      <c r="GY82" s="120" t="e">
        <f aca="false">GX82+(GP82+GQ82)*44/12</f>
        <v>#N/A</v>
      </c>
      <c r="GZ82" s="120" t="e">
        <f aca="true">AVERAGE(OFFSET($GY$3,0,0,'Données projet'!$E$18+1,1))-AVERAGE(OFFSET($H$3,0,0,'Données projet'!$E$18+1,1))</f>
        <v>#N/A</v>
      </c>
      <c r="HA82" s="120" t="e">
        <f aca="false">$HA$3</f>
        <v>#N/A</v>
      </c>
      <c r="HB82" s="121" t="n">
        <f aca="false">IF(ISNA(VLOOKUP(A82,'Données projet'!$A$269:$I$289,3,0)),0,VLOOKUP(A82,'Données projet'!$A$269:$I$289,3,0))</f>
        <v>0</v>
      </c>
      <c r="HC82" s="121" t="n">
        <f aca="false">IF(ISNA(VLOOKUP(A82,'Données projet'!$A$269:$I$289,4,0)),0,VLOOKUP(A82,'Données projet'!$A$269:$I$289,4,0))</f>
        <v>0</v>
      </c>
      <c r="HD82" s="122" t="n">
        <f aca="false">IF(ISNA(VLOOKUP(A82,'Données projet'!$A$269:$I$289,5,0)),0%,VLOOKUP(A82,'Données projet'!$A$269:$I$289,5,0)*VLOOKUP('Données projet'!$B$18,Paramètres!$A$1:$I$89,7,0))</f>
        <v>0</v>
      </c>
      <c r="HE82" s="122" t="n">
        <f aca="false">IF(ISNA(VLOOKUP(A82,'Données projet'!$A$269:$I$289,6,0)),0%,VLOOKUP(A82,'Données projet'!$A$269:$I$289,6,0)*VLOOKUP('Données projet'!$B$18,Paramètres!$A$1:$I$89,7,0))</f>
        <v>0</v>
      </c>
      <c r="HF82" s="122" t="n">
        <f aca="false">IF(ISNA(VLOOKUP(A82,'Données projet'!$A$269:$I$289,7,0)),0%,VLOOKUP(A82,'Données projet'!$A$269:$I$289,7,0))</f>
        <v>0</v>
      </c>
      <c r="HG82" s="129" t="e">
        <f aca="false">EXP(-LN(2)/35)*HG81+(1-EXP(-LN(2)/35))/(LN(2)/35)*HC82*HD82*VLOOKUP('Données projet'!$B$18,Paramètres!$A$1:$I$89,3,0)*0.475*44/12</f>
        <v>#N/A</v>
      </c>
      <c r="HH82" s="129" t="e">
        <f aca="false">EXP(-LN(2)/25)*HH81+(1-EXP(-LN(2)/25))/(LN(2)/25)*Calculateur!HC82*Calculateur!HE82*VLOOKUP('Données projet'!$B$18,Paramètres!$A$1:$I$89,3,0)*0.475*44/12</f>
        <v>#N/A</v>
      </c>
      <c r="HI82" s="129" t="e">
        <f aca="false">EXP(-LN(2)/2)*HI81+(1-EXP(-LN(2)/2))/(LN(2)/2)*HC82*HF82*VLOOKUP('Données projet'!$B$18,Paramètres!$A$1:$I$89,3,0)*0.475*44/12</f>
        <v>#N/A</v>
      </c>
      <c r="HJ82" s="130" t="e">
        <f aca="false">SUM(HG82:HI82)</f>
        <v>#N/A</v>
      </c>
    </row>
    <row r="83" customFormat="false" ht="14.25" hidden="false" customHeight="false" outlineLevel="0" collapsed="false">
      <c r="A83" s="112" t="n">
        <f aca="false">A82+1</f>
        <v>80</v>
      </c>
      <c r="B83" s="113" t="n">
        <f aca="false">'Scénario référence'!$B$16*5+'Scénario référence'!$B$17*0+'Scénario référence'!$B$18*5</f>
        <v>0</v>
      </c>
      <c r="C83" s="127" t="n">
        <f aca="false"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4" t="n">
        <f aca="false">IFERROR(EXP(-1.0587+0.8836*LN(C83)+0.284),0)</f>
        <v>0</v>
      </c>
      <c r="E8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3" s="114" t="n">
        <f aca="false">IF(OR('Scénario référence'!$F$8&gt;0,'Scénario référence'!$F$9&gt;0),('Scénario référence'!$F$8+'Scénario référence'!$F$9)*10,0)</f>
        <v>0</v>
      </c>
      <c r="G83" s="114" t="n">
        <f aca="false"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15" t="n">
        <f aca="false">(B83+E83+F83)*44/12+(C83+D83)*0.475*44/12</f>
        <v>256.666666666667</v>
      </c>
      <c r="I83" s="11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7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8" t="n">
        <f aca="false">VLOOKUP(A83,'Données projet'!$A$35:$I$55,2,0)</f>
        <v>506.5</v>
      </c>
      <c r="L83" s="118" t="n">
        <f aca="false">VLOOKUP(A83,'Données projet'!$A$35:$I$55,9,0)</f>
        <v>17</v>
      </c>
      <c r="M83" s="118" t="n">
        <f aca="false" t="array" ref="M83:M83">INDEX(L:L,MIN(IF(ISNUMBER(L83:L279),ROW(L83:L279),"")))</f>
        <v>17</v>
      </c>
      <c r="N83" s="117" t="n">
        <f aca="false">IF('Données projet'!$A$36&gt;35,N82+M83-V82,IF(A83&lt;'Données projet'!$A$36,$K$205^A83,IF(A83='Données projet'!$A$36,'Données projet'!$B$36,N82+M83-V82)))</f>
        <v>506.5</v>
      </c>
      <c r="O83" s="117" t="n">
        <f aca="false">N83*VLOOKUP('Données projet'!$B$9,Paramètres!$A$1:$I$89,3,0)*VLOOKUP('Données projet'!$B$9,Paramètres!$A$1:$I$89,5,0)</f>
        <v>237.042</v>
      </c>
      <c r="P83" s="117" t="n">
        <f aca="false">EXP(-1.0587+0.8836*LN(O83)+0.284)</f>
        <v>57.8026437456012</v>
      </c>
      <c r="Q83" s="128" t="n">
        <f aca="false">(O83+P83)*0.475*44/12</f>
        <v>513.521087856922</v>
      </c>
      <c r="R83" s="120" t="n">
        <f aca="false">Q83+(I83+J83)*44/12</f>
        <v>806.854421190255</v>
      </c>
      <c r="S83" s="120" t="n">
        <f aca="true">AVERAGE(OFFSET($R$3,0,0,'Données projet'!$E$9+1,1))-AVERAGE(OFFSET($H$3,0,0,'Données projet'!$E$9+1,1))</f>
        <v>319.229030946746</v>
      </c>
      <c r="T83" s="120" t="n">
        <f aca="false">$T$3</f>
        <v>254.586909731428</v>
      </c>
      <c r="U83" s="121" t="n">
        <f aca="false">IF(ISNA(VLOOKUP(A83,'Données projet'!$A$35:$I$55,3,0)),0,VLOOKUP(A83,'Données projet'!$A$35:$I$55,3,0))</f>
        <v>7</v>
      </c>
      <c r="V83" s="121" t="n">
        <f aca="false">IF(ISNA(VLOOKUP(A83,'Données projet'!$A$35:$I$55,4,0)),0,VLOOKUP(A83,'Données projet'!$A$35:$I$55,4,0))</f>
        <v>93</v>
      </c>
      <c r="W83" s="122" t="n">
        <f aca="false">IF(ISNA(VLOOKUP(A83,'Données projet'!$A$35:$I$55,5,0)),0%,VLOOKUP(A83,'Données projet'!$A$35:$I$55,5,0)*VLOOKUP('Données projet'!$B$9,Paramètres!$A$1:$I$89,7,0))</f>
        <v>0</v>
      </c>
      <c r="X83" s="122" t="n">
        <f aca="false">IF(ISNA(VLOOKUP(A83,'Données projet'!$A$35:$I$55,6,0)),0%,VLOOKUP(A83,'Données projet'!$A$35:$I$55,6,0)*VLOOKUP('Données projet'!$B$9,Paramètres!$A$1:$I$89,7,0))</f>
        <v>0</v>
      </c>
      <c r="Y83" s="122" t="n">
        <f aca="false">IF(ISNA(VLOOKUP(A83,'Données projet'!$A$35:$I$55,7,0)),0%,VLOOKUP(A83,'Données projet'!$A$35:$I$55,7,0))</f>
        <v>0</v>
      </c>
      <c r="Z83" s="129" t="n">
        <f aca="false">EXP(-LN(2)/35)*Z82+(1-EXP(-LN(2)/35))/(LN(2)/35)*V83*W83*VLOOKUP('Données projet'!$B$9,Paramètres!$A$1:$I$89,3,0)*0.475*44/12</f>
        <v>3.37178313246501</v>
      </c>
      <c r="AA83" s="129" t="n">
        <f aca="false">EXP(-LN(2)/25)*AA82+(1-EXP(-LN(2)/25))/(LN(2)/25)*Calculateur!V83*Calculateur!X83*VLOOKUP('Données projet'!$B$9,Paramètres!$A$1:$I$89,3,0)*0.475*44/12</f>
        <v>2.78783005417248</v>
      </c>
      <c r="AB83" s="129" t="n">
        <f aca="false">EXP(-LN(2)/2)*AB82+(1-EXP(-LN(2)/2))/(LN(2)/2)*V83*Y83*VLOOKUP('Données projet'!$B$9,Paramètres!$A$1:$I$89,3,0)*0.475*44/12</f>
        <v>3.29110880005312E-007</v>
      </c>
      <c r="AC83" s="130" t="n">
        <f aca="false">SUM(Z83:AB83)</f>
        <v>6.15961351574838</v>
      </c>
      <c r="AD83" s="117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7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8" t="e">
        <f aca="false">VLOOKUP(A83,'Données projet'!$A$61:$I$81,2,0)</f>
        <v>#N/A</v>
      </c>
      <c r="AG83" s="118" t="e">
        <f aca="false">VLOOKUP(A83,'Données projet'!$A$61:$I$81,9,0)</f>
        <v>#N/A</v>
      </c>
      <c r="AH83" s="118" t="n">
        <f aca="false" t="array" ref="AH83:AH83">INDEX(AG:AG,MIN(IF(ISNUMBER(AG83:AG279),ROW(AG83:AG279),"")))</f>
        <v>0</v>
      </c>
      <c r="AI83" s="117" t="n">
        <f aca="false">IF('Données projet'!$A$62&gt;35,AI82+AH83-AQ82,IF(A83&lt;'Données projet'!$A$62,$AF$205^A83,IF(A83='Données projet'!$A$62,'Données projet'!$B$62,AI82+AH83-AQ82)))</f>
        <v>1.13686837721616E-013</v>
      </c>
      <c r="AJ83" s="117" t="n">
        <f aca="false">AI83*VLOOKUP('Données projet'!$B$10,Paramètres!$A$1:$I$89,3,0)*VLOOKUP('Données projet'!$B$10,Paramètres!$A$1:$I$89,5,0)</f>
        <v>6.35509422863834E-014</v>
      </c>
      <c r="AK83" s="117" t="n">
        <f aca="false">EXP(-1.0587+0.8836*LN(AJ83)+0.284)</f>
        <v>1.0064464192544E-012</v>
      </c>
      <c r="AL83" s="128" t="n">
        <f aca="false">(AJ83+AK83)*0.475*44/12</f>
        <v>1.86357873801686E-012</v>
      </c>
      <c r="AM83" s="120" t="n">
        <f aca="false">AL83+(AD83+AE83)*44/12</f>
        <v>293.333333333335</v>
      </c>
      <c r="AN83" s="120" t="n">
        <f aca="true">AVERAGE(OFFSET($AM$3,0,0,'Données projet'!$E$10+1,1))-AVERAGE(OFFSET($H$3,0,0,'Données projet'!$E$10+1,1))</f>
        <v>365.705101827279</v>
      </c>
      <c r="AO83" s="120" t="n">
        <f aca="false">$AO$3</f>
        <v>436.238338449625</v>
      </c>
      <c r="AP83" s="121" t="n">
        <f aca="false">IF(ISNA(VLOOKUP(A83,'Données projet'!$A$61:$I$81,3,0)),0,VLOOKUP(A83,'Données projet'!$A$61:$I$81,3,0))</f>
        <v>0</v>
      </c>
      <c r="AQ83" s="121" t="n">
        <f aca="false">IF(ISNA(VLOOKUP(A83,'Données projet'!$A$61:$I$81,4,0)),0,VLOOKUP(A83,'Données projet'!$A$61:$I$81,4,0))</f>
        <v>0</v>
      </c>
      <c r="AR83" s="122" t="n">
        <f aca="false">IF(ISNA(VLOOKUP(A83,'Données projet'!$A$61:$I$81,5,0)),0%,VLOOKUP(A83,'Données projet'!$A$61:$I$81,5,0)*VLOOKUP('Données projet'!$B$10,Paramètres!$A$1:$I$89,7,0))</f>
        <v>0</v>
      </c>
      <c r="AS83" s="122" t="n">
        <f aca="false">IF(ISNA(VLOOKUP(A83,'Données projet'!$A$61:$I$81,6,0)),0%,VLOOKUP(A83,'Données projet'!$A$61:$I$81,6,0)*VLOOKUP('Données projet'!$B$10,Paramètres!$A$1:$I$89,7,0))</f>
        <v>0</v>
      </c>
      <c r="AT83" s="122" t="n">
        <f aca="false">IF(ISNA(VLOOKUP(A83,'Données projet'!$A$61:$I$81,7,0)),0%,VLOOKUP(A83,'Données projet'!$A$61:$I$81,7,0))</f>
        <v>0</v>
      </c>
      <c r="AU83" s="129" t="n">
        <f aca="false">EXP(-LN(2)/35)*AU82+(1-EXP(-LN(2)/35))/(LN(2)/35)*AQ83*AR83*VLOOKUP('Données projet'!$B$10,Paramètres!$A$1:$I$89,3,0)*0.475*44/12</f>
        <v>1.27273881454331</v>
      </c>
      <c r="AV83" s="129" t="n">
        <f aca="false">EXP(-LN(2)/25)*AV82+(1-EXP(-LN(2)/25))/(LN(2)/25)*Calculateur!AQ83*Calculateur!AS83*VLOOKUP('Données projet'!$B$10,Paramètres!$A$1:$I$89,3,0)*0.475*44/12</f>
        <v>3.30203396153942</v>
      </c>
      <c r="AW83" s="129" t="n">
        <f aca="false">EXP(-LN(2)/2)*AW82+(1-EXP(-LN(2)/2))/(LN(2)/2)*AQ83*AT83*VLOOKUP('Données projet'!$B$10,Paramètres!$A$1:$I$89,3,0)*0.475*44/12</f>
        <v>1.77117189338082E-007</v>
      </c>
      <c r="AX83" s="129" t="n">
        <f aca="false">SUM(AU83:AW83)</f>
        <v>4.57477295319993</v>
      </c>
      <c r="AY83" s="124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8" t="e">
        <f aca="false">VLOOKUP(A83,'Données projet'!$A$87:$I$107,2,0)</f>
        <v>#N/A</v>
      </c>
      <c r="BB83" s="118" t="e">
        <f aca="false">VLOOKUP(A83,'Données projet'!$A$87:$I$107,9,0)</f>
        <v>#N/A</v>
      </c>
      <c r="BC83" s="118" t="n">
        <f aca="false" t="array" ref="BC83:BC83">INDEX(BB:BB,MIN(IF(ISNUMBER(BB83:BB279),ROW(BB83:BB279),"")))</f>
        <v>0</v>
      </c>
      <c r="BD83" s="118" t="n">
        <f aca="false">IF('Données projet'!$A$88&gt;35,BD82+BC83-BL82,IF(A83&lt;'Données projet'!$A$88,$BA$205^A83,IF(A83='Données projet'!$A$88,'Données projet'!$B$88,BD82+BC83-BL82)))</f>
        <v>1.98951966012828E-013</v>
      </c>
      <c r="BE83" s="117" t="n">
        <f aca="false">BD83*VLOOKUP('Données projet'!$B$11,Paramètres!$A$1:$I$89,3,0)*VLOOKUP('Données projet'!$B$11,Paramètres!$A$1:$I$89,5,0)</f>
        <v>1.73804437508807E-013</v>
      </c>
      <c r="BF83" s="117" t="n">
        <f aca="false">EXP(-1.0587+0.8836*LN(BE83)+0.284)</f>
        <v>2.44832936339505E-012</v>
      </c>
      <c r="BG83" s="128" t="n">
        <f aca="false">(BE83+BF83)*0.475*44/12</f>
        <v>4.56688303657421E-012</v>
      </c>
      <c r="BH83" s="120" t="n">
        <f aca="false">BG83+(AY83+AZ83)*44/12</f>
        <v>293.333333333338</v>
      </c>
      <c r="BI83" s="120" t="n">
        <f aca="true">AVERAGE(OFFSET($BH$3,0,0,'Données projet'!$E$11+1,1))-AVERAGE(OFFSET($H$3,0,0,'Données projet'!$E$11+1,1))</f>
        <v>321.235999689929</v>
      </c>
      <c r="BJ83" s="120" t="n">
        <f aca="false">$BJ$3</f>
        <v>388.051958478005</v>
      </c>
      <c r="BK83" s="121" t="n">
        <f aca="false">IF(ISNA(VLOOKUP(A83,'Données projet'!$A$87:$I$107,3,0)),0,VLOOKUP(A83,'Données projet'!$A$87:$I$107,3,0))</f>
        <v>0</v>
      </c>
      <c r="BL83" s="129" t="n">
        <f aca="false">IF(ISNA(VLOOKUP(A83,'Données projet'!$A$87:$I$107,4,0)),0,VLOOKUP(A83,'Données projet'!$A$87:$I$107,4,0))</f>
        <v>0</v>
      </c>
      <c r="BM83" s="122" t="n">
        <f aca="false">IF(ISNA(VLOOKUP(A83,'Données projet'!$A$87:$I$107,5,0)),0%,VLOOKUP(A83,'Données projet'!$A$87:$I$107,5,0)*VLOOKUP('Données projet'!$B$11,Paramètres!$A$1:$I$89,7,0))</f>
        <v>0</v>
      </c>
      <c r="BN83" s="122" t="n">
        <f aca="false">IF(ISNA(VLOOKUP(A83,'Données projet'!$A$87:$I$107,6,0)),0%,VLOOKUP(A83,'Données projet'!$A$87:$I$107,6,0)*VLOOKUP('Données projet'!$B$11,Paramètres!$A$1:$I$89,7,0))</f>
        <v>0</v>
      </c>
      <c r="BO83" s="122" t="n">
        <f aca="false">IF(ISNA(VLOOKUP(A83,'Données projet'!$A$87:$I$107,7,0)),0%,VLOOKUP(A83,'Données projet'!$A$87:$I$107,7,0))</f>
        <v>0</v>
      </c>
      <c r="BP83" s="129" t="n">
        <f aca="false">EXP(-LN(2)/35)*BP82+(1-EXP(-LN(2)/35))/(LN(2)/35)*BL83*BM83*VLOOKUP('Données projet'!$B$11,Paramètres!$A$1:$I$89,3,0)*0.475*44/12</f>
        <v>3.19536524324898</v>
      </c>
      <c r="BQ83" s="129" t="n">
        <f aca="false">EXP(-LN(2)/25)*BQ82+(1-EXP(-LN(2)/25))/(LN(2)/25)*Calculateur!BL83*Calculateur!BN83*VLOOKUP('Données projet'!$B$11,Paramètres!$A$1:$I$89,3,0)*0.475*44/12</f>
        <v>3.37052013924819</v>
      </c>
      <c r="BR83" s="129" t="n">
        <f aca="false">EXP(-LN(2)/2)*BR82+(1-EXP(-LN(2)/2))/(LN(2)/2)*BL83*BO83*VLOOKUP('Données projet'!$B$11,Paramètres!$A$1:$I$89,3,0)*0.475*44/12</f>
        <v>1.80035941520176E-007</v>
      </c>
      <c r="BS83" s="130" t="n">
        <f aca="false">SUM(BP83:BR83)</f>
        <v>6.56588556253311</v>
      </c>
      <c r="BT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8" t="e">
        <f aca="false">VLOOKUP(A83,'Données projet'!$A$113:$I$133,2,0)</f>
        <v>#N/A</v>
      </c>
      <c r="BW83" s="118" t="e">
        <f aca="false">VLOOKUP(A83,'Données projet'!$A$113:$I$133,9,0)</f>
        <v>#N/A</v>
      </c>
      <c r="BX83" s="118" t="n">
        <f aca="false" t="array" ref="BX83:BX83">INDEX(BW:BW,MIN(IF(ISNUMBER(BW83:BW279),ROW(BW83:BW279),"")))</f>
        <v>0</v>
      </c>
      <c r="BY83" s="118" t="n">
        <f aca="false">IF('Données projet'!$A$114&gt;35,BY82+BX83-CG82,IF(A83&lt;'Données projet'!$A$114,$BV$205^A83,IF(A83='Données projet'!$A$114,'Données projet'!$B$114,BY82+BX83-CG82)))</f>
        <v>0</v>
      </c>
      <c r="BZ83" s="117" t="n">
        <f aca="false">BY83*VLOOKUP('Données projet'!$B$12,Paramètres!$A$1:$I$89,3,0)*VLOOKUP('Données projet'!$B$12,Paramètres!$A$1:$I$89,5,0)</f>
        <v>0</v>
      </c>
      <c r="CA83" s="117" t="e">
        <f aca="false">EXP(-1.0587+0.8836*LN(BZ83)+0.284)</f>
        <v>#VALUE!</v>
      </c>
      <c r="CB83" s="128" t="e">
        <f aca="false">(BZ83+CA83)*0.475*44/12</f>
        <v>#VALUE!</v>
      </c>
      <c r="CC83" s="120" t="e">
        <f aca="false">CB83+(BT83+BU83)*44/12</f>
        <v>#VALUE!</v>
      </c>
      <c r="CD83" s="120" t="n">
        <f aca="true">AVERAGE(OFFSET($CC$3,0,0,'Données projet'!$E$12+1,1))-AVERAGE(OFFSET($H$3,0,0,'Données projet'!$E$12+1,1))</f>
        <v>240.228848647662</v>
      </c>
      <c r="CE83" s="120" t="n">
        <f aca="false">$CE$3</f>
        <v>343.237768841432</v>
      </c>
      <c r="CF83" s="121" t="n">
        <f aca="false">IF(ISNA(VLOOKUP(A83,'Données projet'!$A$113:$I$133,3,0)),0,VLOOKUP(A83,'Données projet'!$A$113:$I$133,3,0))</f>
        <v>0</v>
      </c>
      <c r="CG83" s="121" t="n">
        <f aca="false">IF(ISNA(VLOOKUP(A83,'Données projet'!$A$113:$I$133,4,0)),0,VLOOKUP(A83,'Données projet'!$A$113:$I$133,4,0))</f>
        <v>0</v>
      </c>
      <c r="CH83" s="122" t="n">
        <f aca="false">IF(ISNA(VLOOKUP(A83,'Données projet'!$A$113:$I$133,5,0)),0%,VLOOKUP(A83,'Données projet'!$A$113:$I$133,5,0)*VLOOKUP('Données projet'!$B$12,Paramètres!$A$1:$I$89,7,0))</f>
        <v>0</v>
      </c>
      <c r="CI83" s="122" t="n">
        <f aca="false">IF(ISNA(VLOOKUP(A83,'Données projet'!$A$113:$I$133,6,0)),0%,VLOOKUP(A83,'Données projet'!$A$113:$I$133,6,0)*VLOOKUP('Données projet'!$B$12,Paramètres!$A$1:$I$89,7,0))</f>
        <v>0</v>
      </c>
      <c r="CJ83" s="122" t="n">
        <f aca="false">IF(ISNA(VLOOKUP(A83,'Données projet'!$A$113:$I$133,7,0)),0%,VLOOKUP(A83,'Données projet'!$A$113:$I$133,7,0))</f>
        <v>0</v>
      </c>
      <c r="CK83" s="129" t="n">
        <f aca="false">EXP(-LN(2)/35)*CK82+(1-EXP(-LN(2)/35))/(LN(2)/35)*CG83*CH83*VLOOKUP('Données projet'!$B$12,Paramètres!$A$1:$I$89,3,0)*0.475*44/12</f>
        <v>1.95581247006837</v>
      </c>
      <c r="CL83" s="129" t="n">
        <f aca="false">EXP(-LN(2)/25)*CL82+(1-EXP(-LN(2)/25))/(LN(2)/25)*Calculateur!CG83*Calculateur!CI83*VLOOKUP('Données projet'!$B$12,Paramètres!$A$1:$I$89,3,0)*0.475*44/12</f>
        <v>5.95253368494122</v>
      </c>
      <c r="CM83" s="129" t="n">
        <f aca="false">EXP(-LN(2)/2)*CM82+(1-EXP(-LN(2)/2))/(LN(2)/2)*CG83*CJ83*VLOOKUP('Données projet'!$B$12,Paramètres!$A$1:$I$89,3,0)*0.475*44/12</f>
        <v>2.87289365111703E-007</v>
      </c>
      <c r="CN83" s="130" t="n">
        <f aca="false">SUM(CK83:CM83)</f>
        <v>7.90834644229895</v>
      </c>
      <c r="CO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8" t="e">
        <f aca="false">VLOOKUP(A83,'Données projet'!$A$139:$I$159,2,0)</f>
        <v>#N/A</v>
      </c>
      <c r="CR83" s="118" t="e">
        <f aca="false">VLOOKUP(A83,'Données projet'!$A$139:$I$159,9,0)</f>
        <v>#N/A</v>
      </c>
      <c r="CS83" s="118" t="n">
        <f aca="false" t="array" ref="CS83:CS83">INDEX(CR:CR,MIN(IF(ISNUMBER(CR83:CR279),ROW(CR83:CR279),"")))</f>
        <v>0</v>
      </c>
      <c r="CT83" s="118" t="n">
        <f aca="false">IF('Données projet'!$A$140&gt;35,CT82+CS83-DB82,IF(A83&lt;'Données projet'!$A$140,$CQ$205^A83,IF(A83='Données projet'!$A$140,'Données projet'!$B$140,CT82+CS83-DB82)))</f>
        <v>-5.6843418860808E-014</v>
      </c>
      <c r="CU83" s="125" t="n">
        <f aca="false">CT83*VLOOKUP('Données projet'!$B$13,Paramètres!$A$1:$I$89,3,0)*VLOOKUP('Données projet'!$B$13,Paramètres!$A$1:$I$89,5,0)</f>
        <v>-3.10365066980012E-014</v>
      </c>
      <c r="CV83" s="117" t="e">
        <f aca="false">EXP(-1.0587+0.8836*LN(CU83)+0.284)</f>
        <v>#VALUE!</v>
      </c>
      <c r="CW83" s="128" t="e">
        <f aca="false">(CU83+CV83)*0.475*44/12</f>
        <v>#VALUE!</v>
      </c>
      <c r="CX83" s="120" t="e">
        <f aca="false">CW83+(CO83+CP83)*44/12</f>
        <v>#VALUE!</v>
      </c>
      <c r="CY83" s="120" t="n">
        <f aca="true">AVERAGE(OFFSET($CX$3,0,0,'Données projet'!$E$13+1,1))-AVERAGE(OFFSET($H$3,0,0,'Données projet'!$E$13+1,1))</f>
        <v>207.023069645676</v>
      </c>
      <c r="CZ83" s="120" t="n">
        <f aca="false">$CZ$3</f>
        <v>342.068879333518</v>
      </c>
      <c r="DA83" s="121" t="n">
        <f aca="false">IF(ISNA(VLOOKUP(A83,'Données projet'!$A$139:$I$159,3,0)),0,VLOOKUP(A83,'Données projet'!$A$139:$I$159,3,0))</f>
        <v>0</v>
      </c>
      <c r="DB83" s="121" t="n">
        <f aca="false">IF(ISNA(VLOOKUP(A83,'Données projet'!$A$139:$I$159,4,0)),0,VLOOKUP(A83,'Données projet'!$A$139:$I$159,4,0))</f>
        <v>0</v>
      </c>
      <c r="DC83" s="122" t="n">
        <f aca="false">IF(ISNA(VLOOKUP(A83,'Données projet'!$A$139:$I$159,5,0)),0%,VLOOKUP(A83,'Données projet'!$A$139:$I$159,5,0)*VLOOKUP('Données projet'!$B$13,Paramètres!$A$1:$I$89,7,0))</f>
        <v>0</v>
      </c>
      <c r="DD83" s="122" t="n">
        <f aca="false">IF(ISNA(VLOOKUP(A83,'Données projet'!$A$139:$I$159,6,0)),0%,VLOOKUP(A83,'Données projet'!$A$139:$I$159,6,0)*VLOOKUP('Données projet'!$B$13,Paramètres!$A$1:$I$89,7,0))</f>
        <v>0</v>
      </c>
      <c r="DE83" s="122" t="n">
        <f aca="false">IF(ISNA(VLOOKUP(A83,'Données projet'!$A$139:$I$159,7,0)),0%,VLOOKUP(A83,'Données projet'!$A$139:$I$159,7,0))</f>
        <v>0</v>
      </c>
      <c r="DF83" s="129" t="n">
        <f aca="false">EXP(-LN(2)/35)*DF82+(1-EXP(-LN(2)/35))/(LN(2)/35)*DB83*DC83*VLOOKUP('Données projet'!$B$13,Paramètres!$A$1:$I$89,3,0)*0.475*44/12</f>
        <v>2.45399111810465</v>
      </c>
      <c r="DG83" s="129" t="n">
        <f aca="false">EXP(-LN(2)/25)*DG82+(1-EXP(-LN(2)/25))/(LN(2)/25)*Calculateur!DB83*Calculateur!DD83*VLOOKUP('Données projet'!$B$13,Paramètres!$A$1:$I$89,3,0)*0.475*44/12</f>
        <v>9.72991341110961</v>
      </c>
      <c r="DH83" s="129" t="n">
        <f aca="false">EXP(-LN(2)/2)*DH82+(1-EXP(-LN(2)/2))/(LN(2)/2)*DB83*DE83*VLOOKUP('Données projet'!$B$13,Paramètres!$A$1:$I$89,3,0)*0.475*44/12</f>
        <v>3.95597588953401E-007</v>
      </c>
      <c r="DI83" s="130" t="n">
        <f aca="false">SUM(DF83:DH83)</f>
        <v>12.1839049248119</v>
      </c>
      <c r="DJ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8" t="e">
        <f aca="false">VLOOKUP(A83,'Données projet'!$A$165:$I$185,2,0)</f>
        <v>#N/A</v>
      </c>
      <c r="DM83" s="118" t="e">
        <f aca="false">VLOOKUP(A83,'Données projet'!$A$165:$I$185,9,0)</f>
        <v>#N/A</v>
      </c>
      <c r="DN83" s="118" t="n">
        <f aca="false" t="array" ref="DN83:DN83">INDEX(DM:DM,MIN(IF(ISNUMBER(DM83:DM279),ROW(DM83:DM279),"")))</f>
        <v>0</v>
      </c>
      <c r="DO83" s="118" t="n">
        <f aca="false">IF('Données projet'!$A$166&gt;35,DO82+DN83-DW82,IF(A83&lt;'Données projet'!$A$166,$DL$205^A83,IF(A83='Données projet'!$A$166,'Données projet'!$B$166,DO82+DN83-DW82)))</f>
        <v>0</v>
      </c>
      <c r="DP83" s="125" t="n">
        <f aca="false">DO83*VLOOKUP('Données projet'!$B$14,Paramètres!$A$1:$I$89,3,0)*VLOOKUP('Données projet'!$B$14,Paramètres!$A$1:$I$89,5,0)</f>
        <v>0</v>
      </c>
      <c r="DQ83" s="117" t="e">
        <f aca="false">EXP(-1.0587+0.8836*LN(DP83)+0.284)</f>
        <v>#VALUE!</v>
      </c>
      <c r="DR83" s="128" t="e">
        <f aca="false">(DP83+DQ83)*0.475*44/12</f>
        <v>#VALUE!</v>
      </c>
      <c r="DS83" s="120" t="e">
        <f aca="false">DR83+(DJ83+DK83)*44/12</f>
        <v>#VALUE!</v>
      </c>
      <c r="DT83" s="120" t="n">
        <f aca="true">AVERAGE(OFFSET($DS$3,0,0,'Données projet'!$E$14+1,1))-AVERAGE(OFFSET($H$3,0,0,'Données projet'!$E$14+1,1))</f>
        <v>549.432320957297</v>
      </c>
      <c r="DU83" s="120" t="n">
        <f aca="false">$DU$3</f>
        <v>280.26155987301</v>
      </c>
      <c r="DV83" s="121" t="n">
        <f aca="false">IF(ISNA(VLOOKUP(A83,'Données projet'!$A$165:$I$185,3,0)),0,VLOOKUP(A83,'Données projet'!$A$165:$I$185,3,0))</f>
        <v>0</v>
      </c>
      <c r="DW83" s="121" t="n">
        <f aca="false">IF(ISNA(VLOOKUP(A83,'Données projet'!$A$165:$I$185,4,0)),0,VLOOKUP(A83,'Données projet'!$A$165:$I$185,4,0))</f>
        <v>0</v>
      </c>
      <c r="DX83" s="122" t="n">
        <f aca="false">IF(ISNA(VLOOKUP(A83,'Données projet'!$A$165:$I$185,5,0)),0%,VLOOKUP(A83,'Données projet'!$A$165:$I$185,5,0)*VLOOKUP('Données projet'!$B$14,Paramètres!$A$1:$I$89,7,0))</f>
        <v>0</v>
      </c>
      <c r="DY83" s="122" t="n">
        <f aca="false">IF(ISNA(VLOOKUP(A83,'Données projet'!$A$165:$I$185,6,0)),0%,VLOOKUP(A83,'Données projet'!$A$165:$I$185,6,0)*VLOOKUP('Données projet'!$B$14,Paramètres!$A$1:$I$89,7,0))</f>
        <v>0</v>
      </c>
      <c r="DZ83" s="122" t="n">
        <f aca="false">IF(ISNA(VLOOKUP(A83,'Données projet'!$A$165:$I$185,7,0)),0%,VLOOKUP(A83,'Données projet'!$A$165:$I$185,7,0))</f>
        <v>0</v>
      </c>
      <c r="EA83" s="129" t="n">
        <f aca="false">EXP(-LN(2)/35)*EA82+(1-EXP(-LN(2)/35))/(LN(2)/35)*DW83*DX83*VLOOKUP('Données projet'!$B$14,Paramètres!$A$1:$I$89,3,0)*0.475*44/12</f>
        <v>0.892268434235226</v>
      </c>
      <c r="EB83" s="129" t="n">
        <f aca="false">EXP(-LN(2)/25)*EB82+(1-EXP(-LN(2)/25))/(LN(2)/25)*Calculateur!DW83*Calculateur!DY83*VLOOKUP('Données projet'!$B$14,Paramètres!$A$1:$I$89,3,0)*0.475*44/12</f>
        <v>1.93839071931056</v>
      </c>
      <c r="EC83" s="129" t="n">
        <f aca="false">EXP(-LN(2)/2)*EC82+(1-EXP(-LN(2)/2))/(LN(2)/2)*DW83*DZ83*VLOOKUP('Données projet'!$B$14,Paramètres!$A$1:$I$89,3,0)*0.475*44/12</f>
        <v>1.82362333970054E-007</v>
      </c>
      <c r="ED83" s="130" t="n">
        <f aca="false">SUM(EA83:EC83)</f>
        <v>2.83065933590812</v>
      </c>
      <c r="EE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8" t="e">
        <f aca="false">VLOOKUP(A83,'Données projet'!$A$191:$I$211,2,0)</f>
        <v>#N/A</v>
      </c>
      <c r="EH83" s="118" t="e">
        <f aca="false">VLOOKUP(A83,'Données projet'!$A$191:$I$211,9,0)</f>
        <v>#N/A</v>
      </c>
      <c r="EI83" s="118" t="n">
        <f aca="false" t="array" ref="EI83:EI83">INDEX(EH:EH,MIN(IF(ISNUMBER(EH83:EH279),ROW(EH83:EH279),"")))</f>
        <v>0</v>
      </c>
      <c r="EJ83" s="118" t="n">
        <f aca="false">IF('Données projet'!$A$192&gt;35,EJ82+EI83-ER82,IF(A83&lt;'Données projet'!$A$192,$EG$205^A83,IF(A83='Données projet'!$A$192,'Données projet'!$B$192,EJ82+EI83-ER82)))</f>
        <v>0</v>
      </c>
      <c r="EK83" s="125" t="e">
        <f aca="false">EJ83*VLOOKUP('Données projet'!$B$15,Paramètres!$A$1:$I$89,3,0)*VLOOKUP('Données projet'!$B$15,Paramètres!$A$1:$I$89,5,0)</f>
        <v>#N/A</v>
      </c>
      <c r="EL83" s="117" t="e">
        <f aca="false">EXP(-1.0587+0.8836*LN(EK83)+0.284)</f>
        <v>#N/A</v>
      </c>
      <c r="EM83" s="128" t="e">
        <f aca="false">(EK83+EL83)*0.475*44/12</f>
        <v>#N/A</v>
      </c>
      <c r="EN83" s="120" t="e">
        <f aca="false">EM83+(EE83+EF83)*44/12</f>
        <v>#N/A</v>
      </c>
      <c r="EO83" s="120" t="e">
        <f aca="true">AVERAGE(OFFSET($EN$3,0,0,'Données projet'!$E$15+1,1))-AVERAGE(OFFSET($H$3,0,0,'Données projet'!$E$15+1,1))</f>
        <v>#N/A</v>
      </c>
      <c r="EP83" s="120" t="e">
        <f aca="false">$EP$3</f>
        <v>#N/A</v>
      </c>
      <c r="EQ83" s="121" t="n">
        <f aca="false">IF(ISNA(VLOOKUP(A83,'Données projet'!$A$191:$I$211,3,0)),0,VLOOKUP(A83,'Données projet'!$A$191:$I$211,3,0))</f>
        <v>0</v>
      </c>
      <c r="ER83" s="121" t="n">
        <f aca="false">IF(ISNA(VLOOKUP(A83,'Données projet'!$A$191:$I$211,4,0)),0,VLOOKUP(A83,'Données projet'!$A$191:$I$211,4,0))</f>
        <v>0</v>
      </c>
      <c r="ES83" s="122" t="n">
        <f aca="false">IF(ISNA(VLOOKUP(A83,'Données projet'!$A$191:$I$211,5,0)),0%,VLOOKUP(A83,'Données projet'!$A$191:$I$211,5,0)*VLOOKUP('Données projet'!$B$15,Paramètres!$A$1:$I$89,7,0))</f>
        <v>0</v>
      </c>
      <c r="ET83" s="122" t="n">
        <f aca="false">IF(ISNA(VLOOKUP(A83,'Données projet'!$A$191:$I$211,6,0)),0%,VLOOKUP(A83,'Données projet'!$A$191:$I$211,6,0)*VLOOKUP('Données projet'!$B$15,Paramètres!$A$1:$I$89,7,0))</f>
        <v>0</v>
      </c>
      <c r="EU83" s="122" t="n">
        <f aca="false">IF(ISNA(VLOOKUP(A83,'Données projet'!$A$191:$I$211,7,0)),0%,VLOOKUP(A83,'Données projet'!$A$191:$I$211,7,0))</f>
        <v>0</v>
      </c>
      <c r="EV83" s="129" t="e">
        <f aca="false">EXP(-LN(2)/35)*EV82+(1-EXP(-LN(2)/35))/(LN(2)/35)*ER83*ES83*VLOOKUP('Données projet'!$B$15,Paramètres!$A$1:$I$89,3,0)*0.475*44/12</f>
        <v>#N/A</v>
      </c>
      <c r="EW83" s="129" t="e">
        <f aca="false">EXP(-LN(2)/25)*EW82+(1-EXP(-LN(2)/25))/(LN(2)/25)*Calculateur!ER83*Calculateur!ET83*VLOOKUP('Données projet'!$B$15,Paramètres!$A$1:$I$89,3,0)*0.475*44/12</f>
        <v>#N/A</v>
      </c>
      <c r="EX83" s="129" t="e">
        <f aca="false">EXP(-LN(2)/2)*EX82+(1-EXP(-LN(2)/2))/(LN(2)/2)*ER83*EU83*VLOOKUP('Données projet'!$B$15,Paramètres!$A$1:$I$89,3,0)*0.475*44/12</f>
        <v>#N/A</v>
      </c>
      <c r="EY83" s="130" t="e">
        <f aca="false">SUM(EV83:EX83)</f>
        <v>#N/A</v>
      </c>
      <c r="EZ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8" t="e">
        <f aca="false">VLOOKUP(A83,'Données projet'!$A$217:$I$237,2,0)</f>
        <v>#N/A</v>
      </c>
      <c r="FC83" s="118" t="e">
        <f aca="false">VLOOKUP(A83,'Données projet'!$A$217:$I$237,9,0)</f>
        <v>#N/A</v>
      </c>
      <c r="FD83" s="118" t="n">
        <f aca="false" t="array" ref="FD83:FD83">INDEX(FC:FC,MIN(IF(ISNUMBER(FC83:FC279),ROW(FC83:FC279),"")))</f>
        <v>0</v>
      </c>
      <c r="FE83" s="118" t="n">
        <f aca="false">IF('Données projet'!$A$218&gt;35,FE82+FD83-FM82,IF(A83&lt;'Données projet'!$A$218,$FB$205^A83,IF(A83='Données projet'!$A$218,'Données projet'!$B$218,FE82+FD83-FM82)))</f>
        <v>0</v>
      </c>
      <c r="FF83" s="125" t="e">
        <f aca="false">FE83*VLOOKUP('Données projet'!$B$16,Paramètres!$A$1:$I$89,3,0)*VLOOKUP('Données projet'!$B$16,Paramètres!$A$1:$I$89,5,0)</f>
        <v>#N/A</v>
      </c>
      <c r="FG83" s="117" t="e">
        <f aca="false">EXP(-1.0587+0.8836*LN(FF83)+0.284)</f>
        <v>#N/A</v>
      </c>
      <c r="FH83" s="128" t="e">
        <f aca="false">(FF83+FG83)*0.475*44/12</f>
        <v>#N/A</v>
      </c>
      <c r="FI83" s="120" t="e">
        <f aca="false">FH83+(EZ83+FA83)*44/12</f>
        <v>#N/A</v>
      </c>
      <c r="FJ83" s="120" t="e">
        <f aca="true">AVERAGE(OFFSET($FI$3,0,0,'Données projet'!$E$16+1,1))-AVERAGE(OFFSET($H$3,0,0,'Données projet'!$E$16+1,1))</f>
        <v>#N/A</v>
      </c>
      <c r="FK83" s="120" t="e">
        <f aca="false">$FK$3</f>
        <v>#N/A</v>
      </c>
      <c r="FL83" s="121" t="n">
        <f aca="false">IF(ISNA(VLOOKUP(A83,'Données projet'!$A$217:$I$237,3,0)),0,VLOOKUP(A83,'Données projet'!$A$217:$I$237,3,0))</f>
        <v>0</v>
      </c>
      <c r="FM83" s="121" t="n">
        <f aca="false">IF(ISNA(VLOOKUP(A83,'Données projet'!$A$217:$I$237,4,0)),0,VLOOKUP(A83,'Données projet'!$A$217:$I$237,4,0))</f>
        <v>0</v>
      </c>
      <c r="FN83" s="122" t="n">
        <f aca="false">IF(ISNA(VLOOKUP(A83,'Données projet'!$A$217:$I$237,5,0)),0%,VLOOKUP(A83,'Données projet'!$A$217:$I$237,5,0)*VLOOKUP('Données projet'!$B$16,Paramètres!$A$1:$I$89,7,0))</f>
        <v>0</v>
      </c>
      <c r="FO83" s="122" t="n">
        <f aca="false">IF(ISNA(VLOOKUP(A83,'Données projet'!$A$217:$I$237,6,0)),0%,VLOOKUP(A83,'Données projet'!$A$217:$I$237,6,0)*VLOOKUP('Données projet'!$B$16,Paramètres!$A$1:$I$89,7,0))</f>
        <v>0</v>
      </c>
      <c r="FP83" s="122" t="n">
        <f aca="false">IF(ISNA(VLOOKUP(A83,'Données projet'!$A$217:$I$237,7,0)),0%,VLOOKUP(A83,'Données projet'!$A$217:$I$237,7,0))</f>
        <v>0</v>
      </c>
      <c r="FQ83" s="129" t="e">
        <f aca="false">EXP(-LN(2)/35)*FQ82+(1-EXP(-LN(2)/35))/(LN(2)/35)*FM83*FN83*VLOOKUP('Données projet'!$B$16,Paramètres!$A$1:$I$89,3,0)*0.475*44/12</f>
        <v>#N/A</v>
      </c>
      <c r="FR83" s="129" t="e">
        <f aca="false">EXP(-LN(2)/25)*FR82+(1-EXP(-LN(2)/25))/(LN(2)/25)*Calculateur!FM83*Calculateur!FO83*VLOOKUP('Données projet'!$B$16,Paramètres!$A$1:$I$89,3,0)*0.475*44/12</f>
        <v>#N/A</v>
      </c>
      <c r="FS83" s="129" t="e">
        <f aca="false">EXP(-LN(2)/2)*FS82+(1-EXP(-LN(2)/2))/(LN(2)/2)*FM83*FP83*VLOOKUP('Données projet'!$B$16,Paramètres!$A$1:$I$89,3,0)*0.475*44/12</f>
        <v>#N/A</v>
      </c>
      <c r="FT83" s="130" t="e">
        <f aca="false">SUM(FQ83:FS83)</f>
        <v>#N/A</v>
      </c>
      <c r="FU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8" t="e">
        <f aca="false">VLOOKUP(A83,'Données projet'!$A$243:$I$263,2,0)</f>
        <v>#N/A</v>
      </c>
      <c r="FX83" s="118" t="e">
        <f aca="false">VLOOKUP(A83,'Données projet'!$A$243:$I$263,9,0)</f>
        <v>#N/A</v>
      </c>
      <c r="FY83" s="118" t="n">
        <f aca="false" t="array" ref="FY83:FY83">INDEX(FX:FX,MIN(IF(ISNUMBER(FX83:FX279),ROW(FX83:FX279),"")))</f>
        <v>0</v>
      </c>
      <c r="FZ83" s="118" t="n">
        <f aca="false">IF('Données projet'!$A$244&gt;35,FZ82+FY83-GH82,IF(A83&lt;'Données projet'!$A$244,$FW$205^A83,IF(A83='Données projet'!$A$244,'Données projet'!$B$244,FZ82+FY83-GH82)))</f>
        <v>0</v>
      </c>
      <c r="GA83" s="125" t="e">
        <f aca="false">FZ83*VLOOKUP('Données projet'!$B$17,Paramètres!$A$1:$I$89,3,0)*VLOOKUP('Données projet'!$B$17,Paramètres!$A$1:$I$89,5,0)</f>
        <v>#N/A</v>
      </c>
      <c r="GB83" s="117" t="e">
        <f aca="false">EXP(-1.0587+0.8836*LN(GA83)+0.284)</f>
        <v>#N/A</v>
      </c>
      <c r="GC83" s="128" t="e">
        <f aca="false">(GA83+GB83)*0.475*44/12</f>
        <v>#N/A</v>
      </c>
      <c r="GD83" s="120" t="e">
        <f aca="false">GC83+(FU83+FV83)*44/12</f>
        <v>#N/A</v>
      </c>
      <c r="GE83" s="120" t="e">
        <f aca="true">AVERAGE(OFFSET($GD$3,0,0,'Données projet'!$E$17+1,1))-AVERAGE(OFFSET($H$3,0,0,'Données projet'!$E$17+1,1))</f>
        <v>#N/A</v>
      </c>
      <c r="GF83" s="120" t="e">
        <f aca="false">$GF$3</f>
        <v>#N/A</v>
      </c>
      <c r="GG83" s="121" t="n">
        <f aca="false">IF(ISNA(VLOOKUP(A83,'Données projet'!$A$243:$I$263,3,0)),0,VLOOKUP(A83,'Données projet'!$A$243:$I$263,3,0))</f>
        <v>0</v>
      </c>
      <c r="GH83" s="121" t="n">
        <f aca="false">IF(ISNA(VLOOKUP(A83,'Données projet'!$A$243:$I$263,4,0)),0,VLOOKUP(A83,'Données projet'!$A$243:$I$263,4,0))</f>
        <v>0</v>
      </c>
      <c r="GI83" s="122" t="n">
        <f aca="false">IF(ISNA(VLOOKUP(A83,'Données projet'!$A$243:$I$263,5,0)),0%,VLOOKUP(A83,'Données projet'!$A$243:$I$263,5,0)*VLOOKUP('Données projet'!$B$17,Paramètres!$A$1:$I$89,7,0))</f>
        <v>0</v>
      </c>
      <c r="GJ83" s="122" t="n">
        <f aca="false">IF(ISNA(VLOOKUP(A83,'Données projet'!$A$243:$I$263,6,0)),0%,VLOOKUP(A83,'Données projet'!$A$243:$I$263,6,0)*VLOOKUP('Données projet'!$B$17,Paramètres!$A$1:$I$89,7,0))</f>
        <v>0</v>
      </c>
      <c r="GK83" s="122" t="n">
        <f aca="false">IF(ISNA(VLOOKUP(A83,'Données projet'!$A$243:$I$263,7,0)),0%,VLOOKUP(A83,'Données projet'!$A$243:$I$263,7,0))</f>
        <v>0</v>
      </c>
      <c r="GL83" s="129" t="e">
        <f aca="false">EXP(-LN(2)/35)*GL82+(1-EXP(-LN(2)/35))/(LN(2)/35)*GH83*GI83*VLOOKUP('Données projet'!$B$17,Paramètres!$A$1:$I$89,3,0)*0.475*44/12</f>
        <v>#N/A</v>
      </c>
      <c r="GM83" s="129" t="e">
        <f aca="false">EXP(-LN(2)/25)*GM82+(1-EXP(-LN(2)/25))/(LN(2)/25)*Calculateur!GH83*Calculateur!GJ83*VLOOKUP('Données projet'!$B$17,Paramètres!$A$1:$I$89,3,0)*0.475*44/12</f>
        <v>#N/A</v>
      </c>
      <c r="GN83" s="129" t="e">
        <f aca="false">EXP(-LN(2)/2)*GN82+(1-EXP(-LN(2)/2))/(LN(2)/2)*GH83*GK83*VLOOKUP('Données projet'!$B$17,Paramètres!$A$1:$I$89,3,0)*0.475*44/12</f>
        <v>#N/A</v>
      </c>
      <c r="GO83" s="129" t="e">
        <f aca="false">SUM(GL83:GN83)</f>
        <v>#N/A</v>
      </c>
      <c r="GP83" s="126" t="n">
        <f aca="false"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8" t="n">
        <f aca="false"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8" t="e">
        <f aca="false">VLOOKUP(A83,'Données projet'!$A$269:$I$289,2,0)</f>
        <v>#N/A</v>
      </c>
      <c r="GS83" s="118" t="e">
        <f aca="false">VLOOKUP(A83,'Données projet'!$A$269:$I$289,9,0)</f>
        <v>#N/A</v>
      </c>
      <c r="GT83" s="118" t="n">
        <f aca="false" t="array" ref="GT83:GT83">INDEX(GS:GS,MIN(IF(ISNUMBER(GS83:GS279),ROW(GS83:GS279),"")))</f>
        <v>0</v>
      </c>
      <c r="GU83" s="118" t="n">
        <f aca="false">IF('Données projet'!$A$270&gt;35,GU82+GT83-HC82,IF(A83&lt;'Données projet'!$A$270,$GR$205^A83,IF(A83='Données projet'!$A$270,'Données projet'!$B$270,GU82+GT83-HC82)))</f>
        <v>0</v>
      </c>
      <c r="GV83" s="125" t="e">
        <f aca="false">GU83*VLOOKUP('Données projet'!$B$18,Paramètres!$A$1:$I$89,3,0)*VLOOKUP('Données projet'!$B$18,Paramètres!$A$1:$I$89,5,0)</f>
        <v>#N/A</v>
      </c>
      <c r="GW83" s="117" t="e">
        <f aca="false">EXP(-1.0587+0.8836*LN(GV83)+0.284)</f>
        <v>#N/A</v>
      </c>
      <c r="GX83" s="128" t="e">
        <f aca="false">(GV83+GW83)*0.475*44/12</f>
        <v>#N/A</v>
      </c>
      <c r="GY83" s="120" t="e">
        <f aca="false">GX83+(GP83+GQ83)*44/12</f>
        <v>#N/A</v>
      </c>
      <c r="GZ83" s="120" t="e">
        <f aca="true">AVERAGE(OFFSET($GY$3,0,0,'Données projet'!$E$18+1,1))-AVERAGE(OFFSET($H$3,0,0,'Données projet'!$E$18+1,1))</f>
        <v>#N/A</v>
      </c>
      <c r="HA83" s="120" t="e">
        <f aca="false">$HA$3</f>
        <v>#N/A</v>
      </c>
      <c r="HB83" s="121" t="n">
        <f aca="false">IF(ISNA(VLOOKUP(A83,'Données projet'!$A$269:$I$289,3,0)),0,VLOOKUP(A83,'Données projet'!$A$269:$I$289,3,0))</f>
        <v>0</v>
      </c>
      <c r="HC83" s="121" t="n">
        <f aca="false">IF(ISNA(VLOOKUP(A83,'Données projet'!$A$269:$I$289,4,0)),0,VLOOKUP(A83,'Données projet'!$A$269:$I$289,4,0))</f>
        <v>0</v>
      </c>
      <c r="HD83" s="122" t="n">
        <f aca="false">IF(ISNA(VLOOKUP(A83,'Données projet'!$A$269:$I$289,5,0)),0%,VLOOKUP(A83,'Données projet'!$A$269:$I$289,5,0)*VLOOKUP('Données projet'!$B$18,Paramètres!$A$1:$I$89,7,0))</f>
        <v>0</v>
      </c>
      <c r="HE83" s="122" t="n">
        <f aca="false">IF(ISNA(VLOOKUP(A83,'Données projet'!$A$269:$I$289,6,0)),0%,VLOOKUP(A83,'Données projet'!$A$269:$I$289,6,0)*VLOOKUP('Données projet'!$B$18,Paramètres!$A$1:$I$89,7,0))</f>
        <v>0</v>
      </c>
      <c r="HF83" s="122" t="n">
        <f aca="false">IF(ISNA(VLOOKUP(A83,'Données projet'!$A$269:$I$289,7,0)),0%,VLOOKUP(A83,'Données projet'!$A$269:$I$289,7,0))</f>
        <v>0</v>
      </c>
      <c r="HG83" s="129" t="e">
        <f aca="false">EXP(-LN(2)/35)*HG82+(1-EXP(-LN(2)/35))/(LN(2)/35)*HC83*HD83*VLOOKUP('Données projet'!$B$18,Paramètres!$A$1:$I$89,3,0)*0.475*44/12</f>
        <v>#N/A</v>
      </c>
      <c r="HH83" s="129" t="e">
        <f aca="false">EXP(-LN(2)/25)*HH82+(1-EXP(-LN(2)/25))/(LN(2)/25)*Calculateur!HC83*Calculateur!HE83*VLOOKUP('Données projet'!$B$18,Paramètres!$A$1:$I$89,3,0)*0.475*44/12</f>
        <v>#N/A</v>
      </c>
      <c r="HI83" s="129" t="e">
        <f aca="false">EXP(-LN(2)/2)*HI82+(1-EXP(-LN(2)/2))/(LN(2)/2)*HC83*HF83*VLOOKUP('Données projet'!$B$18,Paramètres!$A$1:$I$89,3,0)*0.475*44/12</f>
        <v>#N/A</v>
      </c>
      <c r="HJ83" s="130" t="e">
        <f aca="false">SUM(HG83:HI83)</f>
        <v>#N/A</v>
      </c>
    </row>
    <row r="84" customFormat="false" ht="14.25" hidden="false" customHeight="false" outlineLevel="0" collapsed="false">
      <c r="A84" s="112" t="n">
        <f aca="false">A83+1</f>
        <v>81</v>
      </c>
      <c r="B84" s="113" t="n">
        <f aca="false">'Scénario référence'!$B$16*5+'Scénario référence'!$B$17*0+'Scénario référence'!$B$18*5</f>
        <v>0</v>
      </c>
      <c r="C84" s="127" t="n">
        <f aca="false"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4" t="n">
        <f aca="false">IFERROR(EXP(-1.0587+0.8836*LN(C84)+0.284),0)</f>
        <v>0</v>
      </c>
      <c r="E8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4" s="114" t="n">
        <f aca="false">IF(OR('Scénario référence'!$F$8&gt;0,'Scénario référence'!$F$9&gt;0),('Scénario référence'!$F$8+'Scénario référence'!$F$9)*10,0)</f>
        <v>0</v>
      </c>
      <c r="G84" s="114" t="n">
        <f aca="false"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15" t="n">
        <f aca="false">(B84+E84+F84)*44/12+(C84+D84)*0.475*44/12</f>
        <v>256.666666666667</v>
      </c>
      <c r="I84" s="11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7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8" t="e">
        <f aca="false">VLOOKUP(A84,'Données projet'!$A$35:$I$55,2,0)</f>
        <v>#N/A</v>
      </c>
      <c r="L84" s="118" t="e">
        <f aca="false">VLOOKUP(A84,'Données projet'!$A$35:$I$55,9,0)</f>
        <v>#N/A</v>
      </c>
      <c r="M84" s="118" t="n">
        <f aca="false" t="array" ref="M84:M84">INDEX(L:L,MIN(IF(ISNUMBER(L84:L280),ROW(L84:L280),"")))</f>
        <v>17.5</v>
      </c>
      <c r="N84" s="117" t="n">
        <f aca="false">IF('Données projet'!$A$36&gt;35,N83+M84-V83,IF(A84&lt;'Données projet'!$A$36,$K$205^A84,IF(A84='Données projet'!$A$36,'Données projet'!$B$36,N83+M84-V83)))</f>
        <v>431</v>
      </c>
      <c r="O84" s="117" t="n">
        <f aca="false">N84*VLOOKUP('Données projet'!$B$9,Paramètres!$A$1:$I$89,3,0)*VLOOKUP('Données projet'!$B$9,Paramètres!$A$1:$I$89,5,0)</f>
        <v>201.708</v>
      </c>
      <c r="P84" s="117" t="n">
        <f aca="false">EXP(-1.0587+0.8836*LN(O84)+0.284)</f>
        <v>50.1193484518542</v>
      </c>
      <c r="Q84" s="128" t="n">
        <f aca="false">(O84+P84)*0.475*44/12</f>
        <v>438.599298553646</v>
      </c>
      <c r="R84" s="120" t="n">
        <f aca="false">Q84+(I84+J84)*44/12</f>
        <v>731.932631886979</v>
      </c>
      <c r="S84" s="120" t="n">
        <f aca="true">AVERAGE(OFFSET($R$3,0,0,'Données projet'!$E$9+1,1))-AVERAGE(OFFSET($H$3,0,0,'Données projet'!$E$9+1,1))</f>
        <v>319.229030946746</v>
      </c>
      <c r="T84" s="120" t="n">
        <f aca="false">$T$3</f>
        <v>254.586909731428</v>
      </c>
      <c r="U84" s="121" t="n">
        <f aca="false">IF(ISNA(VLOOKUP(A84,'Données projet'!$A$35:$I$55,3,0)),0,VLOOKUP(A84,'Données projet'!$A$35:$I$55,3,0))</f>
        <v>0</v>
      </c>
      <c r="V84" s="121" t="n">
        <f aca="false">IF(ISNA(VLOOKUP(A84,'Données projet'!$A$35:$I$55,4,0)),0,VLOOKUP(A84,'Données projet'!$A$35:$I$55,4,0))</f>
        <v>0</v>
      </c>
      <c r="W84" s="122" t="n">
        <f aca="false">IF(ISNA(VLOOKUP(A84,'Données projet'!$A$35:$I$55,5,0)),0%,VLOOKUP(A84,'Données projet'!$A$35:$I$55,5,0)*VLOOKUP('Données projet'!$B$9,Paramètres!$A$1:$I$89,7,0))</f>
        <v>0</v>
      </c>
      <c r="X84" s="122" t="n">
        <f aca="false">IF(ISNA(VLOOKUP(A84,'Données projet'!$A$35:$I$55,6,0)),0%,VLOOKUP(A84,'Données projet'!$A$35:$I$55,6,0)*VLOOKUP('Données projet'!$B$9,Paramètres!$A$1:$I$89,7,0))</f>
        <v>0</v>
      </c>
      <c r="Y84" s="122" t="n">
        <f aca="false">IF(ISNA(VLOOKUP(A84,'Données projet'!$A$35:$I$55,7,0)),0%,VLOOKUP(A84,'Données projet'!$A$35:$I$55,7,0))</f>
        <v>0</v>
      </c>
      <c r="Z84" s="129" t="n">
        <f aca="false">EXP(-LN(2)/35)*Z83+(1-EXP(-LN(2)/35))/(LN(2)/35)*V84*W84*VLOOKUP('Données projet'!$B$9,Paramètres!$A$1:$I$89,3,0)*0.475*44/12</f>
        <v>3.30566452182201</v>
      </c>
      <c r="AA84" s="129" t="n">
        <f aca="false">EXP(-LN(2)/25)*AA83+(1-EXP(-LN(2)/25))/(LN(2)/25)*Calculateur!V84*Calculateur!X84*VLOOKUP('Données projet'!$B$9,Paramètres!$A$1:$I$89,3,0)*0.475*44/12</f>
        <v>2.71159669473553</v>
      </c>
      <c r="AB84" s="129" t="n">
        <f aca="false">EXP(-LN(2)/2)*AB83+(1-EXP(-LN(2)/2))/(LN(2)/2)*V84*Y84*VLOOKUP('Données projet'!$B$9,Paramètres!$A$1:$I$89,3,0)*0.475*44/12</f>
        <v>2.32716535014028E-007</v>
      </c>
      <c r="AC84" s="130" t="n">
        <f aca="false">SUM(Z84:AB84)</f>
        <v>6.01726144927407</v>
      </c>
      <c r="AD84" s="117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7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8" t="e">
        <f aca="false">VLOOKUP(A84,'Données projet'!$A$61:$I$81,2,0)</f>
        <v>#N/A</v>
      </c>
      <c r="AG84" s="118" t="e">
        <f aca="false">VLOOKUP(A84,'Données projet'!$A$61:$I$81,9,0)</f>
        <v>#N/A</v>
      </c>
      <c r="AH84" s="118" t="n">
        <f aca="false" t="array" ref="AH84:AH84">INDEX(AG:AG,MIN(IF(ISNUMBER(AG84:AG280),ROW(AG84:AG280),"")))</f>
        <v>0</v>
      </c>
      <c r="AI84" s="117" t="n">
        <f aca="false">IF('Données projet'!$A$62&gt;35,AI83+AH84-AQ83,IF(A84&lt;'Données projet'!$A$62,$AF$205^A84,IF(A84='Données projet'!$A$62,'Données projet'!$B$62,AI83+AH84-AQ83)))</f>
        <v>1.13686837721616E-013</v>
      </c>
      <c r="AJ84" s="117" t="n">
        <f aca="false">AI84*VLOOKUP('Données projet'!$B$10,Paramètres!$A$1:$I$89,3,0)*VLOOKUP('Données projet'!$B$10,Paramètres!$A$1:$I$89,5,0)</f>
        <v>6.35509422863834E-014</v>
      </c>
      <c r="AK84" s="117" t="n">
        <f aca="false">EXP(-1.0587+0.8836*LN(AJ84)+0.284)</f>
        <v>1.0064464192544E-012</v>
      </c>
      <c r="AL84" s="128" t="n">
        <f aca="false">(AJ84+AK84)*0.475*44/12</f>
        <v>1.86357873801686E-012</v>
      </c>
      <c r="AM84" s="120" t="n">
        <f aca="false">AL84+(AD84+AE84)*44/12</f>
        <v>293.333333333335</v>
      </c>
      <c r="AN84" s="120" t="n">
        <f aca="true">AVERAGE(OFFSET($AM$3,0,0,'Données projet'!$E$10+1,1))-AVERAGE(OFFSET($H$3,0,0,'Données projet'!$E$10+1,1))</f>
        <v>365.705101827279</v>
      </c>
      <c r="AO84" s="120" t="n">
        <f aca="false">$AO$3</f>
        <v>436.238338449625</v>
      </c>
      <c r="AP84" s="121" t="n">
        <f aca="false">IF(ISNA(VLOOKUP(A84,'Données projet'!$A$61:$I$81,3,0)),0,VLOOKUP(A84,'Données projet'!$A$61:$I$81,3,0))</f>
        <v>0</v>
      </c>
      <c r="AQ84" s="121" t="n">
        <f aca="false">IF(ISNA(VLOOKUP(A84,'Données projet'!$A$61:$I$81,4,0)),0,VLOOKUP(A84,'Données projet'!$A$61:$I$81,4,0))</f>
        <v>0</v>
      </c>
      <c r="AR84" s="122" t="n">
        <f aca="false">IF(ISNA(VLOOKUP(A84,'Données projet'!$A$61:$I$81,5,0)),0%,VLOOKUP(A84,'Données projet'!$A$61:$I$81,5,0)*VLOOKUP('Données projet'!$B$10,Paramètres!$A$1:$I$89,7,0))</f>
        <v>0</v>
      </c>
      <c r="AS84" s="122" t="n">
        <f aca="false">IF(ISNA(VLOOKUP(A84,'Données projet'!$A$61:$I$81,6,0)),0%,VLOOKUP(A84,'Données projet'!$A$61:$I$81,6,0)*VLOOKUP('Données projet'!$B$10,Paramètres!$A$1:$I$89,7,0))</f>
        <v>0</v>
      </c>
      <c r="AT84" s="122" t="n">
        <f aca="false">IF(ISNA(VLOOKUP(A84,'Données projet'!$A$61:$I$81,7,0)),0%,VLOOKUP(A84,'Données projet'!$A$61:$I$81,7,0))</f>
        <v>0</v>
      </c>
      <c r="AU84" s="129" t="n">
        <f aca="false">EXP(-LN(2)/35)*AU83+(1-EXP(-LN(2)/35))/(LN(2)/35)*AQ84*AR84*VLOOKUP('Données projet'!$B$10,Paramètres!$A$1:$I$89,3,0)*0.475*44/12</f>
        <v>1.24778118268414</v>
      </c>
      <c r="AV84" s="129" t="n">
        <f aca="false">EXP(-LN(2)/25)*AV83+(1-EXP(-LN(2)/25))/(LN(2)/25)*Calculateur!AQ84*Calculateur!AS84*VLOOKUP('Données projet'!$B$10,Paramètres!$A$1:$I$89,3,0)*0.475*44/12</f>
        <v>3.21173966921471</v>
      </c>
      <c r="AW84" s="129" t="n">
        <f aca="false">EXP(-LN(2)/2)*AW83+(1-EXP(-LN(2)/2))/(LN(2)/2)*AQ84*AT84*VLOOKUP('Données projet'!$B$10,Paramètres!$A$1:$I$89,3,0)*0.475*44/12</f>
        <v>1.25240765645659E-007</v>
      </c>
      <c r="AX84" s="129" t="n">
        <f aca="false">SUM(AU84:AW84)</f>
        <v>4.45952097713962</v>
      </c>
      <c r="AY84" s="124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8" t="e">
        <f aca="false">VLOOKUP(A84,'Données projet'!$A$87:$I$107,2,0)</f>
        <v>#N/A</v>
      </c>
      <c r="BB84" s="118" t="e">
        <f aca="false">VLOOKUP(A84,'Données projet'!$A$87:$I$107,9,0)</f>
        <v>#N/A</v>
      </c>
      <c r="BC84" s="118" t="n">
        <f aca="false" t="array" ref="BC84:BC84">INDEX(BB:BB,MIN(IF(ISNUMBER(BB84:BB280),ROW(BB84:BB280),"")))</f>
        <v>0</v>
      </c>
      <c r="BD84" s="118" t="n">
        <f aca="false">IF('Données projet'!$A$88&gt;35,BD83+BC84-BL83,IF(A84&lt;'Données projet'!$A$88,$BA$205^A84,IF(A84='Données projet'!$A$88,'Données projet'!$B$88,BD83+BC84-BL83)))</f>
        <v>1.98951966012828E-013</v>
      </c>
      <c r="BE84" s="117" t="n">
        <f aca="false">BD84*VLOOKUP('Données projet'!$B$11,Paramètres!$A$1:$I$89,3,0)*VLOOKUP('Données projet'!$B$11,Paramètres!$A$1:$I$89,5,0)</f>
        <v>1.73804437508807E-013</v>
      </c>
      <c r="BF84" s="117" t="n">
        <f aca="false">EXP(-1.0587+0.8836*LN(BE84)+0.284)</f>
        <v>2.44832936339505E-012</v>
      </c>
      <c r="BG84" s="128" t="n">
        <f aca="false">(BE84+BF84)*0.475*44/12</f>
        <v>4.56688303657421E-012</v>
      </c>
      <c r="BH84" s="120" t="n">
        <f aca="false">BG84+(AY84+AZ84)*44/12</f>
        <v>293.333333333338</v>
      </c>
      <c r="BI84" s="120" t="n">
        <f aca="true">AVERAGE(OFFSET($BH$3,0,0,'Données projet'!$E$11+1,1))-AVERAGE(OFFSET($H$3,0,0,'Données projet'!$E$11+1,1))</f>
        <v>321.235999689929</v>
      </c>
      <c r="BJ84" s="120" t="n">
        <f aca="false">$BJ$3</f>
        <v>388.051958478005</v>
      </c>
      <c r="BK84" s="121" t="n">
        <f aca="false">IF(ISNA(VLOOKUP(A84,'Données projet'!$A$87:$I$107,3,0)),0,VLOOKUP(A84,'Données projet'!$A$87:$I$107,3,0))</f>
        <v>0</v>
      </c>
      <c r="BL84" s="121" t="n">
        <f aca="false">IF(ISNA(VLOOKUP(A84,'Données projet'!$A$87:$I$107,4,0)),0,VLOOKUP(A84,'Données projet'!$A$87:$I$107,4,0))</f>
        <v>0</v>
      </c>
      <c r="BM84" s="122" t="n">
        <f aca="false">IF(ISNA(VLOOKUP(A84,'Données projet'!$A$87:$I$107,5,0)),0%,VLOOKUP(A84,'Données projet'!$A$87:$I$107,5,0)*VLOOKUP('Données projet'!$B$11,Paramètres!$A$1:$I$89,7,0))</f>
        <v>0</v>
      </c>
      <c r="BN84" s="122" t="n">
        <f aca="false">IF(ISNA(VLOOKUP(A84,'Données projet'!$A$87:$I$107,6,0)),0%,VLOOKUP(A84,'Données projet'!$A$87:$I$107,6,0)*VLOOKUP('Données projet'!$B$11,Paramètres!$A$1:$I$89,7,0))</f>
        <v>0</v>
      </c>
      <c r="BO84" s="122" t="n">
        <f aca="false">IF(ISNA(VLOOKUP(A84,'Données projet'!$A$87:$I$107,7,0)),0%,VLOOKUP(A84,'Données projet'!$A$87:$I$107,7,0))</f>
        <v>0</v>
      </c>
      <c r="BP84" s="129" t="n">
        <f aca="false">EXP(-LN(2)/35)*BP83+(1-EXP(-LN(2)/35))/(LN(2)/35)*BL84*BM84*VLOOKUP('Données projet'!$B$11,Paramètres!$A$1:$I$89,3,0)*0.475*44/12</f>
        <v>3.13270607980922</v>
      </c>
      <c r="BQ84" s="129" t="n">
        <f aca="false">EXP(-LN(2)/25)*BQ83+(1-EXP(-LN(2)/25))/(LN(2)/25)*Calculateur!BL84*Calculateur!BN84*VLOOKUP('Données projet'!$B$11,Paramètres!$A$1:$I$89,3,0)*0.475*44/12</f>
        <v>3.2783530887925</v>
      </c>
      <c r="BR84" s="129" t="n">
        <f aca="false">EXP(-LN(2)/2)*BR83+(1-EXP(-LN(2)/2))/(LN(2)/2)*BL84*BO84*VLOOKUP('Données projet'!$B$11,Paramètres!$A$1:$I$89,3,0)*0.475*44/12</f>
        <v>1.27304635106221E-007</v>
      </c>
      <c r="BS84" s="130" t="n">
        <f aca="false">SUM(BP84:BR84)</f>
        <v>6.41105929590635</v>
      </c>
      <c r="BT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8" t="e">
        <f aca="false">VLOOKUP(A84,'Données projet'!$A$113:$I$133,2,0)</f>
        <v>#N/A</v>
      </c>
      <c r="BW84" s="118" t="e">
        <f aca="false">VLOOKUP(A84,'Données projet'!$A$113:$I$133,9,0)</f>
        <v>#N/A</v>
      </c>
      <c r="BX84" s="118" t="n">
        <f aca="false" t="array" ref="BX84:BX84">INDEX(BW:BW,MIN(IF(ISNUMBER(BW84:BW280),ROW(BW84:BW280),"")))</f>
        <v>0</v>
      </c>
      <c r="BY84" s="118" t="n">
        <f aca="false">IF('Données projet'!$A$114&gt;35,BY83+BX84-CG83,IF(A84&lt;'Données projet'!$A$114,$BV$205^A84,IF(A84='Données projet'!$A$114,'Données projet'!$B$114,BY83+BX84-CG83)))</f>
        <v>0</v>
      </c>
      <c r="BZ84" s="117" t="n">
        <f aca="false">BY84*VLOOKUP('Données projet'!$B$12,Paramètres!$A$1:$I$89,3,0)*VLOOKUP('Données projet'!$B$12,Paramètres!$A$1:$I$89,5,0)</f>
        <v>0</v>
      </c>
      <c r="CA84" s="117" t="e">
        <f aca="false">EXP(-1.0587+0.8836*LN(BZ84)+0.284)</f>
        <v>#VALUE!</v>
      </c>
      <c r="CB84" s="128" t="e">
        <f aca="false">(BZ84+CA84)*0.475*44/12</f>
        <v>#VALUE!</v>
      </c>
      <c r="CC84" s="120" t="e">
        <f aca="false">CB84+(BT84+BU84)*44/12</f>
        <v>#VALUE!</v>
      </c>
      <c r="CD84" s="120" t="n">
        <f aca="true">AVERAGE(OFFSET($CC$3,0,0,'Données projet'!$E$12+1,1))-AVERAGE(OFFSET($H$3,0,0,'Données projet'!$E$12+1,1))</f>
        <v>240.228848647662</v>
      </c>
      <c r="CE84" s="120" t="n">
        <f aca="false">$CE$3</f>
        <v>343.237768841432</v>
      </c>
      <c r="CF84" s="121" t="n">
        <f aca="false">IF(ISNA(VLOOKUP(A84,'Données projet'!$A$113:$I$133,3,0)),0,VLOOKUP(A84,'Données projet'!$A$113:$I$133,3,0))</f>
        <v>0</v>
      </c>
      <c r="CG84" s="121" t="n">
        <f aca="false">IF(ISNA(VLOOKUP(A84,'Données projet'!$A$113:$I$133,4,0)),0,VLOOKUP(A84,'Données projet'!$A$113:$I$133,4,0))</f>
        <v>0</v>
      </c>
      <c r="CH84" s="122" t="n">
        <f aca="false">IF(ISNA(VLOOKUP(A84,'Données projet'!$A$113:$I$133,5,0)),0%,VLOOKUP(A84,'Données projet'!$A$113:$I$133,5,0)*VLOOKUP('Données projet'!$B$12,Paramètres!$A$1:$I$89,7,0))</f>
        <v>0</v>
      </c>
      <c r="CI84" s="122" t="n">
        <f aca="false">IF(ISNA(VLOOKUP(A84,'Données projet'!$A$113:$I$133,6,0)),0%,VLOOKUP(A84,'Données projet'!$A$113:$I$133,6,0)*VLOOKUP('Données projet'!$B$12,Paramètres!$A$1:$I$89,7,0))</f>
        <v>0</v>
      </c>
      <c r="CJ84" s="122" t="n">
        <f aca="false">IF(ISNA(VLOOKUP(A84,'Données projet'!$A$113:$I$133,7,0)),0%,VLOOKUP(A84,'Données projet'!$A$113:$I$133,7,0))</f>
        <v>0</v>
      </c>
      <c r="CK84" s="129" t="n">
        <f aca="false">EXP(-LN(2)/35)*CK83+(1-EXP(-LN(2)/35))/(LN(2)/35)*CG84*CH84*VLOOKUP('Données projet'!$B$12,Paramètres!$A$1:$I$89,3,0)*0.475*44/12</f>
        <v>1.91746018045815</v>
      </c>
      <c r="CL84" s="129" t="n">
        <f aca="false">EXP(-LN(2)/25)*CL83+(1-EXP(-LN(2)/25))/(LN(2)/25)*Calculateur!CG84*Calculateur!CI84*VLOOKUP('Données projet'!$B$12,Paramètres!$A$1:$I$89,3,0)*0.475*44/12</f>
        <v>5.78976133829636</v>
      </c>
      <c r="CM84" s="129" t="n">
        <f aca="false">EXP(-LN(2)/2)*CM83+(1-EXP(-LN(2)/2))/(LN(2)/2)*CG84*CJ84*VLOOKUP('Données projet'!$B$12,Paramètres!$A$1:$I$89,3,0)*0.475*44/12</f>
        <v>2.03144258233263E-007</v>
      </c>
      <c r="CN84" s="130" t="n">
        <f aca="false">SUM(CK84:CM84)</f>
        <v>7.70722172189876</v>
      </c>
      <c r="CO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8" t="e">
        <f aca="false">VLOOKUP(A84,'Données projet'!$A$139:$I$159,2,0)</f>
        <v>#N/A</v>
      </c>
      <c r="CR84" s="118" t="e">
        <f aca="false">VLOOKUP(A84,'Données projet'!$A$139:$I$159,9,0)</f>
        <v>#N/A</v>
      </c>
      <c r="CS84" s="118" t="n">
        <f aca="false" t="array" ref="CS84:CS84">INDEX(CR:CR,MIN(IF(ISNUMBER(CR84:CR280),ROW(CR84:CR280),"")))</f>
        <v>0</v>
      </c>
      <c r="CT84" s="118" t="n">
        <f aca="false">IF('Données projet'!$A$140&gt;35,CT83+CS84-DB83,IF(A84&lt;'Données projet'!$A$140,$CQ$205^A84,IF(A84='Données projet'!$A$140,'Données projet'!$B$140,CT83+CS84-DB83)))</f>
        <v>-5.6843418860808E-014</v>
      </c>
      <c r="CU84" s="125" t="n">
        <f aca="false">CT84*VLOOKUP('Données projet'!$B$13,Paramètres!$A$1:$I$89,3,0)*VLOOKUP('Données projet'!$B$13,Paramètres!$A$1:$I$89,5,0)</f>
        <v>-3.10365066980012E-014</v>
      </c>
      <c r="CV84" s="117" t="e">
        <f aca="false">EXP(-1.0587+0.8836*LN(CU84)+0.284)</f>
        <v>#VALUE!</v>
      </c>
      <c r="CW84" s="128" t="e">
        <f aca="false">(CU84+CV84)*0.475*44/12</f>
        <v>#VALUE!</v>
      </c>
      <c r="CX84" s="120" t="e">
        <f aca="false">CW84+(CO84+CP84)*44/12</f>
        <v>#VALUE!</v>
      </c>
      <c r="CY84" s="120" t="n">
        <f aca="true">AVERAGE(OFFSET($CX$3,0,0,'Données projet'!$E$13+1,1))-AVERAGE(OFFSET($H$3,0,0,'Données projet'!$E$13+1,1))</f>
        <v>207.023069645676</v>
      </c>
      <c r="CZ84" s="120" t="n">
        <f aca="false">$CZ$3</f>
        <v>342.068879333518</v>
      </c>
      <c r="DA84" s="121" t="n">
        <f aca="false">IF(ISNA(VLOOKUP(A84,'Données projet'!$A$139:$I$159,3,0)),0,VLOOKUP(A84,'Données projet'!$A$139:$I$159,3,0))</f>
        <v>0</v>
      </c>
      <c r="DB84" s="121" t="n">
        <f aca="false">IF(ISNA(VLOOKUP(A84,'Données projet'!$A$139:$I$159,4,0)),0,VLOOKUP(A84,'Données projet'!$A$139:$I$159,4,0))</f>
        <v>0</v>
      </c>
      <c r="DC84" s="122" t="n">
        <f aca="false">IF(ISNA(VLOOKUP(A84,'Données projet'!$A$139:$I$159,5,0)),0%,VLOOKUP(A84,'Données projet'!$A$139:$I$159,5,0)*VLOOKUP('Données projet'!$B$13,Paramètres!$A$1:$I$89,7,0))</f>
        <v>0</v>
      </c>
      <c r="DD84" s="122" t="n">
        <f aca="false">IF(ISNA(VLOOKUP(A84,'Données projet'!$A$139:$I$159,6,0)),0%,VLOOKUP(A84,'Données projet'!$A$139:$I$159,6,0)*VLOOKUP('Données projet'!$B$13,Paramètres!$A$1:$I$89,7,0))</f>
        <v>0</v>
      </c>
      <c r="DE84" s="122" t="n">
        <f aca="false">IF(ISNA(VLOOKUP(A84,'Données projet'!$A$139:$I$159,7,0)),0%,VLOOKUP(A84,'Données projet'!$A$139:$I$159,7,0))</f>
        <v>0</v>
      </c>
      <c r="DF84" s="129" t="n">
        <f aca="false">EXP(-LN(2)/35)*DF83+(1-EXP(-LN(2)/35))/(LN(2)/35)*DB84*DC84*VLOOKUP('Données projet'!$B$13,Paramètres!$A$1:$I$89,3,0)*0.475*44/12</f>
        <v>2.40586984906541</v>
      </c>
      <c r="DG84" s="129" t="n">
        <f aca="false">EXP(-LN(2)/25)*DG83+(1-EXP(-LN(2)/25))/(LN(2)/25)*Calculateur!DB84*Calculateur!DD84*VLOOKUP('Données projet'!$B$13,Paramètres!$A$1:$I$89,3,0)*0.475*44/12</f>
        <v>9.46384841720891</v>
      </c>
      <c r="DH84" s="129" t="n">
        <f aca="false">EXP(-LN(2)/2)*DH83+(1-EXP(-LN(2)/2))/(LN(2)/2)*DB84*DE84*VLOOKUP('Données projet'!$B$13,Paramètres!$A$1:$I$89,3,0)*0.475*44/12</f>
        <v>2.79729737769998E-007</v>
      </c>
      <c r="DI84" s="130" t="n">
        <f aca="false">SUM(DF84:DH84)</f>
        <v>11.8697185460041</v>
      </c>
      <c r="DJ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8" t="e">
        <f aca="false">VLOOKUP(A84,'Données projet'!$A$165:$I$185,2,0)</f>
        <v>#N/A</v>
      </c>
      <c r="DM84" s="118" t="e">
        <f aca="false">VLOOKUP(A84,'Données projet'!$A$165:$I$185,9,0)</f>
        <v>#N/A</v>
      </c>
      <c r="DN84" s="118" t="n">
        <f aca="false" t="array" ref="DN84:DN84">INDEX(DM:DM,MIN(IF(ISNUMBER(DM84:DM280),ROW(DM84:DM280),"")))</f>
        <v>0</v>
      </c>
      <c r="DO84" s="118" t="n">
        <f aca="false">IF('Données projet'!$A$166&gt;35,DO83+DN84-DW83,IF(A84&lt;'Données projet'!$A$166,$DL$205^A84,IF(A84='Données projet'!$A$166,'Données projet'!$B$166,DO83+DN84-DW83)))</f>
        <v>0</v>
      </c>
      <c r="DP84" s="125" t="n">
        <f aca="false">DO84*VLOOKUP('Données projet'!$B$14,Paramètres!$A$1:$I$89,3,0)*VLOOKUP('Données projet'!$B$14,Paramètres!$A$1:$I$89,5,0)</f>
        <v>0</v>
      </c>
      <c r="DQ84" s="117" t="e">
        <f aca="false">EXP(-1.0587+0.8836*LN(DP84)+0.284)</f>
        <v>#VALUE!</v>
      </c>
      <c r="DR84" s="128" t="e">
        <f aca="false">(DP84+DQ84)*0.475*44/12</f>
        <v>#VALUE!</v>
      </c>
      <c r="DS84" s="120" t="e">
        <f aca="false">DR84+(DJ84+DK84)*44/12</f>
        <v>#VALUE!</v>
      </c>
      <c r="DT84" s="120" t="n">
        <f aca="true">AVERAGE(OFFSET($DS$3,0,0,'Données projet'!$E$14+1,1))-AVERAGE(OFFSET($H$3,0,0,'Données projet'!$E$14+1,1))</f>
        <v>549.432320957297</v>
      </c>
      <c r="DU84" s="120" t="n">
        <f aca="false">$DU$3</f>
        <v>280.26155987301</v>
      </c>
      <c r="DV84" s="121" t="n">
        <f aca="false">IF(ISNA(VLOOKUP(A84,'Données projet'!$A$165:$I$185,3,0)),0,VLOOKUP(A84,'Données projet'!$A$165:$I$185,3,0))</f>
        <v>0</v>
      </c>
      <c r="DW84" s="121" t="n">
        <f aca="false">IF(ISNA(VLOOKUP(A84,'Données projet'!$A$165:$I$185,4,0)),0,VLOOKUP(A84,'Données projet'!$A$165:$I$185,4,0))</f>
        <v>0</v>
      </c>
      <c r="DX84" s="122" t="n">
        <f aca="false">IF(ISNA(VLOOKUP(A84,'Données projet'!$A$165:$I$185,5,0)),0%,VLOOKUP(A84,'Données projet'!$A$165:$I$185,5,0)*VLOOKUP('Données projet'!$B$14,Paramètres!$A$1:$I$89,7,0))</f>
        <v>0</v>
      </c>
      <c r="DY84" s="122" t="n">
        <f aca="false">IF(ISNA(VLOOKUP(A84,'Données projet'!$A$165:$I$185,6,0)),0%,VLOOKUP(A84,'Données projet'!$A$165:$I$185,6,0)*VLOOKUP('Données projet'!$B$14,Paramètres!$A$1:$I$89,7,0))</f>
        <v>0</v>
      </c>
      <c r="DZ84" s="122" t="n">
        <f aca="false">IF(ISNA(VLOOKUP(A84,'Données projet'!$A$165:$I$185,7,0)),0%,VLOOKUP(A84,'Données projet'!$A$165:$I$185,7,0))</f>
        <v>0</v>
      </c>
      <c r="EA84" s="129" t="n">
        <f aca="false">EXP(-LN(2)/35)*EA83+(1-EXP(-LN(2)/35))/(LN(2)/35)*DW84*DX84*VLOOKUP('Données projet'!$B$14,Paramètres!$A$1:$I$89,3,0)*0.475*44/12</f>
        <v>0.87477159446988</v>
      </c>
      <c r="EB84" s="129" t="n">
        <f aca="false">EXP(-LN(2)/25)*EB83+(1-EXP(-LN(2)/25))/(LN(2)/25)*Calculateur!DW84*Calculateur!DY84*VLOOKUP('Données projet'!$B$14,Paramètres!$A$1:$I$89,3,0)*0.475*44/12</f>
        <v>1.88538532315547</v>
      </c>
      <c r="EC84" s="129" t="n">
        <f aca="false">EXP(-LN(2)/2)*EC83+(1-EXP(-LN(2)/2))/(LN(2)/2)*DW84*DZ84*VLOOKUP('Données projet'!$B$14,Paramètres!$A$1:$I$89,3,0)*0.475*44/12</f>
        <v>1.28949642983231E-007</v>
      </c>
      <c r="ED84" s="130" t="n">
        <f aca="false">SUM(EA84:EC84)</f>
        <v>2.76015704657499</v>
      </c>
      <c r="EE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8" t="e">
        <f aca="false">VLOOKUP(A84,'Données projet'!$A$191:$I$211,2,0)</f>
        <v>#N/A</v>
      </c>
      <c r="EH84" s="118" t="e">
        <f aca="false">VLOOKUP(A84,'Données projet'!$A$191:$I$211,9,0)</f>
        <v>#N/A</v>
      </c>
      <c r="EI84" s="118" t="n">
        <f aca="false" t="array" ref="EI84:EI84">INDEX(EH:EH,MIN(IF(ISNUMBER(EH84:EH280),ROW(EH84:EH280),"")))</f>
        <v>0</v>
      </c>
      <c r="EJ84" s="118" t="n">
        <f aca="false">IF('Données projet'!$A$192&gt;35,EJ83+EI84-ER83,IF(A84&lt;'Données projet'!$A$192,$EG$205^A84,IF(A84='Données projet'!$A$192,'Données projet'!$B$192,EJ83+EI84-ER83)))</f>
        <v>0</v>
      </c>
      <c r="EK84" s="125" t="e">
        <f aca="false">EJ84*VLOOKUP('Données projet'!$B$15,Paramètres!$A$1:$I$89,3,0)*VLOOKUP('Données projet'!$B$15,Paramètres!$A$1:$I$89,5,0)</f>
        <v>#N/A</v>
      </c>
      <c r="EL84" s="117" t="e">
        <f aca="false">EXP(-1.0587+0.8836*LN(EK84)+0.284)</f>
        <v>#N/A</v>
      </c>
      <c r="EM84" s="128" t="e">
        <f aca="false">(EK84+EL84)*0.475*44/12</f>
        <v>#N/A</v>
      </c>
      <c r="EN84" s="120" t="e">
        <f aca="false">EM84+(EE84+EF84)*44/12</f>
        <v>#N/A</v>
      </c>
      <c r="EO84" s="120" t="e">
        <f aca="true">AVERAGE(OFFSET($EN$3,0,0,'Données projet'!$E$15+1,1))-AVERAGE(OFFSET($H$3,0,0,'Données projet'!$E$15+1,1))</f>
        <v>#N/A</v>
      </c>
      <c r="EP84" s="120" t="e">
        <f aca="false">$EP$3</f>
        <v>#N/A</v>
      </c>
      <c r="EQ84" s="121" t="n">
        <f aca="false">IF(ISNA(VLOOKUP(A84,'Données projet'!$A$191:$I$211,3,0)),0,VLOOKUP(A84,'Données projet'!$A$191:$I$211,3,0))</f>
        <v>0</v>
      </c>
      <c r="ER84" s="121" t="n">
        <f aca="false">IF(ISNA(VLOOKUP(A84,'Données projet'!$A$191:$I$211,4,0)),0,VLOOKUP(A84,'Données projet'!$A$191:$I$211,4,0))</f>
        <v>0</v>
      </c>
      <c r="ES84" s="122" t="n">
        <f aca="false">IF(ISNA(VLOOKUP(A84,'Données projet'!$A$191:$I$211,5,0)),0%,VLOOKUP(A84,'Données projet'!$A$191:$I$211,5,0)*VLOOKUP('Données projet'!$B$15,Paramètres!$A$1:$I$89,7,0))</f>
        <v>0</v>
      </c>
      <c r="ET84" s="122" t="n">
        <f aca="false">IF(ISNA(VLOOKUP(A84,'Données projet'!$A$191:$I$211,6,0)),0%,VLOOKUP(A84,'Données projet'!$A$191:$I$211,6,0)*VLOOKUP('Données projet'!$B$15,Paramètres!$A$1:$I$89,7,0))</f>
        <v>0</v>
      </c>
      <c r="EU84" s="122" t="n">
        <f aca="false">IF(ISNA(VLOOKUP(A84,'Données projet'!$A$191:$I$211,7,0)),0%,VLOOKUP(A84,'Données projet'!$A$191:$I$211,7,0))</f>
        <v>0</v>
      </c>
      <c r="EV84" s="129" t="e">
        <f aca="false">EXP(-LN(2)/35)*EV83+(1-EXP(-LN(2)/35))/(LN(2)/35)*ER84*ES84*VLOOKUP('Données projet'!$B$15,Paramètres!$A$1:$I$89,3,0)*0.475*44/12</f>
        <v>#N/A</v>
      </c>
      <c r="EW84" s="129" t="e">
        <f aca="false">EXP(-LN(2)/25)*EW83+(1-EXP(-LN(2)/25))/(LN(2)/25)*Calculateur!ER84*Calculateur!ET84*VLOOKUP('Données projet'!$B$15,Paramètres!$A$1:$I$89,3,0)*0.475*44/12</f>
        <v>#N/A</v>
      </c>
      <c r="EX84" s="129" t="e">
        <f aca="false">EXP(-LN(2)/2)*EX83+(1-EXP(-LN(2)/2))/(LN(2)/2)*ER84*EU84*VLOOKUP('Données projet'!$B$15,Paramètres!$A$1:$I$89,3,0)*0.475*44/12</f>
        <v>#N/A</v>
      </c>
      <c r="EY84" s="130" t="e">
        <f aca="false">SUM(EV84:EX84)</f>
        <v>#N/A</v>
      </c>
      <c r="EZ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8" t="e">
        <f aca="false">VLOOKUP(A84,'Données projet'!$A$217:$I$237,2,0)</f>
        <v>#N/A</v>
      </c>
      <c r="FC84" s="118" t="e">
        <f aca="false">VLOOKUP(A84,'Données projet'!$A$217:$I$237,9,0)</f>
        <v>#N/A</v>
      </c>
      <c r="FD84" s="118" t="n">
        <f aca="false" t="array" ref="FD84:FD84">INDEX(FC:FC,MIN(IF(ISNUMBER(FC84:FC280),ROW(FC84:FC280),"")))</f>
        <v>0</v>
      </c>
      <c r="FE84" s="118" t="n">
        <f aca="false">IF('Données projet'!$A$218&gt;35,FE83+FD84-FM83,IF(A84&lt;'Données projet'!$A$218,$FB$205^A84,IF(A84='Données projet'!$A$218,'Données projet'!$B$218,FE83+FD84-FM83)))</f>
        <v>0</v>
      </c>
      <c r="FF84" s="125" t="e">
        <f aca="false">FE84*VLOOKUP('Données projet'!$B$16,Paramètres!$A$1:$I$89,3,0)*VLOOKUP('Données projet'!$B$16,Paramètres!$A$1:$I$89,5,0)</f>
        <v>#N/A</v>
      </c>
      <c r="FG84" s="117" t="e">
        <f aca="false">EXP(-1.0587+0.8836*LN(FF84)+0.284)</f>
        <v>#N/A</v>
      </c>
      <c r="FH84" s="128" t="e">
        <f aca="false">(FF84+FG84)*0.475*44/12</f>
        <v>#N/A</v>
      </c>
      <c r="FI84" s="120" t="e">
        <f aca="false">FH84+(EZ84+FA84)*44/12</f>
        <v>#N/A</v>
      </c>
      <c r="FJ84" s="120" t="e">
        <f aca="true">AVERAGE(OFFSET($FI$3,0,0,'Données projet'!$E$16+1,1))-AVERAGE(OFFSET($H$3,0,0,'Données projet'!$E$16+1,1))</f>
        <v>#N/A</v>
      </c>
      <c r="FK84" s="120" t="e">
        <f aca="false">$FK$3</f>
        <v>#N/A</v>
      </c>
      <c r="FL84" s="121" t="n">
        <f aca="false">IF(ISNA(VLOOKUP(A84,'Données projet'!$A$217:$I$237,3,0)),0,VLOOKUP(A84,'Données projet'!$A$217:$I$237,3,0))</f>
        <v>0</v>
      </c>
      <c r="FM84" s="121" t="n">
        <f aca="false">IF(ISNA(VLOOKUP(A84,'Données projet'!$A$217:$I$237,4,0)),0,VLOOKUP(A84,'Données projet'!$A$217:$I$237,4,0))</f>
        <v>0</v>
      </c>
      <c r="FN84" s="122" t="n">
        <f aca="false">IF(ISNA(VLOOKUP(A84,'Données projet'!$A$217:$I$237,5,0)),0%,VLOOKUP(A84,'Données projet'!$A$217:$I$237,5,0)*VLOOKUP('Données projet'!$B$16,Paramètres!$A$1:$I$89,7,0))</f>
        <v>0</v>
      </c>
      <c r="FO84" s="122" t="n">
        <f aca="false">IF(ISNA(VLOOKUP(A84,'Données projet'!$A$217:$I$237,6,0)),0%,VLOOKUP(A84,'Données projet'!$A$217:$I$237,6,0)*VLOOKUP('Données projet'!$B$16,Paramètres!$A$1:$I$89,7,0))</f>
        <v>0</v>
      </c>
      <c r="FP84" s="122" t="n">
        <f aca="false">IF(ISNA(VLOOKUP(A84,'Données projet'!$A$217:$I$237,7,0)),0%,VLOOKUP(A84,'Données projet'!$A$217:$I$237,7,0))</f>
        <v>0</v>
      </c>
      <c r="FQ84" s="129" t="e">
        <f aca="false">EXP(-LN(2)/35)*FQ83+(1-EXP(-LN(2)/35))/(LN(2)/35)*FM84*FN84*VLOOKUP('Données projet'!$B$16,Paramètres!$A$1:$I$89,3,0)*0.475*44/12</f>
        <v>#N/A</v>
      </c>
      <c r="FR84" s="129" t="e">
        <f aca="false">EXP(-LN(2)/25)*FR83+(1-EXP(-LN(2)/25))/(LN(2)/25)*Calculateur!FM84*Calculateur!FO84*VLOOKUP('Données projet'!$B$16,Paramètres!$A$1:$I$89,3,0)*0.475*44/12</f>
        <v>#N/A</v>
      </c>
      <c r="FS84" s="129" t="e">
        <f aca="false">EXP(-LN(2)/2)*FS83+(1-EXP(-LN(2)/2))/(LN(2)/2)*FM84*FP84*VLOOKUP('Données projet'!$B$16,Paramètres!$A$1:$I$89,3,0)*0.475*44/12</f>
        <v>#N/A</v>
      </c>
      <c r="FT84" s="130" t="e">
        <f aca="false">SUM(FQ84:FS84)</f>
        <v>#N/A</v>
      </c>
      <c r="FU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8" t="e">
        <f aca="false">VLOOKUP(A84,'Données projet'!$A$243:$I$263,2,0)</f>
        <v>#N/A</v>
      </c>
      <c r="FX84" s="118" t="e">
        <f aca="false">VLOOKUP(A84,'Données projet'!$A$243:$I$263,9,0)</f>
        <v>#N/A</v>
      </c>
      <c r="FY84" s="118" t="n">
        <f aca="false" t="array" ref="FY84:FY84">INDEX(FX:FX,MIN(IF(ISNUMBER(FX84:FX280),ROW(FX84:FX280),"")))</f>
        <v>0</v>
      </c>
      <c r="FZ84" s="118" t="n">
        <f aca="false">IF('Données projet'!$A$244&gt;35,FZ83+FY84-GH83,IF(A84&lt;'Données projet'!$A$244,$FW$205^A84,IF(A84='Données projet'!$A$244,'Données projet'!$B$244,FZ83+FY84-GH83)))</f>
        <v>0</v>
      </c>
      <c r="GA84" s="125" t="e">
        <f aca="false">FZ84*VLOOKUP('Données projet'!$B$17,Paramètres!$A$1:$I$89,3,0)*VLOOKUP('Données projet'!$B$17,Paramètres!$A$1:$I$89,5,0)</f>
        <v>#N/A</v>
      </c>
      <c r="GB84" s="117" t="e">
        <f aca="false">EXP(-1.0587+0.8836*LN(GA84)+0.284)</f>
        <v>#N/A</v>
      </c>
      <c r="GC84" s="128" t="e">
        <f aca="false">(GA84+GB84)*0.475*44/12</f>
        <v>#N/A</v>
      </c>
      <c r="GD84" s="120" t="e">
        <f aca="false">GC84+(FU84+FV84)*44/12</f>
        <v>#N/A</v>
      </c>
      <c r="GE84" s="120" t="e">
        <f aca="true">AVERAGE(OFFSET($GD$3,0,0,'Données projet'!$E$17+1,1))-AVERAGE(OFFSET($H$3,0,0,'Données projet'!$E$17+1,1))</f>
        <v>#N/A</v>
      </c>
      <c r="GF84" s="120" t="e">
        <f aca="false">$GF$3</f>
        <v>#N/A</v>
      </c>
      <c r="GG84" s="121" t="n">
        <f aca="false">IF(ISNA(VLOOKUP(A84,'Données projet'!$A$243:$I$263,3,0)),0,VLOOKUP(A84,'Données projet'!$A$243:$I$263,3,0))</f>
        <v>0</v>
      </c>
      <c r="GH84" s="121" t="n">
        <f aca="false">IF(ISNA(VLOOKUP(A84,'Données projet'!$A$243:$I$263,4,0)),0,VLOOKUP(A84,'Données projet'!$A$243:$I$263,4,0))</f>
        <v>0</v>
      </c>
      <c r="GI84" s="122" t="n">
        <f aca="false">IF(ISNA(VLOOKUP(A84,'Données projet'!$A$243:$I$263,5,0)),0%,VLOOKUP(A84,'Données projet'!$A$243:$I$263,5,0)*VLOOKUP('Données projet'!$B$17,Paramètres!$A$1:$I$89,7,0))</f>
        <v>0</v>
      </c>
      <c r="GJ84" s="122" t="n">
        <f aca="false">IF(ISNA(VLOOKUP(A84,'Données projet'!$A$243:$I$263,6,0)),0%,VLOOKUP(A84,'Données projet'!$A$243:$I$263,6,0)*VLOOKUP('Données projet'!$B$17,Paramètres!$A$1:$I$89,7,0))</f>
        <v>0</v>
      </c>
      <c r="GK84" s="122" t="n">
        <f aca="false">IF(ISNA(VLOOKUP(A84,'Données projet'!$A$243:$I$263,7,0)),0%,VLOOKUP(A84,'Données projet'!$A$243:$I$263,7,0))</f>
        <v>0</v>
      </c>
      <c r="GL84" s="129" t="e">
        <f aca="false">EXP(-LN(2)/35)*GL83+(1-EXP(-LN(2)/35))/(LN(2)/35)*GH84*GI84*VLOOKUP('Données projet'!$B$17,Paramètres!$A$1:$I$89,3,0)*0.475*44/12</f>
        <v>#N/A</v>
      </c>
      <c r="GM84" s="129" t="e">
        <f aca="false">EXP(-LN(2)/25)*GM83+(1-EXP(-LN(2)/25))/(LN(2)/25)*Calculateur!GH84*Calculateur!GJ84*VLOOKUP('Données projet'!$B$17,Paramètres!$A$1:$I$89,3,0)*0.475*44/12</f>
        <v>#N/A</v>
      </c>
      <c r="GN84" s="129" t="e">
        <f aca="false">EXP(-LN(2)/2)*GN83+(1-EXP(-LN(2)/2))/(LN(2)/2)*GH84*GK84*VLOOKUP('Données projet'!$B$17,Paramètres!$A$1:$I$89,3,0)*0.475*44/12</f>
        <v>#N/A</v>
      </c>
      <c r="GO84" s="129" t="e">
        <f aca="false">SUM(GL84:GN84)</f>
        <v>#N/A</v>
      </c>
      <c r="GP84" s="126" t="n">
        <f aca="false"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8" t="n">
        <f aca="false"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8" t="e">
        <f aca="false">VLOOKUP(A84,'Données projet'!$A$269:$I$289,2,0)</f>
        <v>#N/A</v>
      </c>
      <c r="GS84" s="118" t="e">
        <f aca="false">VLOOKUP(A84,'Données projet'!$A$269:$I$289,9,0)</f>
        <v>#N/A</v>
      </c>
      <c r="GT84" s="118" t="n">
        <f aca="false" t="array" ref="GT84:GT84">INDEX(GS:GS,MIN(IF(ISNUMBER(GS84:GS280),ROW(GS84:GS280),"")))</f>
        <v>0</v>
      </c>
      <c r="GU84" s="118" t="n">
        <f aca="false">IF('Données projet'!$A$270&gt;35,GU83+GT84-HC83,IF(A84&lt;'Données projet'!$A$270,$GR$205^A84,IF(A84='Données projet'!$A$270,'Données projet'!$B$270,GU83+GT84-HC83)))</f>
        <v>0</v>
      </c>
      <c r="GV84" s="125" t="e">
        <f aca="false">GU84*VLOOKUP('Données projet'!$B$18,Paramètres!$A$1:$I$89,3,0)*VLOOKUP('Données projet'!$B$18,Paramètres!$A$1:$I$89,5,0)</f>
        <v>#N/A</v>
      </c>
      <c r="GW84" s="117" t="e">
        <f aca="false">EXP(-1.0587+0.8836*LN(GV84)+0.284)</f>
        <v>#N/A</v>
      </c>
      <c r="GX84" s="128" t="e">
        <f aca="false">(GV84+GW84)*0.475*44/12</f>
        <v>#N/A</v>
      </c>
      <c r="GY84" s="120" t="e">
        <f aca="false">GX84+(GP84+GQ84)*44/12</f>
        <v>#N/A</v>
      </c>
      <c r="GZ84" s="120" t="e">
        <f aca="true">AVERAGE(OFFSET($GY$3,0,0,'Données projet'!$E$18+1,1))-AVERAGE(OFFSET($H$3,0,0,'Données projet'!$E$18+1,1))</f>
        <v>#N/A</v>
      </c>
      <c r="HA84" s="120" t="e">
        <f aca="false">$HA$3</f>
        <v>#N/A</v>
      </c>
      <c r="HB84" s="121" t="n">
        <f aca="false">IF(ISNA(VLOOKUP(A84,'Données projet'!$A$269:$I$289,3,0)),0,VLOOKUP(A84,'Données projet'!$A$269:$I$289,3,0))</f>
        <v>0</v>
      </c>
      <c r="HC84" s="121" t="n">
        <f aca="false">IF(ISNA(VLOOKUP(A84,'Données projet'!$A$269:$I$289,4,0)),0,VLOOKUP(A84,'Données projet'!$A$269:$I$289,4,0))</f>
        <v>0</v>
      </c>
      <c r="HD84" s="122" t="n">
        <f aca="false">IF(ISNA(VLOOKUP(A84,'Données projet'!$A$269:$I$289,5,0)),0%,VLOOKUP(A84,'Données projet'!$A$269:$I$289,5,0)*VLOOKUP('Données projet'!$B$18,Paramètres!$A$1:$I$89,7,0))</f>
        <v>0</v>
      </c>
      <c r="HE84" s="122" t="n">
        <f aca="false">IF(ISNA(VLOOKUP(A84,'Données projet'!$A$269:$I$289,6,0)),0%,VLOOKUP(A84,'Données projet'!$A$269:$I$289,6,0)*VLOOKUP('Données projet'!$B$18,Paramètres!$A$1:$I$89,7,0))</f>
        <v>0</v>
      </c>
      <c r="HF84" s="122" t="n">
        <f aca="false">IF(ISNA(VLOOKUP(A84,'Données projet'!$A$269:$I$289,7,0)),0%,VLOOKUP(A84,'Données projet'!$A$269:$I$289,7,0))</f>
        <v>0</v>
      </c>
      <c r="HG84" s="129" t="e">
        <f aca="false">EXP(-LN(2)/35)*HG83+(1-EXP(-LN(2)/35))/(LN(2)/35)*HC84*HD84*VLOOKUP('Données projet'!$B$18,Paramètres!$A$1:$I$89,3,0)*0.475*44/12</f>
        <v>#N/A</v>
      </c>
      <c r="HH84" s="129" t="e">
        <f aca="false">EXP(-LN(2)/25)*HH83+(1-EXP(-LN(2)/25))/(LN(2)/25)*Calculateur!HC84*Calculateur!HE84*VLOOKUP('Données projet'!$B$18,Paramètres!$A$1:$I$89,3,0)*0.475*44/12</f>
        <v>#N/A</v>
      </c>
      <c r="HI84" s="129" t="e">
        <f aca="false">EXP(-LN(2)/2)*HI83+(1-EXP(-LN(2)/2))/(LN(2)/2)*HC84*HF84*VLOOKUP('Données projet'!$B$18,Paramètres!$A$1:$I$89,3,0)*0.475*44/12</f>
        <v>#N/A</v>
      </c>
      <c r="HJ84" s="130" t="e">
        <f aca="false">SUM(HG84:HI84)</f>
        <v>#N/A</v>
      </c>
    </row>
    <row r="85" customFormat="false" ht="14.25" hidden="false" customHeight="false" outlineLevel="0" collapsed="false">
      <c r="A85" s="112" t="n">
        <f aca="false">A84+1</f>
        <v>82</v>
      </c>
      <c r="B85" s="113" t="n">
        <f aca="false">'Scénario référence'!$B$16*5+'Scénario référence'!$B$17*0+'Scénario référence'!$B$18*5</f>
        <v>0</v>
      </c>
      <c r="C85" s="127" t="n">
        <f aca="false"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4" t="n">
        <f aca="false">IFERROR(EXP(-1.0587+0.8836*LN(C85)+0.284),0)</f>
        <v>0</v>
      </c>
      <c r="E8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5" s="114" t="n">
        <f aca="false">IF(OR('Scénario référence'!$F$8&gt;0,'Scénario référence'!$F$9&gt;0),('Scénario référence'!$F$8+'Scénario référence'!$F$9)*10,0)</f>
        <v>0</v>
      </c>
      <c r="G85" s="114" t="n">
        <f aca="false"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15" t="n">
        <f aca="false">(B85+E85+F85)*44/12+(C85+D85)*0.475*44/12</f>
        <v>256.666666666667</v>
      </c>
      <c r="I85" s="11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7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8" t="e">
        <f aca="false">VLOOKUP(A85,'Données projet'!$A$35:$I$55,2,0)</f>
        <v>#N/A</v>
      </c>
      <c r="L85" s="118" t="e">
        <f aca="false">VLOOKUP(A85,'Données projet'!$A$35:$I$55,9,0)</f>
        <v>#N/A</v>
      </c>
      <c r="M85" s="118" t="n">
        <f aca="false" t="array" ref="M85:M85">INDEX(L:L,MIN(IF(ISNUMBER(L85:L281),ROW(L85:L281),"")))</f>
        <v>17.5</v>
      </c>
      <c r="N85" s="117" t="n">
        <f aca="false">IF('Données projet'!$A$36&gt;35,N84+M85-V84,IF(A85&lt;'Données projet'!$A$36,$K$205^A85,IF(A85='Données projet'!$A$36,'Données projet'!$B$36,N84+M85-V84)))</f>
        <v>448.5</v>
      </c>
      <c r="O85" s="117" t="n">
        <f aca="false">N85*VLOOKUP('Données projet'!$B$9,Paramètres!$A$1:$I$89,3,0)*VLOOKUP('Données projet'!$B$9,Paramètres!$A$1:$I$89,5,0)</f>
        <v>209.898</v>
      </c>
      <c r="P85" s="117" t="n">
        <f aca="false">EXP(-1.0587+0.8836*LN(O85)+0.284)</f>
        <v>51.9132955018102</v>
      </c>
      <c r="Q85" s="128" t="n">
        <f aca="false">(O85+P85)*0.475*44/12</f>
        <v>455.988006332319</v>
      </c>
      <c r="R85" s="120" t="n">
        <f aca="false">Q85+(I85+J85)*44/12</f>
        <v>749.321339665653</v>
      </c>
      <c r="S85" s="120" t="n">
        <f aca="true">AVERAGE(OFFSET($R$3,0,0,'Données projet'!$E$9+1,1))-AVERAGE(OFFSET($H$3,0,0,'Données projet'!$E$9+1,1))</f>
        <v>319.229030946746</v>
      </c>
      <c r="T85" s="120" t="n">
        <f aca="false">$T$3</f>
        <v>254.586909731428</v>
      </c>
      <c r="U85" s="121" t="n">
        <f aca="false">IF(ISNA(VLOOKUP(A85,'Données projet'!$A$35:$I$55,3,0)),0,VLOOKUP(A85,'Données projet'!$A$35:$I$55,3,0))</f>
        <v>0</v>
      </c>
      <c r="V85" s="121" t="n">
        <f aca="false">IF(ISNA(VLOOKUP(A85,'Données projet'!$A$35:$I$55,4,0)),0,VLOOKUP(A85,'Données projet'!$A$35:$I$55,4,0))</f>
        <v>0</v>
      </c>
      <c r="W85" s="122" t="n">
        <f aca="false">IF(ISNA(VLOOKUP(A85,'Données projet'!$A$35:$I$55,5,0)),0%,VLOOKUP(A85,'Données projet'!$A$35:$I$55,5,0)*VLOOKUP('Données projet'!$B$9,Paramètres!$A$1:$I$89,7,0))</f>
        <v>0</v>
      </c>
      <c r="X85" s="122" t="n">
        <f aca="false">IF(ISNA(VLOOKUP(A85,'Données projet'!$A$35:$I$55,6,0)),0%,VLOOKUP(A85,'Données projet'!$A$35:$I$55,6,0)*VLOOKUP('Données projet'!$B$9,Paramètres!$A$1:$I$89,7,0))</f>
        <v>0</v>
      </c>
      <c r="Y85" s="122" t="n">
        <f aca="false">IF(ISNA(VLOOKUP(A85,'Données projet'!$A$35:$I$55,7,0)),0%,VLOOKUP(A85,'Données projet'!$A$35:$I$55,7,0))</f>
        <v>0</v>
      </c>
      <c r="Z85" s="129" t="n">
        <f aca="false">EXP(-LN(2)/35)*Z84+(1-EXP(-LN(2)/35))/(LN(2)/35)*V85*W85*VLOOKUP('Données projet'!$B$9,Paramètres!$A$1:$I$89,3,0)*0.475*44/12</f>
        <v>3.24084245680535</v>
      </c>
      <c r="AA85" s="129" t="n">
        <f aca="false">EXP(-LN(2)/25)*AA84+(1-EXP(-LN(2)/25))/(LN(2)/25)*Calculateur!V85*Calculateur!X85*VLOOKUP('Données projet'!$B$9,Paramètres!$A$1:$I$89,3,0)*0.475*44/12</f>
        <v>2.63744794052131</v>
      </c>
      <c r="AB85" s="129" t="n">
        <f aca="false">EXP(-LN(2)/2)*AB84+(1-EXP(-LN(2)/2))/(LN(2)/2)*V85*Y85*VLOOKUP('Données projet'!$B$9,Paramètres!$A$1:$I$89,3,0)*0.475*44/12</f>
        <v>1.64555440002656E-007</v>
      </c>
      <c r="AC85" s="130" t="n">
        <f aca="false">SUM(Z85:AB85)</f>
        <v>5.8782905618821</v>
      </c>
      <c r="AD85" s="117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7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8" t="e">
        <f aca="false">VLOOKUP(A85,'Données projet'!$A$61:$I$81,2,0)</f>
        <v>#N/A</v>
      </c>
      <c r="AG85" s="118" t="e">
        <f aca="false">VLOOKUP(A85,'Données projet'!$A$61:$I$81,9,0)</f>
        <v>#N/A</v>
      </c>
      <c r="AH85" s="118" t="n">
        <f aca="false" t="array" ref="AH85:AH85">INDEX(AG:AG,MIN(IF(ISNUMBER(AG85:AG281),ROW(AG85:AG281),"")))</f>
        <v>0</v>
      </c>
      <c r="AI85" s="117" t="n">
        <f aca="false">IF('Données projet'!$A$62&gt;35,AI84+AH85-AQ84,IF(A85&lt;'Données projet'!$A$62,$AF$205^A85,IF(A85='Données projet'!$A$62,'Données projet'!$B$62,AI84+AH85-AQ84)))</f>
        <v>1.13686837721616E-013</v>
      </c>
      <c r="AJ85" s="117" t="n">
        <f aca="false">AI85*VLOOKUP('Données projet'!$B$10,Paramètres!$A$1:$I$89,3,0)*VLOOKUP('Données projet'!$B$10,Paramètres!$A$1:$I$89,5,0)</f>
        <v>6.35509422863834E-014</v>
      </c>
      <c r="AK85" s="117" t="n">
        <f aca="false">EXP(-1.0587+0.8836*LN(AJ85)+0.284)</f>
        <v>1.0064464192544E-012</v>
      </c>
      <c r="AL85" s="128" t="n">
        <f aca="false">(AJ85+AK85)*0.475*44/12</f>
        <v>1.86357873801686E-012</v>
      </c>
      <c r="AM85" s="120" t="n">
        <f aca="false">AL85+(AD85+AE85)*44/12</f>
        <v>293.333333333335</v>
      </c>
      <c r="AN85" s="120" t="n">
        <f aca="true">AVERAGE(OFFSET($AM$3,0,0,'Données projet'!$E$10+1,1))-AVERAGE(OFFSET($H$3,0,0,'Données projet'!$E$10+1,1))</f>
        <v>365.705101827279</v>
      </c>
      <c r="AO85" s="120" t="n">
        <f aca="false">$AO$3</f>
        <v>436.238338449625</v>
      </c>
      <c r="AP85" s="121" t="n">
        <f aca="false">IF(ISNA(VLOOKUP(A85,'Données projet'!$A$61:$I$81,3,0)),0,VLOOKUP(A85,'Données projet'!$A$61:$I$81,3,0))</f>
        <v>0</v>
      </c>
      <c r="AQ85" s="121" t="n">
        <f aca="false">IF(ISNA(VLOOKUP(A85,'Données projet'!$A$61:$I$81,4,0)),0,VLOOKUP(A85,'Données projet'!$A$61:$I$81,4,0))</f>
        <v>0</v>
      </c>
      <c r="AR85" s="122" t="n">
        <f aca="false">IF(ISNA(VLOOKUP(A85,'Données projet'!$A$61:$I$81,5,0)),0%,VLOOKUP(A85,'Données projet'!$A$61:$I$81,5,0)*VLOOKUP('Données projet'!$B$10,Paramètres!$A$1:$I$89,7,0))</f>
        <v>0</v>
      </c>
      <c r="AS85" s="122" t="n">
        <f aca="false">IF(ISNA(VLOOKUP(A85,'Données projet'!$A$61:$I$81,6,0)),0%,VLOOKUP(A85,'Données projet'!$A$61:$I$81,6,0)*VLOOKUP('Données projet'!$B$10,Paramètres!$A$1:$I$89,7,0))</f>
        <v>0</v>
      </c>
      <c r="AT85" s="122" t="n">
        <f aca="false">IF(ISNA(VLOOKUP(A85,'Données projet'!$A$61:$I$81,7,0)),0%,VLOOKUP(A85,'Données projet'!$A$61:$I$81,7,0))</f>
        <v>0</v>
      </c>
      <c r="AU85" s="129" t="n">
        <f aca="false">EXP(-LN(2)/35)*AU84+(1-EXP(-LN(2)/35))/(LN(2)/35)*AQ85*AR85*VLOOKUP('Données projet'!$B$10,Paramètres!$A$1:$I$89,3,0)*0.475*44/12</f>
        <v>1.22331295476308</v>
      </c>
      <c r="AV85" s="129" t="n">
        <f aca="false">EXP(-LN(2)/25)*AV84+(1-EXP(-LN(2)/25))/(LN(2)/25)*Calculateur!AQ85*Calculateur!AS85*VLOOKUP('Données projet'!$B$10,Paramètres!$A$1:$I$89,3,0)*0.475*44/12</f>
        <v>3.12391447906198</v>
      </c>
      <c r="AW85" s="129" t="n">
        <f aca="false">EXP(-LN(2)/2)*AW84+(1-EXP(-LN(2)/2))/(LN(2)/2)*AQ85*AT85*VLOOKUP('Données projet'!$B$10,Paramètres!$A$1:$I$89,3,0)*0.475*44/12</f>
        <v>8.85585946690409E-008</v>
      </c>
      <c r="AX85" s="129" t="n">
        <f aca="false">SUM(AU85:AW85)</f>
        <v>4.34722752238366</v>
      </c>
      <c r="AY85" s="124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8" t="e">
        <f aca="false">VLOOKUP(A85,'Données projet'!$A$87:$I$107,2,0)</f>
        <v>#N/A</v>
      </c>
      <c r="BB85" s="118" t="e">
        <f aca="false">VLOOKUP(A85,'Données projet'!$A$87:$I$107,9,0)</f>
        <v>#N/A</v>
      </c>
      <c r="BC85" s="118" t="n">
        <f aca="false" t="array" ref="BC85:BC85">INDEX(BB:BB,MIN(IF(ISNUMBER(BB85:BB281),ROW(BB85:BB281),"")))</f>
        <v>0</v>
      </c>
      <c r="BD85" s="118" t="n">
        <f aca="false">IF('Données projet'!$A$88&gt;35,BD84+BC85-BL84,IF(A85&lt;'Données projet'!$A$88,$BA$205^A85,IF(A85='Données projet'!$A$88,'Données projet'!$B$88,BD84+BC85-BL84)))</f>
        <v>1.98951966012828E-013</v>
      </c>
      <c r="BE85" s="117" t="n">
        <f aca="false">BD85*VLOOKUP('Données projet'!$B$11,Paramètres!$A$1:$I$89,3,0)*VLOOKUP('Données projet'!$B$11,Paramètres!$A$1:$I$89,5,0)</f>
        <v>1.73804437508807E-013</v>
      </c>
      <c r="BF85" s="117" t="n">
        <f aca="false">EXP(-1.0587+0.8836*LN(BE85)+0.284)</f>
        <v>2.44832936339505E-012</v>
      </c>
      <c r="BG85" s="128" t="n">
        <f aca="false">(BE85+BF85)*0.475*44/12</f>
        <v>4.56688303657421E-012</v>
      </c>
      <c r="BH85" s="120" t="n">
        <f aca="false">BG85+(AY85+AZ85)*44/12</f>
        <v>293.333333333338</v>
      </c>
      <c r="BI85" s="120" t="n">
        <f aca="true">AVERAGE(OFFSET($BH$3,0,0,'Données projet'!$E$11+1,1))-AVERAGE(OFFSET($H$3,0,0,'Données projet'!$E$11+1,1))</f>
        <v>321.235999689929</v>
      </c>
      <c r="BJ85" s="120" t="n">
        <f aca="false">$BJ$3</f>
        <v>388.051958478005</v>
      </c>
      <c r="BK85" s="121" t="n">
        <f aca="false">IF(ISNA(VLOOKUP(A85,'Données projet'!$A$87:$I$107,3,0)),0,VLOOKUP(A85,'Données projet'!$A$87:$I$107,3,0))</f>
        <v>0</v>
      </c>
      <c r="BL85" s="121" t="n">
        <f aca="false">IF(ISNA(VLOOKUP(A85,'Données projet'!$A$87:$I$107,4,0)),0,VLOOKUP(A85,'Données projet'!$A$87:$I$107,4,0))</f>
        <v>0</v>
      </c>
      <c r="BM85" s="122" t="n">
        <f aca="false">IF(ISNA(VLOOKUP(A85,'Données projet'!$A$87:$I$107,5,0)),0%,VLOOKUP(A85,'Données projet'!$A$87:$I$107,5,0)*VLOOKUP('Données projet'!$B$11,Paramètres!$A$1:$I$89,7,0))</f>
        <v>0</v>
      </c>
      <c r="BN85" s="122" t="n">
        <f aca="false">IF(ISNA(VLOOKUP(A85,'Données projet'!$A$87:$I$107,6,0)),0%,VLOOKUP(A85,'Données projet'!$A$87:$I$107,6,0)*VLOOKUP('Données projet'!$B$11,Paramètres!$A$1:$I$89,7,0))</f>
        <v>0</v>
      </c>
      <c r="BO85" s="122" t="n">
        <f aca="false">IF(ISNA(VLOOKUP(A85,'Données projet'!$A$87:$I$107,7,0)),0%,VLOOKUP(A85,'Données projet'!$A$87:$I$107,7,0))</f>
        <v>0</v>
      </c>
      <c r="BP85" s="129" t="n">
        <f aca="false">EXP(-LN(2)/35)*BP84+(1-EXP(-LN(2)/35))/(LN(2)/35)*BL85*BM85*VLOOKUP('Données projet'!$B$11,Paramètres!$A$1:$I$89,3,0)*0.475*44/12</f>
        <v>3.0712756243462</v>
      </c>
      <c r="BQ85" s="129" t="n">
        <f aca="false">EXP(-LN(2)/25)*BQ84+(1-EXP(-LN(2)/25))/(LN(2)/25)*Calculateur!BL85*Calculateur!BN85*VLOOKUP('Données projet'!$B$11,Paramètres!$A$1:$I$89,3,0)*0.475*44/12</f>
        <v>3.18870635117837</v>
      </c>
      <c r="BR85" s="129" t="n">
        <f aca="false">EXP(-LN(2)/2)*BR84+(1-EXP(-LN(2)/2))/(LN(2)/2)*BL85*BO85*VLOOKUP('Données projet'!$B$11,Paramètres!$A$1:$I$89,3,0)*0.475*44/12</f>
        <v>9.00179707600882E-008</v>
      </c>
      <c r="BS85" s="130" t="n">
        <f aca="false">SUM(BP85:BR85)</f>
        <v>6.25998206554254</v>
      </c>
      <c r="BT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8" t="e">
        <f aca="false">VLOOKUP(A85,'Données projet'!$A$113:$I$133,2,0)</f>
        <v>#N/A</v>
      </c>
      <c r="BW85" s="118" t="e">
        <f aca="false">VLOOKUP(A85,'Données projet'!$A$113:$I$133,9,0)</f>
        <v>#N/A</v>
      </c>
      <c r="BX85" s="118" t="n">
        <f aca="false" t="array" ref="BX85:BX85">INDEX(BW:BW,MIN(IF(ISNUMBER(BW85:BW281),ROW(BW85:BW281),"")))</f>
        <v>0</v>
      </c>
      <c r="BY85" s="118" t="n">
        <f aca="false">IF('Données projet'!$A$114&gt;35,BY84+BX85-CG84,IF(A85&lt;'Données projet'!$A$114,$BV$205^A85,IF(A85='Données projet'!$A$114,'Données projet'!$B$114,BY84+BX85-CG84)))</f>
        <v>0</v>
      </c>
      <c r="BZ85" s="117" t="n">
        <f aca="false">BY85*VLOOKUP('Données projet'!$B$12,Paramètres!$A$1:$I$89,3,0)*VLOOKUP('Données projet'!$B$12,Paramètres!$A$1:$I$89,5,0)</f>
        <v>0</v>
      </c>
      <c r="CA85" s="117" t="e">
        <f aca="false">EXP(-1.0587+0.8836*LN(BZ85)+0.284)</f>
        <v>#VALUE!</v>
      </c>
      <c r="CB85" s="128" t="e">
        <f aca="false">(BZ85+CA85)*0.475*44/12</f>
        <v>#VALUE!</v>
      </c>
      <c r="CC85" s="120" t="e">
        <f aca="false">CB85+(BT85+BU85)*44/12</f>
        <v>#VALUE!</v>
      </c>
      <c r="CD85" s="120" t="n">
        <f aca="true">AVERAGE(OFFSET($CC$3,0,0,'Données projet'!$E$12+1,1))-AVERAGE(OFFSET($H$3,0,0,'Données projet'!$E$12+1,1))</f>
        <v>240.228848647662</v>
      </c>
      <c r="CE85" s="120" t="n">
        <f aca="false">$CE$3</f>
        <v>343.237768841432</v>
      </c>
      <c r="CF85" s="121" t="n">
        <f aca="false">IF(ISNA(VLOOKUP(A85,'Données projet'!$A$113:$I$133,3,0)),0,VLOOKUP(A85,'Données projet'!$A$113:$I$133,3,0))</f>
        <v>0</v>
      </c>
      <c r="CG85" s="121" t="n">
        <f aca="false">IF(ISNA(VLOOKUP(A85,'Données projet'!$A$113:$I$133,4,0)),0,VLOOKUP(A85,'Données projet'!$A$113:$I$133,4,0))</f>
        <v>0</v>
      </c>
      <c r="CH85" s="122" t="n">
        <f aca="false">IF(ISNA(VLOOKUP(A85,'Données projet'!$A$113:$I$133,5,0)),0%,VLOOKUP(A85,'Données projet'!$A$113:$I$133,5,0)*VLOOKUP('Données projet'!$B$12,Paramètres!$A$1:$I$89,7,0))</f>
        <v>0</v>
      </c>
      <c r="CI85" s="122" t="n">
        <f aca="false">IF(ISNA(VLOOKUP(A85,'Données projet'!$A$113:$I$133,6,0)),0%,VLOOKUP(A85,'Données projet'!$A$113:$I$133,6,0)*VLOOKUP('Données projet'!$B$12,Paramètres!$A$1:$I$89,7,0))</f>
        <v>0</v>
      </c>
      <c r="CJ85" s="122" t="n">
        <f aca="false">IF(ISNA(VLOOKUP(A85,'Données projet'!$A$113:$I$133,7,0)),0%,VLOOKUP(A85,'Données projet'!$A$113:$I$133,7,0))</f>
        <v>0</v>
      </c>
      <c r="CK85" s="129" t="n">
        <f aca="false">EXP(-LN(2)/35)*CK84+(1-EXP(-LN(2)/35))/(LN(2)/35)*CG85*CH85*VLOOKUP('Données projet'!$B$12,Paramètres!$A$1:$I$89,3,0)*0.475*44/12</f>
        <v>1.87985995585459</v>
      </c>
      <c r="CL85" s="129" t="n">
        <f aca="false">EXP(-LN(2)/25)*CL84+(1-EXP(-LN(2)/25))/(LN(2)/25)*Calculateur!CG85*Calculateur!CI85*VLOOKUP('Données projet'!$B$12,Paramètres!$A$1:$I$89,3,0)*0.475*44/12</f>
        <v>5.63144001003033</v>
      </c>
      <c r="CM85" s="129" t="n">
        <f aca="false">EXP(-LN(2)/2)*CM84+(1-EXP(-LN(2)/2))/(LN(2)/2)*CG85*CJ85*VLOOKUP('Données projet'!$B$12,Paramètres!$A$1:$I$89,3,0)*0.475*44/12</f>
        <v>1.43644682555851E-007</v>
      </c>
      <c r="CN85" s="130" t="n">
        <f aca="false">SUM(CK85:CM85)</f>
        <v>7.5113001095296</v>
      </c>
      <c r="CO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8" t="e">
        <f aca="false">VLOOKUP(A85,'Données projet'!$A$139:$I$159,2,0)</f>
        <v>#N/A</v>
      </c>
      <c r="CR85" s="118" t="e">
        <f aca="false">VLOOKUP(A85,'Données projet'!$A$139:$I$159,9,0)</f>
        <v>#N/A</v>
      </c>
      <c r="CS85" s="118" t="n">
        <f aca="false" t="array" ref="CS85:CS85">INDEX(CR:CR,MIN(IF(ISNUMBER(CR85:CR281),ROW(CR85:CR281),"")))</f>
        <v>0</v>
      </c>
      <c r="CT85" s="118" t="n">
        <f aca="false">IF('Données projet'!$A$140&gt;35,CT84+CS85-DB84,IF(A85&lt;'Données projet'!$A$140,$CQ$205^A85,IF(A85='Données projet'!$A$140,'Données projet'!$B$140,CT84+CS85-DB84)))</f>
        <v>-5.6843418860808E-014</v>
      </c>
      <c r="CU85" s="125" t="n">
        <f aca="false">CT85*VLOOKUP('Données projet'!$B$13,Paramètres!$A$1:$I$89,3,0)*VLOOKUP('Données projet'!$B$13,Paramètres!$A$1:$I$89,5,0)</f>
        <v>-3.10365066980012E-014</v>
      </c>
      <c r="CV85" s="117" t="e">
        <f aca="false">EXP(-1.0587+0.8836*LN(CU85)+0.284)</f>
        <v>#VALUE!</v>
      </c>
      <c r="CW85" s="128" t="e">
        <f aca="false">(CU85+CV85)*0.475*44/12</f>
        <v>#VALUE!</v>
      </c>
      <c r="CX85" s="120" t="e">
        <f aca="false">CW85+(CO85+CP85)*44/12</f>
        <v>#VALUE!</v>
      </c>
      <c r="CY85" s="120" t="n">
        <f aca="true">AVERAGE(OFFSET($CX$3,0,0,'Données projet'!$E$13+1,1))-AVERAGE(OFFSET($H$3,0,0,'Données projet'!$E$13+1,1))</f>
        <v>207.023069645676</v>
      </c>
      <c r="CZ85" s="120" t="n">
        <f aca="false">$CZ$3</f>
        <v>342.068879333518</v>
      </c>
      <c r="DA85" s="121" t="n">
        <f aca="false">IF(ISNA(VLOOKUP(A85,'Données projet'!$A$139:$I$159,3,0)),0,VLOOKUP(A85,'Données projet'!$A$139:$I$159,3,0))</f>
        <v>0</v>
      </c>
      <c r="DB85" s="121" t="n">
        <f aca="false">IF(ISNA(VLOOKUP(A85,'Données projet'!$A$139:$I$159,4,0)),0,VLOOKUP(A85,'Données projet'!$A$139:$I$159,4,0))</f>
        <v>0</v>
      </c>
      <c r="DC85" s="122" t="n">
        <f aca="false">IF(ISNA(VLOOKUP(A85,'Données projet'!$A$139:$I$159,5,0)),0%,VLOOKUP(A85,'Données projet'!$A$139:$I$159,5,0)*VLOOKUP('Données projet'!$B$13,Paramètres!$A$1:$I$89,7,0))</f>
        <v>0</v>
      </c>
      <c r="DD85" s="122" t="n">
        <f aca="false">IF(ISNA(VLOOKUP(A85,'Données projet'!$A$139:$I$159,6,0)),0%,VLOOKUP(A85,'Données projet'!$A$139:$I$159,6,0)*VLOOKUP('Données projet'!$B$13,Paramètres!$A$1:$I$89,7,0))</f>
        <v>0</v>
      </c>
      <c r="DE85" s="122" t="n">
        <f aca="false">IF(ISNA(VLOOKUP(A85,'Données projet'!$A$139:$I$159,7,0)),0%,VLOOKUP(A85,'Données projet'!$A$139:$I$159,7,0))</f>
        <v>0</v>
      </c>
      <c r="DF85" s="129" t="n">
        <f aca="false">EXP(-LN(2)/35)*DF84+(1-EXP(-LN(2)/35))/(LN(2)/35)*DB85*DC85*VLOOKUP('Données projet'!$B$13,Paramètres!$A$1:$I$89,3,0)*0.475*44/12</f>
        <v>2.35869220876095</v>
      </c>
      <c r="DG85" s="129" t="n">
        <f aca="false">EXP(-LN(2)/25)*DG84+(1-EXP(-LN(2)/25))/(LN(2)/25)*Calculateur!DB85*Calculateur!DD85*VLOOKUP('Données projet'!$B$13,Paramètres!$A$1:$I$89,3,0)*0.475*44/12</f>
        <v>9.20505898455818</v>
      </c>
      <c r="DH85" s="129" t="n">
        <f aca="false">EXP(-LN(2)/2)*DH84+(1-EXP(-LN(2)/2))/(LN(2)/2)*DB85*DE85*VLOOKUP('Données projet'!$B$13,Paramètres!$A$1:$I$89,3,0)*0.475*44/12</f>
        <v>1.977987944767E-007</v>
      </c>
      <c r="DI85" s="130" t="n">
        <f aca="false">SUM(DF85:DH85)</f>
        <v>11.5637513911179</v>
      </c>
      <c r="DJ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8" t="e">
        <f aca="false">VLOOKUP(A85,'Données projet'!$A$165:$I$185,2,0)</f>
        <v>#N/A</v>
      </c>
      <c r="DM85" s="118" t="e">
        <f aca="false">VLOOKUP(A85,'Données projet'!$A$165:$I$185,9,0)</f>
        <v>#N/A</v>
      </c>
      <c r="DN85" s="118" t="n">
        <f aca="false" t="array" ref="DN85:DN85">INDEX(DM:DM,MIN(IF(ISNUMBER(DM85:DM281),ROW(DM85:DM281),"")))</f>
        <v>0</v>
      </c>
      <c r="DO85" s="118" t="n">
        <f aca="false">IF('Données projet'!$A$166&gt;35,DO84+DN85-DW84,IF(A85&lt;'Données projet'!$A$166,$DL$205^A85,IF(A85='Données projet'!$A$166,'Données projet'!$B$166,DO84+DN85-DW84)))</f>
        <v>0</v>
      </c>
      <c r="DP85" s="125" t="n">
        <f aca="false">DO85*VLOOKUP('Données projet'!$B$14,Paramètres!$A$1:$I$89,3,0)*VLOOKUP('Données projet'!$B$14,Paramètres!$A$1:$I$89,5,0)</f>
        <v>0</v>
      </c>
      <c r="DQ85" s="117" t="e">
        <f aca="false">EXP(-1.0587+0.8836*LN(DP85)+0.284)</f>
        <v>#VALUE!</v>
      </c>
      <c r="DR85" s="128" t="e">
        <f aca="false">(DP85+DQ85)*0.475*44/12</f>
        <v>#VALUE!</v>
      </c>
      <c r="DS85" s="120" t="e">
        <f aca="false">DR85+(DJ85+DK85)*44/12</f>
        <v>#VALUE!</v>
      </c>
      <c r="DT85" s="120" t="n">
        <f aca="true">AVERAGE(OFFSET($DS$3,0,0,'Données projet'!$E$14+1,1))-AVERAGE(OFFSET($H$3,0,0,'Données projet'!$E$14+1,1))</f>
        <v>549.432320957297</v>
      </c>
      <c r="DU85" s="120" t="n">
        <f aca="false">$DU$3</f>
        <v>280.26155987301</v>
      </c>
      <c r="DV85" s="121" t="n">
        <f aca="false">IF(ISNA(VLOOKUP(A85,'Données projet'!$A$165:$I$185,3,0)),0,VLOOKUP(A85,'Données projet'!$A$165:$I$185,3,0))</f>
        <v>0</v>
      </c>
      <c r="DW85" s="121" t="n">
        <f aca="false">IF(ISNA(VLOOKUP(A85,'Données projet'!$A$165:$I$185,4,0)),0,VLOOKUP(A85,'Données projet'!$A$165:$I$185,4,0))</f>
        <v>0</v>
      </c>
      <c r="DX85" s="122" t="n">
        <f aca="false">IF(ISNA(VLOOKUP(A85,'Données projet'!$A$165:$I$185,5,0)),0%,VLOOKUP(A85,'Données projet'!$A$165:$I$185,5,0)*VLOOKUP('Données projet'!$B$14,Paramètres!$A$1:$I$89,7,0))</f>
        <v>0</v>
      </c>
      <c r="DY85" s="122" t="n">
        <f aca="false">IF(ISNA(VLOOKUP(A85,'Données projet'!$A$165:$I$185,6,0)),0%,VLOOKUP(A85,'Données projet'!$A$165:$I$185,6,0)*VLOOKUP('Données projet'!$B$14,Paramètres!$A$1:$I$89,7,0))</f>
        <v>0</v>
      </c>
      <c r="DZ85" s="122" t="n">
        <f aca="false">IF(ISNA(VLOOKUP(A85,'Données projet'!$A$165:$I$185,7,0)),0%,VLOOKUP(A85,'Données projet'!$A$165:$I$185,7,0))</f>
        <v>0</v>
      </c>
      <c r="EA85" s="129" t="n">
        <f aca="false">EXP(-LN(2)/35)*EA84+(1-EXP(-LN(2)/35))/(LN(2)/35)*DW85*DX85*VLOOKUP('Données projet'!$B$14,Paramètres!$A$1:$I$89,3,0)*0.475*44/12</f>
        <v>0.857617857060314</v>
      </c>
      <c r="EB85" s="129" t="n">
        <f aca="false">EXP(-LN(2)/25)*EB84+(1-EXP(-LN(2)/25))/(LN(2)/25)*Calculateur!DW85*Calculateur!DY85*VLOOKUP('Données projet'!$B$14,Paramètres!$A$1:$I$89,3,0)*0.475*44/12</f>
        <v>1.83382936234568</v>
      </c>
      <c r="EC85" s="129" t="n">
        <f aca="false">EXP(-LN(2)/2)*EC84+(1-EXP(-LN(2)/2))/(LN(2)/2)*DW85*DZ85*VLOOKUP('Données projet'!$B$14,Paramètres!$A$1:$I$89,3,0)*0.475*44/12</f>
        <v>9.11811669850271E-008</v>
      </c>
      <c r="ED85" s="130" t="n">
        <f aca="false">SUM(EA85:EC85)</f>
        <v>2.69144731058716</v>
      </c>
      <c r="EE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8" t="e">
        <f aca="false">VLOOKUP(A85,'Données projet'!$A$191:$I$211,2,0)</f>
        <v>#N/A</v>
      </c>
      <c r="EH85" s="118" t="e">
        <f aca="false">VLOOKUP(A85,'Données projet'!$A$191:$I$211,9,0)</f>
        <v>#N/A</v>
      </c>
      <c r="EI85" s="118" t="n">
        <f aca="false" t="array" ref="EI85:EI85">INDEX(EH:EH,MIN(IF(ISNUMBER(EH85:EH281),ROW(EH85:EH281),"")))</f>
        <v>0</v>
      </c>
      <c r="EJ85" s="118" t="n">
        <f aca="false">IF('Données projet'!$A$192&gt;35,EJ84+EI85-ER84,IF(A85&lt;'Données projet'!$A$192,$EG$205^A85,IF(A85='Données projet'!$A$192,'Données projet'!$B$192,EJ84+EI85-ER84)))</f>
        <v>0</v>
      </c>
      <c r="EK85" s="125" t="e">
        <f aca="false">EJ85*VLOOKUP('Données projet'!$B$15,Paramètres!$A$1:$I$89,3,0)*VLOOKUP('Données projet'!$B$15,Paramètres!$A$1:$I$89,5,0)</f>
        <v>#N/A</v>
      </c>
      <c r="EL85" s="117" t="e">
        <f aca="false">EXP(-1.0587+0.8836*LN(EK85)+0.284)</f>
        <v>#N/A</v>
      </c>
      <c r="EM85" s="128" t="e">
        <f aca="false">(EK85+EL85)*0.475*44/12</f>
        <v>#N/A</v>
      </c>
      <c r="EN85" s="120" t="e">
        <f aca="false">EM85+(EE85+EF85)*44/12</f>
        <v>#N/A</v>
      </c>
      <c r="EO85" s="120" t="e">
        <f aca="true">AVERAGE(OFFSET($EN$3,0,0,'Données projet'!$E$15+1,1))-AVERAGE(OFFSET($H$3,0,0,'Données projet'!$E$15+1,1))</f>
        <v>#N/A</v>
      </c>
      <c r="EP85" s="120" t="e">
        <f aca="false">$EP$3</f>
        <v>#N/A</v>
      </c>
      <c r="EQ85" s="121" t="n">
        <f aca="false">IF(ISNA(VLOOKUP(A85,'Données projet'!$A$191:$I$211,3,0)),0,VLOOKUP(A85,'Données projet'!$A$191:$I$211,3,0))</f>
        <v>0</v>
      </c>
      <c r="ER85" s="121" t="n">
        <f aca="false">IF(ISNA(VLOOKUP(A85,'Données projet'!$A$191:$I$211,4,0)),0,VLOOKUP(A85,'Données projet'!$A$191:$I$211,4,0))</f>
        <v>0</v>
      </c>
      <c r="ES85" s="122" t="n">
        <f aca="false">IF(ISNA(VLOOKUP(A85,'Données projet'!$A$191:$I$211,5,0)),0%,VLOOKUP(A85,'Données projet'!$A$191:$I$211,5,0)*VLOOKUP('Données projet'!$B$15,Paramètres!$A$1:$I$89,7,0))</f>
        <v>0</v>
      </c>
      <c r="ET85" s="122" t="n">
        <f aca="false">IF(ISNA(VLOOKUP(A85,'Données projet'!$A$191:$I$211,6,0)),0%,VLOOKUP(A85,'Données projet'!$A$191:$I$211,6,0)*VLOOKUP('Données projet'!$B$15,Paramètres!$A$1:$I$89,7,0))</f>
        <v>0</v>
      </c>
      <c r="EU85" s="122" t="n">
        <f aca="false">IF(ISNA(VLOOKUP(A85,'Données projet'!$A$191:$I$211,7,0)),0%,VLOOKUP(A85,'Données projet'!$A$191:$I$211,7,0))</f>
        <v>0</v>
      </c>
      <c r="EV85" s="129" t="e">
        <f aca="false">EXP(-LN(2)/35)*EV84+(1-EXP(-LN(2)/35))/(LN(2)/35)*ER85*ES85*VLOOKUP('Données projet'!$B$15,Paramètres!$A$1:$I$89,3,0)*0.475*44/12</f>
        <v>#N/A</v>
      </c>
      <c r="EW85" s="129" t="e">
        <f aca="false">EXP(-LN(2)/25)*EW84+(1-EXP(-LN(2)/25))/(LN(2)/25)*Calculateur!ER85*Calculateur!ET85*VLOOKUP('Données projet'!$B$15,Paramètres!$A$1:$I$89,3,0)*0.475*44/12</f>
        <v>#N/A</v>
      </c>
      <c r="EX85" s="129" t="e">
        <f aca="false">EXP(-LN(2)/2)*EX84+(1-EXP(-LN(2)/2))/(LN(2)/2)*ER85*EU85*VLOOKUP('Données projet'!$B$15,Paramètres!$A$1:$I$89,3,0)*0.475*44/12</f>
        <v>#N/A</v>
      </c>
      <c r="EY85" s="130" t="e">
        <f aca="false">SUM(EV85:EX85)</f>
        <v>#N/A</v>
      </c>
      <c r="EZ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8" t="e">
        <f aca="false">VLOOKUP(A85,'Données projet'!$A$217:$I$237,2,0)</f>
        <v>#N/A</v>
      </c>
      <c r="FC85" s="118" t="e">
        <f aca="false">VLOOKUP(A85,'Données projet'!$A$217:$I$237,9,0)</f>
        <v>#N/A</v>
      </c>
      <c r="FD85" s="118" t="n">
        <f aca="false" t="array" ref="FD85:FD85">INDEX(FC:FC,MIN(IF(ISNUMBER(FC85:FC281),ROW(FC85:FC281),"")))</f>
        <v>0</v>
      </c>
      <c r="FE85" s="118" t="n">
        <f aca="false">IF('Données projet'!$A$218&gt;35,FE84+FD85-FM84,IF(A85&lt;'Données projet'!$A$218,$FB$205^A85,IF(A85='Données projet'!$A$218,'Données projet'!$B$218,FE84+FD85-FM84)))</f>
        <v>0</v>
      </c>
      <c r="FF85" s="125" t="e">
        <f aca="false">FE85*VLOOKUP('Données projet'!$B$16,Paramètres!$A$1:$I$89,3,0)*VLOOKUP('Données projet'!$B$16,Paramètres!$A$1:$I$89,5,0)</f>
        <v>#N/A</v>
      </c>
      <c r="FG85" s="117" t="e">
        <f aca="false">EXP(-1.0587+0.8836*LN(FF85)+0.284)</f>
        <v>#N/A</v>
      </c>
      <c r="FH85" s="128" t="e">
        <f aca="false">(FF85+FG85)*0.475*44/12</f>
        <v>#N/A</v>
      </c>
      <c r="FI85" s="120" t="e">
        <f aca="false">FH85+(EZ85+FA85)*44/12</f>
        <v>#N/A</v>
      </c>
      <c r="FJ85" s="120" t="e">
        <f aca="true">AVERAGE(OFFSET($FI$3,0,0,'Données projet'!$E$16+1,1))-AVERAGE(OFFSET($H$3,0,0,'Données projet'!$E$16+1,1))</f>
        <v>#N/A</v>
      </c>
      <c r="FK85" s="120" t="e">
        <f aca="false">$FK$3</f>
        <v>#N/A</v>
      </c>
      <c r="FL85" s="121" t="n">
        <f aca="false">IF(ISNA(VLOOKUP(A85,'Données projet'!$A$217:$I$237,3,0)),0,VLOOKUP(A85,'Données projet'!$A$217:$I$237,3,0))</f>
        <v>0</v>
      </c>
      <c r="FM85" s="121" t="n">
        <f aca="false">IF(ISNA(VLOOKUP(A85,'Données projet'!$A$217:$I$237,4,0)),0,VLOOKUP(A85,'Données projet'!$A$217:$I$237,4,0))</f>
        <v>0</v>
      </c>
      <c r="FN85" s="122" t="n">
        <f aca="false">IF(ISNA(VLOOKUP(A85,'Données projet'!$A$217:$I$237,5,0)),0%,VLOOKUP(A85,'Données projet'!$A$217:$I$237,5,0)*VLOOKUP('Données projet'!$B$16,Paramètres!$A$1:$I$89,7,0))</f>
        <v>0</v>
      </c>
      <c r="FO85" s="122" t="n">
        <f aca="false">IF(ISNA(VLOOKUP(A85,'Données projet'!$A$217:$I$237,6,0)),0%,VLOOKUP(A85,'Données projet'!$A$217:$I$237,6,0)*VLOOKUP('Données projet'!$B$16,Paramètres!$A$1:$I$89,7,0))</f>
        <v>0</v>
      </c>
      <c r="FP85" s="122" t="n">
        <f aca="false">IF(ISNA(VLOOKUP(A85,'Données projet'!$A$217:$I$237,7,0)),0%,VLOOKUP(A85,'Données projet'!$A$217:$I$237,7,0))</f>
        <v>0</v>
      </c>
      <c r="FQ85" s="129" t="e">
        <f aca="false">EXP(-LN(2)/35)*FQ84+(1-EXP(-LN(2)/35))/(LN(2)/35)*FM85*FN85*VLOOKUP('Données projet'!$B$16,Paramètres!$A$1:$I$89,3,0)*0.475*44/12</f>
        <v>#N/A</v>
      </c>
      <c r="FR85" s="129" t="e">
        <f aca="false">EXP(-LN(2)/25)*FR84+(1-EXP(-LN(2)/25))/(LN(2)/25)*Calculateur!FM85*Calculateur!FO85*VLOOKUP('Données projet'!$B$16,Paramètres!$A$1:$I$89,3,0)*0.475*44/12</f>
        <v>#N/A</v>
      </c>
      <c r="FS85" s="129" t="e">
        <f aca="false">EXP(-LN(2)/2)*FS84+(1-EXP(-LN(2)/2))/(LN(2)/2)*FM85*FP85*VLOOKUP('Données projet'!$B$16,Paramètres!$A$1:$I$89,3,0)*0.475*44/12</f>
        <v>#N/A</v>
      </c>
      <c r="FT85" s="130" t="e">
        <f aca="false">SUM(FQ85:FS85)</f>
        <v>#N/A</v>
      </c>
      <c r="FU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8" t="e">
        <f aca="false">VLOOKUP(A85,'Données projet'!$A$243:$I$263,2,0)</f>
        <v>#N/A</v>
      </c>
      <c r="FX85" s="118" t="e">
        <f aca="false">VLOOKUP(A85,'Données projet'!$A$243:$I$263,9,0)</f>
        <v>#N/A</v>
      </c>
      <c r="FY85" s="118" t="n">
        <f aca="false" t="array" ref="FY85:FY85">INDEX(FX:FX,MIN(IF(ISNUMBER(FX85:FX281),ROW(FX85:FX281),"")))</f>
        <v>0</v>
      </c>
      <c r="FZ85" s="118" t="n">
        <f aca="false">IF('Données projet'!$A$244&gt;35,FZ84+FY85-GH84,IF(A85&lt;'Données projet'!$A$244,$FW$205^A85,IF(A85='Données projet'!$A$244,'Données projet'!$B$244,FZ84+FY85-GH84)))</f>
        <v>0</v>
      </c>
      <c r="GA85" s="125" t="e">
        <f aca="false">FZ85*VLOOKUP('Données projet'!$B$17,Paramètres!$A$1:$I$89,3,0)*VLOOKUP('Données projet'!$B$17,Paramètres!$A$1:$I$89,5,0)</f>
        <v>#N/A</v>
      </c>
      <c r="GB85" s="117" t="e">
        <f aca="false">EXP(-1.0587+0.8836*LN(GA85)+0.284)</f>
        <v>#N/A</v>
      </c>
      <c r="GC85" s="128" t="e">
        <f aca="false">(GA85+GB85)*0.475*44/12</f>
        <v>#N/A</v>
      </c>
      <c r="GD85" s="120" t="e">
        <f aca="false">GC85+(FU85+FV85)*44/12</f>
        <v>#N/A</v>
      </c>
      <c r="GE85" s="120" t="e">
        <f aca="true">AVERAGE(OFFSET($GD$3,0,0,'Données projet'!$E$17+1,1))-AVERAGE(OFFSET($H$3,0,0,'Données projet'!$E$17+1,1))</f>
        <v>#N/A</v>
      </c>
      <c r="GF85" s="120" t="e">
        <f aca="false">$GF$3</f>
        <v>#N/A</v>
      </c>
      <c r="GG85" s="121" t="n">
        <f aca="false">IF(ISNA(VLOOKUP(A85,'Données projet'!$A$243:$I$263,3,0)),0,VLOOKUP(A85,'Données projet'!$A$243:$I$263,3,0))</f>
        <v>0</v>
      </c>
      <c r="GH85" s="121" t="n">
        <f aca="false">IF(ISNA(VLOOKUP(A85,'Données projet'!$A$243:$I$263,4,0)),0,VLOOKUP(A85,'Données projet'!$A$243:$I$263,4,0))</f>
        <v>0</v>
      </c>
      <c r="GI85" s="122" t="n">
        <f aca="false">IF(ISNA(VLOOKUP(A85,'Données projet'!$A$243:$I$263,5,0)),0%,VLOOKUP(A85,'Données projet'!$A$243:$I$263,5,0)*VLOOKUP('Données projet'!$B$17,Paramètres!$A$1:$I$89,7,0))</f>
        <v>0</v>
      </c>
      <c r="GJ85" s="122" t="n">
        <f aca="false">IF(ISNA(VLOOKUP(A85,'Données projet'!$A$243:$I$263,6,0)),0%,VLOOKUP(A85,'Données projet'!$A$243:$I$263,6,0)*VLOOKUP('Données projet'!$B$17,Paramètres!$A$1:$I$89,7,0))</f>
        <v>0</v>
      </c>
      <c r="GK85" s="122" t="n">
        <f aca="false">IF(ISNA(VLOOKUP(A85,'Données projet'!$A$243:$I$263,7,0)),0%,VLOOKUP(A85,'Données projet'!$A$243:$I$263,7,0))</f>
        <v>0</v>
      </c>
      <c r="GL85" s="129" t="e">
        <f aca="false">EXP(-LN(2)/35)*GL84+(1-EXP(-LN(2)/35))/(LN(2)/35)*GH85*GI85*VLOOKUP('Données projet'!$B$17,Paramètres!$A$1:$I$89,3,0)*0.475*44/12</f>
        <v>#N/A</v>
      </c>
      <c r="GM85" s="129" t="e">
        <f aca="false">EXP(-LN(2)/25)*GM84+(1-EXP(-LN(2)/25))/(LN(2)/25)*Calculateur!GH85*Calculateur!GJ85*VLOOKUP('Données projet'!$B$17,Paramètres!$A$1:$I$89,3,0)*0.475*44/12</f>
        <v>#N/A</v>
      </c>
      <c r="GN85" s="129" t="e">
        <f aca="false">EXP(-LN(2)/2)*GN84+(1-EXP(-LN(2)/2))/(LN(2)/2)*GH85*GK85*VLOOKUP('Données projet'!$B$17,Paramètres!$A$1:$I$89,3,0)*0.475*44/12</f>
        <v>#N/A</v>
      </c>
      <c r="GO85" s="129" t="e">
        <f aca="false">SUM(GL85:GN85)</f>
        <v>#N/A</v>
      </c>
      <c r="GP85" s="126" t="n">
        <f aca="false"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8" t="n">
        <f aca="false"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8" t="e">
        <f aca="false">VLOOKUP(A85,'Données projet'!$A$269:$I$289,2,0)</f>
        <v>#N/A</v>
      </c>
      <c r="GS85" s="118" t="e">
        <f aca="false">VLOOKUP(A85,'Données projet'!$A$269:$I$289,9,0)</f>
        <v>#N/A</v>
      </c>
      <c r="GT85" s="118" t="n">
        <f aca="false" t="array" ref="GT85:GT85">INDEX(GS:GS,MIN(IF(ISNUMBER(GS85:GS281),ROW(GS85:GS281),"")))</f>
        <v>0</v>
      </c>
      <c r="GU85" s="118" t="n">
        <f aca="false">IF('Données projet'!$A$270&gt;35,GU84+GT85-HC84,IF(A85&lt;'Données projet'!$A$270,$GR$205^A85,IF(A85='Données projet'!$A$270,'Données projet'!$B$270,GU84+GT85-HC84)))</f>
        <v>0</v>
      </c>
      <c r="GV85" s="125" t="e">
        <f aca="false">GU85*VLOOKUP('Données projet'!$B$18,Paramètres!$A$1:$I$89,3,0)*VLOOKUP('Données projet'!$B$18,Paramètres!$A$1:$I$89,5,0)</f>
        <v>#N/A</v>
      </c>
      <c r="GW85" s="117" t="e">
        <f aca="false">EXP(-1.0587+0.8836*LN(GV85)+0.284)</f>
        <v>#N/A</v>
      </c>
      <c r="GX85" s="128" t="e">
        <f aca="false">(GV85+GW85)*0.475*44/12</f>
        <v>#N/A</v>
      </c>
      <c r="GY85" s="120" t="e">
        <f aca="false">GX85+(GP85+GQ85)*44/12</f>
        <v>#N/A</v>
      </c>
      <c r="GZ85" s="120" t="e">
        <f aca="true">AVERAGE(OFFSET($GY$3,0,0,'Données projet'!$E$18+1,1))-AVERAGE(OFFSET($H$3,0,0,'Données projet'!$E$18+1,1))</f>
        <v>#N/A</v>
      </c>
      <c r="HA85" s="120" t="e">
        <f aca="false">$HA$3</f>
        <v>#N/A</v>
      </c>
      <c r="HB85" s="121" t="n">
        <f aca="false">IF(ISNA(VLOOKUP(A85,'Données projet'!$A$269:$I$289,3,0)),0,VLOOKUP(A85,'Données projet'!$A$269:$I$289,3,0))</f>
        <v>0</v>
      </c>
      <c r="HC85" s="121" t="n">
        <f aca="false">IF(ISNA(VLOOKUP(A85,'Données projet'!$A$269:$I$289,4,0)),0,VLOOKUP(A85,'Données projet'!$A$269:$I$289,4,0))</f>
        <v>0</v>
      </c>
      <c r="HD85" s="122" t="n">
        <f aca="false">IF(ISNA(VLOOKUP(A85,'Données projet'!$A$269:$I$289,5,0)),0%,VLOOKUP(A85,'Données projet'!$A$269:$I$289,5,0)*VLOOKUP('Données projet'!$B$18,Paramètres!$A$1:$I$89,7,0))</f>
        <v>0</v>
      </c>
      <c r="HE85" s="122" t="n">
        <f aca="false">IF(ISNA(VLOOKUP(A85,'Données projet'!$A$269:$I$289,6,0)),0%,VLOOKUP(A85,'Données projet'!$A$269:$I$289,6,0)*VLOOKUP('Données projet'!$B$18,Paramètres!$A$1:$I$89,7,0))</f>
        <v>0</v>
      </c>
      <c r="HF85" s="122" t="n">
        <f aca="false">IF(ISNA(VLOOKUP(A85,'Données projet'!$A$269:$I$289,7,0)),0%,VLOOKUP(A85,'Données projet'!$A$269:$I$289,7,0))</f>
        <v>0</v>
      </c>
      <c r="HG85" s="129" t="e">
        <f aca="false">EXP(-LN(2)/35)*HG84+(1-EXP(-LN(2)/35))/(LN(2)/35)*HC85*HD85*VLOOKUP('Données projet'!$B$18,Paramètres!$A$1:$I$89,3,0)*0.475*44/12</f>
        <v>#N/A</v>
      </c>
      <c r="HH85" s="129" t="e">
        <f aca="false">EXP(-LN(2)/25)*HH84+(1-EXP(-LN(2)/25))/(LN(2)/25)*Calculateur!HC85*Calculateur!HE85*VLOOKUP('Données projet'!$B$18,Paramètres!$A$1:$I$89,3,0)*0.475*44/12</f>
        <v>#N/A</v>
      </c>
      <c r="HI85" s="129" t="e">
        <f aca="false">EXP(-LN(2)/2)*HI84+(1-EXP(-LN(2)/2))/(LN(2)/2)*HC85*HF85*VLOOKUP('Données projet'!$B$18,Paramètres!$A$1:$I$89,3,0)*0.475*44/12</f>
        <v>#N/A</v>
      </c>
      <c r="HJ85" s="130" t="e">
        <f aca="false">SUM(HG85:HI85)</f>
        <v>#N/A</v>
      </c>
    </row>
    <row r="86" customFormat="false" ht="14.25" hidden="false" customHeight="false" outlineLevel="0" collapsed="false">
      <c r="A86" s="112" t="n">
        <f aca="false">A85+1</f>
        <v>83</v>
      </c>
      <c r="B86" s="113" t="n">
        <f aca="false">'Scénario référence'!$B$16*5+'Scénario référence'!$B$17*0+'Scénario référence'!$B$18*5</f>
        <v>0</v>
      </c>
      <c r="C86" s="127" t="n">
        <f aca="false"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4" t="n">
        <f aca="false">IFERROR(EXP(-1.0587+0.8836*LN(C86)+0.284),0)</f>
        <v>0</v>
      </c>
      <c r="E8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6" s="114" t="n">
        <f aca="false">IF(OR('Scénario référence'!$F$8&gt;0,'Scénario référence'!$F$9&gt;0),('Scénario référence'!$F$8+'Scénario référence'!$F$9)*10,0)</f>
        <v>0</v>
      </c>
      <c r="G86" s="114" t="n">
        <f aca="false"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15" t="n">
        <f aca="false">(B86+E86+F86)*44/12+(C86+D86)*0.475*44/12</f>
        <v>256.666666666667</v>
      </c>
      <c r="I86" s="11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7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8" t="e">
        <f aca="false">VLOOKUP(A86,'Données projet'!$A$35:$I$55,2,0)</f>
        <v>#N/A</v>
      </c>
      <c r="L86" s="118" t="e">
        <f aca="false">VLOOKUP(A86,'Données projet'!$A$35:$I$55,9,0)</f>
        <v>#N/A</v>
      </c>
      <c r="M86" s="118" t="n">
        <f aca="false" t="array" ref="M86:M86">INDEX(L:L,MIN(IF(ISNUMBER(L86:L282),ROW(L86:L282),"")))</f>
        <v>17.5</v>
      </c>
      <c r="N86" s="117" t="n">
        <f aca="false">IF('Données projet'!$A$36&gt;35,N85+M86-V85,IF(A86&lt;'Données projet'!$A$36,$K$205^A86,IF(A86='Données projet'!$A$36,'Données projet'!$B$36,N85+M86-V85)))</f>
        <v>466</v>
      </c>
      <c r="O86" s="117" t="n">
        <f aca="false">N86*VLOOKUP('Données projet'!$B$9,Paramètres!$A$1:$I$89,3,0)*VLOOKUP('Données projet'!$B$9,Paramètres!$A$1:$I$89,5,0)</f>
        <v>218.088</v>
      </c>
      <c r="P86" s="117" t="n">
        <f aca="false">EXP(-1.0587+0.8836*LN(O86)+0.284)</f>
        <v>53.6991110877806</v>
      </c>
      <c r="Q86" s="128" t="n">
        <f aca="false">(O86+P86)*0.475*44/12</f>
        <v>473.362551811218</v>
      </c>
      <c r="R86" s="120" t="n">
        <f aca="false">Q86+(I86+J86)*44/12</f>
        <v>766.695885144551</v>
      </c>
      <c r="S86" s="120" t="n">
        <f aca="true">AVERAGE(OFFSET($R$3,0,0,'Données projet'!$E$9+1,1))-AVERAGE(OFFSET($H$3,0,0,'Données projet'!$E$9+1,1))</f>
        <v>319.229030946746</v>
      </c>
      <c r="T86" s="120" t="n">
        <f aca="false">$T$3</f>
        <v>254.586909731428</v>
      </c>
      <c r="U86" s="121" t="n">
        <f aca="false">IF(ISNA(VLOOKUP(A86,'Données projet'!$A$35:$I$55,3,0)),0,VLOOKUP(A86,'Données projet'!$A$35:$I$55,3,0))</f>
        <v>0</v>
      </c>
      <c r="V86" s="121" t="n">
        <f aca="false">IF(ISNA(VLOOKUP(A86,'Données projet'!$A$35:$I$55,4,0)),0,VLOOKUP(A86,'Données projet'!$A$35:$I$55,4,0))</f>
        <v>0</v>
      </c>
      <c r="W86" s="122" t="n">
        <f aca="false">IF(ISNA(VLOOKUP(A86,'Données projet'!$A$35:$I$55,5,0)),0%,VLOOKUP(A86,'Données projet'!$A$35:$I$55,5,0)*VLOOKUP('Données projet'!$B$9,Paramètres!$A$1:$I$89,7,0))</f>
        <v>0</v>
      </c>
      <c r="X86" s="122" t="n">
        <f aca="false">IF(ISNA(VLOOKUP(A86,'Données projet'!$A$35:$I$55,6,0)),0%,VLOOKUP(A86,'Données projet'!$A$35:$I$55,6,0)*VLOOKUP('Données projet'!$B$9,Paramètres!$A$1:$I$89,7,0))</f>
        <v>0</v>
      </c>
      <c r="Y86" s="122" t="n">
        <f aca="false">IF(ISNA(VLOOKUP(A86,'Données projet'!$A$35:$I$55,7,0)),0%,VLOOKUP(A86,'Données projet'!$A$35:$I$55,7,0))</f>
        <v>0</v>
      </c>
      <c r="Z86" s="129" t="n">
        <f aca="false">EXP(-LN(2)/35)*Z85+(1-EXP(-LN(2)/35))/(LN(2)/35)*V86*W86*VLOOKUP('Données projet'!$B$9,Paramètres!$A$1:$I$89,3,0)*0.475*44/12</f>
        <v>3.17729151294611</v>
      </c>
      <c r="AA86" s="129" t="n">
        <f aca="false">EXP(-LN(2)/25)*AA85+(1-EXP(-LN(2)/25))/(LN(2)/25)*Calculateur!V86*Calculateur!X86*VLOOKUP('Données projet'!$B$9,Paramètres!$A$1:$I$89,3,0)*0.475*44/12</f>
        <v>2.5653267878904</v>
      </c>
      <c r="AB86" s="129" t="n">
        <f aca="false">EXP(-LN(2)/2)*AB85+(1-EXP(-LN(2)/2))/(LN(2)/2)*V86*Y86*VLOOKUP('Données projet'!$B$9,Paramètres!$A$1:$I$89,3,0)*0.475*44/12</f>
        <v>1.16358267507014E-007</v>
      </c>
      <c r="AC86" s="130" t="n">
        <f aca="false">SUM(Z86:AB86)</f>
        <v>5.74261841719478</v>
      </c>
      <c r="AD86" s="117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7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8" t="e">
        <f aca="false">VLOOKUP(A86,'Données projet'!$A$61:$I$81,2,0)</f>
        <v>#N/A</v>
      </c>
      <c r="AG86" s="118" t="e">
        <f aca="false">VLOOKUP(A86,'Données projet'!$A$61:$I$81,9,0)</f>
        <v>#N/A</v>
      </c>
      <c r="AH86" s="118" t="n">
        <f aca="false" t="array" ref="AH86:AH86">INDEX(AG:AG,MIN(IF(ISNUMBER(AG86:AG282),ROW(AG86:AG282),"")))</f>
        <v>0</v>
      </c>
      <c r="AI86" s="117" t="n">
        <f aca="false">IF('Données projet'!$A$62&gt;35,AI85+AH86-AQ85,IF(A86&lt;'Données projet'!$A$62,$AF$205^A86,IF(A86='Données projet'!$A$62,'Données projet'!$B$62,AI85+AH86-AQ85)))</f>
        <v>1.13686837721616E-013</v>
      </c>
      <c r="AJ86" s="117" t="n">
        <f aca="false">AI86*VLOOKUP('Données projet'!$B$10,Paramètres!$A$1:$I$89,3,0)*VLOOKUP('Données projet'!$B$10,Paramètres!$A$1:$I$89,5,0)</f>
        <v>6.35509422863834E-014</v>
      </c>
      <c r="AK86" s="117" t="n">
        <f aca="false">EXP(-1.0587+0.8836*LN(AJ86)+0.284)</f>
        <v>1.0064464192544E-012</v>
      </c>
      <c r="AL86" s="128" t="n">
        <f aca="false">(AJ86+AK86)*0.475*44/12</f>
        <v>1.86357873801686E-012</v>
      </c>
      <c r="AM86" s="120" t="n">
        <f aca="false">AL86+(AD86+AE86)*44/12</f>
        <v>293.333333333335</v>
      </c>
      <c r="AN86" s="120" t="n">
        <f aca="true">AVERAGE(OFFSET($AM$3,0,0,'Données projet'!$E$10+1,1))-AVERAGE(OFFSET($H$3,0,0,'Données projet'!$E$10+1,1))</f>
        <v>365.705101827279</v>
      </c>
      <c r="AO86" s="120" t="n">
        <f aca="false">$AO$3</f>
        <v>436.238338449625</v>
      </c>
      <c r="AP86" s="121" t="n">
        <f aca="false">IF(ISNA(VLOOKUP(A86,'Données projet'!$A$61:$I$81,3,0)),0,VLOOKUP(A86,'Données projet'!$A$61:$I$81,3,0))</f>
        <v>0</v>
      </c>
      <c r="AQ86" s="121" t="n">
        <f aca="false">IF(ISNA(VLOOKUP(A86,'Données projet'!$A$61:$I$81,4,0)),0,VLOOKUP(A86,'Données projet'!$A$61:$I$81,4,0))</f>
        <v>0</v>
      </c>
      <c r="AR86" s="122" t="n">
        <f aca="false">IF(ISNA(VLOOKUP(A86,'Données projet'!$A$61:$I$81,5,0)),0%,VLOOKUP(A86,'Données projet'!$A$61:$I$81,5,0)*VLOOKUP('Données projet'!$B$10,Paramètres!$A$1:$I$89,7,0))</f>
        <v>0</v>
      </c>
      <c r="AS86" s="122" t="n">
        <f aca="false">IF(ISNA(VLOOKUP(A86,'Données projet'!$A$61:$I$81,6,0)),0%,VLOOKUP(A86,'Données projet'!$A$61:$I$81,6,0)*VLOOKUP('Données projet'!$B$10,Paramètres!$A$1:$I$89,7,0))</f>
        <v>0</v>
      </c>
      <c r="AT86" s="122" t="n">
        <f aca="false">IF(ISNA(VLOOKUP(A86,'Données projet'!$A$61:$I$81,7,0)),0%,VLOOKUP(A86,'Données projet'!$A$61:$I$81,7,0))</f>
        <v>0</v>
      </c>
      <c r="AU86" s="129" t="n">
        <f aca="false">EXP(-LN(2)/35)*AU85+(1-EXP(-LN(2)/35))/(LN(2)/35)*AQ86*AR86*VLOOKUP('Données projet'!$B$10,Paramètres!$A$1:$I$89,3,0)*0.475*44/12</f>
        <v>1.1993245338674</v>
      </c>
      <c r="AV86" s="129" t="n">
        <f aca="false">EXP(-LN(2)/25)*AV85+(1-EXP(-LN(2)/25))/(LN(2)/25)*Calculateur!AQ86*Calculateur!AS86*VLOOKUP('Données projet'!$B$10,Paramètres!$A$1:$I$89,3,0)*0.475*44/12</f>
        <v>3.03849087335251</v>
      </c>
      <c r="AW86" s="129" t="n">
        <f aca="false">EXP(-LN(2)/2)*AW85+(1-EXP(-LN(2)/2))/(LN(2)/2)*AQ86*AT86*VLOOKUP('Données projet'!$B$10,Paramètres!$A$1:$I$89,3,0)*0.475*44/12</f>
        <v>6.26203828228297E-008</v>
      </c>
      <c r="AX86" s="129" t="n">
        <f aca="false">SUM(AU86:AW86)</f>
        <v>4.2378154698403</v>
      </c>
      <c r="AY86" s="124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8" t="e">
        <f aca="false">VLOOKUP(A86,'Données projet'!$A$87:$I$107,2,0)</f>
        <v>#N/A</v>
      </c>
      <c r="BB86" s="118" t="e">
        <f aca="false">VLOOKUP(A86,'Données projet'!$A$87:$I$107,9,0)</f>
        <v>#N/A</v>
      </c>
      <c r="BC86" s="118" t="n">
        <f aca="false" t="array" ref="BC86:BC86">INDEX(BB:BB,MIN(IF(ISNUMBER(BB86:BB282),ROW(BB86:BB282),"")))</f>
        <v>0</v>
      </c>
      <c r="BD86" s="118" t="n">
        <f aca="false">IF('Données projet'!$A$88&gt;35,BD85+BC86-BL85,IF(A86&lt;'Données projet'!$A$88,$BA$205^A86,IF(A86='Données projet'!$A$88,'Données projet'!$B$88,BD85+BC86-BL85)))</f>
        <v>1.98951966012828E-013</v>
      </c>
      <c r="BE86" s="117" t="n">
        <f aca="false">BD86*VLOOKUP('Données projet'!$B$11,Paramètres!$A$1:$I$89,3,0)*VLOOKUP('Données projet'!$B$11,Paramètres!$A$1:$I$89,5,0)</f>
        <v>1.73804437508807E-013</v>
      </c>
      <c r="BF86" s="117" t="n">
        <f aca="false">EXP(-1.0587+0.8836*LN(BE86)+0.284)</f>
        <v>2.44832936339505E-012</v>
      </c>
      <c r="BG86" s="128" t="n">
        <f aca="false">(BE86+BF86)*0.475*44/12</f>
        <v>4.56688303657421E-012</v>
      </c>
      <c r="BH86" s="120" t="n">
        <f aca="false">BG86+(AY86+AZ86)*44/12</f>
        <v>293.333333333338</v>
      </c>
      <c r="BI86" s="120" t="n">
        <f aca="true">AVERAGE(OFFSET($BH$3,0,0,'Données projet'!$E$11+1,1))-AVERAGE(OFFSET($H$3,0,0,'Données projet'!$E$11+1,1))</f>
        <v>321.235999689929</v>
      </c>
      <c r="BJ86" s="120" t="n">
        <f aca="false">$BJ$3</f>
        <v>388.051958478005</v>
      </c>
      <c r="BK86" s="121" t="n">
        <f aca="false">IF(ISNA(VLOOKUP(A86,'Données projet'!$A$87:$I$107,3,0)),0,VLOOKUP(A86,'Données projet'!$A$87:$I$107,3,0))</f>
        <v>0</v>
      </c>
      <c r="BL86" s="121" t="n">
        <f aca="false">IF(ISNA(VLOOKUP(A86,'Données projet'!$A$87:$I$107,4,0)),0,VLOOKUP(A86,'Données projet'!$A$87:$I$107,4,0))</f>
        <v>0</v>
      </c>
      <c r="BM86" s="122" t="n">
        <f aca="false">IF(ISNA(VLOOKUP(A86,'Données projet'!$A$87:$I$107,5,0)),0%,VLOOKUP(A86,'Données projet'!$A$87:$I$107,5,0)*VLOOKUP('Données projet'!$B$11,Paramètres!$A$1:$I$89,7,0))</f>
        <v>0</v>
      </c>
      <c r="BN86" s="122" t="n">
        <f aca="false">IF(ISNA(VLOOKUP(A86,'Données projet'!$A$87:$I$107,6,0)),0%,VLOOKUP(A86,'Données projet'!$A$87:$I$107,6,0)*VLOOKUP('Données projet'!$B$11,Paramètres!$A$1:$I$89,7,0))</f>
        <v>0</v>
      </c>
      <c r="BO86" s="122" t="n">
        <f aca="false">IF(ISNA(VLOOKUP(A86,'Données projet'!$A$87:$I$107,7,0)),0%,VLOOKUP(A86,'Données projet'!$A$87:$I$107,7,0))</f>
        <v>0</v>
      </c>
      <c r="BP86" s="129" t="n">
        <f aca="false">EXP(-LN(2)/35)*BP85+(1-EXP(-LN(2)/35))/(LN(2)/35)*BL86*BM86*VLOOKUP('Données projet'!$B$11,Paramètres!$A$1:$I$89,3,0)*0.475*44/12</f>
        <v>3.01104978264593</v>
      </c>
      <c r="BQ86" s="129" t="n">
        <f aca="false">EXP(-LN(2)/25)*BQ85+(1-EXP(-LN(2)/25))/(LN(2)/25)*Calculateur!BL86*Calculateur!BN86*VLOOKUP('Données projet'!$B$11,Paramètres!$A$1:$I$89,3,0)*0.475*44/12</f>
        <v>3.10151100831862</v>
      </c>
      <c r="BR86" s="129" t="n">
        <f aca="false">EXP(-LN(2)/2)*BR85+(1-EXP(-LN(2)/2))/(LN(2)/2)*BL86*BO86*VLOOKUP('Données projet'!$B$11,Paramètres!$A$1:$I$89,3,0)*0.475*44/12</f>
        <v>6.36523175531107E-008</v>
      </c>
      <c r="BS86" s="130" t="n">
        <f aca="false">SUM(BP86:BR86)</f>
        <v>6.11256085461686</v>
      </c>
      <c r="BT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8" t="e">
        <f aca="false">VLOOKUP(A86,'Données projet'!$A$113:$I$133,2,0)</f>
        <v>#N/A</v>
      </c>
      <c r="BW86" s="118" t="e">
        <f aca="false">VLOOKUP(A86,'Données projet'!$A$113:$I$133,9,0)</f>
        <v>#N/A</v>
      </c>
      <c r="BX86" s="118" t="n">
        <f aca="false" t="array" ref="BX86:BX86">INDEX(BW:BW,MIN(IF(ISNUMBER(BW86:BW282),ROW(BW86:BW282),"")))</f>
        <v>0</v>
      </c>
      <c r="BY86" s="118" t="n">
        <f aca="false">IF('Données projet'!$A$114&gt;35,BY85+BX86-CG85,IF(A86&lt;'Données projet'!$A$114,$BV$205^A86,IF(A86='Données projet'!$A$114,'Données projet'!$B$114,BY85+BX86-CG85)))</f>
        <v>0</v>
      </c>
      <c r="BZ86" s="117" t="n">
        <f aca="false">BY86*VLOOKUP('Données projet'!$B$12,Paramètres!$A$1:$I$89,3,0)*VLOOKUP('Données projet'!$B$12,Paramètres!$A$1:$I$89,5,0)</f>
        <v>0</v>
      </c>
      <c r="CA86" s="117" t="e">
        <f aca="false">EXP(-1.0587+0.8836*LN(BZ86)+0.284)</f>
        <v>#VALUE!</v>
      </c>
      <c r="CB86" s="128" t="e">
        <f aca="false">(BZ86+CA86)*0.475*44/12</f>
        <v>#VALUE!</v>
      </c>
      <c r="CC86" s="120" t="e">
        <f aca="false">CB86+(BT86+BU86)*44/12</f>
        <v>#VALUE!</v>
      </c>
      <c r="CD86" s="120" t="n">
        <f aca="true">AVERAGE(OFFSET($CC$3,0,0,'Données projet'!$E$12+1,1))-AVERAGE(OFFSET($H$3,0,0,'Données projet'!$E$12+1,1))</f>
        <v>240.228848647662</v>
      </c>
      <c r="CE86" s="120" t="n">
        <f aca="false">$CE$3</f>
        <v>343.237768841432</v>
      </c>
      <c r="CF86" s="121" t="n">
        <f aca="false">IF(ISNA(VLOOKUP(A86,'Données projet'!$A$113:$I$133,3,0)),0,VLOOKUP(A86,'Données projet'!$A$113:$I$133,3,0))</f>
        <v>0</v>
      </c>
      <c r="CG86" s="121" t="n">
        <f aca="false">IF(ISNA(VLOOKUP(A86,'Données projet'!$A$113:$I$133,4,0)),0,VLOOKUP(A86,'Données projet'!$A$113:$I$133,4,0))</f>
        <v>0</v>
      </c>
      <c r="CH86" s="122" t="n">
        <f aca="false">IF(ISNA(VLOOKUP(A86,'Données projet'!$A$113:$I$133,5,0)),0%,VLOOKUP(A86,'Données projet'!$A$113:$I$133,5,0)*VLOOKUP('Données projet'!$B$12,Paramètres!$A$1:$I$89,7,0))</f>
        <v>0</v>
      </c>
      <c r="CI86" s="122" t="n">
        <f aca="false">IF(ISNA(VLOOKUP(A86,'Données projet'!$A$113:$I$133,6,0)),0%,VLOOKUP(A86,'Données projet'!$A$113:$I$133,6,0)*VLOOKUP('Données projet'!$B$12,Paramètres!$A$1:$I$89,7,0))</f>
        <v>0</v>
      </c>
      <c r="CJ86" s="122" t="n">
        <f aca="false">IF(ISNA(VLOOKUP(A86,'Données projet'!$A$113:$I$133,7,0)),0%,VLOOKUP(A86,'Données projet'!$A$113:$I$133,7,0))</f>
        <v>0</v>
      </c>
      <c r="CK86" s="129" t="n">
        <f aca="false">EXP(-LN(2)/35)*CK85+(1-EXP(-LN(2)/35))/(LN(2)/35)*CG86*CH86*VLOOKUP('Données projet'!$B$12,Paramètres!$A$1:$I$89,3,0)*0.475*44/12</f>
        <v>1.84299704872164</v>
      </c>
      <c r="CL86" s="129" t="n">
        <f aca="false">EXP(-LN(2)/25)*CL85+(1-EXP(-LN(2)/25))/(LN(2)/25)*Calculateur!CG86*Calculateur!CI86*VLOOKUP('Données projet'!$B$12,Paramètres!$A$1:$I$89,3,0)*0.475*44/12</f>
        <v>5.47744798681149</v>
      </c>
      <c r="CM86" s="129" t="n">
        <f aca="false">EXP(-LN(2)/2)*CM85+(1-EXP(-LN(2)/2))/(LN(2)/2)*CG86*CJ86*VLOOKUP('Données projet'!$B$12,Paramètres!$A$1:$I$89,3,0)*0.475*44/12</f>
        <v>1.01572129116632E-007</v>
      </c>
      <c r="CN86" s="130" t="n">
        <f aca="false">SUM(CK86:CM86)</f>
        <v>7.32044513710525</v>
      </c>
      <c r="CO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8" t="e">
        <f aca="false">VLOOKUP(A86,'Données projet'!$A$139:$I$159,2,0)</f>
        <v>#N/A</v>
      </c>
      <c r="CR86" s="118" t="e">
        <f aca="false">VLOOKUP(A86,'Données projet'!$A$139:$I$159,9,0)</f>
        <v>#N/A</v>
      </c>
      <c r="CS86" s="118" t="n">
        <f aca="false" t="array" ref="CS86:CS86">INDEX(CR:CR,MIN(IF(ISNUMBER(CR86:CR282),ROW(CR86:CR282),"")))</f>
        <v>0</v>
      </c>
      <c r="CT86" s="118" t="n">
        <f aca="false">IF('Données projet'!$A$140&gt;35,CT85+CS86-DB85,IF(A86&lt;'Données projet'!$A$140,$CQ$205^A86,IF(A86='Données projet'!$A$140,'Données projet'!$B$140,CT85+CS86-DB85)))</f>
        <v>-5.6843418860808E-014</v>
      </c>
      <c r="CU86" s="125" t="n">
        <f aca="false">CT86*VLOOKUP('Données projet'!$B$13,Paramètres!$A$1:$I$89,3,0)*VLOOKUP('Données projet'!$B$13,Paramètres!$A$1:$I$89,5,0)</f>
        <v>-3.10365066980012E-014</v>
      </c>
      <c r="CV86" s="117" t="e">
        <f aca="false">EXP(-1.0587+0.8836*LN(CU86)+0.284)</f>
        <v>#VALUE!</v>
      </c>
      <c r="CW86" s="128" t="e">
        <f aca="false">(CU86+CV86)*0.475*44/12</f>
        <v>#VALUE!</v>
      </c>
      <c r="CX86" s="120" t="e">
        <f aca="false">CW86+(CO86+CP86)*44/12</f>
        <v>#VALUE!</v>
      </c>
      <c r="CY86" s="120" t="n">
        <f aca="true">AVERAGE(OFFSET($CX$3,0,0,'Données projet'!$E$13+1,1))-AVERAGE(OFFSET($H$3,0,0,'Données projet'!$E$13+1,1))</f>
        <v>207.023069645676</v>
      </c>
      <c r="CZ86" s="120" t="n">
        <f aca="false">$CZ$3</f>
        <v>342.068879333518</v>
      </c>
      <c r="DA86" s="121" t="n">
        <f aca="false">IF(ISNA(VLOOKUP(A86,'Données projet'!$A$139:$I$159,3,0)),0,VLOOKUP(A86,'Données projet'!$A$139:$I$159,3,0))</f>
        <v>0</v>
      </c>
      <c r="DB86" s="121" t="n">
        <f aca="false">IF(ISNA(VLOOKUP(A86,'Données projet'!$A$139:$I$159,4,0)),0,VLOOKUP(A86,'Données projet'!$A$139:$I$159,4,0))</f>
        <v>0</v>
      </c>
      <c r="DC86" s="122" t="n">
        <f aca="false">IF(ISNA(VLOOKUP(A86,'Données projet'!$A$139:$I$159,5,0)),0%,VLOOKUP(A86,'Données projet'!$A$139:$I$159,5,0)*VLOOKUP('Données projet'!$B$13,Paramètres!$A$1:$I$89,7,0))</f>
        <v>0</v>
      </c>
      <c r="DD86" s="122" t="n">
        <f aca="false">IF(ISNA(VLOOKUP(A86,'Données projet'!$A$139:$I$159,6,0)),0%,VLOOKUP(A86,'Données projet'!$A$139:$I$159,6,0)*VLOOKUP('Données projet'!$B$13,Paramètres!$A$1:$I$89,7,0))</f>
        <v>0</v>
      </c>
      <c r="DE86" s="122" t="n">
        <f aca="false">IF(ISNA(VLOOKUP(A86,'Données projet'!$A$139:$I$159,7,0)),0%,VLOOKUP(A86,'Données projet'!$A$139:$I$159,7,0))</f>
        <v>0</v>
      </c>
      <c r="DF86" s="129" t="n">
        <f aca="false">EXP(-LN(2)/35)*DF85+(1-EXP(-LN(2)/35))/(LN(2)/35)*DB86*DC86*VLOOKUP('Données projet'!$B$13,Paramètres!$A$1:$I$89,3,0)*0.475*44/12</f>
        <v>2.31243969320733</v>
      </c>
      <c r="DG86" s="129" t="n">
        <f aca="false">EXP(-LN(2)/25)*DG85+(1-EXP(-LN(2)/25))/(LN(2)/25)*Calculateur!DB86*Calculateur!DD86*VLOOKUP('Données projet'!$B$13,Paramètres!$A$1:$I$89,3,0)*0.475*44/12</f>
        <v>8.95334616255242</v>
      </c>
      <c r="DH86" s="129" t="n">
        <f aca="false">EXP(-LN(2)/2)*DH85+(1-EXP(-LN(2)/2))/(LN(2)/2)*DB86*DE86*VLOOKUP('Données projet'!$B$13,Paramètres!$A$1:$I$89,3,0)*0.475*44/12</f>
        <v>1.39864868884999E-007</v>
      </c>
      <c r="DI86" s="130" t="n">
        <f aca="false">SUM(DF86:DH86)</f>
        <v>11.2657859956246</v>
      </c>
      <c r="DJ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8" t="e">
        <f aca="false">VLOOKUP(A86,'Données projet'!$A$165:$I$185,2,0)</f>
        <v>#N/A</v>
      </c>
      <c r="DM86" s="118" t="e">
        <f aca="false">VLOOKUP(A86,'Données projet'!$A$165:$I$185,9,0)</f>
        <v>#N/A</v>
      </c>
      <c r="DN86" s="118" t="n">
        <f aca="false" t="array" ref="DN86:DN86">INDEX(DM:DM,MIN(IF(ISNUMBER(DM86:DM282),ROW(DM86:DM282),"")))</f>
        <v>0</v>
      </c>
      <c r="DO86" s="118" t="n">
        <f aca="false">IF('Données projet'!$A$166&gt;35,DO85+DN86-DW85,IF(A86&lt;'Données projet'!$A$166,$DL$205^A86,IF(A86='Données projet'!$A$166,'Données projet'!$B$166,DO85+DN86-DW85)))</f>
        <v>0</v>
      </c>
      <c r="DP86" s="125" t="n">
        <f aca="false">DO86*VLOOKUP('Données projet'!$B$14,Paramètres!$A$1:$I$89,3,0)*VLOOKUP('Données projet'!$B$14,Paramètres!$A$1:$I$89,5,0)</f>
        <v>0</v>
      </c>
      <c r="DQ86" s="117" t="e">
        <f aca="false">EXP(-1.0587+0.8836*LN(DP86)+0.284)</f>
        <v>#VALUE!</v>
      </c>
      <c r="DR86" s="128" t="e">
        <f aca="false">(DP86+DQ86)*0.475*44/12</f>
        <v>#VALUE!</v>
      </c>
      <c r="DS86" s="120" t="e">
        <f aca="false">DR86+(DJ86+DK86)*44/12</f>
        <v>#VALUE!</v>
      </c>
      <c r="DT86" s="120" t="n">
        <f aca="true">AVERAGE(OFFSET($DS$3,0,0,'Données projet'!$E$14+1,1))-AVERAGE(OFFSET($H$3,0,0,'Données projet'!$E$14+1,1))</f>
        <v>549.432320957297</v>
      </c>
      <c r="DU86" s="120" t="n">
        <f aca="false">$DU$3</f>
        <v>280.26155987301</v>
      </c>
      <c r="DV86" s="121" t="n">
        <f aca="false">IF(ISNA(VLOOKUP(A86,'Données projet'!$A$165:$I$185,3,0)),0,VLOOKUP(A86,'Données projet'!$A$165:$I$185,3,0))</f>
        <v>0</v>
      </c>
      <c r="DW86" s="121" t="n">
        <f aca="false">IF(ISNA(VLOOKUP(A86,'Données projet'!$A$165:$I$185,4,0)),0,VLOOKUP(A86,'Données projet'!$A$165:$I$185,4,0))</f>
        <v>0</v>
      </c>
      <c r="DX86" s="122" t="n">
        <f aca="false">IF(ISNA(VLOOKUP(A86,'Données projet'!$A$165:$I$185,5,0)),0%,VLOOKUP(A86,'Données projet'!$A$165:$I$185,5,0)*VLOOKUP('Données projet'!$B$14,Paramètres!$A$1:$I$89,7,0))</f>
        <v>0</v>
      </c>
      <c r="DY86" s="122" t="n">
        <f aca="false">IF(ISNA(VLOOKUP(A86,'Données projet'!$A$165:$I$185,6,0)),0%,VLOOKUP(A86,'Données projet'!$A$165:$I$185,6,0)*VLOOKUP('Données projet'!$B$14,Paramètres!$A$1:$I$89,7,0))</f>
        <v>0</v>
      </c>
      <c r="DZ86" s="122" t="n">
        <f aca="false">IF(ISNA(VLOOKUP(A86,'Données projet'!$A$165:$I$185,7,0)),0%,VLOOKUP(A86,'Données projet'!$A$165:$I$185,7,0))</f>
        <v>0</v>
      </c>
      <c r="EA86" s="129" t="n">
        <f aca="false">EXP(-LN(2)/35)*EA85+(1-EXP(-LN(2)/35))/(LN(2)/35)*DW86*DX86*VLOOKUP('Données projet'!$B$14,Paramètres!$A$1:$I$89,3,0)*0.475*44/12</f>
        <v>0.840800493978603</v>
      </c>
      <c r="EB86" s="129" t="n">
        <f aca="false">EXP(-LN(2)/25)*EB85+(1-EXP(-LN(2)/25))/(LN(2)/25)*Calculateur!DW86*Calculateur!DY86*VLOOKUP('Données projet'!$B$14,Paramètres!$A$1:$I$89,3,0)*0.475*44/12</f>
        <v>1.78368320199544</v>
      </c>
      <c r="EC86" s="129" t="n">
        <f aca="false">EXP(-LN(2)/2)*EC85+(1-EXP(-LN(2)/2))/(LN(2)/2)*DW86*DZ86*VLOOKUP('Données projet'!$B$14,Paramètres!$A$1:$I$89,3,0)*0.475*44/12</f>
        <v>6.44748214916156E-008</v>
      </c>
      <c r="ED86" s="130" t="n">
        <f aca="false">SUM(EA86:EC86)</f>
        <v>2.62448376044887</v>
      </c>
      <c r="EE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8" t="e">
        <f aca="false">VLOOKUP(A86,'Données projet'!$A$191:$I$211,2,0)</f>
        <v>#N/A</v>
      </c>
      <c r="EH86" s="118" t="e">
        <f aca="false">VLOOKUP(A86,'Données projet'!$A$191:$I$211,9,0)</f>
        <v>#N/A</v>
      </c>
      <c r="EI86" s="118" t="n">
        <f aca="false" t="array" ref="EI86:EI86">INDEX(EH:EH,MIN(IF(ISNUMBER(EH86:EH282),ROW(EH86:EH282),"")))</f>
        <v>0</v>
      </c>
      <c r="EJ86" s="118" t="n">
        <f aca="false">IF('Données projet'!$A$192&gt;35,EJ85+EI86-ER85,IF(A86&lt;'Données projet'!$A$192,$EG$205^A86,IF(A86='Données projet'!$A$192,'Données projet'!$B$192,EJ85+EI86-ER85)))</f>
        <v>0</v>
      </c>
      <c r="EK86" s="125" t="e">
        <f aca="false">EJ86*VLOOKUP('Données projet'!$B$15,Paramètres!$A$1:$I$89,3,0)*VLOOKUP('Données projet'!$B$15,Paramètres!$A$1:$I$89,5,0)</f>
        <v>#N/A</v>
      </c>
      <c r="EL86" s="117" t="e">
        <f aca="false">EXP(-1.0587+0.8836*LN(EK86)+0.284)</f>
        <v>#N/A</v>
      </c>
      <c r="EM86" s="128" t="e">
        <f aca="false">(EK86+EL86)*0.475*44/12</f>
        <v>#N/A</v>
      </c>
      <c r="EN86" s="120" t="e">
        <f aca="false">EM86+(EE86+EF86)*44/12</f>
        <v>#N/A</v>
      </c>
      <c r="EO86" s="120" t="e">
        <f aca="true">AVERAGE(OFFSET($EN$3,0,0,'Données projet'!$E$15+1,1))-AVERAGE(OFFSET($H$3,0,0,'Données projet'!$E$15+1,1))</f>
        <v>#N/A</v>
      </c>
      <c r="EP86" s="120" t="e">
        <f aca="false">$EP$3</f>
        <v>#N/A</v>
      </c>
      <c r="EQ86" s="121" t="n">
        <f aca="false">IF(ISNA(VLOOKUP(A86,'Données projet'!$A$191:$I$211,3,0)),0,VLOOKUP(A86,'Données projet'!$A$191:$I$211,3,0))</f>
        <v>0</v>
      </c>
      <c r="ER86" s="121" t="n">
        <f aca="false">IF(ISNA(VLOOKUP(A86,'Données projet'!$A$191:$I$211,4,0)),0,VLOOKUP(A86,'Données projet'!$A$191:$I$211,4,0))</f>
        <v>0</v>
      </c>
      <c r="ES86" s="122" t="n">
        <f aca="false">IF(ISNA(VLOOKUP(A86,'Données projet'!$A$191:$I$211,5,0)),0%,VLOOKUP(A86,'Données projet'!$A$191:$I$211,5,0)*VLOOKUP('Données projet'!$B$15,Paramètres!$A$1:$I$89,7,0))</f>
        <v>0</v>
      </c>
      <c r="ET86" s="122" t="n">
        <f aca="false">IF(ISNA(VLOOKUP(A86,'Données projet'!$A$191:$I$211,6,0)),0%,VLOOKUP(A86,'Données projet'!$A$191:$I$211,6,0)*VLOOKUP('Données projet'!$B$15,Paramètres!$A$1:$I$89,7,0))</f>
        <v>0</v>
      </c>
      <c r="EU86" s="122" t="n">
        <f aca="false">IF(ISNA(VLOOKUP(A86,'Données projet'!$A$191:$I$211,7,0)),0%,VLOOKUP(A86,'Données projet'!$A$191:$I$211,7,0))</f>
        <v>0</v>
      </c>
      <c r="EV86" s="129" t="e">
        <f aca="false">EXP(-LN(2)/35)*EV85+(1-EXP(-LN(2)/35))/(LN(2)/35)*ER86*ES86*VLOOKUP('Données projet'!$B$15,Paramètres!$A$1:$I$89,3,0)*0.475*44/12</f>
        <v>#N/A</v>
      </c>
      <c r="EW86" s="129" t="e">
        <f aca="false">EXP(-LN(2)/25)*EW85+(1-EXP(-LN(2)/25))/(LN(2)/25)*Calculateur!ER86*Calculateur!ET86*VLOOKUP('Données projet'!$B$15,Paramètres!$A$1:$I$89,3,0)*0.475*44/12</f>
        <v>#N/A</v>
      </c>
      <c r="EX86" s="129" t="e">
        <f aca="false">EXP(-LN(2)/2)*EX85+(1-EXP(-LN(2)/2))/(LN(2)/2)*ER86*EU86*VLOOKUP('Données projet'!$B$15,Paramètres!$A$1:$I$89,3,0)*0.475*44/12</f>
        <v>#N/A</v>
      </c>
      <c r="EY86" s="130" t="e">
        <f aca="false">SUM(EV86:EX86)</f>
        <v>#N/A</v>
      </c>
      <c r="EZ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8" t="e">
        <f aca="false">VLOOKUP(A86,'Données projet'!$A$217:$I$237,2,0)</f>
        <v>#N/A</v>
      </c>
      <c r="FC86" s="118" t="e">
        <f aca="false">VLOOKUP(A86,'Données projet'!$A$217:$I$237,9,0)</f>
        <v>#N/A</v>
      </c>
      <c r="FD86" s="118" t="n">
        <f aca="false" t="array" ref="FD86:FD86">INDEX(FC:FC,MIN(IF(ISNUMBER(FC86:FC282),ROW(FC86:FC282),"")))</f>
        <v>0</v>
      </c>
      <c r="FE86" s="118" t="n">
        <f aca="false">IF('Données projet'!$A$218&gt;35,FE85+FD86-FM85,IF(A86&lt;'Données projet'!$A$218,$FB$205^A86,IF(A86='Données projet'!$A$218,'Données projet'!$B$218,FE85+FD86-FM85)))</f>
        <v>0</v>
      </c>
      <c r="FF86" s="125" t="e">
        <f aca="false">FE86*VLOOKUP('Données projet'!$B$16,Paramètres!$A$1:$I$89,3,0)*VLOOKUP('Données projet'!$B$16,Paramètres!$A$1:$I$89,5,0)</f>
        <v>#N/A</v>
      </c>
      <c r="FG86" s="117" t="e">
        <f aca="false">EXP(-1.0587+0.8836*LN(FF86)+0.284)</f>
        <v>#N/A</v>
      </c>
      <c r="FH86" s="128" t="e">
        <f aca="false">(FF86+FG86)*0.475*44/12</f>
        <v>#N/A</v>
      </c>
      <c r="FI86" s="120" t="e">
        <f aca="false">FH86+(EZ86+FA86)*44/12</f>
        <v>#N/A</v>
      </c>
      <c r="FJ86" s="120" t="e">
        <f aca="true">AVERAGE(OFFSET($FI$3,0,0,'Données projet'!$E$16+1,1))-AVERAGE(OFFSET($H$3,0,0,'Données projet'!$E$16+1,1))</f>
        <v>#N/A</v>
      </c>
      <c r="FK86" s="120" t="e">
        <f aca="false">$FK$3</f>
        <v>#N/A</v>
      </c>
      <c r="FL86" s="121" t="n">
        <f aca="false">IF(ISNA(VLOOKUP(A86,'Données projet'!$A$217:$I$237,3,0)),0,VLOOKUP(A86,'Données projet'!$A$217:$I$237,3,0))</f>
        <v>0</v>
      </c>
      <c r="FM86" s="121" t="n">
        <f aca="false">IF(ISNA(VLOOKUP(A86,'Données projet'!$A$217:$I$237,4,0)),0,VLOOKUP(A86,'Données projet'!$A$217:$I$237,4,0))</f>
        <v>0</v>
      </c>
      <c r="FN86" s="122" t="n">
        <f aca="false">IF(ISNA(VLOOKUP(A86,'Données projet'!$A$217:$I$237,5,0)),0%,VLOOKUP(A86,'Données projet'!$A$217:$I$237,5,0)*VLOOKUP('Données projet'!$B$16,Paramètres!$A$1:$I$89,7,0))</f>
        <v>0</v>
      </c>
      <c r="FO86" s="122" t="n">
        <f aca="false">IF(ISNA(VLOOKUP(A86,'Données projet'!$A$217:$I$237,6,0)),0%,VLOOKUP(A86,'Données projet'!$A$217:$I$237,6,0)*VLOOKUP('Données projet'!$B$16,Paramètres!$A$1:$I$89,7,0))</f>
        <v>0</v>
      </c>
      <c r="FP86" s="122" t="n">
        <f aca="false">IF(ISNA(VLOOKUP(A86,'Données projet'!$A$217:$I$237,7,0)),0%,VLOOKUP(A86,'Données projet'!$A$217:$I$237,7,0))</f>
        <v>0</v>
      </c>
      <c r="FQ86" s="129" t="e">
        <f aca="false">EXP(-LN(2)/35)*FQ85+(1-EXP(-LN(2)/35))/(LN(2)/35)*FM86*FN86*VLOOKUP('Données projet'!$B$16,Paramètres!$A$1:$I$89,3,0)*0.475*44/12</f>
        <v>#N/A</v>
      </c>
      <c r="FR86" s="129" t="e">
        <f aca="false">EXP(-LN(2)/25)*FR85+(1-EXP(-LN(2)/25))/(LN(2)/25)*Calculateur!FM86*Calculateur!FO86*VLOOKUP('Données projet'!$B$16,Paramètres!$A$1:$I$89,3,0)*0.475*44/12</f>
        <v>#N/A</v>
      </c>
      <c r="FS86" s="129" t="e">
        <f aca="false">EXP(-LN(2)/2)*FS85+(1-EXP(-LN(2)/2))/(LN(2)/2)*FM86*FP86*VLOOKUP('Données projet'!$B$16,Paramètres!$A$1:$I$89,3,0)*0.475*44/12</f>
        <v>#N/A</v>
      </c>
      <c r="FT86" s="130" t="e">
        <f aca="false">SUM(FQ86:FS86)</f>
        <v>#N/A</v>
      </c>
      <c r="FU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8" t="e">
        <f aca="false">VLOOKUP(A86,'Données projet'!$A$243:$I$263,2,0)</f>
        <v>#N/A</v>
      </c>
      <c r="FX86" s="118" t="e">
        <f aca="false">VLOOKUP(A86,'Données projet'!$A$243:$I$263,9,0)</f>
        <v>#N/A</v>
      </c>
      <c r="FY86" s="118" t="n">
        <f aca="false" t="array" ref="FY86:FY86">INDEX(FX:FX,MIN(IF(ISNUMBER(FX86:FX282),ROW(FX86:FX282),"")))</f>
        <v>0</v>
      </c>
      <c r="FZ86" s="118" t="n">
        <f aca="false">IF('Données projet'!$A$244&gt;35,FZ85+FY86-GH85,IF(A86&lt;'Données projet'!$A$244,$FW$205^A86,IF(A86='Données projet'!$A$244,'Données projet'!$B$244,FZ85+FY86-GH85)))</f>
        <v>0</v>
      </c>
      <c r="GA86" s="125" t="e">
        <f aca="false">FZ86*VLOOKUP('Données projet'!$B$17,Paramètres!$A$1:$I$89,3,0)*VLOOKUP('Données projet'!$B$17,Paramètres!$A$1:$I$89,5,0)</f>
        <v>#N/A</v>
      </c>
      <c r="GB86" s="117" t="e">
        <f aca="false">EXP(-1.0587+0.8836*LN(GA86)+0.284)</f>
        <v>#N/A</v>
      </c>
      <c r="GC86" s="128" t="e">
        <f aca="false">(GA86+GB86)*0.475*44/12</f>
        <v>#N/A</v>
      </c>
      <c r="GD86" s="120" t="e">
        <f aca="false">GC86+(FU86+FV86)*44/12</f>
        <v>#N/A</v>
      </c>
      <c r="GE86" s="120" t="e">
        <f aca="true">AVERAGE(OFFSET($GD$3,0,0,'Données projet'!$E$17+1,1))-AVERAGE(OFFSET($H$3,0,0,'Données projet'!$E$17+1,1))</f>
        <v>#N/A</v>
      </c>
      <c r="GF86" s="120" t="e">
        <f aca="false">$GF$3</f>
        <v>#N/A</v>
      </c>
      <c r="GG86" s="121" t="n">
        <f aca="false">IF(ISNA(VLOOKUP(A86,'Données projet'!$A$243:$I$263,3,0)),0,VLOOKUP(A86,'Données projet'!$A$243:$I$263,3,0))</f>
        <v>0</v>
      </c>
      <c r="GH86" s="121" t="n">
        <f aca="false">IF(ISNA(VLOOKUP(A86,'Données projet'!$A$243:$I$263,4,0)),0,VLOOKUP(A86,'Données projet'!$A$243:$I$263,4,0))</f>
        <v>0</v>
      </c>
      <c r="GI86" s="122" t="n">
        <f aca="false">IF(ISNA(VLOOKUP(A86,'Données projet'!$A$243:$I$263,5,0)),0%,VLOOKUP(A86,'Données projet'!$A$243:$I$263,5,0)*VLOOKUP('Données projet'!$B$17,Paramètres!$A$1:$I$89,7,0))</f>
        <v>0</v>
      </c>
      <c r="GJ86" s="122" t="n">
        <f aca="false">IF(ISNA(VLOOKUP(A86,'Données projet'!$A$243:$I$263,6,0)),0%,VLOOKUP(A86,'Données projet'!$A$243:$I$263,6,0)*VLOOKUP('Données projet'!$B$17,Paramètres!$A$1:$I$89,7,0))</f>
        <v>0</v>
      </c>
      <c r="GK86" s="122" t="n">
        <f aca="false">IF(ISNA(VLOOKUP(A86,'Données projet'!$A$243:$I$263,7,0)),0%,VLOOKUP(A86,'Données projet'!$A$243:$I$263,7,0))</f>
        <v>0</v>
      </c>
      <c r="GL86" s="129" t="e">
        <f aca="false">EXP(-LN(2)/35)*GL85+(1-EXP(-LN(2)/35))/(LN(2)/35)*GH86*GI86*VLOOKUP('Données projet'!$B$17,Paramètres!$A$1:$I$89,3,0)*0.475*44/12</f>
        <v>#N/A</v>
      </c>
      <c r="GM86" s="129" t="e">
        <f aca="false">EXP(-LN(2)/25)*GM85+(1-EXP(-LN(2)/25))/(LN(2)/25)*Calculateur!GH86*Calculateur!GJ86*VLOOKUP('Données projet'!$B$17,Paramètres!$A$1:$I$89,3,0)*0.475*44/12</f>
        <v>#N/A</v>
      </c>
      <c r="GN86" s="129" t="e">
        <f aca="false">EXP(-LN(2)/2)*GN85+(1-EXP(-LN(2)/2))/(LN(2)/2)*GH86*GK86*VLOOKUP('Données projet'!$B$17,Paramètres!$A$1:$I$89,3,0)*0.475*44/12</f>
        <v>#N/A</v>
      </c>
      <c r="GO86" s="129" t="e">
        <f aca="false">SUM(GL86:GN86)</f>
        <v>#N/A</v>
      </c>
      <c r="GP86" s="126" t="n">
        <f aca="false"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8" t="n">
        <f aca="false"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8" t="e">
        <f aca="false">VLOOKUP(A86,'Données projet'!$A$269:$I$289,2,0)</f>
        <v>#N/A</v>
      </c>
      <c r="GS86" s="118" t="e">
        <f aca="false">VLOOKUP(A86,'Données projet'!$A$269:$I$289,9,0)</f>
        <v>#N/A</v>
      </c>
      <c r="GT86" s="118" t="n">
        <f aca="false" t="array" ref="GT86:GT86">INDEX(GS:GS,MIN(IF(ISNUMBER(GS86:GS282),ROW(GS86:GS282),"")))</f>
        <v>0</v>
      </c>
      <c r="GU86" s="118" t="n">
        <f aca="false">IF('Données projet'!$A$270&gt;35,GU85+GT86-HC85,IF(A86&lt;'Données projet'!$A$270,$GR$205^A86,IF(A86='Données projet'!$A$270,'Données projet'!$B$270,GU85+GT86-HC85)))</f>
        <v>0</v>
      </c>
      <c r="GV86" s="125" t="e">
        <f aca="false">GU86*VLOOKUP('Données projet'!$B$18,Paramètres!$A$1:$I$89,3,0)*VLOOKUP('Données projet'!$B$18,Paramètres!$A$1:$I$89,5,0)</f>
        <v>#N/A</v>
      </c>
      <c r="GW86" s="117" t="e">
        <f aca="false">EXP(-1.0587+0.8836*LN(GV86)+0.284)</f>
        <v>#N/A</v>
      </c>
      <c r="GX86" s="128" t="e">
        <f aca="false">(GV86+GW86)*0.475*44/12</f>
        <v>#N/A</v>
      </c>
      <c r="GY86" s="120" t="e">
        <f aca="false">GX86+(GP86+GQ86)*44/12</f>
        <v>#N/A</v>
      </c>
      <c r="GZ86" s="120" t="e">
        <f aca="true">AVERAGE(OFFSET($GY$3,0,0,'Données projet'!$E$18+1,1))-AVERAGE(OFFSET($H$3,0,0,'Données projet'!$E$18+1,1))</f>
        <v>#N/A</v>
      </c>
      <c r="HA86" s="120" t="e">
        <f aca="false">$HA$3</f>
        <v>#N/A</v>
      </c>
      <c r="HB86" s="121" t="n">
        <f aca="false">IF(ISNA(VLOOKUP(A86,'Données projet'!$A$269:$I$289,3,0)),0,VLOOKUP(A86,'Données projet'!$A$269:$I$289,3,0))</f>
        <v>0</v>
      </c>
      <c r="HC86" s="121" t="n">
        <f aca="false">IF(ISNA(VLOOKUP(A86,'Données projet'!$A$269:$I$289,4,0)),0,VLOOKUP(A86,'Données projet'!$A$269:$I$289,4,0))</f>
        <v>0</v>
      </c>
      <c r="HD86" s="122" t="n">
        <f aca="false">IF(ISNA(VLOOKUP(A86,'Données projet'!$A$269:$I$289,5,0)),0%,VLOOKUP(A86,'Données projet'!$A$269:$I$289,5,0)*VLOOKUP('Données projet'!$B$18,Paramètres!$A$1:$I$89,7,0))</f>
        <v>0</v>
      </c>
      <c r="HE86" s="122" t="n">
        <f aca="false">IF(ISNA(VLOOKUP(A86,'Données projet'!$A$269:$I$289,6,0)),0%,VLOOKUP(A86,'Données projet'!$A$269:$I$289,6,0)*VLOOKUP('Données projet'!$B$18,Paramètres!$A$1:$I$89,7,0))</f>
        <v>0</v>
      </c>
      <c r="HF86" s="122" t="n">
        <f aca="false">IF(ISNA(VLOOKUP(A86,'Données projet'!$A$269:$I$289,7,0)),0%,VLOOKUP(A86,'Données projet'!$A$269:$I$289,7,0))</f>
        <v>0</v>
      </c>
      <c r="HG86" s="129" t="e">
        <f aca="false">EXP(-LN(2)/35)*HG85+(1-EXP(-LN(2)/35))/(LN(2)/35)*HC86*HD86*VLOOKUP('Données projet'!$B$18,Paramètres!$A$1:$I$89,3,0)*0.475*44/12</f>
        <v>#N/A</v>
      </c>
      <c r="HH86" s="129" t="e">
        <f aca="false">EXP(-LN(2)/25)*HH85+(1-EXP(-LN(2)/25))/(LN(2)/25)*Calculateur!HC86*Calculateur!HE86*VLOOKUP('Données projet'!$B$18,Paramètres!$A$1:$I$89,3,0)*0.475*44/12</f>
        <v>#N/A</v>
      </c>
      <c r="HI86" s="129" t="e">
        <f aca="false">EXP(-LN(2)/2)*HI85+(1-EXP(-LN(2)/2))/(LN(2)/2)*HC86*HF86*VLOOKUP('Données projet'!$B$18,Paramètres!$A$1:$I$89,3,0)*0.475*44/12</f>
        <v>#N/A</v>
      </c>
      <c r="HJ86" s="130" t="e">
        <f aca="false">SUM(HG86:HI86)</f>
        <v>#N/A</v>
      </c>
    </row>
    <row r="87" customFormat="false" ht="14.25" hidden="false" customHeight="false" outlineLevel="0" collapsed="false">
      <c r="A87" s="112" t="n">
        <f aca="false">A86+1</f>
        <v>84</v>
      </c>
      <c r="B87" s="113" t="n">
        <f aca="false">'Scénario référence'!$B$16*5+'Scénario référence'!$B$17*0+'Scénario référence'!$B$18*5</f>
        <v>0</v>
      </c>
      <c r="C87" s="127" t="n">
        <f aca="false"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4" t="n">
        <f aca="false">IFERROR(EXP(-1.0587+0.8836*LN(C87)+0.284),0)</f>
        <v>0</v>
      </c>
      <c r="E8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7" s="114" t="n">
        <f aca="false">IF(OR('Scénario référence'!$F$8&gt;0,'Scénario référence'!$F$9&gt;0),('Scénario référence'!$F$8+'Scénario référence'!$F$9)*10,0)</f>
        <v>0</v>
      </c>
      <c r="G87" s="114" t="n">
        <f aca="false"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15" t="n">
        <f aca="false">(B87+E87+F87)*44/12+(C87+D87)*0.475*44/12</f>
        <v>256.666666666667</v>
      </c>
      <c r="I87" s="11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7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8" t="e">
        <f aca="false">VLOOKUP(A87,'Données projet'!$A$35:$I$55,2,0)</f>
        <v>#N/A</v>
      </c>
      <c r="L87" s="118" t="e">
        <f aca="false">VLOOKUP(A87,'Données projet'!$A$35:$I$55,9,0)</f>
        <v>#N/A</v>
      </c>
      <c r="M87" s="118" t="n">
        <f aca="false" t="array" ref="M87:M87">INDEX(L:L,MIN(IF(ISNUMBER(L87:L283),ROW(L87:L283),"")))</f>
        <v>17.5</v>
      </c>
      <c r="N87" s="117" t="n">
        <f aca="false">IF('Données projet'!$A$36&gt;35,N86+M87-V86,IF(A87&lt;'Données projet'!$A$36,$K$205^A87,IF(A87='Données projet'!$A$36,'Données projet'!$B$36,N86+M87-V86)))</f>
        <v>483.5</v>
      </c>
      <c r="O87" s="117" t="n">
        <f aca="false">N87*VLOOKUP('Données projet'!$B$9,Paramètres!$A$1:$I$89,3,0)*VLOOKUP('Données projet'!$B$9,Paramètres!$A$1:$I$89,5,0)</f>
        <v>226.278</v>
      </c>
      <c r="P87" s="117" t="n">
        <f aca="false">EXP(-1.0587+0.8836*LN(O87)+0.284)</f>
        <v>55.477135539319</v>
      </c>
      <c r="Q87" s="128" t="n">
        <f aca="false">(O87+P87)*0.475*44/12</f>
        <v>490.723527730981</v>
      </c>
      <c r="R87" s="120" t="n">
        <f aca="false">Q87+(I87+J87)*44/12</f>
        <v>784.056861064314</v>
      </c>
      <c r="S87" s="120" t="n">
        <f aca="true">AVERAGE(OFFSET($R$3,0,0,'Données projet'!$E$9+1,1))-AVERAGE(OFFSET($H$3,0,0,'Données projet'!$E$9+1,1))</f>
        <v>319.229030946746</v>
      </c>
      <c r="T87" s="120" t="n">
        <f aca="false">$T$3</f>
        <v>254.586909731428</v>
      </c>
      <c r="U87" s="121" t="n">
        <f aca="false">IF(ISNA(VLOOKUP(A87,'Données projet'!$A$35:$I$55,3,0)),0,VLOOKUP(A87,'Données projet'!$A$35:$I$55,3,0))</f>
        <v>0</v>
      </c>
      <c r="V87" s="121" t="n">
        <f aca="false">IF(ISNA(VLOOKUP(A87,'Données projet'!$A$35:$I$55,4,0)),0,VLOOKUP(A87,'Données projet'!$A$35:$I$55,4,0))</f>
        <v>0</v>
      </c>
      <c r="W87" s="122" t="n">
        <f aca="false">IF(ISNA(VLOOKUP(A87,'Données projet'!$A$35:$I$55,5,0)),0%,VLOOKUP(A87,'Données projet'!$A$35:$I$55,5,0)*VLOOKUP('Données projet'!$B$9,Paramètres!$A$1:$I$89,7,0))</f>
        <v>0</v>
      </c>
      <c r="X87" s="122" t="n">
        <f aca="false">IF(ISNA(VLOOKUP(A87,'Données projet'!$A$35:$I$55,6,0)),0%,VLOOKUP(A87,'Données projet'!$A$35:$I$55,6,0)*VLOOKUP('Données projet'!$B$9,Paramètres!$A$1:$I$89,7,0))</f>
        <v>0</v>
      </c>
      <c r="Y87" s="122" t="n">
        <f aca="false">IF(ISNA(VLOOKUP(A87,'Données projet'!$A$35:$I$55,7,0)),0%,VLOOKUP(A87,'Données projet'!$A$35:$I$55,7,0))</f>
        <v>0</v>
      </c>
      <c r="Z87" s="129" t="n">
        <f aca="false">EXP(-LN(2)/35)*Z86+(1-EXP(-LN(2)/35))/(LN(2)/35)*V87*W87*VLOOKUP('Données projet'!$B$9,Paramètres!$A$1:$I$89,3,0)*0.475*44/12</f>
        <v>3.11498676433371</v>
      </c>
      <c r="AA87" s="129" t="n">
        <f aca="false">EXP(-LN(2)/25)*AA86+(1-EXP(-LN(2)/25))/(LN(2)/25)*Calculateur!V87*Calculateur!X87*VLOOKUP('Données projet'!$B$9,Paramètres!$A$1:$I$89,3,0)*0.475*44/12</f>
        <v>2.49517779197086</v>
      </c>
      <c r="AB87" s="129" t="n">
        <f aca="false">EXP(-LN(2)/2)*AB86+(1-EXP(-LN(2)/2))/(LN(2)/2)*V87*Y87*VLOOKUP('Données projet'!$B$9,Paramètres!$A$1:$I$89,3,0)*0.475*44/12</f>
        <v>8.2277720001328E-008</v>
      </c>
      <c r="AC87" s="130" t="n">
        <f aca="false">SUM(Z87:AB87)</f>
        <v>5.61016463858229</v>
      </c>
      <c r="AD87" s="117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7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8" t="e">
        <f aca="false">VLOOKUP(A87,'Données projet'!$A$61:$I$81,2,0)</f>
        <v>#N/A</v>
      </c>
      <c r="AG87" s="118" t="e">
        <f aca="false">VLOOKUP(A87,'Données projet'!$A$61:$I$81,9,0)</f>
        <v>#N/A</v>
      </c>
      <c r="AH87" s="118" t="n">
        <f aca="false" t="array" ref="AH87:AH87">INDEX(AG:AG,MIN(IF(ISNUMBER(AG87:AG283),ROW(AG87:AG283),"")))</f>
        <v>0</v>
      </c>
      <c r="AI87" s="117" t="n">
        <f aca="false">IF('Données projet'!$A$62&gt;35,AI86+AH87-AQ86,IF(A87&lt;'Données projet'!$A$62,$AF$205^A87,IF(A87='Données projet'!$A$62,'Données projet'!$B$62,AI86+AH87-AQ86)))</f>
        <v>1.13686837721616E-013</v>
      </c>
      <c r="AJ87" s="117" t="n">
        <f aca="false">AI87*VLOOKUP('Données projet'!$B$10,Paramètres!$A$1:$I$89,3,0)*VLOOKUP('Données projet'!$B$10,Paramètres!$A$1:$I$89,5,0)</f>
        <v>6.35509422863834E-014</v>
      </c>
      <c r="AK87" s="117" t="n">
        <f aca="false">EXP(-1.0587+0.8836*LN(AJ87)+0.284)</f>
        <v>1.0064464192544E-012</v>
      </c>
      <c r="AL87" s="128" t="n">
        <f aca="false">(AJ87+AK87)*0.475*44/12</f>
        <v>1.86357873801686E-012</v>
      </c>
      <c r="AM87" s="120" t="n">
        <f aca="false">AL87+(AD87+AE87)*44/12</f>
        <v>293.333333333335</v>
      </c>
      <c r="AN87" s="120" t="n">
        <f aca="true">AVERAGE(OFFSET($AM$3,0,0,'Données projet'!$E$10+1,1))-AVERAGE(OFFSET($H$3,0,0,'Données projet'!$E$10+1,1))</f>
        <v>365.705101827279</v>
      </c>
      <c r="AO87" s="120" t="n">
        <f aca="false">$AO$3</f>
        <v>436.238338449625</v>
      </c>
      <c r="AP87" s="121" t="n">
        <f aca="false">IF(ISNA(VLOOKUP(A87,'Données projet'!$A$61:$I$81,3,0)),0,VLOOKUP(A87,'Données projet'!$A$61:$I$81,3,0))</f>
        <v>0</v>
      </c>
      <c r="AQ87" s="121" t="n">
        <f aca="false">IF(ISNA(VLOOKUP(A87,'Données projet'!$A$61:$I$81,4,0)),0,VLOOKUP(A87,'Données projet'!$A$61:$I$81,4,0))</f>
        <v>0</v>
      </c>
      <c r="AR87" s="122" t="n">
        <f aca="false">IF(ISNA(VLOOKUP(A87,'Données projet'!$A$61:$I$81,5,0)),0%,VLOOKUP(A87,'Données projet'!$A$61:$I$81,5,0)*VLOOKUP('Données projet'!$B$10,Paramètres!$A$1:$I$89,7,0))</f>
        <v>0</v>
      </c>
      <c r="AS87" s="122" t="n">
        <f aca="false">IF(ISNA(VLOOKUP(A87,'Données projet'!$A$61:$I$81,6,0)),0%,VLOOKUP(A87,'Données projet'!$A$61:$I$81,6,0)*VLOOKUP('Données projet'!$B$10,Paramètres!$A$1:$I$89,7,0))</f>
        <v>0</v>
      </c>
      <c r="AT87" s="122" t="n">
        <f aca="false">IF(ISNA(VLOOKUP(A87,'Données projet'!$A$61:$I$81,7,0)),0%,VLOOKUP(A87,'Données projet'!$A$61:$I$81,7,0))</f>
        <v>0</v>
      </c>
      <c r="AU87" s="129" t="n">
        <f aca="false">EXP(-LN(2)/35)*AU86+(1-EXP(-LN(2)/35))/(LN(2)/35)*AQ87*AR87*VLOOKUP('Données projet'!$B$10,Paramètres!$A$1:$I$89,3,0)*0.475*44/12</f>
        <v>1.17580651127399</v>
      </c>
      <c r="AV87" s="129" t="n">
        <f aca="false">EXP(-LN(2)/25)*AV86+(1-EXP(-LN(2)/25))/(LN(2)/25)*Calculateur!AQ87*Calculateur!AS87*VLOOKUP('Données projet'!$B$10,Paramètres!$A$1:$I$89,3,0)*0.475*44/12</f>
        <v>2.9554031806334</v>
      </c>
      <c r="AW87" s="129" t="n">
        <f aca="false">EXP(-LN(2)/2)*AW86+(1-EXP(-LN(2)/2))/(LN(2)/2)*AQ87*AT87*VLOOKUP('Données projet'!$B$10,Paramètres!$A$1:$I$89,3,0)*0.475*44/12</f>
        <v>4.42792973345205E-008</v>
      </c>
      <c r="AX87" s="129" t="n">
        <f aca="false">SUM(AU87:AW87)</f>
        <v>4.13120973618669</v>
      </c>
      <c r="AY87" s="124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8" t="e">
        <f aca="false">VLOOKUP(A87,'Données projet'!$A$87:$I$107,2,0)</f>
        <v>#N/A</v>
      </c>
      <c r="BB87" s="118" t="e">
        <f aca="false">VLOOKUP(A87,'Données projet'!$A$87:$I$107,9,0)</f>
        <v>#N/A</v>
      </c>
      <c r="BC87" s="118" t="n">
        <f aca="false" t="array" ref="BC87:BC87">INDEX(BB:BB,MIN(IF(ISNUMBER(BB87:BB283),ROW(BB87:BB283),"")))</f>
        <v>0</v>
      </c>
      <c r="BD87" s="118" t="n">
        <f aca="false">IF('Données projet'!$A$88&gt;35,BD86+BC87-BL86,IF(A87&lt;'Données projet'!$A$88,$BA$205^A87,IF(A87='Données projet'!$A$88,'Données projet'!$B$88,BD86+BC87-BL86)))</f>
        <v>1.98951966012828E-013</v>
      </c>
      <c r="BE87" s="117" t="n">
        <f aca="false">BD87*VLOOKUP('Données projet'!$B$11,Paramètres!$A$1:$I$89,3,0)*VLOOKUP('Données projet'!$B$11,Paramètres!$A$1:$I$89,5,0)</f>
        <v>1.73804437508807E-013</v>
      </c>
      <c r="BF87" s="117" t="n">
        <f aca="false">EXP(-1.0587+0.8836*LN(BE87)+0.284)</f>
        <v>2.44832936339505E-012</v>
      </c>
      <c r="BG87" s="128" t="n">
        <f aca="false">(BE87+BF87)*0.475*44/12</f>
        <v>4.56688303657421E-012</v>
      </c>
      <c r="BH87" s="120" t="n">
        <f aca="false">BG87+(AY87+AZ87)*44/12</f>
        <v>293.333333333338</v>
      </c>
      <c r="BI87" s="120" t="n">
        <f aca="true">AVERAGE(OFFSET($BH$3,0,0,'Données projet'!$E$11+1,1))-AVERAGE(OFFSET($H$3,0,0,'Données projet'!$E$11+1,1))</f>
        <v>321.235999689929</v>
      </c>
      <c r="BJ87" s="120" t="n">
        <f aca="false">$BJ$3</f>
        <v>388.051958478005</v>
      </c>
      <c r="BK87" s="121" t="n">
        <f aca="false">IF(ISNA(VLOOKUP(A87,'Données projet'!$A$87:$I$107,3,0)),0,VLOOKUP(A87,'Données projet'!$A$87:$I$107,3,0))</f>
        <v>0</v>
      </c>
      <c r="BL87" s="121" t="n">
        <f aca="false">IF(ISNA(VLOOKUP(A87,'Données projet'!$A$87:$I$107,4,0)),0,VLOOKUP(A87,'Données projet'!$A$87:$I$107,4,0))</f>
        <v>0</v>
      </c>
      <c r="BM87" s="122" t="n">
        <f aca="false">IF(ISNA(VLOOKUP(A87,'Données projet'!$A$87:$I$107,5,0)),0%,VLOOKUP(A87,'Données projet'!$A$87:$I$107,5,0)*VLOOKUP('Données projet'!$B$11,Paramètres!$A$1:$I$89,7,0))</f>
        <v>0</v>
      </c>
      <c r="BN87" s="122" t="n">
        <f aca="false">IF(ISNA(VLOOKUP(A87,'Données projet'!$A$87:$I$107,6,0)),0%,VLOOKUP(A87,'Données projet'!$A$87:$I$107,6,0)*VLOOKUP('Données projet'!$B$11,Paramètres!$A$1:$I$89,7,0))</f>
        <v>0</v>
      </c>
      <c r="BO87" s="122" t="n">
        <f aca="false">IF(ISNA(VLOOKUP(A87,'Données projet'!$A$87:$I$107,7,0)),0%,VLOOKUP(A87,'Données projet'!$A$87:$I$107,7,0))</f>
        <v>0</v>
      </c>
      <c r="BP87" s="129" t="n">
        <f aca="false">EXP(-LN(2)/35)*BP86+(1-EXP(-LN(2)/35))/(LN(2)/35)*BL87*BM87*VLOOKUP('Données projet'!$B$11,Paramètres!$A$1:$I$89,3,0)*0.475*44/12</f>
        <v>2.95200493296726</v>
      </c>
      <c r="BQ87" s="129" t="n">
        <f aca="false">EXP(-LN(2)/25)*BQ86+(1-EXP(-LN(2)/25))/(LN(2)/25)*Calculateur!BL87*Calculateur!BN87*VLOOKUP('Données projet'!$B$11,Paramètres!$A$1:$I$89,3,0)*0.475*44/12</f>
        <v>3.01670002669477</v>
      </c>
      <c r="BR87" s="129" t="n">
        <f aca="false">EXP(-LN(2)/2)*BR86+(1-EXP(-LN(2)/2))/(LN(2)/2)*BL87*BO87*VLOOKUP('Données projet'!$B$11,Paramètres!$A$1:$I$89,3,0)*0.475*44/12</f>
        <v>4.50089853800441E-008</v>
      </c>
      <c r="BS87" s="130" t="n">
        <f aca="false">SUM(BP87:BR87)</f>
        <v>5.96870500467102</v>
      </c>
      <c r="BT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8" t="e">
        <f aca="false">VLOOKUP(A87,'Données projet'!$A$113:$I$133,2,0)</f>
        <v>#N/A</v>
      </c>
      <c r="BW87" s="118" t="e">
        <f aca="false">VLOOKUP(A87,'Données projet'!$A$113:$I$133,9,0)</f>
        <v>#N/A</v>
      </c>
      <c r="BX87" s="118" t="n">
        <f aca="false" t="array" ref="BX87:BX87">INDEX(BW:BW,MIN(IF(ISNUMBER(BW87:BW283),ROW(BW87:BW283),"")))</f>
        <v>0</v>
      </c>
      <c r="BY87" s="118" t="n">
        <f aca="false">IF('Données projet'!$A$114&gt;35,BY86+BX87-CG86,IF(A87&lt;'Données projet'!$A$114,$BV$205^A87,IF(A87='Données projet'!$A$114,'Données projet'!$B$114,BY86+BX87-CG86)))</f>
        <v>0</v>
      </c>
      <c r="BZ87" s="117" t="n">
        <f aca="false">BY87*VLOOKUP('Données projet'!$B$12,Paramètres!$A$1:$I$89,3,0)*VLOOKUP('Données projet'!$B$12,Paramètres!$A$1:$I$89,5,0)</f>
        <v>0</v>
      </c>
      <c r="CA87" s="117" t="e">
        <f aca="false">EXP(-1.0587+0.8836*LN(BZ87)+0.284)</f>
        <v>#VALUE!</v>
      </c>
      <c r="CB87" s="128" t="e">
        <f aca="false">(BZ87+CA87)*0.475*44/12</f>
        <v>#VALUE!</v>
      </c>
      <c r="CC87" s="120" t="e">
        <f aca="false">CB87+(BT87+BU87)*44/12</f>
        <v>#VALUE!</v>
      </c>
      <c r="CD87" s="120" t="n">
        <f aca="true">AVERAGE(OFFSET($CC$3,0,0,'Données projet'!$E$12+1,1))-AVERAGE(OFFSET($H$3,0,0,'Données projet'!$E$12+1,1))</f>
        <v>240.228848647662</v>
      </c>
      <c r="CE87" s="120" t="n">
        <f aca="false">$CE$3</f>
        <v>343.237768841432</v>
      </c>
      <c r="CF87" s="121" t="n">
        <f aca="false">IF(ISNA(VLOOKUP(A87,'Données projet'!$A$113:$I$133,3,0)),0,VLOOKUP(A87,'Données projet'!$A$113:$I$133,3,0))</f>
        <v>0</v>
      </c>
      <c r="CG87" s="121" t="n">
        <f aca="false">IF(ISNA(VLOOKUP(A87,'Données projet'!$A$113:$I$133,4,0)),0,VLOOKUP(A87,'Données projet'!$A$113:$I$133,4,0))</f>
        <v>0</v>
      </c>
      <c r="CH87" s="122" t="n">
        <f aca="false">IF(ISNA(VLOOKUP(A87,'Données projet'!$A$113:$I$133,5,0)),0%,VLOOKUP(A87,'Données projet'!$A$113:$I$133,5,0)*VLOOKUP('Données projet'!$B$12,Paramètres!$A$1:$I$89,7,0))</f>
        <v>0</v>
      </c>
      <c r="CI87" s="122" t="n">
        <f aca="false">IF(ISNA(VLOOKUP(A87,'Données projet'!$A$113:$I$133,6,0)),0%,VLOOKUP(A87,'Données projet'!$A$113:$I$133,6,0)*VLOOKUP('Données projet'!$B$12,Paramètres!$A$1:$I$89,7,0))</f>
        <v>0</v>
      </c>
      <c r="CJ87" s="122" t="n">
        <f aca="false">IF(ISNA(VLOOKUP(A87,'Données projet'!$A$113:$I$133,7,0)),0%,VLOOKUP(A87,'Données projet'!$A$113:$I$133,7,0))</f>
        <v>0</v>
      </c>
      <c r="CK87" s="129" t="n">
        <f aca="false">EXP(-LN(2)/35)*CK86+(1-EXP(-LN(2)/35))/(LN(2)/35)*CG87*CH87*VLOOKUP('Données projet'!$B$12,Paramètres!$A$1:$I$89,3,0)*0.475*44/12</f>
        <v>1.80685700071341</v>
      </c>
      <c r="CL87" s="129" t="n">
        <f aca="false">EXP(-LN(2)/25)*CL86+(1-EXP(-LN(2)/25))/(LN(2)/25)*Calculateur!CG87*Calculateur!CI87*VLOOKUP('Données projet'!$B$12,Paramètres!$A$1:$I$89,3,0)*0.475*44/12</f>
        <v>5.32766688356566</v>
      </c>
      <c r="CM87" s="129" t="n">
        <f aca="false">EXP(-LN(2)/2)*CM86+(1-EXP(-LN(2)/2))/(LN(2)/2)*CG87*CJ87*VLOOKUP('Données projet'!$B$12,Paramètres!$A$1:$I$89,3,0)*0.475*44/12</f>
        <v>7.18223412779257E-008</v>
      </c>
      <c r="CN87" s="130" t="n">
        <f aca="false">SUM(CK87:CM87)</f>
        <v>7.13452395610141</v>
      </c>
      <c r="CO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8" t="e">
        <f aca="false">VLOOKUP(A87,'Données projet'!$A$139:$I$159,2,0)</f>
        <v>#N/A</v>
      </c>
      <c r="CR87" s="118" t="e">
        <f aca="false">VLOOKUP(A87,'Données projet'!$A$139:$I$159,9,0)</f>
        <v>#N/A</v>
      </c>
      <c r="CS87" s="118" t="n">
        <f aca="false" t="array" ref="CS87:CS87">INDEX(CR:CR,MIN(IF(ISNUMBER(CR87:CR283),ROW(CR87:CR283),"")))</f>
        <v>0</v>
      </c>
      <c r="CT87" s="118" t="n">
        <f aca="false">IF('Données projet'!$A$140&gt;35,CT86+CS87-DB86,IF(A87&lt;'Données projet'!$A$140,$CQ$205^A87,IF(A87='Données projet'!$A$140,'Données projet'!$B$140,CT86+CS87-DB86)))</f>
        <v>-5.6843418860808E-014</v>
      </c>
      <c r="CU87" s="125" t="n">
        <f aca="false">CT87*VLOOKUP('Données projet'!$B$13,Paramètres!$A$1:$I$89,3,0)*VLOOKUP('Données projet'!$B$13,Paramètres!$A$1:$I$89,5,0)</f>
        <v>-3.10365066980012E-014</v>
      </c>
      <c r="CV87" s="117" t="e">
        <f aca="false">EXP(-1.0587+0.8836*LN(CU87)+0.284)</f>
        <v>#VALUE!</v>
      </c>
      <c r="CW87" s="128" t="e">
        <f aca="false">(CU87+CV87)*0.475*44/12</f>
        <v>#VALUE!</v>
      </c>
      <c r="CX87" s="120" t="e">
        <f aca="false">CW87+(CO87+CP87)*44/12</f>
        <v>#VALUE!</v>
      </c>
      <c r="CY87" s="120" t="n">
        <f aca="true">AVERAGE(OFFSET($CX$3,0,0,'Données projet'!$E$13+1,1))-AVERAGE(OFFSET($H$3,0,0,'Données projet'!$E$13+1,1))</f>
        <v>207.023069645676</v>
      </c>
      <c r="CZ87" s="120" t="n">
        <f aca="false">$CZ$3</f>
        <v>342.068879333518</v>
      </c>
      <c r="DA87" s="121" t="n">
        <f aca="false">IF(ISNA(VLOOKUP(A87,'Données projet'!$A$139:$I$159,3,0)),0,VLOOKUP(A87,'Données projet'!$A$139:$I$159,3,0))</f>
        <v>0</v>
      </c>
      <c r="DB87" s="121" t="n">
        <f aca="false">IF(ISNA(VLOOKUP(A87,'Données projet'!$A$139:$I$159,4,0)),0,VLOOKUP(A87,'Données projet'!$A$139:$I$159,4,0))</f>
        <v>0</v>
      </c>
      <c r="DC87" s="122" t="n">
        <f aca="false">IF(ISNA(VLOOKUP(A87,'Données projet'!$A$139:$I$159,5,0)),0%,VLOOKUP(A87,'Données projet'!$A$139:$I$159,5,0)*VLOOKUP('Données projet'!$B$13,Paramètres!$A$1:$I$89,7,0))</f>
        <v>0</v>
      </c>
      <c r="DD87" s="122" t="n">
        <f aca="false">IF(ISNA(VLOOKUP(A87,'Données projet'!$A$139:$I$159,6,0)),0%,VLOOKUP(A87,'Données projet'!$A$139:$I$159,6,0)*VLOOKUP('Données projet'!$B$13,Paramètres!$A$1:$I$89,7,0))</f>
        <v>0</v>
      </c>
      <c r="DE87" s="122" t="n">
        <f aca="false">IF(ISNA(VLOOKUP(A87,'Données projet'!$A$139:$I$159,7,0)),0%,VLOOKUP(A87,'Données projet'!$A$139:$I$159,7,0))</f>
        <v>0</v>
      </c>
      <c r="DF87" s="129" t="n">
        <f aca="false">EXP(-LN(2)/35)*DF86+(1-EXP(-LN(2)/35))/(LN(2)/35)*DB87*DC87*VLOOKUP('Données projet'!$B$13,Paramètres!$A$1:$I$89,3,0)*0.475*44/12</f>
        <v>2.26709416127248</v>
      </c>
      <c r="DG87" s="129" t="n">
        <f aca="false">EXP(-LN(2)/25)*DG86+(1-EXP(-LN(2)/25))/(LN(2)/25)*Calculateur!DB87*Calculateur!DD87*VLOOKUP('Données projet'!$B$13,Paramètres!$A$1:$I$89,3,0)*0.475*44/12</f>
        <v>8.70851644090141</v>
      </c>
      <c r="DH87" s="129" t="n">
        <f aca="false">EXP(-LN(2)/2)*DH86+(1-EXP(-LN(2)/2))/(LN(2)/2)*DB87*DE87*VLOOKUP('Données projet'!$B$13,Paramètres!$A$1:$I$89,3,0)*0.475*44/12</f>
        <v>9.88993972383502E-008</v>
      </c>
      <c r="DI87" s="130" t="n">
        <f aca="false">SUM(DF87:DH87)</f>
        <v>10.9756107010733</v>
      </c>
      <c r="DJ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8" t="e">
        <f aca="false">VLOOKUP(A87,'Données projet'!$A$165:$I$185,2,0)</f>
        <v>#N/A</v>
      </c>
      <c r="DM87" s="118" t="e">
        <f aca="false">VLOOKUP(A87,'Données projet'!$A$165:$I$185,9,0)</f>
        <v>#N/A</v>
      </c>
      <c r="DN87" s="118" t="n">
        <f aca="false" t="array" ref="DN87:DN87">INDEX(DM:DM,MIN(IF(ISNUMBER(DM87:DM283),ROW(DM87:DM283),"")))</f>
        <v>0</v>
      </c>
      <c r="DO87" s="118" t="n">
        <f aca="false">IF('Données projet'!$A$166&gt;35,DO86+DN87-DW86,IF(A87&lt;'Données projet'!$A$166,$DL$205^A87,IF(A87='Données projet'!$A$166,'Données projet'!$B$166,DO86+DN87-DW86)))</f>
        <v>0</v>
      </c>
      <c r="DP87" s="125" t="n">
        <f aca="false">DO87*VLOOKUP('Données projet'!$B$14,Paramètres!$A$1:$I$89,3,0)*VLOOKUP('Données projet'!$B$14,Paramètres!$A$1:$I$89,5,0)</f>
        <v>0</v>
      </c>
      <c r="DQ87" s="117" t="e">
        <f aca="false">EXP(-1.0587+0.8836*LN(DP87)+0.284)</f>
        <v>#VALUE!</v>
      </c>
      <c r="DR87" s="128" t="e">
        <f aca="false">(DP87+DQ87)*0.475*44/12</f>
        <v>#VALUE!</v>
      </c>
      <c r="DS87" s="120" t="e">
        <f aca="false">DR87+(DJ87+DK87)*44/12</f>
        <v>#VALUE!</v>
      </c>
      <c r="DT87" s="120" t="n">
        <f aca="true">AVERAGE(OFFSET($DS$3,0,0,'Données projet'!$E$14+1,1))-AVERAGE(OFFSET($H$3,0,0,'Données projet'!$E$14+1,1))</f>
        <v>549.432320957297</v>
      </c>
      <c r="DU87" s="120" t="n">
        <f aca="false">$DU$3</f>
        <v>280.26155987301</v>
      </c>
      <c r="DV87" s="121" t="n">
        <f aca="false">IF(ISNA(VLOOKUP(A87,'Données projet'!$A$165:$I$185,3,0)),0,VLOOKUP(A87,'Données projet'!$A$165:$I$185,3,0))</f>
        <v>0</v>
      </c>
      <c r="DW87" s="121" t="n">
        <f aca="false">IF(ISNA(VLOOKUP(A87,'Données projet'!$A$165:$I$185,4,0)),0,VLOOKUP(A87,'Données projet'!$A$165:$I$185,4,0))</f>
        <v>0</v>
      </c>
      <c r="DX87" s="122" t="n">
        <f aca="false">IF(ISNA(VLOOKUP(A87,'Données projet'!$A$165:$I$185,5,0)),0%,VLOOKUP(A87,'Données projet'!$A$165:$I$185,5,0)*VLOOKUP('Données projet'!$B$14,Paramètres!$A$1:$I$89,7,0))</f>
        <v>0</v>
      </c>
      <c r="DY87" s="122" t="n">
        <f aca="false">IF(ISNA(VLOOKUP(A87,'Données projet'!$A$165:$I$185,6,0)),0%,VLOOKUP(A87,'Données projet'!$A$165:$I$185,6,0)*VLOOKUP('Données projet'!$B$14,Paramètres!$A$1:$I$89,7,0))</f>
        <v>0</v>
      </c>
      <c r="DZ87" s="122" t="n">
        <f aca="false">IF(ISNA(VLOOKUP(A87,'Données projet'!$A$165:$I$185,7,0)),0%,VLOOKUP(A87,'Données projet'!$A$165:$I$185,7,0))</f>
        <v>0</v>
      </c>
      <c r="EA87" s="129" t="n">
        <f aca="false">EXP(-LN(2)/35)*EA86+(1-EXP(-LN(2)/35))/(LN(2)/35)*DW87*DX87*VLOOKUP('Données projet'!$B$14,Paramètres!$A$1:$I$89,3,0)*0.475*44/12</f>
        <v>0.824312909129345</v>
      </c>
      <c r="EB87" s="129" t="n">
        <f aca="false">EXP(-LN(2)/25)*EB86+(1-EXP(-LN(2)/25))/(LN(2)/25)*Calculateur!DW87*Calculateur!DY87*VLOOKUP('Données projet'!$B$14,Paramètres!$A$1:$I$89,3,0)*0.475*44/12</f>
        <v>1.73490829103705</v>
      </c>
      <c r="EC87" s="129" t="n">
        <f aca="false">EXP(-LN(2)/2)*EC86+(1-EXP(-LN(2)/2))/(LN(2)/2)*DW87*DZ87*VLOOKUP('Données projet'!$B$14,Paramètres!$A$1:$I$89,3,0)*0.475*44/12</f>
        <v>4.55905834925136E-008</v>
      </c>
      <c r="ED87" s="130" t="n">
        <f aca="false">SUM(EA87:EC87)</f>
        <v>2.55922124575698</v>
      </c>
      <c r="EE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8" t="e">
        <f aca="false">VLOOKUP(A87,'Données projet'!$A$191:$I$211,2,0)</f>
        <v>#N/A</v>
      </c>
      <c r="EH87" s="118" t="e">
        <f aca="false">VLOOKUP(A87,'Données projet'!$A$191:$I$211,9,0)</f>
        <v>#N/A</v>
      </c>
      <c r="EI87" s="118" t="n">
        <f aca="false" t="array" ref="EI87:EI87">INDEX(EH:EH,MIN(IF(ISNUMBER(EH87:EH283),ROW(EH87:EH283),"")))</f>
        <v>0</v>
      </c>
      <c r="EJ87" s="118" t="n">
        <f aca="false">IF('Données projet'!$A$192&gt;35,EJ86+EI87-ER86,IF(A87&lt;'Données projet'!$A$192,$EG$205^A87,IF(A87='Données projet'!$A$192,'Données projet'!$B$192,EJ86+EI87-ER86)))</f>
        <v>0</v>
      </c>
      <c r="EK87" s="125" t="e">
        <f aca="false">EJ87*VLOOKUP('Données projet'!$B$15,Paramètres!$A$1:$I$89,3,0)*VLOOKUP('Données projet'!$B$15,Paramètres!$A$1:$I$89,5,0)</f>
        <v>#N/A</v>
      </c>
      <c r="EL87" s="117" t="e">
        <f aca="false">EXP(-1.0587+0.8836*LN(EK87)+0.284)</f>
        <v>#N/A</v>
      </c>
      <c r="EM87" s="128" t="e">
        <f aca="false">(EK87+EL87)*0.475*44/12</f>
        <v>#N/A</v>
      </c>
      <c r="EN87" s="120" t="e">
        <f aca="false">EM87+(EE87+EF87)*44/12</f>
        <v>#N/A</v>
      </c>
      <c r="EO87" s="120" t="e">
        <f aca="true">AVERAGE(OFFSET($EN$3,0,0,'Données projet'!$E$15+1,1))-AVERAGE(OFFSET($H$3,0,0,'Données projet'!$E$15+1,1))</f>
        <v>#N/A</v>
      </c>
      <c r="EP87" s="120" t="e">
        <f aca="false">$EP$3</f>
        <v>#N/A</v>
      </c>
      <c r="EQ87" s="121" t="n">
        <f aca="false">IF(ISNA(VLOOKUP(A87,'Données projet'!$A$191:$I$211,3,0)),0,VLOOKUP(A87,'Données projet'!$A$191:$I$211,3,0))</f>
        <v>0</v>
      </c>
      <c r="ER87" s="121" t="n">
        <f aca="false">IF(ISNA(VLOOKUP(A87,'Données projet'!$A$191:$I$211,4,0)),0,VLOOKUP(A87,'Données projet'!$A$191:$I$211,4,0))</f>
        <v>0</v>
      </c>
      <c r="ES87" s="122" t="n">
        <f aca="false">IF(ISNA(VLOOKUP(A87,'Données projet'!$A$191:$I$211,5,0)),0%,VLOOKUP(A87,'Données projet'!$A$191:$I$211,5,0)*VLOOKUP('Données projet'!$B$15,Paramètres!$A$1:$I$89,7,0))</f>
        <v>0</v>
      </c>
      <c r="ET87" s="122" t="n">
        <f aca="false">IF(ISNA(VLOOKUP(A87,'Données projet'!$A$191:$I$211,6,0)),0%,VLOOKUP(A87,'Données projet'!$A$191:$I$211,6,0)*VLOOKUP('Données projet'!$B$15,Paramètres!$A$1:$I$89,7,0))</f>
        <v>0</v>
      </c>
      <c r="EU87" s="122" t="n">
        <f aca="false">IF(ISNA(VLOOKUP(A87,'Données projet'!$A$191:$I$211,7,0)),0%,VLOOKUP(A87,'Données projet'!$A$191:$I$211,7,0))</f>
        <v>0</v>
      </c>
      <c r="EV87" s="129" t="e">
        <f aca="false">EXP(-LN(2)/35)*EV86+(1-EXP(-LN(2)/35))/(LN(2)/35)*ER87*ES87*VLOOKUP('Données projet'!$B$15,Paramètres!$A$1:$I$89,3,0)*0.475*44/12</f>
        <v>#N/A</v>
      </c>
      <c r="EW87" s="129" t="e">
        <f aca="false">EXP(-LN(2)/25)*EW86+(1-EXP(-LN(2)/25))/(LN(2)/25)*Calculateur!ER87*Calculateur!ET87*VLOOKUP('Données projet'!$B$15,Paramètres!$A$1:$I$89,3,0)*0.475*44/12</f>
        <v>#N/A</v>
      </c>
      <c r="EX87" s="129" t="e">
        <f aca="false">EXP(-LN(2)/2)*EX86+(1-EXP(-LN(2)/2))/(LN(2)/2)*ER87*EU87*VLOOKUP('Données projet'!$B$15,Paramètres!$A$1:$I$89,3,0)*0.475*44/12</f>
        <v>#N/A</v>
      </c>
      <c r="EY87" s="130" t="e">
        <f aca="false">SUM(EV87:EX87)</f>
        <v>#N/A</v>
      </c>
      <c r="EZ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8" t="e">
        <f aca="false">VLOOKUP(A87,'Données projet'!$A$217:$I$237,2,0)</f>
        <v>#N/A</v>
      </c>
      <c r="FC87" s="118" t="e">
        <f aca="false">VLOOKUP(A87,'Données projet'!$A$217:$I$237,9,0)</f>
        <v>#N/A</v>
      </c>
      <c r="FD87" s="118" t="n">
        <f aca="false" t="array" ref="FD87:FD87">INDEX(FC:FC,MIN(IF(ISNUMBER(FC87:FC283),ROW(FC87:FC283),"")))</f>
        <v>0</v>
      </c>
      <c r="FE87" s="118" t="n">
        <f aca="false">IF('Données projet'!$A$218&gt;35,FE86+FD87-FM86,IF(A87&lt;'Données projet'!$A$218,$FB$205^A87,IF(A87='Données projet'!$A$218,'Données projet'!$B$218,FE86+FD87-FM86)))</f>
        <v>0</v>
      </c>
      <c r="FF87" s="125" t="e">
        <f aca="false">FE87*VLOOKUP('Données projet'!$B$16,Paramètres!$A$1:$I$89,3,0)*VLOOKUP('Données projet'!$B$16,Paramètres!$A$1:$I$89,5,0)</f>
        <v>#N/A</v>
      </c>
      <c r="FG87" s="117" t="e">
        <f aca="false">EXP(-1.0587+0.8836*LN(FF87)+0.284)</f>
        <v>#N/A</v>
      </c>
      <c r="FH87" s="128" t="e">
        <f aca="false">(FF87+FG87)*0.475*44/12</f>
        <v>#N/A</v>
      </c>
      <c r="FI87" s="120" t="e">
        <f aca="false">FH87+(EZ87+FA87)*44/12</f>
        <v>#N/A</v>
      </c>
      <c r="FJ87" s="120" t="e">
        <f aca="true">AVERAGE(OFFSET($FI$3,0,0,'Données projet'!$E$16+1,1))-AVERAGE(OFFSET($H$3,0,0,'Données projet'!$E$16+1,1))</f>
        <v>#N/A</v>
      </c>
      <c r="FK87" s="120" t="e">
        <f aca="false">$FK$3</f>
        <v>#N/A</v>
      </c>
      <c r="FL87" s="121" t="n">
        <f aca="false">IF(ISNA(VLOOKUP(A87,'Données projet'!$A$217:$I$237,3,0)),0,VLOOKUP(A87,'Données projet'!$A$217:$I$237,3,0))</f>
        <v>0</v>
      </c>
      <c r="FM87" s="121" t="n">
        <f aca="false">IF(ISNA(VLOOKUP(A87,'Données projet'!$A$217:$I$237,4,0)),0,VLOOKUP(A87,'Données projet'!$A$217:$I$237,4,0))</f>
        <v>0</v>
      </c>
      <c r="FN87" s="122" t="n">
        <f aca="false">IF(ISNA(VLOOKUP(A87,'Données projet'!$A$217:$I$237,5,0)),0%,VLOOKUP(A87,'Données projet'!$A$217:$I$237,5,0)*VLOOKUP('Données projet'!$B$16,Paramètres!$A$1:$I$89,7,0))</f>
        <v>0</v>
      </c>
      <c r="FO87" s="122" t="n">
        <f aca="false">IF(ISNA(VLOOKUP(A87,'Données projet'!$A$217:$I$237,6,0)),0%,VLOOKUP(A87,'Données projet'!$A$217:$I$237,6,0)*VLOOKUP('Données projet'!$B$16,Paramètres!$A$1:$I$89,7,0))</f>
        <v>0</v>
      </c>
      <c r="FP87" s="122" t="n">
        <f aca="false">IF(ISNA(VLOOKUP(A87,'Données projet'!$A$217:$I$237,7,0)),0%,VLOOKUP(A87,'Données projet'!$A$217:$I$237,7,0))</f>
        <v>0</v>
      </c>
      <c r="FQ87" s="129" t="e">
        <f aca="false">EXP(-LN(2)/35)*FQ86+(1-EXP(-LN(2)/35))/(LN(2)/35)*FM87*FN87*VLOOKUP('Données projet'!$B$16,Paramètres!$A$1:$I$89,3,0)*0.475*44/12</f>
        <v>#N/A</v>
      </c>
      <c r="FR87" s="129" t="e">
        <f aca="false">EXP(-LN(2)/25)*FR86+(1-EXP(-LN(2)/25))/(LN(2)/25)*Calculateur!FM87*Calculateur!FO87*VLOOKUP('Données projet'!$B$16,Paramètres!$A$1:$I$89,3,0)*0.475*44/12</f>
        <v>#N/A</v>
      </c>
      <c r="FS87" s="129" t="e">
        <f aca="false">EXP(-LN(2)/2)*FS86+(1-EXP(-LN(2)/2))/(LN(2)/2)*FM87*FP87*VLOOKUP('Données projet'!$B$16,Paramètres!$A$1:$I$89,3,0)*0.475*44/12</f>
        <v>#N/A</v>
      </c>
      <c r="FT87" s="130" t="e">
        <f aca="false">SUM(FQ87:FS87)</f>
        <v>#N/A</v>
      </c>
      <c r="FU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8" t="e">
        <f aca="false">VLOOKUP(A87,'Données projet'!$A$243:$I$263,2,0)</f>
        <v>#N/A</v>
      </c>
      <c r="FX87" s="118" t="e">
        <f aca="false">VLOOKUP(A87,'Données projet'!$A$243:$I$263,9,0)</f>
        <v>#N/A</v>
      </c>
      <c r="FY87" s="118" t="n">
        <f aca="false" t="array" ref="FY87:FY87">INDEX(FX:FX,MIN(IF(ISNUMBER(FX87:FX283),ROW(FX87:FX283),"")))</f>
        <v>0</v>
      </c>
      <c r="FZ87" s="118" t="n">
        <f aca="false">IF('Données projet'!$A$244&gt;35,FZ86+FY87-GH86,IF(A87&lt;'Données projet'!$A$244,$FW$205^A87,IF(A87='Données projet'!$A$244,'Données projet'!$B$244,FZ86+FY87-GH86)))</f>
        <v>0</v>
      </c>
      <c r="GA87" s="125" t="e">
        <f aca="false">FZ87*VLOOKUP('Données projet'!$B$17,Paramètres!$A$1:$I$89,3,0)*VLOOKUP('Données projet'!$B$17,Paramètres!$A$1:$I$89,5,0)</f>
        <v>#N/A</v>
      </c>
      <c r="GB87" s="117" t="e">
        <f aca="false">EXP(-1.0587+0.8836*LN(GA87)+0.284)</f>
        <v>#N/A</v>
      </c>
      <c r="GC87" s="128" t="e">
        <f aca="false">(GA87+GB87)*0.475*44/12</f>
        <v>#N/A</v>
      </c>
      <c r="GD87" s="120" t="e">
        <f aca="false">GC87+(FU87+FV87)*44/12</f>
        <v>#N/A</v>
      </c>
      <c r="GE87" s="120" t="e">
        <f aca="true">AVERAGE(OFFSET($GD$3,0,0,'Données projet'!$E$17+1,1))-AVERAGE(OFFSET($H$3,0,0,'Données projet'!$E$17+1,1))</f>
        <v>#N/A</v>
      </c>
      <c r="GF87" s="120" t="e">
        <f aca="false">$GF$3</f>
        <v>#N/A</v>
      </c>
      <c r="GG87" s="121" t="n">
        <f aca="false">IF(ISNA(VLOOKUP(A87,'Données projet'!$A$243:$I$263,3,0)),0,VLOOKUP(A87,'Données projet'!$A$243:$I$263,3,0))</f>
        <v>0</v>
      </c>
      <c r="GH87" s="121" t="n">
        <f aca="false">IF(ISNA(VLOOKUP(A87,'Données projet'!$A$243:$I$263,4,0)),0,VLOOKUP(A87,'Données projet'!$A$243:$I$263,4,0))</f>
        <v>0</v>
      </c>
      <c r="GI87" s="122" t="n">
        <f aca="false">IF(ISNA(VLOOKUP(A87,'Données projet'!$A$243:$I$263,5,0)),0%,VLOOKUP(A87,'Données projet'!$A$243:$I$263,5,0)*VLOOKUP('Données projet'!$B$17,Paramètres!$A$1:$I$89,7,0))</f>
        <v>0</v>
      </c>
      <c r="GJ87" s="122" t="n">
        <f aca="false">IF(ISNA(VLOOKUP(A87,'Données projet'!$A$243:$I$263,6,0)),0%,VLOOKUP(A87,'Données projet'!$A$243:$I$263,6,0)*VLOOKUP('Données projet'!$B$17,Paramètres!$A$1:$I$89,7,0))</f>
        <v>0</v>
      </c>
      <c r="GK87" s="122" t="n">
        <f aca="false">IF(ISNA(VLOOKUP(A87,'Données projet'!$A$243:$I$263,7,0)),0%,VLOOKUP(A87,'Données projet'!$A$243:$I$263,7,0))</f>
        <v>0</v>
      </c>
      <c r="GL87" s="129" t="e">
        <f aca="false">EXP(-LN(2)/35)*GL86+(1-EXP(-LN(2)/35))/(LN(2)/35)*GH87*GI87*VLOOKUP('Données projet'!$B$17,Paramètres!$A$1:$I$89,3,0)*0.475*44/12</f>
        <v>#N/A</v>
      </c>
      <c r="GM87" s="129" t="e">
        <f aca="false">EXP(-LN(2)/25)*GM86+(1-EXP(-LN(2)/25))/(LN(2)/25)*Calculateur!GH87*Calculateur!GJ87*VLOOKUP('Données projet'!$B$17,Paramètres!$A$1:$I$89,3,0)*0.475*44/12</f>
        <v>#N/A</v>
      </c>
      <c r="GN87" s="129" t="e">
        <f aca="false">EXP(-LN(2)/2)*GN86+(1-EXP(-LN(2)/2))/(LN(2)/2)*GH87*GK87*VLOOKUP('Données projet'!$B$17,Paramètres!$A$1:$I$89,3,0)*0.475*44/12</f>
        <v>#N/A</v>
      </c>
      <c r="GO87" s="129" t="e">
        <f aca="false">SUM(GL87:GN87)</f>
        <v>#N/A</v>
      </c>
      <c r="GP87" s="126" t="n">
        <f aca="false"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8" t="n">
        <f aca="false"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8" t="e">
        <f aca="false">VLOOKUP(A87,'Données projet'!$A$269:$I$289,2,0)</f>
        <v>#N/A</v>
      </c>
      <c r="GS87" s="118" t="e">
        <f aca="false">VLOOKUP(A87,'Données projet'!$A$269:$I$289,9,0)</f>
        <v>#N/A</v>
      </c>
      <c r="GT87" s="118" t="n">
        <f aca="false" t="array" ref="GT87:GT87">INDEX(GS:GS,MIN(IF(ISNUMBER(GS87:GS283),ROW(GS87:GS283),"")))</f>
        <v>0</v>
      </c>
      <c r="GU87" s="118" t="n">
        <f aca="false">IF('Données projet'!$A$270&gt;35,GU86+GT87-HC86,IF(A87&lt;'Données projet'!$A$270,$GR$205^A87,IF(A87='Données projet'!$A$270,'Données projet'!$B$270,GU86+GT87-HC86)))</f>
        <v>0</v>
      </c>
      <c r="GV87" s="125" t="e">
        <f aca="false">GU87*VLOOKUP('Données projet'!$B$18,Paramètres!$A$1:$I$89,3,0)*VLOOKUP('Données projet'!$B$18,Paramètres!$A$1:$I$89,5,0)</f>
        <v>#N/A</v>
      </c>
      <c r="GW87" s="117" t="e">
        <f aca="false">EXP(-1.0587+0.8836*LN(GV87)+0.284)</f>
        <v>#N/A</v>
      </c>
      <c r="GX87" s="128" t="e">
        <f aca="false">(GV87+GW87)*0.475*44/12</f>
        <v>#N/A</v>
      </c>
      <c r="GY87" s="120" t="e">
        <f aca="false">GX87+(GP87+GQ87)*44/12</f>
        <v>#N/A</v>
      </c>
      <c r="GZ87" s="120" t="e">
        <f aca="true">AVERAGE(OFFSET($GY$3,0,0,'Données projet'!$E$18+1,1))-AVERAGE(OFFSET($H$3,0,0,'Données projet'!$E$18+1,1))</f>
        <v>#N/A</v>
      </c>
      <c r="HA87" s="120" t="e">
        <f aca="false">$HA$3</f>
        <v>#N/A</v>
      </c>
      <c r="HB87" s="121" t="n">
        <f aca="false">IF(ISNA(VLOOKUP(A87,'Données projet'!$A$269:$I$289,3,0)),0,VLOOKUP(A87,'Données projet'!$A$269:$I$289,3,0))</f>
        <v>0</v>
      </c>
      <c r="HC87" s="121" t="n">
        <f aca="false">IF(ISNA(VLOOKUP(A87,'Données projet'!$A$269:$I$289,4,0)),0,VLOOKUP(A87,'Données projet'!$A$269:$I$289,4,0))</f>
        <v>0</v>
      </c>
      <c r="HD87" s="122" t="n">
        <f aca="false">IF(ISNA(VLOOKUP(A87,'Données projet'!$A$269:$I$289,5,0)),0%,VLOOKUP(A87,'Données projet'!$A$269:$I$289,5,0)*VLOOKUP('Données projet'!$B$18,Paramètres!$A$1:$I$89,7,0))</f>
        <v>0</v>
      </c>
      <c r="HE87" s="122" t="n">
        <f aca="false">IF(ISNA(VLOOKUP(A87,'Données projet'!$A$269:$I$289,6,0)),0%,VLOOKUP(A87,'Données projet'!$A$269:$I$289,6,0)*VLOOKUP('Données projet'!$B$18,Paramètres!$A$1:$I$89,7,0))</f>
        <v>0</v>
      </c>
      <c r="HF87" s="122" t="n">
        <f aca="false">IF(ISNA(VLOOKUP(A87,'Données projet'!$A$269:$I$289,7,0)),0%,VLOOKUP(A87,'Données projet'!$A$269:$I$289,7,0))</f>
        <v>0</v>
      </c>
      <c r="HG87" s="129" t="e">
        <f aca="false">EXP(-LN(2)/35)*HG86+(1-EXP(-LN(2)/35))/(LN(2)/35)*HC87*HD87*VLOOKUP('Données projet'!$B$18,Paramètres!$A$1:$I$89,3,0)*0.475*44/12</f>
        <v>#N/A</v>
      </c>
      <c r="HH87" s="129" t="e">
        <f aca="false">EXP(-LN(2)/25)*HH86+(1-EXP(-LN(2)/25))/(LN(2)/25)*Calculateur!HC87*Calculateur!HE87*VLOOKUP('Données projet'!$B$18,Paramètres!$A$1:$I$89,3,0)*0.475*44/12</f>
        <v>#N/A</v>
      </c>
      <c r="HI87" s="129" t="e">
        <f aca="false">EXP(-LN(2)/2)*HI86+(1-EXP(-LN(2)/2))/(LN(2)/2)*HC87*HF87*VLOOKUP('Données projet'!$B$18,Paramètres!$A$1:$I$89,3,0)*0.475*44/12</f>
        <v>#N/A</v>
      </c>
      <c r="HJ87" s="130" t="e">
        <f aca="false">SUM(HG87:HI87)</f>
        <v>#N/A</v>
      </c>
    </row>
    <row r="88" customFormat="false" ht="14.25" hidden="false" customHeight="false" outlineLevel="0" collapsed="false">
      <c r="A88" s="112" t="n">
        <f aca="false">A87+1</f>
        <v>85</v>
      </c>
      <c r="B88" s="113" t="n">
        <f aca="false">'Scénario référence'!$B$16*5+'Scénario référence'!$B$17*0+'Scénario référence'!$B$18*5</f>
        <v>0</v>
      </c>
      <c r="C88" s="127" t="n">
        <f aca="false"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4" t="n">
        <f aca="false">IFERROR(EXP(-1.0587+0.8836*LN(C88)+0.284),0)</f>
        <v>0</v>
      </c>
      <c r="E8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8" s="114" t="n">
        <f aca="false">IF(OR('Scénario référence'!$F$8&gt;0,'Scénario référence'!$F$9&gt;0),('Scénario référence'!$F$8+'Scénario référence'!$F$9)*10,0)</f>
        <v>0</v>
      </c>
      <c r="G88" s="114" t="n">
        <f aca="false"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15" t="n">
        <f aca="false">(B88+E88+F88)*44/12+(C88+D88)*0.475*44/12</f>
        <v>256.666666666667</v>
      </c>
      <c r="I88" s="11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7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8" t="e">
        <f aca="false">VLOOKUP(A88,'Données projet'!$A$35:$I$55,2,0)</f>
        <v>#N/A</v>
      </c>
      <c r="L88" s="118" t="e">
        <f aca="false">VLOOKUP(A88,'Données projet'!$A$35:$I$55,9,0)</f>
        <v>#N/A</v>
      </c>
      <c r="M88" s="118" t="n">
        <f aca="false" t="array" ref="M88:M88">INDEX(L:L,MIN(IF(ISNUMBER(L88:L284),ROW(L88:L284),"")))</f>
        <v>17.5</v>
      </c>
      <c r="N88" s="117" t="n">
        <f aca="false">IF('Données projet'!$A$36&gt;35,N87+M88-V87,IF(A88&lt;'Données projet'!$A$36,$K$205^A88,IF(A88='Données projet'!$A$36,'Données projet'!$B$36,N87+M88-V87)))</f>
        <v>501</v>
      </c>
      <c r="O88" s="117" t="n">
        <f aca="false">N88*VLOOKUP('Données projet'!$B$9,Paramètres!$A$1:$I$89,3,0)*VLOOKUP('Données projet'!$B$9,Paramètres!$A$1:$I$89,5,0)</f>
        <v>234.468</v>
      </c>
      <c r="P88" s="117" t="n">
        <f aca="false">EXP(-1.0587+0.8836*LN(O88)+0.284)</f>
        <v>57.2476831536054</v>
      </c>
      <c r="Q88" s="128" t="n">
        <f aca="false">(O88+P88)*0.475*44/12</f>
        <v>508.071481492529</v>
      </c>
      <c r="R88" s="120" t="n">
        <f aca="false">Q88+(I88+J88)*44/12</f>
        <v>801.404814825863</v>
      </c>
      <c r="S88" s="120" t="n">
        <f aca="true">AVERAGE(OFFSET($R$3,0,0,'Données projet'!$E$9+1,1))-AVERAGE(OFFSET($H$3,0,0,'Données projet'!$E$9+1,1))</f>
        <v>319.229030946746</v>
      </c>
      <c r="T88" s="120" t="n">
        <f aca="false">$T$3</f>
        <v>254.586909731428</v>
      </c>
      <c r="U88" s="121" t="n">
        <f aca="false">IF(ISNA(VLOOKUP(A88,'Données projet'!$A$35:$I$55,3,0)),0,VLOOKUP(A88,'Données projet'!$A$35:$I$55,3,0))</f>
        <v>0</v>
      </c>
      <c r="V88" s="121" t="n">
        <f aca="false">IF(ISNA(VLOOKUP(A88,'Données projet'!$A$35:$I$55,4,0)),0,VLOOKUP(A88,'Données projet'!$A$35:$I$55,4,0))</f>
        <v>0</v>
      </c>
      <c r="W88" s="122" t="n">
        <f aca="false">IF(ISNA(VLOOKUP(A88,'Données projet'!$A$35:$I$55,5,0)),0%,VLOOKUP(A88,'Données projet'!$A$35:$I$55,5,0)*VLOOKUP('Données projet'!$B$9,Paramètres!$A$1:$I$89,7,0))</f>
        <v>0</v>
      </c>
      <c r="X88" s="122" t="n">
        <f aca="false">IF(ISNA(VLOOKUP(A88,'Données projet'!$A$35:$I$55,6,0)),0%,VLOOKUP(A88,'Données projet'!$A$35:$I$55,6,0)*VLOOKUP('Données projet'!$B$9,Paramètres!$A$1:$I$89,7,0))</f>
        <v>0</v>
      </c>
      <c r="Y88" s="122" t="n">
        <f aca="false">IF(ISNA(VLOOKUP(A88,'Données projet'!$A$35:$I$55,7,0)),0%,VLOOKUP(A88,'Données projet'!$A$35:$I$55,7,0))</f>
        <v>0</v>
      </c>
      <c r="Z88" s="129" t="n">
        <f aca="false">EXP(-LN(2)/35)*Z87+(1-EXP(-LN(2)/35))/(LN(2)/35)*V88*W88*VLOOKUP('Données projet'!$B$9,Paramètres!$A$1:$I$89,3,0)*0.475*44/12</f>
        <v>3.05390377383944</v>
      </c>
      <c r="AA88" s="129" t="n">
        <f aca="false">EXP(-LN(2)/25)*AA87+(1-EXP(-LN(2)/25))/(LN(2)/25)*Calculateur!V88*Calculateur!X88*VLOOKUP('Données projet'!$B$9,Paramètres!$A$1:$I$89,3,0)*0.475*44/12</f>
        <v>2.42694702403372</v>
      </c>
      <c r="AB88" s="129" t="n">
        <f aca="false">EXP(-LN(2)/2)*AB87+(1-EXP(-LN(2)/2))/(LN(2)/2)*V88*Y88*VLOOKUP('Données projet'!$B$9,Paramètres!$A$1:$I$89,3,0)*0.475*44/12</f>
        <v>5.8179133753507E-008</v>
      </c>
      <c r="AC88" s="130" t="n">
        <f aca="false">SUM(Z88:AB88)</f>
        <v>5.4808508560523</v>
      </c>
      <c r="AD88" s="117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7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8" t="e">
        <f aca="false">VLOOKUP(A88,'Données projet'!$A$61:$I$81,2,0)</f>
        <v>#N/A</v>
      </c>
      <c r="AG88" s="118" t="e">
        <f aca="false">VLOOKUP(A88,'Données projet'!$A$61:$I$81,9,0)</f>
        <v>#N/A</v>
      </c>
      <c r="AH88" s="118" t="n">
        <f aca="false" t="array" ref="AH88:AH88">INDEX(AG:AG,MIN(IF(ISNUMBER(AG88:AG284),ROW(AG88:AG284),"")))</f>
        <v>0</v>
      </c>
      <c r="AI88" s="117" t="n">
        <f aca="false">IF('Données projet'!$A$62&gt;35,AI87+AH88-AQ87,IF(A88&lt;'Données projet'!$A$62,$AF$205^A88,IF(A88='Données projet'!$A$62,'Données projet'!$B$62,AI87+AH88-AQ87)))</f>
        <v>1.13686837721616E-013</v>
      </c>
      <c r="AJ88" s="117" t="n">
        <f aca="false">AI88*VLOOKUP('Données projet'!$B$10,Paramètres!$A$1:$I$89,3,0)*VLOOKUP('Données projet'!$B$10,Paramètres!$A$1:$I$89,5,0)</f>
        <v>6.35509422863834E-014</v>
      </c>
      <c r="AK88" s="117" t="n">
        <f aca="false">EXP(-1.0587+0.8836*LN(AJ88)+0.284)</f>
        <v>1.0064464192544E-012</v>
      </c>
      <c r="AL88" s="128" t="n">
        <f aca="false">(AJ88+AK88)*0.475*44/12</f>
        <v>1.86357873801686E-012</v>
      </c>
      <c r="AM88" s="120" t="n">
        <f aca="false">AL88+(AD88+AE88)*44/12</f>
        <v>293.333333333335</v>
      </c>
      <c r="AN88" s="120" t="n">
        <f aca="true">AVERAGE(OFFSET($AM$3,0,0,'Données projet'!$E$10+1,1))-AVERAGE(OFFSET($H$3,0,0,'Données projet'!$E$10+1,1))</f>
        <v>365.705101827279</v>
      </c>
      <c r="AO88" s="120" t="n">
        <f aca="false">$AO$3</f>
        <v>436.238338449625</v>
      </c>
      <c r="AP88" s="121" t="n">
        <f aca="false">IF(ISNA(VLOOKUP(A88,'Données projet'!$A$61:$I$81,3,0)),0,VLOOKUP(A88,'Données projet'!$A$61:$I$81,3,0))</f>
        <v>0</v>
      </c>
      <c r="AQ88" s="121" t="n">
        <f aca="false">IF(ISNA(VLOOKUP(A88,'Données projet'!$A$61:$I$81,4,0)),0,VLOOKUP(A88,'Données projet'!$A$61:$I$81,4,0))</f>
        <v>0</v>
      </c>
      <c r="AR88" s="122" t="n">
        <f aca="false">IF(ISNA(VLOOKUP(A88,'Données projet'!$A$61:$I$81,5,0)),0%,VLOOKUP(A88,'Données projet'!$A$61:$I$81,5,0)*VLOOKUP('Données projet'!$B$10,Paramètres!$A$1:$I$89,7,0))</f>
        <v>0</v>
      </c>
      <c r="AS88" s="122" t="n">
        <f aca="false">IF(ISNA(VLOOKUP(A88,'Données projet'!$A$61:$I$81,6,0)),0%,VLOOKUP(A88,'Données projet'!$A$61:$I$81,6,0)*VLOOKUP('Données projet'!$B$10,Paramètres!$A$1:$I$89,7,0))</f>
        <v>0</v>
      </c>
      <c r="AT88" s="122" t="n">
        <f aca="false">IF(ISNA(VLOOKUP(A88,'Données projet'!$A$61:$I$81,7,0)),0%,VLOOKUP(A88,'Données projet'!$A$61:$I$81,7,0))</f>
        <v>0</v>
      </c>
      <c r="AU88" s="129" t="n">
        <f aca="false">EXP(-LN(2)/35)*AU87+(1-EXP(-LN(2)/35))/(LN(2)/35)*AQ88*AR88*VLOOKUP('Données projet'!$B$10,Paramètres!$A$1:$I$89,3,0)*0.475*44/12</f>
        <v>1.15274966275907</v>
      </c>
      <c r="AV88" s="129" t="n">
        <f aca="false">EXP(-LN(2)/25)*AV87+(1-EXP(-LN(2)/25))/(LN(2)/25)*Calculateur!AQ88*Calculateur!AS88*VLOOKUP('Données projet'!$B$10,Paramètres!$A$1:$I$89,3,0)*0.475*44/12</f>
        <v>2.87458752524108</v>
      </c>
      <c r="AW88" s="129" t="n">
        <f aca="false">EXP(-LN(2)/2)*AW87+(1-EXP(-LN(2)/2))/(LN(2)/2)*AQ88*AT88*VLOOKUP('Données projet'!$B$10,Paramètres!$A$1:$I$89,3,0)*0.475*44/12</f>
        <v>3.13101914114148E-008</v>
      </c>
      <c r="AX88" s="129" t="n">
        <f aca="false">SUM(AU88:AW88)</f>
        <v>4.02733721931034</v>
      </c>
      <c r="AY88" s="124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8" t="e">
        <f aca="false">VLOOKUP(A88,'Données projet'!$A$87:$I$107,2,0)</f>
        <v>#N/A</v>
      </c>
      <c r="BB88" s="118" t="e">
        <f aca="false">VLOOKUP(A88,'Données projet'!$A$87:$I$107,9,0)</f>
        <v>#N/A</v>
      </c>
      <c r="BC88" s="118" t="n">
        <f aca="false" t="array" ref="BC88:BC88">INDEX(BB:BB,MIN(IF(ISNUMBER(BB88:BB284),ROW(BB88:BB284),"")))</f>
        <v>0</v>
      </c>
      <c r="BD88" s="118" t="n">
        <f aca="false">IF('Données projet'!$A$88&gt;35,BD87+BC88-BL87,IF(A88&lt;'Données projet'!$A$88,$BA$205^A88,IF(A88='Données projet'!$A$88,'Données projet'!$B$88,BD87+BC88-BL87)))</f>
        <v>1.98951966012828E-013</v>
      </c>
      <c r="BE88" s="117" t="n">
        <f aca="false">BD88*VLOOKUP('Données projet'!$B$11,Paramètres!$A$1:$I$89,3,0)*VLOOKUP('Données projet'!$B$11,Paramètres!$A$1:$I$89,5,0)</f>
        <v>1.73804437508807E-013</v>
      </c>
      <c r="BF88" s="117" t="n">
        <f aca="false">EXP(-1.0587+0.8836*LN(BE88)+0.284)</f>
        <v>2.44832936339505E-012</v>
      </c>
      <c r="BG88" s="128" t="n">
        <f aca="false">(BE88+BF88)*0.475*44/12</f>
        <v>4.56688303657421E-012</v>
      </c>
      <c r="BH88" s="120" t="n">
        <f aca="false">BG88+(AY88+AZ88)*44/12</f>
        <v>293.333333333338</v>
      </c>
      <c r="BI88" s="120" t="n">
        <f aca="true">AVERAGE(OFFSET($BH$3,0,0,'Données projet'!$E$11+1,1))-AVERAGE(OFFSET($H$3,0,0,'Données projet'!$E$11+1,1))</f>
        <v>321.235999689929</v>
      </c>
      <c r="BJ88" s="120" t="n">
        <f aca="false">$BJ$3</f>
        <v>388.051958478005</v>
      </c>
      <c r="BK88" s="121" t="n">
        <f aca="false">IF(ISNA(VLOOKUP(A88,'Données projet'!$A$87:$I$107,3,0)),0,VLOOKUP(A88,'Données projet'!$A$87:$I$107,3,0))</f>
        <v>0</v>
      </c>
      <c r="BL88" s="121" t="n">
        <f aca="false">IF(ISNA(VLOOKUP(A88,'Données projet'!$A$87:$I$107,4,0)),0,VLOOKUP(A88,'Données projet'!$A$87:$I$107,4,0))</f>
        <v>0</v>
      </c>
      <c r="BM88" s="122" t="n">
        <f aca="false">IF(ISNA(VLOOKUP(A88,'Données projet'!$A$87:$I$107,5,0)),0%,VLOOKUP(A88,'Données projet'!$A$87:$I$107,5,0)*VLOOKUP('Données projet'!$B$11,Paramètres!$A$1:$I$89,7,0))</f>
        <v>0</v>
      </c>
      <c r="BN88" s="122" t="n">
        <f aca="false">IF(ISNA(VLOOKUP(A88,'Données projet'!$A$87:$I$107,6,0)),0%,VLOOKUP(A88,'Données projet'!$A$87:$I$107,6,0)*VLOOKUP('Données projet'!$B$11,Paramètres!$A$1:$I$89,7,0))</f>
        <v>0</v>
      </c>
      <c r="BO88" s="122" t="n">
        <f aca="false">IF(ISNA(VLOOKUP(A88,'Données projet'!$A$87:$I$107,7,0)),0%,VLOOKUP(A88,'Données projet'!$A$87:$I$107,7,0))</f>
        <v>0</v>
      </c>
      <c r="BP88" s="129" t="n">
        <f aca="false">EXP(-LN(2)/35)*BP87+(1-EXP(-LN(2)/35))/(LN(2)/35)*BL88*BM88*VLOOKUP('Données projet'!$B$11,Paramètres!$A$1:$I$89,3,0)*0.475*44/12</f>
        <v>2.89411791677699</v>
      </c>
      <c r="BQ88" s="129" t="n">
        <f aca="false">EXP(-LN(2)/25)*BQ87+(1-EXP(-LN(2)/25))/(LN(2)/25)*Calculateur!BL88*Calculateur!BN88*VLOOKUP('Données projet'!$B$11,Paramètres!$A$1:$I$89,3,0)*0.475*44/12</f>
        <v>2.93420820582344</v>
      </c>
      <c r="BR88" s="129" t="n">
        <f aca="false">EXP(-LN(2)/2)*BR87+(1-EXP(-LN(2)/2))/(LN(2)/2)*BL88*BO88*VLOOKUP('Données projet'!$B$11,Paramètres!$A$1:$I$89,3,0)*0.475*44/12</f>
        <v>3.18261587765553E-008</v>
      </c>
      <c r="BS88" s="130" t="n">
        <f aca="false">SUM(BP88:BR88)</f>
        <v>5.8283261544266</v>
      </c>
      <c r="BT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8" t="e">
        <f aca="false">VLOOKUP(A88,'Données projet'!$A$113:$I$133,2,0)</f>
        <v>#N/A</v>
      </c>
      <c r="BW88" s="118" t="e">
        <f aca="false">VLOOKUP(A88,'Données projet'!$A$113:$I$133,9,0)</f>
        <v>#N/A</v>
      </c>
      <c r="BX88" s="118" t="n">
        <f aca="false" t="array" ref="BX88:BX88">INDEX(BW:BW,MIN(IF(ISNUMBER(BW88:BW284),ROW(BW88:BW284),"")))</f>
        <v>0</v>
      </c>
      <c r="BY88" s="118" t="n">
        <f aca="false">IF('Données projet'!$A$114&gt;35,BY87+BX88-CG87,IF(A88&lt;'Données projet'!$A$114,$BV$205^A88,IF(A88='Données projet'!$A$114,'Données projet'!$B$114,BY87+BX88-CG87)))</f>
        <v>0</v>
      </c>
      <c r="BZ88" s="117" t="n">
        <f aca="false">BY88*VLOOKUP('Données projet'!$B$12,Paramètres!$A$1:$I$89,3,0)*VLOOKUP('Données projet'!$B$12,Paramètres!$A$1:$I$89,5,0)</f>
        <v>0</v>
      </c>
      <c r="CA88" s="117" t="e">
        <f aca="false">EXP(-1.0587+0.8836*LN(BZ88)+0.284)</f>
        <v>#VALUE!</v>
      </c>
      <c r="CB88" s="128" t="e">
        <f aca="false">(BZ88+CA88)*0.475*44/12</f>
        <v>#VALUE!</v>
      </c>
      <c r="CC88" s="120" t="e">
        <f aca="false">CB88+(BT88+BU88)*44/12</f>
        <v>#VALUE!</v>
      </c>
      <c r="CD88" s="120" t="n">
        <f aca="true">AVERAGE(OFFSET($CC$3,0,0,'Données projet'!$E$12+1,1))-AVERAGE(OFFSET($H$3,0,0,'Données projet'!$E$12+1,1))</f>
        <v>240.228848647662</v>
      </c>
      <c r="CE88" s="120" t="n">
        <f aca="false">$CE$3</f>
        <v>343.237768841432</v>
      </c>
      <c r="CF88" s="121" t="n">
        <f aca="false">IF(ISNA(VLOOKUP(A88,'Données projet'!$A$113:$I$133,3,0)),0,VLOOKUP(A88,'Données projet'!$A$113:$I$133,3,0))</f>
        <v>0</v>
      </c>
      <c r="CG88" s="121" t="n">
        <f aca="false">IF(ISNA(VLOOKUP(A88,'Données projet'!$A$113:$I$133,4,0)),0,VLOOKUP(A88,'Données projet'!$A$113:$I$133,4,0))</f>
        <v>0</v>
      </c>
      <c r="CH88" s="122" t="n">
        <f aca="false">IF(ISNA(VLOOKUP(A88,'Données projet'!$A$113:$I$133,5,0)),0%,VLOOKUP(A88,'Données projet'!$A$113:$I$133,5,0)*VLOOKUP('Données projet'!$B$12,Paramètres!$A$1:$I$89,7,0))</f>
        <v>0</v>
      </c>
      <c r="CI88" s="122" t="n">
        <f aca="false">IF(ISNA(VLOOKUP(A88,'Données projet'!$A$113:$I$133,6,0)),0%,VLOOKUP(A88,'Données projet'!$A$113:$I$133,6,0)*VLOOKUP('Données projet'!$B$12,Paramètres!$A$1:$I$89,7,0))</f>
        <v>0</v>
      </c>
      <c r="CJ88" s="122" t="n">
        <f aca="false">IF(ISNA(VLOOKUP(A88,'Données projet'!$A$113:$I$133,7,0)),0%,VLOOKUP(A88,'Données projet'!$A$113:$I$133,7,0))</f>
        <v>0</v>
      </c>
      <c r="CK88" s="129" t="n">
        <f aca="false">EXP(-LN(2)/35)*CK87+(1-EXP(-LN(2)/35))/(LN(2)/35)*CG88*CH88*VLOOKUP('Données projet'!$B$12,Paramètres!$A$1:$I$89,3,0)*0.475*44/12</f>
        <v>1.77142563700337</v>
      </c>
      <c r="CL88" s="129" t="n">
        <f aca="false">EXP(-LN(2)/25)*CL87+(1-EXP(-LN(2)/25))/(LN(2)/25)*Calculateur!CG88*Calculateur!CI88*VLOOKUP('Données projet'!$B$12,Paramètres!$A$1:$I$89,3,0)*0.475*44/12</f>
        <v>5.18198155246473</v>
      </c>
      <c r="CM88" s="129" t="n">
        <f aca="false">EXP(-LN(2)/2)*CM87+(1-EXP(-LN(2)/2))/(LN(2)/2)*CG88*CJ88*VLOOKUP('Données projet'!$B$12,Paramètres!$A$1:$I$89,3,0)*0.475*44/12</f>
        <v>5.07860645583158E-008</v>
      </c>
      <c r="CN88" s="130" t="n">
        <f aca="false">SUM(CK88:CM88)</f>
        <v>6.95340724025416</v>
      </c>
      <c r="CO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8" t="e">
        <f aca="false">VLOOKUP(A88,'Données projet'!$A$139:$I$159,2,0)</f>
        <v>#N/A</v>
      </c>
      <c r="CR88" s="118" t="e">
        <f aca="false">VLOOKUP(A88,'Données projet'!$A$139:$I$159,9,0)</f>
        <v>#N/A</v>
      </c>
      <c r="CS88" s="118" t="n">
        <f aca="false" t="array" ref="CS88:CS88">INDEX(CR:CR,MIN(IF(ISNUMBER(CR88:CR284),ROW(CR88:CR284),"")))</f>
        <v>0</v>
      </c>
      <c r="CT88" s="118" t="n">
        <f aca="false">IF('Données projet'!$A$140&gt;35,CT87+CS88-DB87,IF(A88&lt;'Données projet'!$A$140,$CQ$205^A88,IF(A88='Données projet'!$A$140,'Données projet'!$B$140,CT87+CS88-DB87)))</f>
        <v>-5.6843418860808E-014</v>
      </c>
      <c r="CU88" s="125" t="n">
        <f aca="false">CT88*VLOOKUP('Données projet'!$B$13,Paramètres!$A$1:$I$89,3,0)*VLOOKUP('Données projet'!$B$13,Paramètres!$A$1:$I$89,5,0)</f>
        <v>-3.10365066980012E-014</v>
      </c>
      <c r="CV88" s="117" t="e">
        <f aca="false">EXP(-1.0587+0.8836*LN(CU88)+0.284)</f>
        <v>#VALUE!</v>
      </c>
      <c r="CW88" s="128" t="e">
        <f aca="false">(CU88+CV88)*0.475*44/12</f>
        <v>#VALUE!</v>
      </c>
      <c r="CX88" s="120" t="e">
        <f aca="false">CW88+(CO88+CP88)*44/12</f>
        <v>#VALUE!</v>
      </c>
      <c r="CY88" s="120" t="n">
        <f aca="true">AVERAGE(OFFSET($CX$3,0,0,'Données projet'!$E$13+1,1))-AVERAGE(OFFSET($H$3,0,0,'Données projet'!$E$13+1,1))</f>
        <v>207.023069645676</v>
      </c>
      <c r="CZ88" s="120" t="n">
        <f aca="false">$CZ$3</f>
        <v>342.068879333518</v>
      </c>
      <c r="DA88" s="121" t="n">
        <f aca="false">IF(ISNA(VLOOKUP(A88,'Données projet'!$A$139:$I$159,3,0)),0,VLOOKUP(A88,'Données projet'!$A$139:$I$159,3,0))</f>
        <v>0</v>
      </c>
      <c r="DB88" s="121" t="n">
        <f aca="false">IF(ISNA(VLOOKUP(A88,'Données projet'!$A$139:$I$159,4,0)),0,VLOOKUP(A88,'Données projet'!$A$139:$I$159,4,0))</f>
        <v>0</v>
      </c>
      <c r="DC88" s="122" t="n">
        <f aca="false">IF(ISNA(VLOOKUP(A88,'Données projet'!$A$139:$I$159,5,0)),0%,VLOOKUP(A88,'Données projet'!$A$139:$I$159,5,0)*VLOOKUP('Données projet'!$B$13,Paramètres!$A$1:$I$89,7,0))</f>
        <v>0</v>
      </c>
      <c r="DD88" s="122" t="n">
        <f aca="false">IF(ISNA(VLOOKUP(A88,'Données projet'!$A$139:$I$159,6,0)),0%,VLOOKUP(A88,'Données projet'!$A$139:$I$159,6,0)*VLOOKUP('Données projet'!$B$13,Paramètres!$A$1:$I$89,7,0))</f>
        <v>0</v>
      </c>
      <c r="DE88" s="122" t="n">
        <f aca="false">IF(ISNA(VLOOKUP(A88,'Données projet'!$A$139:$I$159,7,0)),0%,VLOOKUP(A88,'Données projet'!$A$139:$I$159,7,0))</f>
        <v>0</v>
      </c>
      <c r="DF88" s="129" t="n">
        <f aca="false">EXP(-LN(2)/35)*DF87+(1-EXP(-LN(2)/35))/(LN(2)/35)*DB88*DC88*VLOOKUP('Données projet'!$B$13,Paramètres!$A$1:$I$89,3,0)*0.475*44/12</f>
        <v>2.22263782756083</v>
      </c>
      <c r="DG88" s="129" t="n">
        <f aca="false">EXP(-LN(2)/25)*DG87+(1-EXP(-LN(2)/25))/(LN(2)/25)*Calculateur!DB88*Calculateur!DD88*VLOOKUP('Données projet'!$B$13,Paramètres!$A$1:$I$89,3,0)*0.475*44/12</f>
        <v>8.47038160086399</v>
      </c>
      <c r="DH88" s="129" t="n">
        <f aca="false">EXP(-LN(2)/2)*DH87+(1-EXP(-LN(2)/2))/(LN(2)/2)*DB88*DE88*VLOOKUP('Données projet'!$B$13,Paramètres!$A$1:$I$89,3,0)*0.475*44/12</f>
        <v>6.99324344424996E-008</v>
      </c>
      <c r="DI88" s="130" t="n">
        <f aca="false">SUM(DF88:DH88)</f>
        <v>10.6930194983572</v>
      </c>
      <c r="DJ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8" t="e">
        <f aca="false">VLOOKUP(A88,'Données projet'!$A$165:$I$185,2,0)</f>
        <v>#N/A</v>
      </c>
      <c r="DM88" s="118" t="e">
        <f aca="false">VLOOKUP(A88,'Données projet'!$A$165:$I$185,9,0)</f>
        <v>#N/A</v>
      </c>
      <c r="DN88" s="118" t="n">
        <f aca="false" t="array" ref="DN88:DN88">INDEX(DM:DM,MIN(IF(ISNUMBER(DM88:DM284),ROW(DM88:DM284),"")))</f>
        <v>0</v>
      </c>
      <c r="DO88" s="118" t="n">
        <f aca="false">IF('Données projet'!$A$166&gt;35,DO87+DN88-DW87,IF(A88&lt;'Données projet'!$A$166,$DL$205^A88,IF(A88='Données projet'!$A$166,'Données projet'!$B$166,DO87+DN88-DW87)))</f>
        <v>0</v>
      </c>
      <c r="DP88" s="125" t="n">
        <f aca="false">DO88*VLOOKUP('Données projet'!$B$14,Paramètres!$A$1:$I$89,3,0)*VLOOKUP('Données projet'!$B$14,Paramètres!$A$1:$I$89,5,0)</f>
        <v>0</v>
      </c>
      <c r="DQ88" s="117" t="e">
        <f aca="false">EXP(-1.0587+0.8836*LN(DP88)+0.284)</f>
        <v>#VALUE!</v>
      </c>
      <c r="DR88" s="128" t="e">
        <f aca="false">(DP88+DQ88)*0.475*44/12</f>
        <v>#VALUE!</v>
      </c>
      <c r="DS88" s="120" t="e">
        <f aca="false">DR88+(DJ88+DK88)*44/12</f>
        <v>#VALUE!</v>
      </c>
      <c r="DT88" s="120" t="n">
        <f aca="true">AVERAGE(OFFSET($DS$3,0,0,'Données projet'!$E$14+1,1))-AVERAGE(OFFSET($H$3,0,0,'Données projet'!$E$14+1,1))</f>
        <v>549.432320957297</v>
      </c>
      <c r="DU88" s="120" t="n">
        <f aca="false">$DU$3</f>
        <v>280.26155987301</v>
      </c>
      <c r="DV88" s="121" t="n">
        <f aca="false">IF(ISNA(VLOOKUP(A88,'Données projet'!$A$165:$I$185,3,0)),0,VLOOKUP(A88,'Données projet'!$A$165:$I$185,3,0))</f>
        <v>0</v>
      </c>
      <c r="DW88" s="121" t="n">
        <f aca="false">IF(ISNA(VLOOKUP(A88,'Données projet'!$A$165:$I$185,4,0)),0,VLOOKUP(A88,'Données projet'!$A$165:$I$185,4,0))</f>
        <v>0</v>
      </c>
      <c r="DX88" s="122" t="n">
        <f aca="false">IF(ISNA(VLOOKUP(A88,'Données projet'!$A$165:$I$185,5,0)),0%,VLOOKUP(A88,'Données projet'!$A$165:$I$185,5,0)*VLOOKUP('Données projet'!$B$14,Paramètres!$A$1:$I$89,7,0))</f>
        <v>0</v>
      </c>
      <c r="DY88" s="122" t="n">
        <f aca="false">IF(ISNA(VLOOKUP(A88,'Données projet'!$A$165:$I$185,6,0)),0%,VLOOKUP(A88,'Données projet'!$A$165:$I$185,6,0)*VLOOKUP('Données projet'!$B$14,Paramètres!$A$1:$I$89,7,0))</f>
        <v>0</v>
      </c>
      <c r="DZ88" s="122" t="n">
        <f aca="false">IF(ISNA(VLOOKUP(A88,'Données projet'!$A$165:$I$185,7,0)),0%,VLOOKUP(A88,'Données projet'!$A$165:$I$185,7,0))</f>
        <v>0</v>
      </c>
      <c r="EA88" s="129" t="n">
        <f aca="false">EXP(-LN(2)/35)*EA87+(1-EXP(-LN(2)/35))/(LN(2)/35)*DW88*DX88*VLOOKUP('Données projet'!$B$14,Paramètres!$A$1:$I$89,3,0)*0.475*44/12</f>
        <v>0.808148635762548</v>
      </c>
      <c r="EB88" s="129" t="n">
        <f aca="false">EXP(-LN(2)/25)*EB87+(1-EXP(-LN(2)/25))/(LN(2)/25)*Calculateur!DW88*Calculateur!DY88*VLOOKUP('Données projet'!$B$14,Paramètres!$A$1:$I$89,3,0)*0.475*44/12</f>
        <v>1.68746713258378</v>
      </c>
      <c r="EC88" s="129" t="n">
        <f aca="false">EXP(-LN(2)/2)*EC87+(1-EXP(-LN(2)/2))/(LN(2)/2)*DW88*DZ88*VLOOKUP('Données projet'!$B$14,Paramètres!$A$1:$I$89,3,0)*0.475*44/12</f>
        <v>3.22374107458078E-008</v>
      </c>
      <c r="ED88" s="130" t="n">
        <f aca="false">SUM(EA88:EC88)</f>
        <v>2.49561580058374</v>
      </c>
      <c r="EE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8" t="e">
        <f aca="false">VLOOKUP(A88,'Données projet'!$A$191:$I$211,2,0)</f>
        <v>#N/A</v>
      </c>
      <c r="EH88" s="118" t="e">
        <f aca="false">VLOOKUP(A88,'Données projet'!$A$191:$I$211,9,0)</f>
        <v>#N/A</v>
      </c>
      <c r="EI88" s="118" t="n">
        <f aca="false" t="array" ref="EI88:EI88">INDEX(EH:EH,MIN(IF(ISNUMBER(EH88:EH284),ROW(EH88:EH284),"")))</f>
        <v>0</v>
      </c>
      <c r="EJ88" s="118" t="n">
        <f aca="false">IF('Données projet'!$A$192&gt;35,EJ87+EI88-ER87,IF(A88&lt;'Données projet'!$A$192,$EG$205^A88,IF(A88='Données projet'!$A$192,'Données projet'!$B$192,EJ87+EI88-ER87)))</f>
        <v>0</v>
      </c>
      <c r="EK88" s="125" t="e">
        <f aca="false">EJ88*VLOOKUP('Données projet'!$B$15,Paramètres!$A$1:$I$89,3,0)*VLOOKUP('Données projet'!$B$15,Paramètres!$A$1:$I$89,5,0)</f>
        <v>#N/A</v>
      </c>
      <c r="EL88" s="117" t="e">
        <f aca="false">EXP(-1.0587+0.8836*LN(EK88)+0.284)</f>
        <v>#N/A</v>
      </c>
      <c r="EM88" s="128" t="e">
        <f aca="false">(EK88+EL88)*0.475*44/12</f>
        <v>#N/A</v>
      </c>
      <c r="EN88" s="120" t="e">
        <f aca="false">EM88+(EE88+EF88)*44/12</f>
        <v>#N/A</v>
      </c>
      <c r="EO88" s="120" t="e">
        <f aca="true">AVERAGE(OFFSET($EN$3,0,0,'Données projet'!$E$15+1,1))-AVERAGE(OFFSET($H$3,0,0,'Données projet'!$E$15+1,1))</f>
        <v>#N/A</v>
      </c>
      <c r="EP88" s="120" t="e">
        <f aca="false">$EP$3</f>
        <v>#N/A</v>
      </c>
      <c r="EQ88" s="121" t="n">
        <f aca="false">IF(ISNA(VLOOKUP(A88,'Données projet'!$A$191:$I$211,3,0)),0,VLOOKUP(A88,'Données projet'!$A$191:$I$211,3,0))</f>
        <v>0</v>
      </c>
      <c r="ER88" s="121" t="n">
        <f aca="false">IF(ISNA(VLOOKUP(A88,'Données projet'!$A$191:$I$211,4,0)),0,VLOOKUP(A88,'Données projet'!$A$191:$I$211,4,0))</f>
        <v>0</v>
      </c>
      <c r="ES88" s="122" t="n">
        <f aca="false">IF(ISNA(VLOOKUP(A88,'Données projet'!$A$191:$I$211,5,0)),0%,VLOOKUP(A88,'Données projet'!$A$191:$I$211,5,0)*VLOOKUP('Données projet'!$B$15,Paramètres!$A$1:$I$89,7,0))</f>
        <v>0</v>
      </c>
      <c r="ET88" s="122" t="n">
        <f aca="false">IF(ISNA(VLOOKUP(A88,'Données projet'!$A$191:$I$211,6,0)),0%,VLOOKUP(A88,'Données projet'!$A$191:$I$211,6,0)*VLOOKUP('Données projet'!$B$15,Paramètres!$A$1:$I$89,7,0))</f>
        <v>0</v>
      </c>
      <c r="EU88" s="122" t="n">
        <f aca="false">IF(ISNA(VLOOKUP(A88,'Données projet'!$A$191:$I$211,7,0)),0%,VLOOKUP(A88,'Données projet'!$A$191:$I$211,7,0))</f>
        <v>0</v>
      </c>
      <c r="EV88" s="129" t="e">
        <f aca="false">EXP(-LN(2)/35)*EV87+(1-EXP(-LN(2)/35))/(LN(2)/35)*ER88*ES88*VLOOKUP('Données projet'!$B$15,Paramètres!$A$1:$I$89,3,0)*0.475*44/12</f>
        <v>#N/A</v>
      </c>
      <c r="EW88" s="129" t="e">
        <f aca="false">EXP(-LN(2)/25)*EW87+(1-EXP(-LN(2)/25))/(LN(2)/25)*Calculateur!ER88*Calculateur!ET88*VLOOKUP('Données projet'!$B$15,Paramètres!$A$1:$I$89,3,0)*0.475*44/12</f>
        <v>#N/A</v>
      </c>
      <c r="EX88" s="129" t="e">
        <f aca="false">EXP(-LN(2)/2)*EX87+(1-EXP(-LN(2)/2))/(LN(2)/2)*ER88*EU88*VLOOKUP('Données projet'!$B$15,Paramètres!$A$1:$I$89,3,0)*0.475*44/12</f>
        <v>#N/A</v>
      </c>
      <c r="EY88" s="130" t="e">
        <f aca="false">SUM(EV88:EX88)</f>
        <v>#N/A</v>
      </c>
      <c r="EZ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8" t="e">
        <f aca="false">VLOOKUP(A88,'Données projet'!$A$217:$I$237,2,0)</f>
        <v>#N/A</v>
      </c>
      <c r="FC88" s="118" t="e">
        <f aca="false">VLOOKUP(A88,'Données projet'!$A$217:$I$237,9,0)</f>
        <v>#N/A</v>
      </c>
      <c r="FD88" s="118" t="n">
        <f aca="false" t="array" ref="FD88:FD88">INDEX(FC:FC,MIN(IF(ISNUMBER(FC88:FC284),ROW(FC88:FC284),"")))</f>
        <v>0</v>
      </c>
      <c r="FE88" s="118" t="n">
        <f aca="false">IF('Données projet'!$A$218&gt;35,FE87+FD88-FM87,IF(A88&lt;'Données projet'!$A$218,$FB$205^A88,IF(A88='Données projet'!$A$218,'Données projet'!$B$218,FE87+FD88-FM87)))</f>
        <v>0</v>
      </c>
      <c r="FF88" s="125" t="e">
        <f aca="false">FE88*VLOOKUP('Données projet'!$B$16,Paramètres!$A$1:$I$89,3,0)*VLOOKUP('Données projet'!$B$16,Paramètres!$A$1:$I$89,5,0)</f>
        <v>#N/A</v>
      </c>
      <c r="FG88" s="117" t="e">
        <f aca="false">EXP(-1.0587+0.8836*LN(FF88)+0.284)</f>
        <v>#N/A</v>
      </c>
      <c r="FH88" s="128" t="e">
        <f aca="false">(FF88+FG88)*0.475*44/12</f>
        <v>#N/A</v>
      </c>
      <c r="FI88" s="120" t="e">
        <f aca="false">FH88+(EZ88+FA88)*44/12</f>
        <v>#N/A</v>
      </c>
      <c r="FJ88" s="120" t="e">
        <f aca="true">AVERAGE(OFFSET($FI$3,0,0,'Données projet'!$E$16+1,1))-AVERAGE(OFFSET($H$3,0,0,'Données projet'!$E$16+1,1))</f>
        <v>#N/A</v>
      </c>
      <c r="FK88" s="120" t="e">
        <f aca="false">$FK$3</f>
        <v>#N/A</v>
      </c>
      <c r="FL88" s="121" t="n">
        <f aca="false">IF(ISNA(VLOOKUP(A88,'Données projet'!$A$217:$I$237,3,0)),0,VLOOKUP(A88,'Données projet'!$A$217:$I$237,3,0))</f>
        <v>0</v>
      </c>
      <c r="FM88" s="121" t="n">
        <f aca="false">IF(ISNA(VLOOKUP(A88,'Données projet'!$A$217:$I$237,4,0)),0,VLOOKUP(A88,'Données projet'!$A$217:$I$237,4,0))</f>
        <v>0</v>
      </c>
      <c r="FN88" s="122" t="n">
        <f aca="false">IF(ISNA(VLOOKUP(A88,'Données projet'!$A$217:$I$237,5,0)),0%,VLOOKUP(A88,'Données projet'!$A$217:$I$237,5,0)*VLOOKUP('Données projet'!$B$16,Paramètres!$A$1:$I$89,7,0))</f>
        <v>0</v>
      </c>
      <c r="FO88" s="122" t="n">
        <f aca="false">IF(ISNA(VLOOKUP(A88,'Données projet'!$A$217:$I$237,6,0)),0%,VLOOKUP(A88,'Données projet'!$A$217:$I$237,6,0)*VLOOKUP('Données projet'!$B$16,Paramètres!$A$1:$I$89,7,0))</f>
        <v>0</v>
      </c>
      <c r="FP88" s="122" t="n">
        <f aca="false">IF(ISNA(VLOOKUP(A88,'Données projet'!$A$217:$I$237,7,0)),0%,VLOOKUP(A88,'Données projet'!$A$217:$I$237,7,0))</f>
        <v>0</v>
      </c>
      <c r="FQ88" s="129" t="e">
        <f aca="false">EXP(-LN(2)/35)*FQ87+(1-EXP(-LN(2)/35))/(LN(2)/35)*FM88*FN88*VLOOKUP('Données projet'!$B$16,Paramètres!$A$1:$I$89,3,0)*0.475*44/12</f>
        <v>#N/A</v>
      </c>
      <c r="FR88" s="129" t="e">
        <f aca="false">EXP(-LN(2)/25)*FR87+(1-EXP(-LN(2)/25))/(LN(2)/25)*Calculateur!FM88*Calculateur!FO88*VLOOKUP('Données projet'!$B$16,Paramètres!$A$1:$I$89,3,0)*0.475*44/12</f>
        <v>#N/A</v>
      </c>
      <c r="FS88" s="129" t="e">
        <f aca="false">EXP(-LN(2)/2)*FS87+(1-EXP(-LN(2)/2))/(LN(2)/2)*FM88*FP88*VLOOKUP('Données projet'!$B$16,Paramètres!$A$1:$I$89,3,0)*0.475*44/12</f>
        <v>#N/A</v>
      </c>
      <c r="FT88" s="130" t="e">
        <f aca="false">SUM(FQ88:FS88)</f>
        <v>#N/A</v>
      </c>
      <c r="FU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8" t="e">
        <f aca="false">VLOOKUP(A88,'Données projet'!$A$243:$I$263,2,0)</f>
        <v>#N/A</v>
      </c>
      <c r="FX88" s="118" t="e">
        <f aca="false">VLOOKUP(A88,'Données projet'!$A$243:$I$263,9,0)</f>
        <v>#N/A</v>
      </c>
      <c r="FY88" s="118" t="n">
        <f aca="false" t="array" ref="FY88:FY88">INDEX(FX:FX,MIN(IF(ISNUMBER(FX88:FX284),ROW(FX88:FX284),"")))</f>
        <v>0</v>
      </c>
      <c r="FZ88" s="118" t="n">
        <f aca="false">IF('Données projet'!$A$244&gt;35,FZ87+FY88-GH87,IF(A88&lt;'Données projet'!$A$244,$FW$205^A88,IF(A88='Données projet'!$A$244,'Données projet'!$B$244,FZ87+FY88-GH87)))</f>
        <v>0</v>
      </c>
      <c r="GA88" s="125" t="e">
        <f aca="false">FZ88*VLOOKUP('Données projet'!$B$17,Paramètres!$A$1:$I$89,3,0)*VLOOKUP('Données projet'!$B$17,Paramètres!$A$1:$I$89,5,0)</f>
        <v>#N/A</v>
      </c>
      <c r="GB88" s="117" t="e">
        <f aca="false">EXP(-1.0587+0.8836*LN(GA88)+0.284)</f>
        <v>#N/A</v>
      </c>
      <c r="GC88" s="128" t="e">
        <f aca="false">(GA88+GB88)*0.475*44/12</f>
        <v>#N/A</v>
      </c>
      <c r="GD88" s="120" t="e">
        <f aca="false">GC88+(FU88+FV88)*44/12</f>
        <v>#N/A</v>
      </c>
      <c r="GE88" s="120" t="e">
        <f aca="true">AVERAGE(OFFSET($GD$3,0,0,'Données projet'!$E$17+1,1))-AVERAGE(OFFSET($H$3,0,0,'Données projet'!$E$17+1,1))</f>
        <v>#N/A</v>
      </c>
      <c r="GF88" s="120" t="e">
        <f aca="false">$GF$3</f>
        <v>#N/A</v>
      </c>
      <c r="GG88" s="121" t="n">
        <f aca="false">IF(ISNA(VLOOKUP(A88,'Données projet'!$A$243:$I$263,3,0)),0,VLOOKUP(A88,'Données projet'!$A$243:$I$263,3,0))</f>
        <v>0</v>
      </c>
      <c r="GH88" s="121" t="n">
        <f aca="false">IF(ISNA(VLOOKUP(A88,'Données projet'!$A$243:$I$263,4,0)),0,VLOOKUP(A88,'Données projet'!$A$243:$I$263,4,0))</f>
        <v>0</v>
      </c>
      <c r="GI88" s="122" t="n">
        <f aca="false">IF(ISNA(VLOOKUP(A88,'Données projet'!$A$243:$I$263,5,0)),0%,VLOOKUP(A88,'Données projet'!$A$243:$I$263,5,0)*VLOOKUP('Données projet'!$B$17,Paramètres!$A$1:$I$89,7,0))</f>
        <v>0</v>
      </c>
      <c r="GJ88" s="122" t="n">
        <f aca="false">IF(ISNA(VLOOKUP(A88,'Données projet'!$A$243:$I$263,6,0)),0%,VLOOKUP(A88,'Données projet'!$A$243:$I$263,6,0)*VLOOKUP('Données projet'!$B$17,Paramètres!$A$1:$I$89,7,0))</f>
        <v>0</v>
      </c>
      <c r="GK88" s="122" t="n">
        <f aca="false">IF(ISNA(VLOOKUP(A88,'Données projet'!$A$243:$I$263,7,0)),0%,VLOOKUP(A88,'Données projet'!$A$243:$I$263,7,0))</f>
        <v>0</v>
      </c>
      <c r="GL88" s="129" t="e">
        <f aca="false">EXP(-LN(2)/35)*GL87+(1-EXP(-LN(2)/35))/(LN(2)/35)*GH88*GI88*VLOOKUP('Données projet'!$B$17,Paramètres!$A$1:$I$89,3,0)*0.475*44/12</f>
        <v>#N/A</v>
      </c>
      <c r="GM88" s="129" t="e">
        <f aca="false">EXP(-LN(2)/25)*GM87+(1-EXP(-LN(2)/25))/(LN(2)/25)*Calculateur!GH88*Calculateur!GJ88*VLOOKUP('Données projet'!$B$17,Paramètres!$A$1:$I$89,3,0)*0.475*44/12</f>
        <v>#N/A</v>
      </c>
      <c r="GN88" s="129" t="e">
        <f aca="false">EXP(-LN(2)/2)*GN87+(1-EXP(-LN(2)/2))/(LN(2)/2)*GH88*GK88*VLOOKUP('Données projet'!$B$17,Paramètres!$A$1:$I$89,3,0)*0.475*44/12</f>
        <v>#N/A</v>
      </c>
      <c r="GO88" s="129" t="e">
        <f aca="false">SUM(GL88:GN88)</f>
        <v>#N/A</v>
      </c>
      <c r="GP88" s="126" t="n">
        <f aca="false"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8" t="n">
        <f aca="false"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8" t="e">
        <f aca="false">VLOOKUP(A88,'Données projet'!$A$269:$I$289,2,0)</f>
        <v>#N/A</v>
      </c>
      <c r="GS88" s="118" t="e">
        <f aca="false">VLOOKUP(A88,'Données projet'!$A$269:$I$289,9,0)</f>
        <v>#N/A</v>
      </c>
      <c r="GT88" s="118" t="n">
        <f aca="false" t="array" ref="GT88:GT88">INDEX(GS:GS,MIN(IF(ISNUMBER(GS88:GS284),ROW(GS88:GS284),"")))</f>
        <v>0</v>
      </c>
      <c r="GU88" s="118" t="n">
        <f aca="false">IF('Données projet'!$A$270&gt;35,GU87+GT88-HC87,IF(A88&lt;'Données projet'!$A$270,$GR$205^A88,IF(A88='Données projet'!$A$270,'Données projet'!$B$270,GU87+GT88-HC87)))</f>
        <v>0</v>
      </c>
      <c r="GV88" s="125" t="e">
        <f aca="false">GU88*VLOOKUP('Données projet'!$B$18,Paramètres!$A$1:$I$89,3,0)*VLOOKUP('Données projet'!$B$18,Paramètres!$A$1:$I$89,5,0)</f>
        <v>#N/A</v>
      </c>
      <c r="GW88" s="117" t="e">
        <f aca="false">EXP(-1.0587+0.8836*LN(GV88)+0.284)</f>
        <v>#N/A</v>
      </c>
      <c r="GX88" s="128" t="e">
        <f aca="false">(GV88+GW88)*0.475*44/12</f>
        <v>#N/A</v>
      </c>
      <c r="GY88" s="120" t="e">
        <f aca="false">GX88+(GP88+GQ88)*44/12</f>
        <v>#N/A</v>
      </c>
      <c r="GZ88" s="120" t="e">
        <f aca="true">AVERAGE(OFFSET($GY$3,0,0,'Données projet'!$E$18+1,1))-AVERAGE(OFFSET($H$3,0,0,'Données projet'!$E$18+1,1))</f>
        <v>#N/A</v>
      </c>
      <c r="HA88" s="120" t="e">
        <f aca="false">$HA$3</f>
        <v>#N/A</v>
      </c>
      <c r="HB88" s="121" t="n">
        <f aca="false">IF(ISNA(VLOOKUP(A88,'Données projet'!$A$269:$I$289,3,0)),0,VLOOKUP(A88,'Données projet'!$A$269:$I$289,3,0))</f>
        <v>0</v>
      </c>
      <c r="HC88" s="121" t="n">
        <f aca="false">IF(ISNA(VLOOKUP(A88,'Données projet'!$A$269:$I$289,4,0)),0,VLOOKUP(A88,'Données projet'!$A$269:$I$289,4,0))</f>
        <v>0</v>
      </c>
      <c r="HD88" s="122" t="n">
        <f aca="false">IF(ISNA(VLOOKUP(A88,'Données projet'!$A$269:$I$289,5,0)),0%,VLOOKUP(A88,'Données projet'!$A$269:$I$289,5,0)*VLOOKUP('Données projet'!$B$18,Paramètres!$A$1:$I$89,7,0))</f>
        <v>0</v>
      </c>
      <c r="HE88" s="122" t="n">
        <f aca="false">IF(ISNA(VLOOKUP(A88,'Données projet'!$A$269:$I$289,6,0)),0%,VLOOKUP(A88,'Données projet'!$A$269:$I$289,6,0)*VLOOKUP('Données projet'!$B$18,Paramètres!$A$1:$I$89,7,0))</f>
        <v>0</v>
      </c>
      <c r="HF88" s="122" t="n">
        <f aca="false">IF(ISNA(VLOOKUP(A88,'Données projet'!$A$269:$I$289,7,0)),0%,VLOOKUP(A88,'Données projet'!$A$269:$I$289,7,0))</f>
        <v>0</v>
      </c>
      <c r="HG88" s="129" t="e">
        <f aca="false">EXP(-LN(2)/35)*HG87+(1-EXP(-LN(2)/35))/(LN(2)/35)*HC88*HD88*VLOOKUP('Données projet'!$B$18,Paramètres!$A$1:$I$89,3,0)*0.475*44/12</f>
        <v>#N/A</v>
      </c>
      <c r="HH88" s="129" t="e">
        <f aca="false">EXP(-LN(2)/25)*HH87+(1-EXP(-LN(2)/25))/(LN(2)/25)*Calculateur!HC88*Calculateur!HE88*VLOOKUP('Données projet'!$B$18,Paramètres!$A$1:$I$89,3,0)*0.475*44/12</f>
        <v>#N/A</v>
      </c>
      <c r="HI88" s="129" t="e">
        <f aca="false">EXP(-LN(2)/2)*HI87+(1-EXP(-LN(2)/2))/(LN(2)/2)*HC88*HF88*VLOOKUP('Données projet'!$B$18,Paramètres!$A$1:$I$89,3,0)*0.475*44/12</f>
        <v>#N/A</v>
      </c>
      <c r="HJ88" s="130" t="e">
        <f aca="false">SUM(HG88:HI88)</f>
        <v>#N/A</v>
      </c>
    </row>
    <row r="89" customFormat="false" ht="14.25" hidden="false" customHeight="false" outlineLevel="0" collapsed="false">
      <c r="A89" s="112" t="n">
        <f aca="false">A88+1</f>
        <v>86</v>
      </c>
      <c r="B89" s="113" t="n">
        <f aca="false">'Scénario référence'!$B$16*5+'Scénario référence'!$B$17*0+'Scénario référence'!$B$18*5</f>
        <v>0</v>
      </c>
      <c r="C89" s="127" t="n">
        <f aca="false"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4" t="n">
        <f aca="false">IFERROR(EXP(-1.0587+0.8836*LN(C89)+0.284),0)</f>
        <v>0</v>
      </c>
      <c r="E8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89" s="114" t="n">
        <f aca="false">IF(OR('Scénario référence'!$F$8&gt;0,'Scénario référence'!$F$9&gt;0),('Scénario référence'!$F$8+'Scénario référence'!$F$9)*10,0)</f>
        <v>0</v>
      </c>
      <c r="G89" s="114" t="n">
        <f aca="false"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15" t="n">
        <f aca="false">(B89+E89+F89)*44/12+(C89+D89)*0.475*44/12</f>
        <v>256.666666666667</v>
      </c>
      <c r="I89" s="11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7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8" t="e">
        <f aca="false">VLOOKUP(A89,'Données projet'!$A$35:$I$55,2,0)</f>
        <v>#N/A</v>
      </c>
      <c r="L89" s="118" t="e">
        <f aca="false">VLOOKUP(A89,'Données projet'!$A$35:$I$55,9,0)</f>
        <v>#N/A</v>
      </c>
      <c r="M89" s="118" t="n">
        <f aca="false" t="array" ref="M89:M89">INDEX(L:L,MIN(IF(ISNUMBER(L89:L285),ROW(L89:L285),"")))</f>
        <v>17.5</v>
      </c>
      <c r="N89" s="117" t="n">
        <f aca="false">IF('Données projet'!$A$36&gt;35,N88+M89-V88,IF(A89&lt;'Données projet'!$A$36,$K$205^A89,IF(A89='Données projet'!$A$36,'Données projet'!$B$36,N88+M89-V88)))</f>
        <v>518.5</v>
      </c>
      <c r="O89" s="117" t="n">
        <f aca="false">N89*VLOOKUP('Données projet'!$B$9,Paramètres!$A$1:$I$89,3,0)*VLOOKUP('Données projet'!$B$9,Paramètres!$A$1:$I$89,5,0)</f>
        <v>242.658</v>
      </c>
      <c r="P89" s="117" t="n">
        <f aca="false">EXP(-1.0587+0.8836*LN(O89)+0.284)</f>
        <v>59.0110450258396</v>
      </c>
      <c r="Q89" s="128" t="n">
        <f aca="false">(O89+P89)*0.475*44/12</f>
        <v>525.406920086671</v>
      </c>
      <c r="R89" s="120" t="n">
        <f aca="false">Q89+(I89+J89)*44/12</f>
        <v>818.740253420004</v>
      </c>
      <c r="S89" s="120" t="n">
        <f aca="true">AVERAGE(OFFSET($R$3,0,0,'Données projet'!$E$9+1,1))-AVERAGE(OFFSET($H$3,0,0,'Données projet'!$E$9+1,1))</f>
        <v>319.229030946746</v>
      </c>
      <c r="T89" s="120" t="n">
        <f aca="false">$T$3</f>
        <v>254.586909731428</v>
      </c>
      <c r="U89" s="121" t="n">
        <f aca="false">IF(ISNA(VLOOKUP(A89,'Données projet'!$A$35:$I$55,3,0)),0,VLOOKUP(A89,'Données projet'!$A$35:$I$55,3,0))</f>
        <v>0</v>
      </c>
      <c r="V89" s="121" t="n">
        <f aca="false">IF(ISNA(VLOOKUP(A89,'Données projet'!$A$35:$I$55,4,0)),0,VLOOKUP(A89,'Données projet'!$A$35:$I$55,4,0))</f>
        <v>0</v>
      </c>
      <c r="W89" s="122" t="n">
        <f aca="false">IF(ISNA(VLOOKUP(A89,'Données projet'!$A$35:$I$55,5,0)),0%,VLOOKUP(A89,'Données projet'!$A$35:$I$55,5,0)*VLOOKUP('Données projet'!$B$9,Paramètres!$A$1:$I$89,7,0))</f>
        <v>0</v>
      </c>
      <c r="X89" s="122" t="n">
        <f aca="false">IF(ISNA(VLOOKUP(A89,'Données projet'!$A$35:$I$55,6,0)),0%,VLOOKUP(A89,'Données projet'!$A$35:$I$55,6,0)*VLOOKUP('Données projet'!$B$9,Paramètres!$A$1:$I$89,7,0))</f>
        <v>0</v>
      </c>
      <c r="Y89" s="122" t="n">
        <f aca="false">IF(ISNA(VLOOKUP(A89,'Données projet'!$A$35:$I$55,7,0)),0%,VLOOKUP(A89,'Données projet'!$A$35:$I$55,7,0))</f>
        <v>0</v>
      </c>
      <c r="Z89" s="129" t="n">
        <f aca="false">EXP(-LN(2)/35)*Z88+(1-EXP(-LN(2)/35))/(LN(2)/35)*V89*W89*VLOOKUP('Données projet'!$B$9,Paramètres!$A$1:$I$89,3,0)*0.475*44/12</f>
        <v>2.99401858353183</v>
      </c>
      <c r="AA89" s="129" t="n">
        <f aca="false">EXP(-LN(2)/25)*AA88+(1-EXP(-LN(2)/25))/(LN(2)/25)*Calculateur!V89*Calculateur!X89*VLOOKUP('Données projet'!$B$9,Paramètres!$A$1:$I$89,3,0)*0.475*44/12</f>
        <v>2.36058203003392</v>
      </c>
      <c r="AB89" s="129" t="n">
        <f aca="false">EXP(-LN(2)/2)*AB88+(1-EXP(-LN(2)/2))/(LN(2)/2)*V89*Y89*VLOOKUP('Données projet'!$B$9,Paramètres!$A$1:$I$89,3,0)*0.475*44/12</f>
        <v>4.1138860000664E-008</v>
      </c>
      <c r="AC89" s="130" t="n">
        <f aca="false">SUM(Z89:AB89)</f>
        <v>5.35460065470461</v>
      </c>
      <c r="AD89" s="117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7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8" t="e">
        <f aca="false">VLOOKUP(A89,'Données projet'!$A$61:$I$81,2,0)</f>
        <v>#N/A</v>
      </c>
      <c r="AG89" s="118" t="e">
        <f aca="false">VLOOKUP(A89,'Données projet'!$A$61:$I$81,9,0)</f>
        <v>#N/A</v>
      </c>
      <c r="AH89" s="118" t="n">
        <f aca="false" t="array" ref="AH89:AH89">INDEX(AG:AG,MIN(IF(ISNUMBER(AG89:AG285),ROW(AG89:AG285),"")))</f>
        <v>0</v>
      </c>
      <c r="AI89" s="117" t="n">
        <f aca="false">IF('Données projet'!$A$62&gt;35,AI88+AH89-AQ88,IF(A89&lt;'Données projet'!$A$62,$AF$205^A89,IF(A89='Données projet'!$A$62,'Données projet'!$B$62,AI88+AH89-AQ88)))</f>
        <v>1.13686837721616E-013</v>
      </c>
      <c r="AJ89" s="117" t="n">
        <f aca="false">AI89*VLOOKUP('Données projet'!$B$10,Paramètres!$A$1:$I$89,3,0)*VLOOKUP('Données projet'!$B$10,Paramètres!$A$1:$I$89,5,0)</f>
        <v>6.35509422863834E-014</v>
      </c>
      <c r="AK89" s="117" t="n">
        <f aca="false">EXP(-1.0587+0.8836*LN(AJ89)+0.284)</f>
        <v>1.0064464192544E-012</v>
      </c>
      <c r="AL89" s="128" t="n">
        <f aca="false">(AJ89+AK89)*0.475*44/12</f>
        <v>1.86357873801686E-012</v>
      </c>
      <c r="AM89" s="120" t="n">
        <f aca="false">AL89+(AD89+AE89)*44/12</f>
        <v>293.333333333335</v>
      </c>
      <c r="AN89" s="120" t="n">
        <f aca="true">AVERAGE(OFFSET($AM$3,0,0,'Données projet'!$E$10+1,1))-AVERAGE(OFFSET($H$3,0,0,'Données projet'!$E$10+1,1))</f>
        <v>365.705101827279</v>
      </c>
      <c r="AO89" s="120" t="n">
        <f aca="false">$AO$3</f>
        <v>436.238338449625</v>
      </c>
      <c r="AP89" s="121" t="n">
        <f aca="false">IF(ISNA(VLOOKUP(A89,'Données projet'!$A$61:$I$81,3,0)),0,VLOOKUP(A89,'Données projet'!$A$61:$I$81,3,0))</f>
        <v>0</v>
      </c>
      <c r="AQ89" s="121" t="n">
        <f aca="false">IF(ISNA(VLOOKUP(A89,'Données projet'!$A$61:$I$81,4,0)),0,VLOOKUP(A89,'Données projet'!$A$61:$I$81,4,0))</f>
        <v>0</v>
      </c>
      <c r="AR89" s="122" t="n">
        <f aca="false">IF(ISNA(VLOOKUP(A89,'Données projet'!$A$61:$I$81,5,0)),0%,VLOOKUP(A89,'Données projet'!$A$61:$I$81,5,0)*VLOOKUP('Données projet'!$B$10,Paramètres!$A$1:$I$89,7,0))</f>
        <v>0</v>
      </c>
      <c r="AS89" s="122" t="n">
        <f aca="false">IF(ISNA(VLOOKUP(A89,'Données projet'!$A$61:$I$81,6,0)),0%,VLOOKUP(A89,'Données projet'!$A$61:$I$81,6,0)*VLOOKUP('Données projet'!$B$10,Paramètres!$A$1:$I$89,7,0))</f>
        <v>0</v>
      </c>
      <c r="AT89" s="122" t="n">
        <f aca="false">IF(ISNA(VLOOKUP(A89,'Données projet'!$A$61:$I$81,7,0)),0%,VLOOKUP(A89,'Données projet'!$A$61:$I$81,7,0))</f>
        <v>0</v>
      </c>
      <c r="AU89" s="129" t="n">
        <f aca="false">EXP(-LN(2)/35)*AU88+(1-EXP(-LN(2)/35))/(LN(2)/35)*AQ89*AR89*VLOOKUP('Données projet'!$B$10,Paramètres!$A$1:$I$89,3,0)*0.475*44/12</f>
        <v>1.13014494498023</v>
      </c>
      <c r="AV89" s="129" t="n">
        <f aca="false">EXP(-LN(2)/25)*AV88+(1-EXP(-LN(2)/25))/(LN(2)/25)*Calculateur!AQ89*Calculateur!AS89*VLOOKUP('Données projet'!$B$10,Paramètres!$A$1:$I$89,3,0)*0.475*44/12</f>
        <v>2.79598177819537</v>
      </c>
      <c r="AW89" s="129" t="n">
        <f aca="false">EXP(-LN(2)/2)*AW88+(1-EXP(-LN(2)/2))/(LN(2)/2)*AQ89*AT89*VLOOKUP('Données projet'!$B$10,Paramètres!$A$1:$I$89,3,0)*0.475*44/12</f>
        <v>2.21396486672602E-008</v>
      </c>
      <c r="AX89" s="129" t="n">
        <f aca="false">SUM(AU89:AW89)</f>
        <v>3.92612674531525</v>
      </c>
      <c r="AY89" s="124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8" t="e">
        <f aca="false">VLOOKUP(A89,'Données projet'!$A$87:$I$107,2,0)</f>
        <v>#N/A</v>
      </c>
      <c r="BB89" s="118" t="e">
        <f aca="false">VLOOKUP(A89,'Données projet'!$A$87:$I$107,9,0)</f>
        <v>#N/A</v>
      </c>
      <c r="BC89" s="118" t="n">
        <f aca="false" t="array" ref="BC89:BC89">INDEX(BB:BB,MIN(IF(ISNUMBER(BB89:BB285),ROW(BB89:BB285),"")))</f>
        <v>0</v>
      </c>
      <c r="BD89" s="118" t="n">
        <f aca="false">IF('Données projet'!$A$88&gt;35,BD88+BC89-BL88,IF(A89&lt;'Données projet'!$A$88,$BA$205^A89,IF(A89='Données projet'!$A$88,'Données projet'!$B$88,BD88+BC89-BL88)))</f>
        <v>1.98951966012828E-013</v>
      </c>
      <c r="BE89" s="117" t="n">
        <f aca="false">BD89*VLOOKUP('Données projet'!$B$11,Paramètres!$A$1:$I$89,3,0)*VLOOKUP('Données projet'!$B$11,Paramètres!$A$1:$I$89,5,0)</f>
        <v>1.73804437508807E-013</v>
      </c>
      <c r="BF89" s="117" t="n">
        <f aca="false">EXP(-1.0587+0.8836*LN(BE89)+0.284)</f>
        <v>2.44832936339505E-012</v>
      </c>
      <c r="BG89" s="128" t="n">
        <f aca="false">(BE89+BF89)*0.475*44/12</f>
        <v>4.56688303657421E-012</v>
      </c>
      <c r="BH89" s="120" t="n">
        <f aca="false">BG89+(AY89+AZ89)*44/12</f>
        <v>293.333333333338</v>
      </c>
      <c r="BI89" s="120" t="n">
        <f aca="true">AVERAGE(OFFSET($BH$3,0,0,'Données projet'!$E$11+1,1))-AVERAGE(OFFSET($H$3,0,0,'Données projet'!$E$11+1,1))</f>
        <v>321.235999689929</v>
      </c>
      <c r="BJ89" s="120" t="n">
        <f aca="false">$BJ$3</f>
        <v>388.051958478005</v>
      </c>
      <c r="BK89" s="121" t="n">
        <f aca="false">IF(ISNA(VLOOKUP(A89,'Données projet'!$A$87:$I$107,3,0)),0,VLOOKUP(A89,'Données projet'!$A$87:$I$107,3,0))</f>
        <v>0</v>
      </c>
      <c r="BL89" s="121" t="n">
        <f aca="false">IF(ISNA(VLOOKUP(A89,'Données projet'!$A$87:$I$107,4,0)),0,VLOOKUP(A89,'Données projet'!$A$87:$I$107,4,0))</f>
        <v>0</v>
      </c>
      <c r="BM89" s="122" t="n">
        <f aca="false">IF(ISNA(VLOOKUP(A89,'Données projet'!$A$87:$I$107,5,0)),0%,VLOOKUP(A89,'Données projet'!$A$87:$I$107,5,0)*VLOOKUP('Données projet'!$B$11,Paramètres!$A$1:$I$89,7,0))</f>
        <v>0</v>
      </c>
      <c r="BN89" s="122" t="n">
        <f aca="false">IF(ISNA(VLOOKUP(A89,'Données projet'!$A$87:$I$107,6,0)),0%,VLOOKUP(A89,'Données projet'!$A$87:$I$107,6,0)*VLOOKUP('Données projet'!$B$11,Paramètres!$A$1:$I$89,7,0))</f>
        <v>0</v>
      </c>
      <c r="BO89" s="122" t="n">
        <f aca="false">IF(ISNA(VLOOKUP(A89,'Données projet'!$A$87:$I$107,7,0)),0%,VLOOKUP(A89,'Données projet'!$A$87:$I$107,7,0))</f>
        <v>0</v>
      </c>
      <c r="BP89" s="129" t="n">
        <f aca="false">EXP(-LN(2)/35)*BP88+(1-EXP(-LN(2)/35))/(LN(2)/35)*BL89*BM89*VLOOKUP('Données projet'!$B$11,Paramètres!$A$1:$I$89,3,0)*0.475*44/12</f>
        <v>2.83736602966662</v>
      </c>
      <c r="BQ89" s="129" t="n">
        <f aca="false">EXP(-LN(2)/25)*BQ88+(1-EXP(-LN(2)/25))/(LN(2)/25)*Calculateur!BL89*Calculateur!BN89*VLOOKUP('Données projet'!$B$11,Paramètres!$A$1:$I$89,3,0)*0.475*44/12</f>
        <v>2.8539721281319</v>
      </c>
      <c r="BR89" s="129" t="n">
        <f aca="false">EXP(-LN(2)/2)*BR88+(1-EXP(-LN(2)/2))/(LN(2)/2)*BL89*BO89*VLOOKUP('Données projet'!$B$11,Paramètres!$A$1:$I$89,3,0)*0.475*44/12</f>
        <v>2.2504492690022E-008</v>
      </c>
      <c r="BS89" s="130" t="n">
        <f aca="false">SUM(BP89:BR89)</f>
        <v>5.69133818030301</v>
      </c>
      <c r="BT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8" t="e">
        <f aca="false">VLOOKUP(A89,'Données projet'!$A$113:$I$133,2,0)</f>
        <v>#N/A</v>
      </c>
      <c r="BW89" s="118" t="e">
        <f aca="false">VLOOKUP(A89,'Données projet'!$A$113:$I$133,9,0)</f>
        <v>#N/A</v>
      </c>
      <c r="BX89" s="118" t="n">
        <f aca="false" t="array" ref="BX89:BX89">INDEX(BW:BW,MIN(IF(ISNUMBER(BW89:BW285),ROW(BW89:BW285),"")))</f>
        <v>0</v>
      </c>
      <c r="BY89" s="118" t="n">
        <f aca="false">IF('Données projet'!$A$114&gt;35,BY88+BX89-CG88,IF(A89&lt;'Données projet'!$A$114,$BV$205^A89,IF(A89='Données projet'!$A$114,'Données projet'!$B$114,BY88+BX89-CG88)))</f>
        <v>0</v>
      </c>
      <c r="BZ89" s="117" t="n">
        <f aca="false">BY89*VLOOKUP('Données projet'!$B$12,Paramètres!$A$1:$I$89,3,0)*VLOOKUP('Données projet'!$B$12,Paramètres!$A$1:$I$89,5,0)</f>
        <v>0</v>
      </c>
      <c r="CA89" s="117" t="e">
        <f aca="false">EXP(-1.0587+0.8836*LN(BZ89)+0.284)</f>
        <v>#VALUE!</v>
      </c>
      <c r="CB89" s="128" t="e">
        <f aca="false">(BZ89+CA89)*0.475*44/12</f>
        <v>#VALUE!</v>
      </c>
      <c r="CC89" s="120" t="e">
        <f aca="false">CB89+(BT89+BU89)*44/12</f>
        <v>#VALUE!</v>
      </c>
      <c r="CD89" s="120" t="n">
        <f aca="true">AVERAGE(OFFSET($CC$3,0,0,'Données projet'!$E$12+1,1))-AVERAGE(OFFSET($H$3,0,0,'Données projet'!$E$12+1,1))</f>
        <v>240.228848647662</v>
      </c>
      <c r="CE89" s="120" t="n">
        <f aca="false">$CE$3</f>
        <v>343.237768841432</v>
      </c>
      <c r="CF89" s="121" t="n">
        <f aca="false">IF(ISNA(VLOOKUP(A89,'Données projet'!$A$113:$I$133,3,0)),0,VLOOKUP(A89,'Données projet'!$A$113:$I$133,3,0))</f>
        <v>0</v>
      </c>
      <c r="CG89" s="121" t="n">
        <f aca="false">IF(ISNA(VLOOKUP(A89,'Données projet'!$A$113:$I$133,4,0)),0,VLOOKUP(A89,'Données projet'!$A$113:$I$133,4,0))</f>
        <v>0</v>
      </c>
      <c r="CH89" s="122" t="n">
        <f aca="false">IF(ISNA(VLOOKUP(A89,'Données projet'!$A$113:$I$133,5,0)),0%,VLOOKUP(A89,'Données projet'!$A$113:$I$133,5,0)*VLOOKUP('Données projet'!$B$12,Paramètres!$A$1:$I$89,7,0))</f>
        <v>0</v>
      </c>
      <c r="CI89" s="122" t="n">
        <f aca="false">IF(ISNA(VLOOKUP(A89,'Données projet'!$A$113:$I$133,6,0)),0%,VLOOKUP(A89,'Données projet'!$A$113:$I$133,6,0)*VLOOKUP('Données projet'!$B$12,Paramètres!$A$1:$I$89,7,0))</f>
        <v>0</v>
      </c>
      <c r="CJ89" s="122" t="n">
        <f aca="false">IF(ISNA(VLOOKUP(A89,'Données projet'!$A$113:$I$133,7,0)),0%,VLOOKUP(A89,'Données projet'!$A$113:$I$133,7,0))</f>
        <v>0</v>
      </c>
      <c r="CK89" s="129" t="n">
        <f aca="false">EXP(-LN(2)/35)*CK88+(1-EXP(-LN(2)/35))/(LN(2)/35)*CG89*CH89*VLOOKUP('Données projet'!$B$12,Paramètres!$A$1:$I$89,3,0)*0.475*44/12</f>
        <v>1.73668906072468</v>
      </c>
      <c r="CL89" s="129" t="n">
        <f aca="false">EXP(-LN(2)/25)*CL88+(1-EXP(-LN(2)/25))/(LN(2)/25)*Calculateur!CG89*Calculateur!CI89*VLOOKUP('Données projet'!$B$12,Paramètres!$A$1:$I$89,3,0)*0.475*44/12</f>
        <v>5.04027999440402</v>
      </c>
      <c r="CM89" s="129" t="n">
        <f aca="false">EXP(-LN(2)/2)*CM88+(1-EXP(-LN(2)/2))/(LN(2)/2)*CG89*CJ89*VLOOKUP('Données projet'!$B$12,Paramètres!$A$1:$I$89,3,0)*0.475*44/12</f>
        <v>3.59111706389629E-008</v>
      </c>
      <c r="CN89" s="130" t="n">
        <f aca="false">SUM(CK89:CM89)</f>
        <v>6.77696909103987</v>
      </c>
      <c r="CO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8" t="e">
        <f aca="false">VLOOKUP(A89,'Données projet'!$A$139:$I$159,2,0)</f>
        <v>#N/A</v>
      </c>
      <c r="CR89" s="118" t="e">
        <f aca="false">VLOOKUP(A89,'Données projet'!$A$139:$I$159,9,0)</f>
        <v>#N/A</v>
      </c>
      <c r="CS89" s="118" t="n">
        <f aca="false" t="array" ref="CS89:CS89">INDEX(CR:CR,MIN(IF(ISNUMBER(CR89:CR285),ROW(CR89:CR285),"")))</f>
        <v>0</v>
      </c>
      <c r="CT89" s="118" t="n">
        <f aca="false">IF('Données projet'!$A$140&gt;35,CT88+CS89-DB88,IF(A89&lt;'Données projet'!$A$140,$CQ$205^A89,IF(A89='Données projet'!$A$140,'Données projet'!$B$140,CT88+CS89-DB88)))</f>
        <v>-5.6843418860808E-014</v>
      </c>
      <c r="CU89" s="125" t="n">
        <f aca="false">CT89*VLOOKUP('Données projet'!$B$13,Paramètres!$A$1:$I$89,3,0)*VLOOKUP('Données projet'!$B$13,Paramètres!$A$1:$I$89,5,0)</f>
        <v>-3.10365066980012E-014</v>
      </c>
      <c r="CV89" s="117" t="e">
        <f aca="false">EXP(-1.0587+0.8836*LN(CU89)+0.284)</f>
        <v>#VALUE!</v>
      </c>
      <c r="CW89" s="128" t="e">
        <f aca="false">(CU89+CV89)*0.475*44/12</f>
        <v>#VALUE!</v>
      </c>
      <c r="CX89" s="120" t="e">
        <f aca="false">CW89+(CO89+CP89)*44/12</f>
        <v>#VALUE!</v>
      </c>
      <c r="CY89" s="120" t="n">
        <f aca="true">AVERAGE(OFFSET($CX$3,0,0,'Données projet'!$E$13+1,1))-AVERAGE(OFFSET($H$3,0,0,'Données projet'!$E$13+1,1))</f>
        <v>207.023069645676</v>
      </c>
      <c r="CZ89" s="120" t="n">
        <f aca="false">$CZ$3</f>
        <v>342.068879333518</v>
      </c>
      <c r="DA89" s="121" t="n">
        <f aca="false">IF(ISNA(VLOOKUP(A89,'Données projet'!$A$139:$I$159,3,0)),0,VLOOKUP(A89,'Données projet'!$A$139:$I$159,3,0))</f>
        <v>0</v>
      </c>
      <c r="DB89" s="121" t="n">
        <f aca="false">IF(ISNA(VLOOKUP(A89,'Données projet'!$A$139:$I$159,4,0)),0,VLOOKUP(A89,'Données projet'!$A$139:$I$159,4,0))</f>
        <v>0</v>
      </c>
      <c r="DC89" s="122" t="n">
        <f aca="false">IF(ISNA(VLOOKUP(A89,'Données projet'!$A$139:$I$159,5,0)),0%,VLOOKUP(A89,'Données projet'!$A$139:$I$159,5,0)*VLOOKUP('Données projet'!$B$13,Paramètres!$A$1:$I$89,7,0))</f>
        <v>0</v>
      </c>
      <c r="DD89" s="122" t="n">
        <f aca="false">IF(ISNA(VLOOKUP(A89,'Données projet'!$A$139:$I$159,6,0)),0%,VLOOKUP(A89,'Données projet'!$A$139:$I$159,6,0)*VLOOKUP('Données projet'!$B$13,Paramètres!$A$1:$I$89,7,0))</f>
        <v>0</v>
      </c>
      <c r="DE89" s="122" t="n">
        <f aca="false">IF(ISNA(VLOOKUP(A89,'Données projet'!$A$139:$I$159,7,0)),0%,VLOOKUP(A89,'Données projet'!$A$139:$I$159,7,0))</f>
        <v>0</v>
      </c>
      <c r="DF89" s="129" t="n">
        <f aca="false">EXP(-LN(2)/35)*DF88+(1-EXP(-LN(2)/35))/(LN(2)/35)*DB89*DC89*VLOOKUP('Données projet'!$B$13,Paramètres!$A$1:$I$89,3,0)*0.475*44/12</f>
        <v>2.17905325543757</v>
      </c>
      <c r="DG89" s="129" t="n">
        <f aca="false">EXP(-LN(2)/25)*DG88+(1-EXP(-LN(2)/25))/(LN(2)/25)*Calculateur!DB89*Calculateur!DD89*VLOOKUP('Données projet'!$B$13,Paramètres!$A$1:$I$89,3,0)*0.475*44/12</f>
        <v>8.23875857055035</v>
      </c>
      <c r="DH89" s="129" t="n">
        <f aca="false">EXP(-LN(2)/2)*DH88+(1-EXP(-LN(2)/2))/(LN(2)/2)*DB89*DE89*VLOOKUP('Données projet'!$B$13,Paramètres!$A$1:$I$89,3,0)*0.475*44/12</f>
        <v>4.94496986191751E-008</v>
      </c>
      <c r="DI89" s="130" t="n">
        <f aca="false">SUM(DF89:DH89)</f>
        <v>10.4178118754376</v>
      </c>
      <c r="DJ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8" t="e">
        <f aca="false">VLOOKUP(A89,'Données projet'!$A$165:$I$185,2,0)</f>
        <v>#N/A</v>
      </c>
      <c r="DM89" s="118" t="e">
        <f aca="false">VLOOKUP(A89,'Données projet'!$A$165:$I$185,9,0)</f>
        <v>#N/A</v>
      </c>
      <c r="DN89" s="118" t="n">
        <f aca="false" t="array" ref="DN89:DN89">INDEX(DM:DM,MIN(IF(ISNUMBER(DM89:DM285),ROW(DM89:DM285),"")))</f>
        <v>0</v>
      </c>
      <c r="DO89" s="118" t="n">
        <f aca="false">IF('Données projet'!$A$166&gt;35,DO88+DN89-DW88,IF(A89&lt;'Données projet'!$A$166,$DL$205^A89,IF(A89='Données projet'!$A$166,'Données projet'!$B$166,DO88+DN89-DW88)))</f>
        <v>0</v>
      </c>
      <c r="DP89" s="125" t="n">
        <f aca="false">DO89*VLOOKUP('Données projet'!$B$14,Paramètres!$A$1:$I$89,3,0)*VLOOKUP('Données projet'!$B$14,Paramètres!$A$1:$I$89,5,0)</f>
        <v>0</v>
      </c>
      <c r="DQ89" s="117" t="e">
        <f aca="false">EXP(-1.0587+0.8836*LN(DP89)+0.284)</f>
        <v>#VALUE!</v>
      </c>
      <c r="DR89" s="128" t="e">
        <f aca="false">(DP89+DQ89)*0.475*44/12</f>
        <v>#VALUE!</v>
      </c>
      <c r="DS89" s="120" t="e">
        <f aca="false">DR89+(DJ89+DK89)*44/12</f>
        <v>#VALUE!</v>
      </c>
      <c r="DT89" s="120" t="n">
        <f aca="true">AVERAGE(OFFSET($DS$3,0,0,'Données projet'!$E$14+1,1))-AVERAGE(OFFSET($H$3,0,0,'Données projet'!$E$14+1,1))</f>
        <v>549.432320957297</v>
      </c>
      <c r="DU89" s="120" t="n">
        <f aca="false">$DU$3</f>
        <v>280.26155987301</v>
      </c>
      <c r="DV89" s="121" t="n">
        <f aca="false">IF(ISNA(VLOOKUP(A89,'Données projet'!$A$165:$I$185,3,0)),0,VLOOKUP(A89,'Données projet'!$A$165:$I$185,3,0))</f>
        <v>0</v>
      </c>
      <c r="DW89" s="121" t="n">
        <f aca="false">IF(ISNA(VLOOKUP(A89,'Données projet'!$A$165:$I$185,4,0)),0,VLOOKUP(A89,'Données projet'!$A$165:$I$185,4,0))</f>
        <v>0</v>
      </c>
      <c r="DX89" s="122" t="n">
        <f aca="false">IF(ISNA(VLOOKUP(A89,'Données projet'!$A$165:$I$185,5,0)),0%,VLOOKUP(A89,'Données projet'!$A$165:$I$185,5,0)*VLOOKUP('Données projet'!$B$14,Paramètres!$A$1:$I$89,7,0))</f>
        <v>0</v>
      </c>
      <c r="DY89" s="122" t="n">
        <f aca="false">IF(ISNA(VLOOKUP(A89,'Données projet'!$A$165:$I$185,6,0)),0%,VLOOKUP(A89,'Données projet'!$A$165:$I$185,6,0)*VLOOKUP('Données projet'!$B$14,Paramètres!$A$1:$I$89,7,0))</f>
        <v>0</v>
      </c>
      <c r="DZ89" s="122" t="n">
        <f aca="false">IF(ISNA(VLOOKUP(A89,'Données projet'!$A$165:$I$185,7,0)),0%,VLOOKUP(A89,'Données projet'!$A$165:$I$185,7,0))</f>
        <v>0</v>
      </c>
      <c r="EA89" s="129" t="n">
        <f aca="false">EXP(-LN(2)/35)*EA88+(1-EXP(-LN(2)/35))/(LN(2)/35)*DW89*DX89*VLOOKUP('Données projet'!$B$14,Paramètres!$A$1:$I$89,3,0)*0.475*44/12</f>
        <v>0.79230133393724</v>
      </c>
      <c r="EB89" s="129" t="n">
        <f aca="false">EXP(-LN(2)/25)*EB88+(1-EXP(-LN(2)/25))/(LN(2)/25)*Calculateur!DW89*Calculateur!DY89*VLOOKUP('Données projet'!$B$14,Paramètres!$A$1:$I$89,3,0)*0.475*44/12</f>
        <v>1.64132325510324</v>
      </c>
      <c r="EC89" s="129" t="n">
        <f aca="false">EXP(-LN(2)/2)*EC88+(1-EXP(-LN(2)/2))/(LN(2)/2)*DW89*DZ89*VLOOKUP('Données projet'!$B$14,Paramètres!$A$1:$I$89,3,0)*0.475*44/12</f>
        <v>2.27952917462568E-008</v>
      </c>
      <c r="ED89" s="130" t="n">
        <f aca="false">SUM(EA89:EC89)</f>
        <v>2.43362461183577</v>
      </c>
      <c r="EE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8" t="e">
        <f aca="false">VLOOKUP(A89,'Données projet'!$A$191:$I$211,2,0)</f>
        <v>#N/A</v>
      </c>
      <c r="EH89" s="118" t="e">
        <f aca="false">VLOOKUP(A89,'Données projet'!$A$191:$I$211,9,0)</f>
        <v>#N/A</v>
      </c>
      <c r="EI89" s="118" t="n">
        <f aca="false" t="array" ref="EI89:EI89">INDEX(EH:EH,MIN(IF(ISNUMBER(EH89:EH285),ROW(EH89:EH285),"")))</f>
        <v>0</v>
      </c>
      <c r="EJ89" s="118" t="n">
        <f aca="false">IF('Données projet'!$A$192&gt;35,EJ88+EI89-ER88,IF(A89&lt;'Données projet'!$A$192,$EG$205^A89,IF(A89='Données projet'!$A$192,'Données projet'!$B$192,EJ88+EI89-ER88)))</f>
        <v>0</v>
      </c>
      <c r="EK89" s="125" t="e">
        <f aca="false">EJ89*VLOOKUP('Données projet'!$B$15,Paramètres!$A$1:$I$89,3,0)*VLOOKUP('Données projet'!$B$15,Paramètres!$A$1:$I$89,5,0)</f>
        <v>#N/A</v>
      </c>
      <c r="EL89" s="117" t="e">
        <f aca="false">EXP(-1.0587+0.8836*LN(EK89)+0.284)</f>
        <v>#N/A</v>
      </c>
      <c r="EM89" s="128" t="e">
        <f aca="false">(EK89+EL89)*0.475*44/12</f>
        <v>#N/A</v>
      </c>
      <c r="EN89" s="120" t="e">
        <f aca="false">EM89+(EE89+EF89)*44/12</f>
        <v>#N/A</v>
      </c>
      <c r="EO89" s="120" t="e">
        <f aca="true">AVERAGE(OFFSET($EN$3,0,0,'Données projet'!$E$15+1,1))-AVERAGE(OFFSET($H$3,0,0,'Données projet'!$E$15+1,1))</f>
        <v>#N/A</v>
      </c>
      <c r="EP89" s="120" t="e">
        <f aca="false">$EP$3</f>
        <v>#N/A</v>
      </c>
      <c r="EQ89" s="121" t="n">
        <f aca="false">IF(ISNA(VLOOKUP(A89,'Données projet'!$A$191:$I$211,3,0)),0,VLOOKUP(A89,'Données projet'!$A$191:$I$211,3,0))</f>
        <v>0</v>
      </c>
      <c r="ER89" s="121" t="n">
        <f aca="false">IF(ISNA(VLOOKUP(A89,'Données projet'!$A$191:$I$211,4,0)),0,VLOOKUP(A89,'Données projet'!$A$191:$I$211,4,0))</f>
        <v>0</v>
      </c>
      <c r="ES89" s="122" t="n">
        <f aca="false">IF(ISNA(VLOOKUP(A89,'Données projet'!$A$191:$I$211,5,0)),0%,VLOOKUP(A89,'Données projet'!$A$191:$I$211,5,0)*VLOOKUP('Données projet'!$B$15,Paramètres!$A$1:$I$89,7,0))</f>
        <v>0</v>
      </c>
      <c r="ET89" s="122" t="n">
        <f aca="false">IF(ISNA(VLOOKUP(A89,'Données projet'!$A$191:$I$211,6,0)),0%,VLOOKUP(A89,'Données projet'!$A$191:$I$211,6,0)*VLOOKUP('Données projet'!$B$15,Paramètres!$A$1:$I$89,7,0))</f>
        <v>0</v>
      </c>
      <c r="EU89" s="122" t="n">
        <f aca="false">IF(ISNA(VLOOKUP(A89,'Données projet'!$A$191:$I$211,7,0)),0%,VLOOKUP(A89,'Données projet'!$A$191:$I$211,7,0))</f>
        <v>0</v>
      </c>
      <c r="EV89" s="129" t="e">
        <f aca="false">EXP(-LN(2)/35)*EV88+(1-EXP(-LN(2)/35))/(LN(2)/35)*ER89*ES89*VLOOKUP('Données projet'!$B$15,Paramètres!$A$1:$I$89,3,0)*0.475*44/12</f>
        <v>#N/A</v>
      </c>
      <c r="EW89" s="129" t="e">
        <f aca="false">EXP(-LN(2)/25)*EW88+(1-EXP(-LN(2)/25))/(LN(2)/25)*Calculateur!ER89*Calculateur!ET89*VLOOKUP('Données projet'!$B$15,Paramètres!$A$1:$I$89,3,0)*0.475*44/12</f>
        <v>#N/A</v>
      </c>
      <c r="EX89" s="129" t="e">
        <f aca="false">EXP(-LN(2)/2)*EX88+(1-EXP(-LN(2)/2))/(LN(2)/2)*ER89*EU89*VLOOKUP('Données projet'!$B$15,Paramètres!$A$1:$I$89,3,0)*0.475*44/12</f>
        <v>#N/A</v>
      </c>
      <c r="EY89" s="130" t="e">
        <f aca="false">SUM(EV89:EX89)</f>
        <v>#N/A</v>
      </c>
      <c r="EZ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8" t="e">
        <f aca="false">VLOOKUP(A89,'Données projet'!$A$217:$I$237,2,0)</f>
        <v>#N/A</v>
      </c>
      <c r="FC89" s="118" t="e">
        <f aca="false">VLOOKUP(A89,'Données projet'!$A$217:$I$237,9,0)</f>
        <v>#N/A</v>
      </c>
      <c r="FD89" s="118" t="n">
        <f aca="false" t="array" ref="FD89:FD89">INDEX(FC:FC,MIN(IF(ISNUMBER(FC89:FC285),ROW(FC89:FC285),"")))</f>
        <v>0</v>
      </c>
      <c r="FE89" s="118" t="n">
        <f aca="false">IF('Données projet'!$A$218&gt;35,FE88+FD89-FM88,IF(A89&lt;'Données projet'!$A$218,$FB$205^A89,IF(A89='Données projet'!$A$218,'Données projet'!$B$218,FE88+FD89-FM88)))</f>
        <v>0</v>
      </c>
      <c r="FF89" s="125" t="e">
        <f aca="false">FE89*VLOOKUP('Données projet'!$B$16,Paramètres!$A$1:$I$89,3,0)*VLOOKUP('Données projet'!$B$16,Paramètres!$A$1:$I$89,5,0)</f>
        <v>#N/A</v>
      </c>
      <c r="FG89" s="117" t="e">
        <f aca="false">EXP(-1.0587+0.8836*LN(FF89)+0.284)</f>
        <v>#N/A</v>
      </c>
      <c r="FH89" s="128" t="e">
        <f aca="false">(FF89+FG89)*0.475*44/12</f>
        <v>#N/A</v>
      </c>
      <c r="FI89" s="120" t="e">
        <f aca="false">FH89+(EZ89+FA89)*44/12</f>
        <v>#N/A</v>
      </c>
      <c r="FJ89" s="120" t="e">
        <f aca="true">AVERAGE(OFFSET($FI$3,0,0,'Données projet'!$E$16+1,1))-AVERAGE(OFFSET($H$3,0,0,'Données projet'!$E$16+1,1))</f>
        <v>#N/A</v>
      </c>
      <c r="FK89" s="120" t="e">
        <f aca="false">$FK$3</f>
        <v>#N/A</v>
      </c>
      <c r="FL89" s="121" t="n">
        <f aca="false">IF(ISNA(VLOOKUP(A89,'Données projet'!$A$217:$I$237,3,0)),0,VLOOKUP(A89,'Données projet'!$A$217:$I$237,3,0))</f>
        <v>0</v>
      </c>
      <c r="FM89" s="121" t="n">
        <f aca="false">IF(ISNA(VLOOKUP(A89,'Données projet'!$A$217:$I$237,4,0)),0,VLOOKUP(A89,'Données projet'!$A$217:$I$237,4,0))</f>
        <v>0</v>
      </c>
      <c r="FN89" s="122" t="n">
        <f aca="false">IF(ISNA(VLOOKUP(A89,'Données projet'!$A$217:$I$237,5,0)),0%,VLOOKUP(A89,'Données projet'!$A$217:$I$237,5,0)*VLOOKUP('Données projet'!$B$16,Paramètres!$A$1:$I$89,7,0))</f>
        <v>0</v>
      </c>
      <c r="FO89" s="122" t="n">
        <f aca="false">IF(ISNA(VLOOKUP(A89,'Données projet'!$A$217:$I$237,6,0)),0%,VLOOKUP(A89,'Données projet'!$A$217:$I$237,6,0)*VLOOKUP('Données projet'!$B$16,Paramètres!$A$1:$I$89,7,0))</f>
        <v>0</v>
      </c>
      <c r="FP89" s="122" t="n">
        <f aca="false">IF(ISNA(VLOOKUP(A89,'Données projet'!$A$217:$I$237,7,0)),0%,VLOOKUP(A89,'Données projet'!$A$217:$I$237,7,0))</f>
        <v>0</v>
      </c>
      <c r="FQ89" s="129" t="e">
        <f aca="false">EXP(-LN(2)/35)*FQ88+(1-EXP(-LN(2)/35))/(LN(2)/35)*FM89*FN89*VLOOKUP('Données projet'!$B$16,Paramètres!$A$1:$I$89,3,0)*0.475*44/12</f>
        <v>#N/A</v>
      </c>
      <c r="FR89" s="129" t="e">
        <f aca="false">EXP(-LN(2)/25)*FR88+(1-EXP(-LN(2)/25))/(LN(2)/25)*Calculateur!FM89*Calculateur!FO89*VLOOKUP('Données projet'!$B$16,Paramètres!$A$1:$I$89,3,0)*0.475*44/12</f>
        <v>#N/A</v>
      </c>
      <c r="FS89" s="129" t="e">
        <f aca="false">EXP(-LN(2)/2)*FS88+(1-EXP(-LN(2)/2))/(LN(2)/2)*FM89*FP89*VLOOKUP('Données projet'!$B$16,Paramètres!$A$1:$I$89,3,0)*0.475*44/12</f>
        <v>#N/A</v>
      </c>
      <c r="FT89" s="130" t="e">
        <f aca="false">SUM(FQ89:FS89)</f>
        <v>#N/A</v>
      </c>
      <c r="FU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8" t="e">
        <f aca="false">VLOOKUP(A89,'Données projet'!$A$243:$I$263,2,0)</f>
        <v>#N/A</v>
      </c>
      <c r="FX89" s="118" t="e">
        <f aca="false">VLOOKUP(A89,'Données projet'!$A$243:$I$263,9,0)</f>
        <v>#N/A</v>
      </c>
      <c r="FY89" s="118" t="n">
        <f aca="false" t="array" ref="FY89:FY89">INDEX(FX:FX,MIN(IF(ISNUMBER(FX89:FX285),ROW(FX89:FX285),"")))</f>
        <v>0</v>
      </c>
      <c r="FZ89" s="118" t="n">
        <f aca="false">IF('Données projet'!$A$244&gt;35,FZ88+FY89-GH88,IF(A89&lt;'Données projet'!$A$244,$FW$205^A89,IF(A89='Données projet'!$A$244,'Données projet'!$B$244,FZ88+FY89-GH88)))</f>
        <v>0</v>
      </c>
      <c r="GA89" s="125" t="e">
        <f aca="false">FZ89*VLOOKUP('Données projet'!$B$17,Paramètres!$A$1:$I$89,3,0)*VLOOKUP('Données projet'!$B$17,Paramètres!$A$1:$I$89,5,0)</f>
        <v>#N/A</v>
      </c>
      <c r="GB89" s="117" t="e">
        <f aca="false">EXP(-1.0587+0.8836*LN(GA89)+0.284)</f>
        <v>#N/A</v>
      </c>
      <c r="GC89" s="128" t="e">
        <f aca="false">(GA89+GB89)*0.475*44/12</f>
        <v>#N/A</v>
      </c>
      <c r="GD89" s="120" t="e">
        <f aca="false">GC89+(FU89+FV89)*44/12</f>
        <v>#N/A</v>
      </c>
      <c r="GE89" s="120" t="e">
        <f aca="true">AVERAGE(OFFSET($GD$3,0,0,'Données projet'!$E$17+1,1))-AVERAGE(OFFSET($H$3,0,0,'Données projet'!$E$17+1,1))</f>
        <v>#N/A</v>
      </c>
      <c r="GF89" s="120" t="e">
        <f aca="false">$GF$3</f>
        <v>#N/A</v>
      </c>
      <c r="GG89" s="121" t="n">
        <f aca="false">IF(ISNA(VLOOKUP(A89,'Données projet'!$A$243:$I$263,3,0)),0,VLOOKUP(A89,'Données projet'!$A$243:$I$263,3,0))</f>
        <v>0</v>
      </c>
      <c r="GH89" s="121" t="n">
        <f aca="false">IF(ISNA(VLOOKUP(A89,'Données projet'!$A$243:$I$263,4,0)),0,VLOOKUP(A89,'Données projet'!$A$243:$I$263,4,0))</f>
        <v>0</v>
      </c>
      <c r="GI89" s="122" t="n">
        <f aca="false">IF(ISNA(VLOOKUP(A89,'Données projet'!$A$243:$I$263,5,0)),0%,VLOOKUP(A89,'Données projet'!$A$243:$I$263,5,0)*VLOOKUP('Données projet'!$B$17,Paramètres!$A$1:$I$89,7,0))</f>
        <v>0</v>
      </c>
      <c r="GJ89" s="122" t="n">
        <f aca="false">IF(ISNA(VLOOKUP(A89,'Données projet'!$A$243:$I$263,6,0)),0%,VLOOKUP(A89,'Données projet'!$A$243:$I$263,6,0)*VLOOKUP('Données projet'!$B$17,Paramètres!$A$1:$I$89,7,0))</f>
        <v>0</v>
      </c>
      <c r="GK89" s="122" t="n">
        <f aca="false">IF(ISNA(VLOOKUP(A89,'Données projet'!$A$243:$I$263,7,0)),0%,VLOOKUP(A89,'Données projet'!$A$243:$I$263,7,0))</f>
        <v>0</v>
      </c>
      <c r="GL89" s="129" t="e">
        <f aca="false">EXP(-LN(2)/35)*GL88+(1-EXP(-LN(2)/35))/(LN(2)/35)*GH89*GI89*VLOOKUP('Données projet'!$B$17,Paramètres!$A$1:$I$89,3,0)*0.475*44/12</f>
        <v>#N/A</v>
      </c>
      <c r="GM89" s="129" t="e">
        <f aca="false">EXP(-LN(2)/25)*GM88+(1-EXP(-LN(2)/25))/(LN(2)/25)*Calculateur!GH89*Calculateur!GJ89*VLOOKUP('Données projet'!$B$17,Paramètres!$A$1:$I$89,3,0)*0.475*44/12</f>
        <v>#N/A</v>
      </c>
      <c r="GN89" s="129" t="e">
        <f aca="false">EXP(-LN(2)/2)*GN88+(1-EXP(-LN(2)/2))/(LN(2)/2)*GH89*GK89*VLOOKUP('Données projet'!$B$17,Paramètres!$A$1:$I$89,3,0)*0.475*44/12</f>
        <v>#N/A</v>
      </c>
      <c r="GO89" s="129" t="e">
        <f aca="false">SUM(GL89:GN89)</f>
        <v>#N/A</v>
      </c>
      <c r="GP89" s="126" t="n">
        <f aca="false"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8" t="n">
        <f aca="false"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8" t="e">
        <f aca="false">VLOOKUP(A89,'Données projet'!$A$269:$I$289,2,0)</f>
        <v>#N/A</v>
      </c>
      <c r="GS89" s="118" t="e">
        <f aca="false">VLOOKUP(A89,'Données projet'!$A$269:$I$289,9,0)</f>
        <v>#N/A</v>
      </c>
      <c r="GT89" s="118" t="n">
        <f aca="false" t="array" ref="GT89:GT89">INDEX(GS:GS,MIN(IF(ISNUMBER(GS89:GS285),ROW(GS89:GS285),"")))</f>
        <v>0</v>
      </c>
      <c r="GU89" s="118" t="n">
        <f aca="false">IF('Données projet'!$A$270&gt;35,GU88+GT89-HC88,IF(A89&lt;'Données projet'!$A$270,$GR$205^A89,IF(A89='Données projet'!$A$270,'Données projet'!$B$270,GU88+GT89-HC88)))</f>
        <v>0</v>
      </c>
      <c r="GV89" s="125" t="e">
        <f aca="false">GU89*VLOOKUP('Données projet'!$B$18,Paramètres!$A$1:$I$89,3,0)*VLOOKUP('Données projet'!$B$18,Paramètres!$A$1:$I$89,5,0)</f>
        <v>#N/A</v>
      </c>
      <c r="GW89" s="117" t="e">
        <f aca="false">EXP(-1.0587+0.8836*LN(GV89)+0.284)</f>
        <v>#N/A</v>
      </c>
      <c r="GX89" s="128" t="e">
        <f aca="false">(GV89+GW89)*0.475*44/12</f>
        <v>#N/A</v>
      </c>
      <c r="GY89" s="120" t="e">
        <f aca="false">GX89+(GP89+GQ89)*44/12</f>
        <v>#N/A</v>
      </c>
      <c r="GZ89" s="120" t="e">
        <f aca="true">AVERAGE(OFFSET($GY$3,0,0,'Données projet'!$E$18+1,1))-AVERAGE(OFFSET($H$3,0,0,'Données projet'!$E$18+1,1))</f>
        <v>#N/A</v>
      </c>
      <c r="HA89" s="120" t="e">
        <f aca="false">$HA$3</f>
        <v>#N/A</v>
      </c>
      <c r="HB89" s="121" t="n">
        <f aca="false">IF(ISNA(VLOOKUP(A89,'Données projet'!$A$269:$I$289,3,0)),0,VLOOKUP(A89,'Données projet'!$A$269:$I$289,3,0))</f>
        <v>0</v>
      </c>
      <c r="HC89" s="121" t="n">
        <f aca="false">IF(ISNA(VLOOKUP(A89,'Données projet'!$A$269:$I$289,4,0)),0,VLOOKUP(A89,'Données projet'!$A$269:$I$289,4,0))</f>
        <v>0</v>
      </c>
      <c r="HD89" s="122" t="n">
        <f aca="false">IF(ISNA(VLOOKUP(A89,'Données projet'!$A$269:$I$289,5,0)),0%,VLOOKUP(A89,'Données projet'!$A$269:$I$289,5,0)*VLOOKUP('Données projet'!$B$18,Paramètres!$A$1:$I$89,7,0))</f>
        <v>0</v>
      </c>
      <c r="HE89" s="122" t="n">
        <f aca="false">IF(ISNA(VLOOKUP(A89,'Données projet'!$A$269:$I$289,6,0)),0%,VLOOKUP(A89,'Données projet'!$A$269:$I$289,6,0)*VLOOKUP('Données projet'!$B$18,Paramètres!$A$1:$I$89,7,0))</f>
        <v>0</v>
      </c>
      <c r="HF89" s="122" t="n">
        <f aca="false">IF(ISNA(VLOOKUP(A89,'Données projet'!$A$269:$I$289,7,0)),0%,VLOOKUP(A89,'Données projet'!$A$269:$I$289,7,0))</f>
        <v>0</v>
      </c>
      <c r="HG89" s="129" t="e">
        <f aca="false">EXP(-LN(2)/35)*HG88+(1-EXP(-LN(2)/35))/(LN(2)/35)*HC89*HD89*VLOOKUP('Données projet'!$B$18,Paramètres!$A$1:$I$89,3,0)*0.475*44/12</f>
        <v>#N/A</v>
      </c>
      <c r="HH89" s="129" t="e">
        <f aca="false">EXP(-LN(2)/25)*HH88+(1-EXP(-LN(2)/25))/(LN(2)/25)*Calculateur!HC89*Calculateur!HE89*VLOOKUP('Données projet'!$B$18,Paramètres!$A$1:$I$89,3,0)*0.475*44/12</f>
        <v>#N/A</v>
      </c>
      <c r="HI89" s="129" t="e">
        <f aca="false">EXP(-LN(2)/2)*HI88+(1-EXP(-LN(2)/2))/(LN(2)/2)*HC89*HF89*VLOOKUP('Données projet'!$B$18,Paramètres!$A$1:$I$89,3,0)*0.475*44/12</f>
        <v>#N/A</v>
      </c>
      <c r="HJ89" s="130" t="e">
        <f aca="false">SUM(HG89:HI89)</f>
        <v>#N/A</v>
      </c>
    </row>
    <row r="90" customFormat="false" ht="14.25" hidden="false" customHeight="false" outlineLevel="0" collapsed="false">
      <c r="A90" s="112" t="n">
        <f aca="false">A89+1</f>
        <v>87</v>
      </c>
      <c r="B90" s="113" t="n">
        <f aca="false">'Scénario référence'!$B$16*5+'Scénario référence'!$B$17*0+'Scénario référence'!$B$18*5</f>
        <v>0</v>
      </c>
      <c r="C90" s="127" t="n">
        <f aca="false"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4" t="n">
        <f aca="false">IFERROR(EXP(-1.0587+0.8836*LN(C90)+0.284),0)</f>
        <v>0</v>
      </c>
      <c r="E9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0" s="114" t="n">
        <f aca="false">IF(OR('Scénario référence'!$F$8&gt;0,'Scénario référence'!$F$9&gt;0),('Scénario référence'!$F$8+'Scénario référence'!$F$9)*10,0)</f>
        <v>0</v>
      </c>
      <c r="G90" s="114" t="n">
        <f aca="false"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15" t="n">
        <f aca="false">(B90+E90+F90)*44/12+(C90+D90)*0.475*44/12</f>
        <v>256.666666666667</v>
      </c>
      <c r="I90" s="11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7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8" t="e">
        <f aca="false">VLOOKUP(A90,'Données projet'!$A$35:$I$55,2,0)</f>
        <v>#N/A</v>
      </c>
      <c r="L90" s="118" t="e">
        <f aca="false">VLOOKUP(A90,'Données projet'!$A$35:$I$55,9,0)</f>
        <v>#N/A</v>
      </c>
      <c r="M90" s="118" t="n">
        <f aca="false" t="array" ref="M90:M90">INDEX(L:L,MIN(IF(ISNUMBER(L90:L286),ROW(L90:L286),"")))</f>
        <v>17.5</v>
      </c>
      <c r="N90" s="117" t="n">
        <f aca="false">IF('Données projet'!$A$36&gt;35,N89+M90-V89,IF(A90&lt;'Données projet'!$A$36,$K$205^A90,IF(A90='Données projet'!$A$36,'Données projet'!$B$36,N89+M90-V89)))</f>
        <v>536</v>
      </c>
      <c r="O90" s="117" t="n">
        <f aca="false">N90*VLOOKUP('Données projet'!$B$9,Paramètres!$A$1:$I$89,3,0)*VLOOKUP('Données projet'!$B$9,Paramètres!$A$1:$I$89,5,0)</f>
        <v>250.848</v>
      </c>
      <c r="P90" s="117" t="n">
        <f aca="false">EXP(-1.0587+0.8836*LN(O90)+0.284)</f>
        <v>60.7674914867835</v>
      </c>
      <c r="Q90" s="128" t="n">
        <f aca="false">(O90+P90)*0.475*44/12</f>
        <v>542.730314339481</v>
      </c>
      <c r="R90" s="120" t="n">
        <f aca="false">Q90+(I90+J90)*44/12</f>
        <v>836.063647672815</v>
      </c>
      <c r="S90" s="120" t="n">
        <f aca="true">AVERAGE(OFFSET($R$3,0,0,'Données projet'!$E$9+1,1))-AVERAGE(OFFSET($H$3,0,0,'Données projet'!$E$9+1,1))</f>
        <v>319.229030946746</v>
      </c>
      <c r="T90" s="120" t="n">
        <f aca="false">$T$3</f>
        <v>254.586909731428</v>
      </c>
      <c r="U90" s="121" t="n">
        <f aca="false">IF(ISNA(VLOOKUP(A90,'Données projet'!$A$35:$I$55,3,0)),0,VLOOKUP(A90,'Données projet'!$A$35:$I$55,3,0))</f>
        <v>0</v>
      </c>
      <c r="V90" s="121" t="n">
        <f aca="false">IF(ISNA(VLOOKUP(A90,'Données projet'!$A$35:$I$55,4,0)),0,VLOOKUP(A90,'Données projet'!$A$35:$I$55,4,0))</f>
        <v>0</v>
      </c>
      <c r="W90" s="122" t="n">
        <f aca="false">IF(ISNA(VLOOKUP(A90,'Données projet'!$A$35:$I$55,5,0)),0%,VLOOKUP(A90,'Données projet'!$A$35:$I$55,5,0)*VLOOKUP('Données projet'!$B$9,Paramètres!$A$1:$I$89,7,0))</f>
        <v>0</v>
      </c>
      <c r="X90" s="122" t="n">
        <f aca="false">IF(ISNA(VLOOKUP(A90,'Données projet'!$A$35:$I$55,6,0)),0%,VLOOKUP(A90,'Données projet'!$A$35:$I$55,6,0)*VLOOKUP('Données projet'!$B$9,Paramètres!$A$1:$I$89,7,0))</f>
        <v>0</v>
      </c>
      <c r="Y90" s="122" t="n">
        <f aca="false">IF(ISNA(VLOOKUP(A90,'Données projet'!$A$35:$I$55,7,0)),0%,VLOOKUP(A90,'Données projet'!$A$35:$I$55,7,0))</f>
        <v>0</v>
      </c>
      <c r="Z90" s="129" t="n">
        <f aca="false">EXP(-LN(2)/35)*Z89+(1-EXP(-LN(2)/35))/(LN(2)/35)*V90*W90*VLOOKUP('Données projet'!$B$9,Paramètres!$A$1:$I$89,3,0)*0.475*44/12</f>
        <v>2.93530770527978</v>
      </c>
      <c r="AA90" s="129" t="n">
        <f aca="false">EXP(-LN(2)/25)*AA89+(1-EXP(-LN(2)/25))/(LN(2)/25)*Calculateur!V90*Calculateur!X90*VLOOKUP('Données projet'!$B$9,Paramètres!$A$1:$I$89,3,0)*0.475*44/12</f>
        <v>2.29603179028503</v>
      </c>
      <c r="AB90" s="129" t="n">
        <f aca="false">EXP(-LN(2)/2)*AB89+(1-EXP(-LN(2)/2))/(LN(2)/2)*V90*Y90*VLOOKUP('Données projet'!$B$9,Paramètres!$A$1:$I$89,3,0)*0.475*44/12</f>
        <v>2.90895668767535E-008</v>
      </c>
      <c r="AC90" s="130" t="n">
        <f aca="false">SUM(Z90:AB90)</f>
        <v>5.23133952465438</v>
      </c>
      <c r="AD90" s="117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7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8" t="e">
        <f aca="false">VLOOKUP(A90,'Données projet'!$A$61:$I$81,2,0)</f>
        <v>#N/A</v>
      </c>
      <c r="AG90" s="118" t="e">
        <f aca="false">VLOOKUP(A90,'Données projet'!$A$61:$I$81,9,0)</f>
        <v>#N/A</v>
      </c>
      <c r="AH90" s="118" t="n">
        <f aca="false" t="array" ref="AH90:AH90">INDEX(AG:AG,MIN(IF(ISNUMBER(AG90:AG286),ROW(AG90:AG286),"")))</f>
        <v>0</v>
      </c>
      <c r="AI90" s="117" t="n">
        <f aca="false">IF('Données projet'!$A$62&gt;35,AI89+AH90-AQ89,IF(A90&lt;'Données projet'!$A$62,$AF$205^A90,IF(A90='Données projet'!$A$62,'Données projet'!$B$62,AI89+AH90-AQ89)))</f>
        <v>1.13686837721616E-013</v>
      </c>
      <c r="AJ90" s="117" t="n">
        <f aca="false">AI90*VLOOKUP('Données projet'!$B$10,Paramètres!$A$1:$I$89,3,0)*VLOOKUP('Données projet'!$B$10,Paramètres!$A$1:$I$89,5,0)</f>
        <v>6.35509422863834E-014</v>
      </c>
      <c r="AK90" s="117" t="n">
        <f aca="false">EXP(-1.0587+0.8836*LN(AJ90)+0.284)</f>
        <v>1.0064464192544E-012</v>
      </c>
      <c r="AL90" s="128" t="n">
        <f aca="false">(AJ90+AK90)*0.475*44/12</f>
        <v>1.86357873801686E-012</v>
      </c>
      <c r="AM90" s="120" t="n">
        <f aca="false">AL90+(AD90+AE90)*44/12</f>
        <v>293.333333333335</v>
      </c>
      <c r="AN90" s="120" t="n">
        <f aca="true">AVERAGE(OFFSET($AM$3,0,0,'Données projet'!$E$10+1,1))-AVERAGE(OFFSET($H$3,0,0,'Données projet'!$E$10+1,1))</f>
        <v>365.705101827279</v>
      </c>
      <c r="AO90" s="120" t="n">
        <f aca="false">$AO$3</f>
        <v>436.238338449625</v>
      </c>
      <c r="AP90" s="121" t="n">
        <f aca="false">IF(ISNA(VLOOKUP(A90,'Données projet'!$A$61:$I$81,3,0)),0,VLOOKUP(A90,'Données projet'!$A$61:$I$81,3,0))</f>
        <v>0</v>
      </c>
      <c r="AQ90" s="121" t="n">
        <f aca="false">IF(ISNA(VLOOKUP(A90,'Données projet'!$A$61:$I$81,4,0)),0,VLOOKUP(A90,'Données projet'!$A$61:$I$81,4,0))</f>
        <v>0</v>
      </c>
      <c r="AR90" s="122" t="n">
        <f aca="false">IF(ISNA(VLOOKUP(A90,'Données projet'!$A$61:$I$81,5,0)),0%,VLOOKUP(A90,'Données projet'!$A$61:$I$81,5,0)*VLOOKUP('Données projet'!$B$10,Paramètres!$A$1:$I$89,7,0))</f>
        <v>0</v>
      </c>
      <c r="AS90" s="122" t="n">
        <f aca="false">IF(ISNA(VLOOKUP(A90,'Données projet'!$A$61:$I$81,6,0)),0%,VLOOKUP(A90,'Données projet'!$A$61:$I$81,6,0)*VLOOKUP('Données projet'!$B$10,Paramètres!$A$1:$I$89,7,0))</f>
        <v>0</v>
      </c>
      <c r="AT90" s="122" t="n">
        <f aca="false">IF(ISNA(VLOOKUP(A90,'Données projet'!$A$61:$I$81,7,0)),0%,VLOOKUP(A90,'Données projet'!$A$61:$I$81,7,0))</f>
        <v>0</v>
      </c>
      <c r="AU90" s="129" t="n">
        <f aca="false">EXP(-LN(2)/35)*AU89+(1-EXP(-LN(2)/35))/(LN(2)/35)*AQ90*AR90*VLOOKUP('Données projet'!$B$10,Paramètres!$A$1:$I$89,3,0)*0.475*44/12</f>
        <v>1.10798349192952</v>
      </c>
      <c r="AV90" s="129" t="n">
        <f aca="false">EXP(-LN(2)/25)*AV89+(1-EXP(-LN(2)/25))/(LN(2)/25)*Calculateur!AQ90*Calculateur!AS90*VLOOKUP('Données projet'!$B$10,Paramètres!$A$1:$I$89,3,0)*0.475*44/12</f>
        <v>2.71952550943633</v>
      </c>
      <c r="AW90" s="129" t="n">
        <f aca="false">EXP(-LN(2)/2)*AW89+(1-EXP(-LN(2)/2))/(LN(2)/2)*AQ90*AT90*VLOOKUP('Données projet'!$B$10,Paramètres!$A$1:$I$89,3,0)*0.475*44/12</f>
        <v>1.56550957057074E-008</v>
      </c>
      <c r="AX90" s="129" t="n">
        <f aca="false">SUM(AU90:AW90)</f>
        <v>3.82750901702095</v>
      </c>
      <c r="AY90" s="124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8" t="e">
        <f aca="false">VLOOKUP(A90,'Données projet'!$A$87:$I$107,2,0)</f>
        <v>#N/A</v>
      </c>
      <c r="BB90" s="118" t="e">
        <f aca="false">VLOOKUP(A90,'Données projet'!$A$87:$I$107,9,0)</f>
        <v>#N/A</v>
      </c>
      <c r="BC90" s="118" t="n">
        <f aca="false" t="array" ref="BC90:BC90">INDEX(BB:BB,MIN(IF(ISNUMBER(BB90:BB286),ROW(BB90:BB286),"")))</f>
        <v>0</v>
      </c>
      <c r="BD90" s="118" t="n">
        <f aca="false">IF('Données projet'!$A$88&gt;35,BD89+BC90-BL89,IF(A90&lt;'Données projet'!$A$88,$BA$205^A90,IF(A90='Données projet'!$A$88,'Données projet'!$B$88,BD89+BC90-BL89)))</f>
        <v>1.98951966012828E-013</v>
      </c>
      <c r="BE90" s="117" t="n">
        <f aca="false">BD90*VLOOKUP('Données projet'!$B$11,Paramètres!$A$1:$I$89,3,0)*VLOOKUP('Données projet'!$B$11,Paramètres!$A$1:$I$89,5,0)</f>
        <v>1.73804437508807E-013</v>
      </c>
      <c r="BF90" s="117" t="n">
        <f aca="false">EXP(-1.0587+0.8836*LN(BE90)+0.284)</f>
        <v>2.44832936339505E-012</v>
      </c>
      <c r="BG90" s="128" t="n">
        <f aca="false">(BE90+BF90)*0.475*44/12</f>
        <v>4.56688303657421E-012</v>
      </c>
      <c r="BH90" s="120" t="n">
        <f aca="false">BG90+(AY90+AZ90)*44/12</f>
        <v>293.333333333338</v>
      </c>
      <c r="BI90" s="120" t="n">
        <f aca="true">AVERAGE(OFFSET($BH$3,0,0,'Données projet'!$E$11+1,1))-AVERAGE(OFFSET($H$3,0,0,'Données projet'!$E$11+1,1))</f>
        <v>321.235999689929</v>
      </c>
      <c r="BJ90" s="120" t="n">
        <f aca="false">$BJ$3</f>
        <v>388.051958478005</v>
      </c>
      <c r="BK90" s="121" t="n">
        <f aca="false">IF(ISNA(VLOOKUP(A90,'Données projet'!$A$87:$I$107,3,0)),0,VLOOKUP(A90,'Données projet'!$A$87:$I$107,3,0))</f>
        <v>0</v>
      </c>
      <c r="BL90" s="121" t="n">
        <f aca="false">IF(ISNA(VLOOKUP(A90,'Données projet'!$A$87:$I$107,4,0)),0,VLOOKUP(A90,'Données projet'!$A$87:$I$107,4,0))</f>
        <v>0</v>
      </c>
      <c r="BM90" s="122" t="n">
        <f aca="false">IF(ISNA(VLOOKUP(A90,'Données projet'!$A$87:$I$107,5,0)),0%,VLOOKUP(A90,'Données projet'!$A$87:$I$107,5,0)*VLOOKUP('Données projet'!$B$11,Paramètres!$A$1:$I$89,7,0))</f>
        <v>0</v>
      </c>
      <c r="BN90" s="122" t="n">
        <f aca="false">IF(ISNA(VLOOKUP(A90,'Données projet'!$A$87:$I$107,6,0)),0%,VLOOKUP(A90,'Données projet'!$A$87:$I$107,6,0)*VLOOKUP('Données projet'!$B$11,Paramètres!$A$1:$I$89,7,0))</f>
        <v>0</v>
      </c>
      <c r="BO90" s="122" t="n">
        <f aca="false">IF(ISNA(VLOOKUP(A90,'Données projet'!$A$87:$I$107,7,0)),0%,VLOOKUP(A90,'Données projet'!$A$87:$I$107,7,0))</f>
        <v>0</v>
      </c>
      <c r="BP90" s="129" t="n">
        <f aca="false">EXP(-LN(2)/35)*BP89+(1-EXP(-LN(2)/35))/(LN(2)/35)*BL90*BM90*VLOOKUP('Données projet'!$B$11,Paramètres!$A$1:$I$89,3,0)*0.475*44/12</f>
        <v>2.78172701244726</v>
      </c>
      <c r="BQ90" s="129" t="n">
        <f aca="false">EXP(-LN(2)/25)*BQ89+(1-EXP(-LN(2)/25))/(LN(2)/25)*Calculateur!BL90*Calculateur!BN90*VLOOKUP('Données projet'!$B$11,Paramètres!$A$1:$I$89,3,0)*0.475*44/12</f>
        <v>2.77593011020426</v>
      </c>
      <c r="BR90" s="129" t="n">
        <f aca="false">EXP(-LN(2)/2)*BR89+(1-EXP(-LN(2)/2))/(LN(2)/2)*BL90*BO90*VLOOKUP('Données projet'!$B$11,Paramètres!$A$1:$I$89,3,0)*0.475*44/12</f>
        <v>1.59130793882777E-008</v>
      </c>
      <c r="BS90" s="130" t="n">
        <f aca="false">SUM(BP90:BR90)</f>
        <v>5.55765713856459</v>
      </c>
      <c r="BT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8" t="e">
        <f aca="false">VLOOKUP(A90,'Données projet'!$A$113:$I$133,2,0)</f>
        <v>#N/A</v>
      </c>
      <c r="BW90" s="118" t="e">
        <f aca="false">VLOOKUP(A90,'Données projet'!$A$113:$I$133,9,0)</f>
        <v>#N/A</v>
      </c>
      <c r="BX90" s="118" t="n">
        <f aca="false" t="array" ref="BX90:BX90">INDEX(BW:BW,MIN(IF(ISNUMBER(BW90:BW286),ROW(BW90:BW286),"")))</f>
        <v>0</v>
      </c>
      <c r="BY90" s="118" t="n">
        <f aca="false">IF('Données projet'!$A$114&gt;35,BY89+BX90-CG89,IF(A90&lt;'Données projet'!$A$114,$BV$205^A90,IF(A90='Données projet'!$A$114,'Données projet'!$B$114,BY89+BX90-CG89)))</f>
        <v>0</v>
      </c>
      <c r="BZ90" s="117" t="n">
        <f aca="false">BY90*VLOOKUP('Données projet'!$B$12,Paramètres!$A$1:$I$89,3,0)*VLOOKUP('Données projet'!$B$12,Paramètres!$A$1:$I$89,5,0)</f>
        <v>0</v>
      </c>
      <c r="CA90" s="117" t="e">
        <f aca="false">EXP(-1.0587+0.8836*LN(BZ90)+0.284)</f>
        <v>#VALUE!</v>
      </c>
      <c r="CB90" s="128" t="e">
        <f aca="false">(BZ90+CA90)*0.475*44/12</f>
        <v>#VALUE!</v>
      </c>
      <c r="CC90" s="120" t="e">
        <f aca="false">CB90+(BT90+BU90)*44/12</f>
        <v>#VALUE!</v>
      </c>
      <c r="CD90" s="120" t="n">
        <f aca="true">AVERAGE(OFFSET($CC$3,0,0,'Données projet'!$E$12+1,1))-AVERAGE(OFFSET($H$3,0,0,'Données projet'!$E$12+1,1))</f>
        <v>240.228848647662</v>
      </c>
      <c r="CE90" s="120" t="n">
        <f aca="false">$CE$3</f>
        <v>343.237768841432</v>
      </c>
      <c r="CF90" s="121" t="n">
        <f aca="false">IF(ISNA(VLOOKUP(A90,'Données projet'!$A$113:$I$133,3,0)),0,VLOOKUP(A90,'Données projet'!$A$113:$I$133,3,0))</f>
        <v>0</v>
      </c>
      <c r="CG90" s="121" t="n">
        <f aca="false">IF(ISNA(VLOOKUP(A90,'Données projet'!$A$113:$I$133,4,0)),0,VLOOKUP(A90,'Données projet'!$A$113:$I$133,4,0))</f>
        <v>0</v>
      </c>
      <c r="CH90" s="122" t="n">
        <f aca="false">IF(ISNA(VLOOKUP(A90,'Données projet'!$A$113:$I$133,5,0)),0%,VLOOKUP(A90,'Données projet'!$A$113:$I$133,5,0)*VLOOKUP('Données projet'!$B$12,Paramètres!$A$1:$I$89,7,0))</f>
        <v>0</v>
      </c>
      <c r="CI90" s="122" t="n">
        <f aca="false">IF(ISNA(VLOOKUP(A90,'Données projet'!$A$113:$I$133,6,0)),0%,VLOOKUP(A90,'Données projet'!$A$113:$I$133,6,0)*VLOOKUP('Données projet'!$B$12,Paramètres!$A$1:$I$89,7,0))</f>
        <v>0</v>
      </c>
      <c r="CJ90" s="122" t="n">
        <f aca="false">IF(ISNA(VLOOKUP(A90,'Données projet'!$A$113:$I$133,7,0)),0%,VLOOKUP(A90,'Données projet'!$A$113:$I$133,7,0))</f>
        <v>0</v>
      </c>
      <c r="CK90" s="129" t="n">
        <f aca="false">EXP(-LN(2)/35)*CK89+(1-EXP(-LN(2)/35))/(LN(2)/35)*CG90*CH90*VLOOKUP('Données projet'!$B$12,Paramètres!$A$1:$I$89,3,0)*0.475*44/12</f>
        <v>1.7026336475196</v>
      </c>
      <c r="CL90" s="129" t="n">
        <f aca="false">EXP(-LN(2)/25)*CL89+(1-EXP(-LN(2)/25))/(LN(2)/25)*Calculateur!CG90*Calculateur!CI90*VLOOKUP('Données projet'!$B$12,Paramètres!$A$1:$I$89,3,0)*0.475*44/12</f>
        <v>4.90245327290023</v>
      </c>
      <c r="CM90" s="129" t="n">
        <f aca="false">EXP(-LN(2)/2)*CM89+(1-EXP(-LN(2)/2))/(LN(2)/2)*CG90*CJ90*VLOOKUP('Données projet'!$B$12,Paramètres!$A$1:$I$89,3,0)*0.475*44/12</f>
        <v>2.53930322791579E-008</v>
      </c>
      <c r="CN90" s="130" t="n">
        <f aca="false">SUM(CK90:CM90)</f>
        <v>6.60508694581287</v>
      </c>
      <c r="CO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8" t="e">
        <f aca="false">VLOOKUP(A90,'Données projet'!$A$139:$I$159,2,0)</f>
        <v>#N/A</v>
      </c>
      <c r="CR90" s="118" t="e">
        <f aca="false">VLOOKUP(A90,'Données projet'!$A$139:$I$159,9,0)</f>
        <v>#N/A</v>
      </c>
      <c r="CS90" s="118" t="n">
        <f aca="false" t="array" ref="CS90:CS90">INDEX(CR:CR,MIN(IF(ISNUMBER(CR90:CR286),ROW(CR90:CR286),"")))</f>
        <v>0</v>
      </c>
      <c r="CT90" s="118" t="n">
        <f aca="false">IF('Données projet'!$A$140&gt;35,CT89+CS90-DB89,IF(A90&lt;'Données projet'!$A$140,$CQ$205^A90,IF(A90='Données projet'!$A$140,'Données projet'!$B$140,CT89+CS90-DB89)))</f>
        <v>-5.6843418860808E-014</v>
      </c>
      <c r="CU90" s="125" t="n">
        <f aca="false">CT90*VLOOKUP('Données projet'!$B$13,Paramètres!$A$1:$I$89,3,0)*VLOOKUP('Données projet'!$B$13,Paramètres!$A$1:$I$89,5,0)</f>
        <v>-3.10365066980012E-014</v>
      </c>
      <c r="CV90" s="117" t="e">
        <f aca="false">EXP(-1.0587+0.8836*LN(CU90)+0.284)</f>
        <v>#VALUE!</v>
      </c>
      <c r="CW90" s="128" t="e">
        <f aca="false">(CU90+CV90)*0.475*44/12</f>
        <v>#VALUE!</v>
      </c>
      <c r="CX90" s="120" t="e">
        <f aca="false">CW90+(CO90+CP90)*44/12</f>
        <v>#VALUE!</v>
      </c>
      <c r="CY90" s="120" t="n">
        <f aca="true">AVERAGE(OFFSET($CX$3,0,0,'Données projet'!$E$13+1,1))-AVERAGE(OFFSET($H$3,0,0,'Données projet'!$E$13+1,1))</f>
        <v>207.023069645676</v>
      </c>
      <c r="CZ90" s="120" t="n">
        <f aca="false">$CZ$3</f>
        <v>342.068879333518</v>
      </c>
      <c r="DA90" s="121" t="n">
        <f aca="false">IF(ISNA(VLOOKUP(A90,'Données projet'!$A$139:$I$159,3,0)),0,VLOOKUP(A90,'Données projet'!$A$139:$I$159,3,0))</f>
        <v>0</v>
      </c>
      <c r="DB90" s="121" t="n">
        <f aca="false">IF(ISNA(VLOOKUP(A90,'Données projet'!$A$139:$I$159,4,0)),0,VLOOKUP(A90,'Données projet'!$A$139:$I$159,4,0))</f>
        <v>0</v>
      </c>
      <c r="DC90" s="122" t="n">
        <f aca="false">IF(ISNA(VLOOKUP(A90,'Données projet'!$A$139:$I$159,5,0)),0%,VLOOKUP(A90,'Données projet'!$A$139:$I$159,5,0)*VLOOKUP('Données projet'!$B$13,Paramètres!$A$1:$I$89,7,0))</f>
        <v>0</v>
      </c>
      <c r="DD90" s="122" t="n">
        <f aca="false">IF(ISNA(VLOOKUP(A90,'Données projet'!$A$139:$I$159,6,0)),0%,VLOOKUP(A90,'Données projet'!$A$139:$I$159,6,0)*VLOOKUP('Données projet'!$B$13,Paramètres!$A$1:$I$89,7,0))</f>
        <v>0</v>
      </c>
      <c r="DE90" s="122" t="n">
        <f aca="false">IF(ISNA(VLOOKUP(A90,'Données projet'!$A$139:$I$159,7,0)),0%,VLOOKUP(A90,'Données projet'!$A$139:$I$159,7,0))</f>
        <v>0</v>
      </c>
      <c r="DF90" s="129" t="n">
        <f aca="false">EXP(-LN(2)/35)*DF89+(1-EXP(-LN(2)/35))/(LN(2)/35)*DB90*DC90*VLOOKUP('Données projet'!$B$13,Paramètres!$A$1:$I$89,3,0)*0.475*44/12</f>
        <v>2.13632335018969</v>
      </c>
      <c r="DG90" s="129" t="n">
        <f aca="false">EXP(-LN(2)/25)*DG89+(1-EXP(-LN(2)/25))/(LN(2)/25)*Calculateur!DB90*Calculateur!DD90*VLOOKUP('Données projet'!$B$13,Paramètres!$A$1:$I$89,3,0)*0.475*44/12</f>
        <v>8.01346928418117</v>
      </c>
      <c r="DH90" s="129" t="n">
        <f aca="false">EXP(-LN(2)/2)*DH89+(1-EXP(-LN(2)/2))/(LN(2)/2)*DB90*DE90*VLOOKUP('Données projet'!$B$13,Paramètres!$A$1:$I$89,3,0)*0.475*44/12</f>
        <v>3.49662172212498E-008</v>
      </c>
      <c r="DI90" s="130" t="n">
        <f aca="false">SUM(DF90:DH90)</f>
        <v>10.1497926693371</v>
      </c>
      <c r="DJ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8" t="e">
        <f aca="false">VLOOKUP(A90,'Données projet'!$A$165:$I$185,2,0)</f>
        <v>#N/A</v>
      </c>
      <c r="DM90" s="118" t="e">
        <f aca="false">VLOOKUP(A90,'Données projet'!$A$165:$I$185,9,0)</f>
        <v>#N/A</v>
      </c>
      <c r="DN90" s="118" t="n">
        <f aca="false" t="array" ref="DN90:DN90">INDEX(DM:DM,MIN(IF(ISNUMBER(DM90:DM286),ROW(DM90:DM286),"")))</f>
        <v>0</v>
      </c>
      <c r="DO90" s="118" t="n">
        <f aca="false">IF('Données projet'!$A$166&gt;35,DO89+DN90-DW89,IF(A90&lt;'Données projet'!$A$166,$DL$205^A90,IF(A90='Données projet'!$A$166,'Données projet'!$B$166,DO89+DN90-DW89)))</f>
        <v>0</v>
      </c>
      <c r="DP90" s="125" t="n">
        <f aca="false">DO90*VLOOKUP('Données projet'!$B$14,Paramètres!$A$1:$I$89,3,0)*VLOOKUP('Données projet'!$B$14,Paramètres!$A$1:$I$89,5,0)</f>
        <v>0</v>
      </c>
      <c r="DQ90" s="117" t="e">
        <f aca="false">EXP(-1.0587+0.8836*LN(DP90)+0.284)</f>
        <v>#VALUE!</v>
      </c>
      <c r="DR90" s="128" t="e">
        <f aca="false">(DP90+DQ90)*0.475*44/12</f>
        <v>#VALUE!</v>
      </c>
      <c r="DS90" s="120" t="e">
        <f aca="false">DR90+(DJ90+DK90)*44/12</f>
        <v>#VALUE!</v>
      </c>
      <c r="DT90" s="120" t="n">
        <f aca="true">AVERAGE(OFFSET($DS$3,0,0,'Données projet'!$E$14+1,1))-AVERAGE(OFFSET($H$3,0,0,'Données projet'!$E$14+1,1))</f>
        <v>549.432320957297</v>
      </c>
      <c r="DU90" s="120" t="n">
        <f aca="false">$DU$3</f>
        <v>280.26155987301</v>
      </c>
      <c r="DV90" s="121" t="n">
        <f aca="false">IF(ISNA(VLOOKUP(A90,'Données projet'!$A$165:$I$185,3,0)),0,VLOOKUP(A90,'Données projet'!$A$165:$I$185,3,0))</f>
        <v>0</v>
      </c>
      <c r="DW90" s="121" t="n">
        <f aca="false">IF(ISNA(VLOOKUP(A90,'Données projet'!$A$165:$I$185,4,0)),0,VLOOKUP(A90,'Données projet'!$A$165:$I$185,4,0))</f>
        <v>0</v>
      </c>
      <c r="DX90" s="122" t="n">
        <f aca="false">IF(ISNA(VLOOKUP(A90,'Données projet'!$A$165:$I$185,5,0)),0%,VLOOKUP(A90,'Données projet'!$A$165:$I$185,5,0)*VLOOKUP('Données projet'!$B$14,Paramètres!$A$1:$I$89,7,0))</f>
        <v>0</v>
      </c>
      <c r="DY90" s="122" t="n">
        <f aca="false">IF(ISNA(VLOOKUP(A90,'Données projet'!$A$165:$I$185,6,0)),0%,VLOOKUP(A90,'Données projet'!$A$165:$I$185,6,0)*VLOOKUP('Données projet'!$B$14,Paramètres!$A$1:$I$89,7,0))</f>
        <v>0</v>
      </c>
      <c r="DZ90" s="122" t="n">
        <f aca="false">IF(ISNA(VLOOKUP(A90,'Données projet'!$A$165:$I$185,7,0)),0%,VLOOKUP(A90,'Données projet'!$A$165:$I$185,7,0))</f>
        <v>0</v>
      </c>
      <c r="EA90" s="129" t="n">
        <f aca="false">EXP(-LN(2)/35)*EA89+(1-EXP(-LN(2)/35))/(LN(2)/35)*DW90*DX90*VLOOKUP('Données projet'!$B$14,Paramètres!$A$1:$I$89,3,0)*0.475*44/12</f>
        <v>0.776764788034827</v>
      </c>
      <c r="EB90" s="129" t="n">
        <f aca="false">EXP(-LN(2)/25)*EB89+(1-EXP(-LN(2)/25))/(LN(2)/25)*Calculateur!DW90*Calculateur!DY90*VLOOKUP('Données projet'!$B$14,Paramètres!$A$1:$I$89,3,0)*0.475*44/12</f>
        <v>1.596441184379</v>
      </c>
      <c r="EC90" s="129" t="n">
        <f aca="false">EXP(-LN(2)/2)*EC89+(1-EXP(-LN(2)/2))/(LN(2)/2)*DW90*DZ90*VLOOKUP('Données projet'!$B$14,Paramètres!$A$1:$I$89,3,0)*0.475*44/12</f>
        <v>1.61187053729039E-008</v>
      </c>
      <c r="ED90" s="130" t="n">
        <f aca="false">SUM(EA90:EC90)</f>
        <v>2.37320598853253</v>
      </c>
      <c r="EE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8" t="e">
        <f aca="false">VLOOKUP(A90,'Données projet'!$A$191:$I$211,2,0)</f>
        <v>#N/A</v>
      </c>
      <c r="EH90" s="118" t="e">
        <f aca="false">VLOOKUP(A90,'Données projet'!$A$191:$I$211,9,0)</f>
        <v>#N/A</v>
      </c>
      <c r="EI90" s="118" t="n">
        <f aca="false" t="array" ref="EI90:EI90">INDEX(EH:EH,MIN(IF(ISNUMBER(EH90:EH286),ROW(EH90:EH286),"")))</f>
        <v>0</v>
      </c>
      <c r="EJ90" s="118" t="n">
        <f aca="false">IF('Données projet'!$A$192&gt;35,EJ89+EI90-ER89,IF(A90&lt;'Données projet'!$A$192,$EG$205^A90,IF(A90='Données projet'!$A$192,'Données projet'!$B$192,EJ89+EI90-ER89)))</f>
        <v>0</v>
      </c>
      <c r="EK90" s="125" t="e">
        <f aca="false">EJ90*VLOOKUP('Données projet'!$B$15,Paramètres!$A$1:$I$89,3,0)*VLOOKUP('Données projet'!$B$15,Paramètres!$A$1:$I$89,5,0)</f>
        <v>#N/A</v>
      </c>
      <c r="EL90" s="117" t="e">
        <f aca="false">EXP(-1.0587+0.8836*LN(EK90)+0.284)</f>
        <v>#N/A</v>
      </c>
      <c r="EM90" s="128" t="e">
        <f aca="false">(EK90+EL90)*0.475*44/12</f>
        <v>#N/A</v>
      </c>
      <c r="EN90" s="120" t="e">
        <f aca="false">EM90+(EE90+EF90)*44/12</f>
        <v>#N/A</v>
      </c>
      <c r="EO90" s="120" t="e">
        <f aca="true">AVERAGE(OFFSET($EN$3,0,0,'Données projet'!$E$15+1,1))-AVERAGE(OFFSET($H$3,0,0,'Données projet'!$E$15+1,1))</f>
        <v>#N/A</v>
      </c>
      <c r="EP90" s="120" t="e">
        <f aca="false">$EP$3</f>
        <v>#N/A</v>
      </c>
      <c r="EQ90" s="121" t="n">
        <f aca="false">IF(ISNA(VLOOKUP(A90,'Données projet'!$A$191:$I$211,3,0)),0,VLOOKUP(A90,'Données projet'!$A$191:$I$211,3,0))</f>
        <v>0</v>
      </c>
      <c r="ER90" s="121" t="n">
        <f aca="false">IF(ISNA(VLOOKUP(A90,'Données projet'!$A$191:$I$211,4,0)),0,VLOOKUP(A90,'Données projet'!$A$191:$I$211,4,0))</f>
        <v>0</v>
      </c>
      <c r="ES90" s="122" t="n">
        <f aca="false">IF(ISNA(VLOOKUP(A90,'Données projet'!$A$191:$I$211,5,0)),0%,VLOOKUP(A90,'Données projet'!$A$191:$I$211,5,0)*VLOOKUP('Données projet'!$B$15,Paramètres!$A$1:$I$89,7,0))</f>
        <v>0</v>
      </c>
      <c r="ET90" s="122" t="n">
        <f aca="false">IF(ISNA(VLOOKUP(A90,'Données projet'!$A$191:$I$211,6,0)),0%,VLOOKUP(A90,'Données projet'!$A$191:$I$211,6,0)*VLOOKUP('Données projet'!$B$15,Paramètres!$A$1:$I$89,7,0))</f>
        <v>0</v>
      </c>
      <c r="EU90" s="122" t="n">
        <f aca="false">IF(ISNA(VLOOKUP(A90,'Données projet'!$A$191:$I$211,7,0)),0%,VLOOKUP(A90,'Données projet'!$A$191:$I$211,7,0))</f>
        <v>0</v>
      </c>
      <c r="EV90" s="129" t="e">
        <f aca="false">EXP(-LN(2)/35)*EV89+(1-EXP(-LN(2)/35))/(LN(2)/35)*ER90*ES90*VLOOKUP('Données projet'!$B$15,Paramètres!$A$1:$I$89,3,0)*0.475*44/12</f>
        <v>#N/A</v>
      </c>
      <c r="EW90" s="129" t="e">
        <f aca="false">EXP(-LN(2)/25)*EW89+(1-EXP(-LN(2)/25))/(LN(2)/25)*Calculateur!ER90*Calculateur!ET90*VLOOKUP('Données projet'!$B$15,Paramètres!$A$1:$I$89,3,0)*0.475*44/12</f>
        <v>#N/A</v>
      </c>
      <c r="EX90" s="129" t="e">
        <f aca="false">EXP(-LN(2)/2)*EX89+(1-EXP(-LN(2)/2))/(LN(2)/2)*ER90*EU90*VLOOKUP('Données projet'!$B$15,Paramètres!$A$1:$I$89,3,0)*0.475*44/12</f>
        <v>#N/A</v>
      </c>
      <c r="EY90" s="130" t="e">
        <f aca="false">SUM(EV90:EX90)</f>
        <v>#N/A</v>
      </c>
      <c r="EZ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8" t="e">
        <f aca="false">VLOOKUP(A90,'Données projet'!$A$217:$I$237,2,0)</f>
        <v>#N/A</v>
      </c>
      <c r="FC90" s="118" t="e">
        <f aca="false">VLOOKUP(A90,'Données projet'!$A$217:$I$237,9,0)</f>
        <v>#N/A</v>
      </c>
      <c r="FD90" s="118" t="n">
        <f aca="false" t="array" ref="FD90:FD90">INDEX(FC:FC,MIN(IF(ISNUMBER(FC90:FC286),ROW(FC90:FC286),"")))</f>
        <v>0</v>
      </c>
      <c r="FE90" s="118" t="n">
        <f aca="false">IF('Données projet'!$A$218&gt;35,FE89+FD90-FM89,IF(A90&lt;'Données projet'!$A$218,$FB$205^A90,IF(A90='Données projet'!$A$218,'Données projet'!$B$218,FE89+FD90-FM89)))</f>
        <v>0</v>
      </c>
      <c r="FF90" s="125" t="e">
        <f aca="false">FE90*VLOOKUP('Données projet'!$B$16,Paramètres!$A$1:$I$89,3,0)*VLOOKUP('Données projet'!$B$16,Paramètres!$A$1:$I$89,5,0)</f>
        <v>#N/A</v>
      </c>
      <c r="FG90" s="117" t="e">
        <f aca="false">EXP(-1.0587+0.8836*LN(FF90)+0.284)</f>
        <v>#N/A</v>
      </c>
      <c r="FH90" s="128" t="e">
        <f aca="false">(FF90+FG90)*0.475*44/12</f>
        <v>#N/A</v>
      </c>
      <c r="FI90" s="120" t="e">
        <f aca="false">FH90+(EZ90+FA90)*44/12</f>
        <v>#N/A</v>
      </c>
      <c r="FJ90" s="120" t="e">
        <f aca="true">AVERAGE(OFFSET($FI$3,0,0,'Données projet'!$E$16+1,1))-AVERAGE(OFFSET($H$3,0,0,'Données projet'!$E$16+1,1))</f>
        <v>#N/A</v>
      </c>
      <c r="FK90" s="120" t="e">
        <f aca="false">$FK$3</f>
        <v>#N/A</v>
      </c>
      <c r="FL90" s="121" t="n">
        <f aca="false">IF(ISNA(VLOOKUP(A90,'Données projet'!$A$217:$I$237,3,0)),0,VLOOKUP(A90,'Données projet'!$A$217:$I$237,3,0))</f>
        <v>0</v>
      </c>
      <c r="FM90" s="121" t="n">
        <f aca="false">IF(ISNA(VLOOKUP(A90,'Données projet'!$A$217:$I$237,4,0)),0,VLOOKUP(A90,'Données projet'!$A$217:$I$237,4,0))</f>
        <v>0</v>
      </c>
      <c r="FN90" s="122" t="n">
        <f aca="false">IF(ISNA(VLOOKUP(A90,'Données projet'!$A$217:$I$237,5,0)),0%,VLOOKUP(A90,'Données projet'!$A$217:$I$237,5,0)*VLOOKUP('Données projet'!$B$16,Paramètres!$A$1:$I$89,7,0))</f>
        <v>0</v>
      </c>
      <c r="FO90" s="122" t="n">
        <f aca="false">IF(ISNA(VLOOKUP(A90,'Données projet'!$A$217:$I$237,6,0)),0%,VLOOKUP(A90,'Données projet'!$A$217:$I$237,6,0)*VLOOKUP('Données projet'!$B$16,Paramètres!$A$1:$I$89,7,0))</f>
        <v>0</v>
      </c>
      <c r="FP90" s="122" t="n">
        <f aca="false">IF(ISNA(VLOOKUP(A90,'Données projet'!$A$217:$I$237,7,0)),0%,VLOOKUP(A90,'Données projet'!$A$217:$I$237,7,0))</f>
        <v>0</v>
      </c>
      <c r="FQ90" s="129" t="e">
        <f aca="false">EXP(-LN(2)/35)*FQ89+(1-EXP(-LN(2)/35))/(LN(2)/35)*FM90*FN90*VLOOKUP('Données projet'!$B$16,Paramètres!$A$1:$I$89,3,0)*0.475*44/12</f>
        <v>#N/A</v>
      </c>
      <c r="FR90" s="129" t="e">
        <f aca="false">EXP(-LN(2)/25)*FR89+(1-EXP(-LN(2)/25))/(LN(2)/25)*Calculateur!FM90*Calculateur!FO90*VLOOKUP('Données projet'!$B$16,Paramètres!$A$1:$I$89,3,0)*0.475*44/12</f>
        <v>#N/A</v>
      </c>
      <c r="FS90" s="129" t="e">
        <f aca="false">EXP(-LN(2)/2)*FS89+(1-EXP(-LN(2)/2))/(LN(2)/2)*FM90*FP90*VLOOKUP('Données projet'!$B$16,Paramètres!$A$1:$I$89,3,0)*0.475*44/12</f>
        <v>#N/A</v>
      </c>
      <c r="FT90" s="130" t="e">
        <f aca="false">SUM(FQ90:FS90)</f>
        <v>#N/A</v>
      </c>
      <c r="FU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8" t="e">
        <f aca="false">VLOOKUP(A90,'Données projet'!$A$243:$I$263,2,0)</f>
        <v>#N/A</v>
      </c>
      <c r="FX90" s="118" t="e">
        <f aca="false">VLOOKUP(A90,'Données projet'!$A$243:$I$263,9,0)</f>
        <v>#N/A</v>
      </c>
      <c r="FY90" s="118" t="n">
        <f aca="false" t="array" ref="FY90:FY90">INDEX(FX:FX,MIN(IF(ISNUMBER(FX90:FX286),ROW(FX90:FX286),"")))</f>
        <v>0</v>
      </c>
      <c r="FZ90" s="118" t="n">
        <f aca="false">IF('Données projet'!$A$244&gt;35,FZ89+FY90-GH89,IF(A90&lt;'Données projet'!$A$244,$FW$205^A90,IF(A90='Données projet'!$A$244,'Données projet'!$B$244,FZ89+FY90-GH89)))</f>
        <v>0</v>
      </c>
      <c r="GA90" s="125" t="e">
        <f aca="false">FZ90*VLOOKUP('Données projet'!$B$17,Paramètres!$A$1:$I$89,3,0)*VLOOKUP('Données projet'!$B$17,Paramètres!$A$1:$I$89,5,0)</f>
        <v>#N/A</v>
      </c>
      <c r="GB90" s="117" t="e">
        <f aca="false">EXP(-1.0587+0.8836*LN(GA90)+0.284)</f>
        <v>#N/A</v>
      </c>
      <c r="GC90" s="128" t="e">
        <f aca="false">(GA90+GB90)*0.475*44/12</f>
        <v>#N/A</v>
      </c>
      <c r="GD90" s="120" t="e">
        <f aca="false">GC90+(FU90+FV90)*44/12</f>
        <v>#N/A</v>
      </c>
      <c r="GE90" s="120" t="e">
        <f aca="true">AVERAGE(OFFSET($GD$3,0,0,'Données projet'!$E$17+1,1))-AVERAGE(OFFSET($H$3,0,0,'Données projet'!$E$17+1,1))</f>
        <v>#N/A</v>
      </c>
      <c r="GF90" s="120" t="e">
        <f aca="false">$GF$3</f>
        <v>#N/A</v>
      </c>
      <c r="GG90" s="121" t="n">
        <f aca="false">IF(ISNA(VLOOKUP(A90,'Données projet'!$A$243:$I$263,3,0)),0,VLOOKUP(A90,'Données projet'!$A$243:$I$263,3,0))</f>
        <v>0</v>
      </c>
      <c r="GH90" s="121" t="n">
        <f aca="false">IF(ISNA(VLOOKUP(A90,'Données projet'!$A$243:$I$263,4,0)),0,VLOOKUP(A90,'Données projet'!$A$243:$I$263,4,0))</f>
        <v>0</v>
      </c>
      <c r="GI90" s="122" t="n">
        <f aca="false">IF(ISNA(VLOOKUP(A90,'Données projet'!$A$243:$I$263,5,0)),0%,VLOOKUP(A90,'Données projet'!$A$243:$I$263,5,0)*VLOOKUP('Données projet'!$B$17,Paramètres!$A$1:$I$89,7,0))</f>
        <v>0</v>
      </c>
      <c r="GJ90" s="122" t="n">
        <f aca="false">IF(ISNA(VLOOKUP(A90,'Données projet'!$A$243:$I$263,6,0)),0%,VLOOKUP(A90,'Données projet'!$A$243:$I$263,6,0)*VLOOKUP('Données projet'!$B$17,Paramètres!$A$1:$I$89,7,0))</f>
        <v>0</v>
      </c>
      <c r="GK90" s="122" t="n">
        <f aca="false">IF(ISNA(VLOOKUP(A90,'Données projet'!$A$243:$I$263,7,0)),0%,VLOOKUP(A90,'Données projet'!$A$243:$I$263,7,0))</f>
        <v>0</v>
      </c>
      <c r="GL90" s="129" t="e">
        <f aca="false">EXP(-LN(2)/35)*GL89+(1-EXP(-LN(2)/35))/(LN(2)/35)*GH90*GI90*VLOOKUP('Données projet'!$B$17,Paramètres!$A$1:$I$89,3,0)*0.475*44/12</f>
        <v>#N/A</v>
      </c>
      <c r="GM90" s="129" t="e">
        <f aca="false">EXP(-LN(2)/25)*GM89+(1-EXP(-LN(2)/25))/(LN(2)/25)*Calculateur!GH90*Calculateur!GJ90*VLOOKUP('Données projet'!$B$17,Paramètres!$A$1:$I$89,3,0)*0.475*44/12</f>
        <v>#N/A</v>
      </c>
      <c r="GN90" s="129" t="e">
        <f aca="false">EXP(-LN(2)/2)*GN89+(1-EXP(-LN(2)/2))/(LN(2)/2)*GH90*GK90*VLOOKUP('Données projet'!$B$17,Paramètres!$A$1:$I$89,3,0)*0.475*44/12</f>
        <v>#N/A</v>
      </c>
      <c r="GO90" s="129" t="e">
        <f aca="false">SUM(GL90:GN90)</f>
        <v>#N/A</v>
      </c>
      <c r="GP90" s="126" t="n">
        <f aca="false"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8" t="n">
        <f aca="false"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8" t="e">
        <f aca="false">VLOOKUP(A90,'Données projet'!$A$269:$I$289,2,0)</f>
        <v>#N/A</v>
      </c>
      <c r="GS90" s="118" t="e">
        <f aca="false">VLOOKUP(A90,'Données projet'!$A$269:$I$289,9,0)</f>
        <v>#N/A</v>
      </c>
      <c r="GT90" s="118" t="n">
        <f aca="false" t="array" ref="GT90:GT90">INDEX(GS:GS,MIN(IF(ISNUMBER(GS90:GS286),ROW(GS90:GS286),"")))</f>
        <v>0</v>
      </c>
      <c r="GU90" s="118" t="n">
        <f aca="false">IF('Données projet'!$A$270&gt;35,GU89+GT90-HC89,IF(A90&lt;'Données projet'!$A$270,$GR$205^A90,IF(A90='Données projet'!$A$270,'Données projet'!$B$270,GU89+GT90-HC89)))</f>
        <v>0</v>
      </c>
      <c r="GV90" s="125" t="e">
        <f aca="false">GU90*VLOOKUP('Données projet'!$B$18,Paramètres!$A$1:$I$89,3,0)*VLOOKUP('Données projet'!$B$18,Paramètres!$A$1:$I$89,5,0)</f>
        <v>#N/A</v>
      </c>
      <c r="GW90" s="117" t="e">
        <f aca="false">EXP(-1.0587+0.8836*LN(GV90)+0.284)</f>
        <v>#N/A</v>
      </c>
      <c r="GX90" s="128" t="e">
        <f aca="false">(GV90+GW90)*0.475*44/12</f>
        <v>#N/A</v>
      </c>
      <c r="GY90" s="120" t="e">
        <f aca="false">GX90+(GP90+GQ90)*44/12</f>
        <v>#N/A</v>
      </c>
      <c r="GZ90" s="120" t="e">
        <f aca="true">AVERAGE(OFFSET($GY$3,0,0,'Données projet'!$E$18+1,1))-AVERAGE(OFFSET($H$3,0,0,'Données projet'!$E$18+1,1))</f>
        <v>#N/A</v>
      </c>
      <c r="HA90" s="120" t="e">
        <f aca="false">$HA$3</f>
        <v>#N/A</v>
      </c>
      <c r="HB90" s="121" t="n">
        <f aca="false">IF(ISNA(VLOOKUP(A90,'Données projet'!$A$269:$I$289,3,0)),0,VLOOKUP(A90,'Données projet'!$A$269:$I$289,3,0))</f>
        <v>0</v>
      </c>
      <c r="HC90" s="121" t="n">
        <f aca="false">IF(ISNA(VLOOKUP(A90,'Données projet'!$A$269:$I$289,4,0)),0,VLOOKUP(A90,'Données projet'!$A$269:$I$289,4,0))</f>
        <v>0</v>
      </c>
      <c r="HD90" s="122" t="n">
        <f aca="false">IF(ISNA(VLOOKUP(A90,'Données projet'!$A$269:$I$289,5,0)),0%,VLOOKUP(A90,'Données projet'!$A$269:$I$289,5,0)*VLOOKUP('Données projet'!$B$18,Paramètres!$A$1:$I$89,7,0))</f>
        <v>0</v>
      </c>
      <c r="HE90" s="122" t="n">
        <f aca="false">IF(ISNA(VLOOKUP(A90,'Données projet'!$A$269:$I$289,6,0)),0%,VLOOKUP(A90,'Données projet'!$A$269:$I$289,6,0)*VLOOKUP('Données projet'!$B$18,Paramètres!$A$1:$I$89,7,0))</f>
        <v>0</v>
      </c>
      <c r="HF90" s="122" t="n">
        <f aca="false">IF(ISNA(VLOOKUP(A90,'Données projet'!$A$269:$I$289,7,0)),0%,VLOOKUP(A90,'Données projet'!$A$269:$I$289,7,0))</f>
        <v>0</v>
      </c>
      <c r="HG90" s="129" t="e">
        <f aca="false">EXP(-LN(2)/35)*HG89+(1-EXP(-LN(2)/35))/(LN(2)/35)*HC90*HD90*VLOOKUP('Données projet'!$B$18,Paramètres!$A$1:$I$89,3,0)*0.475*44/12</f>
        <v>#N/A</v>
      </c>
      <c r="HH90" s="129" t="e">
        <f aca="false">EXP(-LN(2)/25)*HH89+(1-EXP(-LN(2)/25))/(LN(2)/25)*Calculateur!HC90*Calculateur!HE90*VLOOKUP('Données projet'!$B$18,Paramètres!$A$1:$I$89,3,0)*0.475*44/12</f>
        <v>#N/A</v>
      </c>
      <c r="HI90" s="129" t="e">
        <f aca="false">EXP(-LN(2)/2)*HI89+(1-EXP(-LN(2)/2))/(LN(2)/2)*HC90*HF90*VLOOKUP('Données projet'!$B$18,Paramètres!$A$1:$I$89,3,0)*0.475*44/12</f>
        <v>#N/A</v>
      </c>
      <c r="HJ90" s="130" t="e">
        <f aca="false">SUM(HG90:HI90)</f>
        <v>#N/A</v>
      </c>
    </row>
    <row r="91" customFormat="false" ht="14.25" hidden="false" customHeight="false" outlineLevel="0" collapsed="false">
      <c r="A91" s="112" t="n">
        <f aca="false">A90+1</f>
        <v>88</v>
      </c>
      <c r="B91" s="113" t="n">
        <f aca="false">'Scénario référence'!$B$16*5+'Scénario référence'!$B$17*0+'Scénario référence'!$B$18*5</f>
        <v>0</v>
      </c>
      <c r="C91" s="127" t="n">
        <f aca="false"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4" t="n">
        <f aca="false">IFERROR(EXP(-1.0587+0.8836*LN(C91)+0.284),0)</f>
        <v>0</v>
      </c>
      <c r="E9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1" s="114" t="n">
        <f aca="false">IF(OR('Scénario référence'!$F$8&gt;0,'Scénario référence'!$F$9&gt;0),('Scénario référence'!$F$8+'Scénario référence'!$F$9)*10,0)</f>
        <v>0</v>
      </c>
      <c r="G91" s="114" t="n">
        <f aca="false"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15" t="n">
        <f aca="false">(B91+E91+F91)*44/12+(C91+D91)*0.475*44/12</f>
        <v>256.666666666667</v>
      </c>
      <c r="I91" s="11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7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8" t="e">
        <f aca="false">VLOOKUP(A91,'Données projet'!$A$35:$I$55,2,0)</f>
        <v>#N/A</v>
      </c>
      <c r="L91" s="118" t="e">
        <f aca="false">VLOOKUP(A91,'Données projet'!$A$35:$I$55,9,0)</f>
        <v>#N/A</v>
      </c>
      <c r="M91" s="118" t="n">
        <f aca="false" t="array" ref="M91:M91">INDEX(L:L,MIN(IF(ISNUMBER(L91:L287),ROW(L91:L287),"")))</f>
        <v>17.5</v>
      </c>
      <c r="N91" s="117" t="n">
        <f aca="false">IF('Données projet'!$A$36&gt;35,N90+M91-V90,IF(A91&lt;'Données projet'!$A$36,$K$205^A91,IF(A91='Données projet'!$A$36,'Données projet'!$B$36,N90+M91-V90)))</f>
        <v>553.5</v>
      </c>
      <c r="O91" s="117" t="n">
        <f aca="false">N91*VLOOKUP('Données projet'!$B$9,Paramètres!$A$1:$I$89,3,0)*VLOOKUP('Données projet'!$B$9,Paramètres!$A$1:$I$89,5,0)</f>
        <v>259.038</v>
      </c>
      <c r="P91" s="117" t="n">
        <f aca="false">EXP(-1.0587+0.8836*LN(O91)+0.284)</f>
        <v>62.5172742130255</v>
      </c>
      <c r="Q91" s="128" t="n">
        <f aca="false">(O91+P91)*0.475*44/12</f>
        <v>560.042102587686</v>
      </c>
      <c r="R91" s="120" t="n">
        <f aca="false">Q91+(I91+J91)*44/12</f>
        <v>853.375435921019</v>
      </c>
      <c r="S91" s="120" t="n">
        <f aca="true">AVERAGE(OFFSET($R$3,0,0,'Données projet'!$E$9+1,1))-AVERAGE(OFFSET($H$3,0,0,'Données projet'!$E$9+1,1))</f>
        <v>319.229030946746</v>
      </c>
      <c r="T91" s="120" t="n">
        <f aca="false">$T$3</f>
        <v>254.586909731428</v>
      </c>
      <c r="U91" s="121" t="n">
        <f aca="false">IF(ISNA(VLOOKUP(A91,'Données projet'!$A$35:$I$55,3,0)),0,VLOOKUP(A91,'Données projet'!$A$35:$I$55,3,0))</f>
        <v>0</v>
      </c>
      <c r="V91" s="121" t="n">
        <f aca="false">IF(ISNA(VLOOKUP(A91,'Données projet'!$A$35:$I$55,4,0)),0,VLOOKUP(A91,'Données projet'!$A$35:$I$55,4,0))</f>
        <v>0</v>
      </c>
      <c r="W91" s="122" t="n">
        <f aca="false">IF(ISNA(VLOOKUP(A91,'Données projet'!$A$35:$I$55,5,0)),0%,VLOOKUP(A91,'Données projet'!$A$35:$I$55,5,0)*VLOOKUP('Données projet'!$B$9,Paramètres!$A$1:$I$89,7,0))</f>
        <v>0</v>
      </c>
      <c r="X91" s="122" t="n">
        <f aca="false">IF(ISNA(VLOOKUP(A91,'Données projet'!$A$35:$I$55,6,0)),0%,VLOOKUP(A91,'Données projet'!$A$35:$I$55,6,0)*VLOOKUP('Données projet'!$B$9,Paramètres!$A$1:$I$89,7,0))</f>
        <v>0</v>
      </c>
      <c r="Y91" s="122" t="n">
        <f aca="false">IF(ISNA(VLOOKUP(A91,'Données projet'!$A$35:$I$55,7,0)),0%,VLOOKUP(A91,'Données projet'!$A$35:$I$55,7,0))</f>
        <v>0</v>
      </c>
      <c r="Z91" s="129" t="n">
        <f aca="false">EXP(-LN(2)/35)*Z90+(1-EXP(-LN(2)/35))/(LN(2)/35)*V91*W91*VLOOKUP('Données projet'!$B$9,Paramètres!$A$1:$I$89,3,0)*0.475*44/12</f>
        <v>2.87774811154016</v>
      </c>
      <c r="AA91" s="129" t="n">
        <f aca="false">EXP(-LN(2)/25)*AA90+(1-EXP(-LN(2)/25))/(LN(2)/25)*Calculateur!V91*Calculateur!X91*VLOOKUP('Données projet'!$B$9,Paramètres!$A$1:$I$89,3,0)*0.475*44/12</f>
        <v>2.23324668023662</v>
      </c>
      <c r="AB91" s="129" t="n">
        <f aca="false">EXP(-LN(2)/2)*AB90+(1-EXP(-LN(2)/2))/(LN(2)/2)*V91*Y91*VLOOKUP('Données projet'!$B$9,Paramètres!$A$1:$I$89,3,0)*0.475*44/12</f>
        <v>2.0569430000332E-008</v>
      </c>
      <c r="AC91" s="130" t="n">
        <f aca="false">SUM(Z91:AB91)</f>
        <v>5.11099481234622</v>
      </c>
      <c r="AD91" s="117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7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8" t="e">
        <f aca="false">VLOOKUP(A91,'Données projet'!$A$61:$I$81,2,0)</f>
        <v>#N/A</v>
      </c>
      <c r="AG91" s="118" t="e">
        <f aca="false">VLOOKUP(A91,'Données projet'!$A$61:$I$81,9,0)</f>
        <v>#N/A</v>
      </c>
      <c r="AH91" s="118" t="n">
        <f aca="false" t="array" ref="AH91:AH91">INDEX(AG:AG,MIN(IF(ISNUMBER(AG91:AG287),ROW(AG91:AG287),"")))</f>
        <v>0</v>
      </c>
      <c r="AI91" s="117" t="n">
        <f aca="false">IF('Données projet'!$A$62&gt;35,AI90+AH91-AQ90,IF(A91&lt;'Données projet'!$A$62,$AF$205^A91,IF(A91='Données projet'!$A$62,'Données projet'!$B$62,AI90+AH91-AQ90)))</f>
        <v>1.13686837721616E-013</v>
      </c>
      <c r="AJ91" s="117" t="n">
        <f aca="false">AI91*VLOOKUP('Données projet'!$B$10,Paramètres!$A$1:$I$89,3,0)*VLOOKUP('Données projet'!$B$10,Paramètres!$A$1:$I$89,5,0)</f>
        <v>6.35509422863834E-014</v>
      </c>
      <c r="AK91" s="117" t="n">
        <f aca="false">EXP(-1.0587+0.8836*LN(AJ91)+0.284)</f>
        <v>1.0064464192544E-012</v>
      </c>
      <c r="AL91" s="128" t="n">
        <f aca="false">(AJ91+AK91)*0.475*44/12</f>
        <v>1.86357873801686E-012</v>
      </c>
      <c r="AM91" s="120" t="n">
        <f aca="false">AL91+(AD91+AE91)*44/12</f>
        <v>293.333333333335</v>
      </c>
      <c r="AN91" s="120" t="n">
        <f aca="true">AVERAGE(OFFSET($AM$3,0,0,'Données projet'!$E$10+1,1))-AVERAGE(OFFSET($H$3,0,0,'Données projet'!$E$10+1,1))</f>
        <v>365.705101827279</v>
      </c>
      <c r="AO91" s="120" t="n">
        <f aca="false">$AO$3</f>
        <v>436.238338449625</v>
      </c>
      <c r="AP91" s="121" t="n">
        <f aca="false">IF(ISNA(VLOOKUP(A91,'Données projet'!$A$61:$I$81,3,0)),0,VLOOKUP(A91,'Données projet'!$A$61:$I$81,3,0))</f>
        <v>0</v>
      </c>
      <c r="AQ91" s="121" t="n">
        <f aca="false">IF(ISNA(VLOOKUP(A91,'Données projet'!$A$61:$I$81,4,0)),0,VLOOKUP(A91,'Données projet'!$A$61:$I$81,4,0))</f>
        <v>0</v>
      </c>
      <c r="AR91" s="122" t="n">
        <f aca="false">IF(ISNA(VLOOKUP(A91,'Données projet'!$A$61:$I$81,5,0)),0%,VLOOKUP(A91,'Données projet'!$A$61:$I$81,5,0)*VLOOKUP('Données projet'!$B$10,Paramètres!$A$1:$I$89,7,0))</f>
        <v>0</v>
      </c>
      <c r="AS91" s="122" t="n">
        <f aca="false">IF(ISNA(VLOOKUP(A91,'Données projet'!$A$61:$I$81,6,0)),0%,VLOOKUP(A91,'Données projet'!$A$61:$I$81,6,0)*VLOOKUP('Données projet'!$B$10,Paramètres!$A$1:$I$89,7,0))</f>
        <v>0</v>
      </c>
      <c r="AT91" s="122" t="n">
        <f aca="false">IF(ISNA(VLOOKUP(A91,'Données projet'!$A$61:$I$81,7,0)),0%,VLOOKUP(A91,'Données projet'!$A$61:$I$81,7,0))</f>
        <v>0</v>
      </c>
      <c r="AU91" s="129" t="n">
        <f aca="false">EXP(-LN(2)/35)*AU90+(1-EXP(-LN(2)/35))/(LN(2)/35)*AQ91*AR91*VLOOKUP('Données projet'!$B$10,Paramètres!$A$1:$I$89,3,0)*0.475*44/12</f>
        <v>1.08625661145598</v>
      </c>
      <c r="AV91" s="129" t="n">
        <f aca="false">EXP(-LN(2)/25)*AV90+(1-EXP(-LN(2)/25))/(LN(2)/25)*Calculateur!AQ91*Calculateur!AS91*VLOOKUP('Données projet'!$B$10,Paramètres!$A$1:$I$89,3,0)*0.475*44/12</f>
        <v>2.64515994136716</v>
      </c>
      <c r="AW91" s="129" t="n">
        <f aca="false">EXP(-LN(2)/2)*AW90+(1-EXP(-LN(2)/2))/(LN(2)/2)*AQ91*AT91*VLOOKUP('Données projet'!$B$10,Paramètres!$A$1:$I$89,3,0)*0.475*44/12</f>
        <v>1.10698243336301E-008</v>
      </c>
      <c r="AX91" s="129" t="n">
        <f aca="false">SUM(AU91:AW91)</f>
        <v>3.73141656389297</v>
      </c>
      <c r="AY91" s="124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8" t="e">
        <f aca="false">VLOOKUP(A91,'Données projet'!$A$87:$I$107,2,0)</f>
        <v>#N/A</v>
      </c>
      <c r="BB91" s="118" t="e">
        <f aca="false">VLOOKUP(A91,'Données projet'!$A$87:$I$107,9,0)</f>
        <v>#N/A</v>
      </c>
      <c r="BC91" s="118" t="n">
        <f aca="false" t="array" ref="BC91:BC91">INDEX(BB:BB,MIN(IF(ISNUMBER(BB91:BB287),ROW(BB91:BB287),"")))</f>
        <v>0</v>
      </c>
      <c r="BD91" s="118" t="n">
        <f aca="false">IF('Données projet'!$A$88&gt;35,BD90+BC91-BL90,IF(A91&lt;'Données projet'!$A$88,$BA$205^A91,IF(A91='Données projet'!$A$88,'Données projet'!$B$88,BD90+BC91-BL90)))</f>
        <v>1.98951966012828E-013</v>
      </c>
      <c r="BE91" s="117" t="n">
        <f aca="false">BD91*VLOOKUP('Données projet'!$B$11,Paramètres!$A$1:$I$89,3,0)*VLOOKUP('Données projet'!$B$11,Paramètres!$A$1:$I$89,5,0)</f>
        <v>1.73804437508807E-013</v>
      </c>
      <c r="BF91" s="117" t="n">
        <f aca="false">EXP(-1.0587+0.8836*LN(BE91)+0.284)</f>
        <v>2.44832936339505E-012</v>
      </c>
      <c r="BG91" s="128" t="n">
        <f aca="false">(BE91+BF91)*0.475*44/12</f>
        <v>4.56688303657421E-012</v>
      </c>
      <c r="BH91" s="120" t="n">
        <f aca="false">BG91+(AY91+AZ91)*44/12</f>
        <v>293.333333333338</v>
      </c>
      <c r="BI91" s="120" t="n">
        <f aca="true">AVERAGE(OFFSET($BH$3,0,0,'Données projet'!$E$11+1,1))-AVERAGE(OFFSET($H$3,0,0,'Données projet'!$E$11+1,1))</f>
        <v>321.235999689929</v>
      </c>
      <c r="BJ91" s="120" t="n">
        <f aca="false">$BJ$3</f>
        <v>388.051958478005</v>
      </c>
      <c r="BK91" s="121" t="n">
        <f aca="false">IF(ISNA(VLOOKUP(A91,'Données projet'!$A$87:$I$107,3,0)),0,VLOOKUP(A91,'Données projet'!$A$87:$I$107,3,0))</f>
        <v>0</v>
      </c>
      <c r="BL91" s="121" t="n">
        <f aca="false">IF(ISNA(VLOOKUP(A91,'Données projet'!$A$87:$I$107,4,0)),0,VLOOKUP(A91,'Données projet'!$A$87:$I$107,4,0))</f>
        <v>0</v>
      </c>
      <c r="BM91" s="122" t="n">
        <f aca="false">IF(ISNA(VLOOKUP(A91,'Données projet'!$A$87:$I$107,5,0)),0%,VLOOKUP(A91,'Données projet'!$A$87:$I$107,5,0)*VLOOKUP('Données projet'!$B$11,Paramètres!$A$1:$I$89,7,0))</f>
        <v>0</v>
      </c>
      <c r="BN91" s="122" t="n">
        <f aca="false">IF(ISNA(VLOOKUP(A91,'Données projet'!$A$87:$I$107,6,0)),0%,VLOOKUP(A91,'Données projet'!$A$87:$I$107,6,0)*VLOOKUP('Données projet'!$B$11,Paramètres!$A$1:$I$89,7,0))</f>
        <v>0</v>
      </c>
      <c r="BO91" s="122" t="n">
        <f aca="false">IF(ISNA(VLOOKUP(A91,'Données projet'!$A$87:$I$107,7,0)),0%,VLOOKUP(A91,'Données projet'!$A$87:$I$107,7,0))</f>
        <v>0</v>
      </c>
      <c r="BP91" s="129" t="n">
        <f aca="false">EXP(-LN(2)/35)*BP90+(1-EXP(-LN(2)/35))/(LN(2)/35)*BL91*BM91*VLOOKUP('Données projet'!$B$11,Paramètres!$A$1:$I$89,3,0)*0.475*44/12</f>
        <v>2.72717904241911</v>
      </c>
      <c r="BQ91" s="129" t="n">
        <f aca="false">EXP(-LN(2)/25)*BQ90+(1-EXP(-LN(2)/25))/(LN(2)/25)*Calculateur!BL91*Calculateur!BN91*VLOOKUP('Données projet'!$B$11,Paramètres!$A$1:$I$89,3,0)*0.475*44/12</f>
        <v>2.7000221553609</v>
      </c>
      <c r="BR91" s="129" t="n">
        <f aca="false">EXP(-LN(2)/2)*BR90+(1-EXP(-LN(2)/2))/(LN(2)/2)*BL91*BO91*VLOOKUP('Données projet'!$B$11,Paramètres!$A$1:$I$89,3,0)*0.475*44/12</f>
        <v>1.1252246345011E-008</v>
      </c>
      <c r="BS91" s="130" t="n">
        <f aca="false">SUM(BP91:BR91)</f>
        <v>5.42720120903226</v>
      </c>
      <c r="BT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8" t="e">
        <f aca="false">VLOOKUP(A91,'Données projet'!$A$113:$I$133,2,0)</f>
        <v>#N/A</v>
      </c>
      <c r="BW91" s="118" t="e">
        <f aca="false">VLOOKUP(A91,'Données projet'!$A$113:$I$133,9,0)</f>
        <v>#N/A</v>
      </c>
      <c r="BX91" s="118" t="n">
        <f aca="false" t="array" ref="BX91:BX91">INDEX(BW:BW,MIN(IF(ISNUMBER(BW91:BW287),ROW(BW91:BW287),"")))</f>
        <v>0</v>
      </c>
      <c r="BY91" s="118" t="n">
        <f aca="false">IF('Données projet'!$A$114&gt;35,BY90+BX91-CG90,IF(A91&lt;'Données projet'!$A$114,$BV$205^A91,IF(A91='Données projet'!$A$114,'Données projet'!$B$114,BY90+BX91-CG90)))</f>
        <v>0</v>
      </c>
      <c r="BZ91" s="117" t="n">
        <f aca="false">BY91*VLOOKUP('Données projet'!$B$12,Paramètres!$A$1:$I$89,3,0)*VLOOKUP('Données projet'!$B$12,Paramètres!$A$1:$I$89,5,0)</f>
        <v>0</v>
      </c>
      <c r="CA91" s="117" t="e">
        <f aca="false">EXP(-1.0587+0.8836*LN(BZ91)+0.284)</f>
        <v>#VALUE!</v>
      </c>
      <c r="CB91" s="128" t="e">
        <f aca="false">(BZ91+CA91)*0.475*44/12</f>
        <v>#VALUE!</v>
      </c>
      <c r="CC91" s="120" t="e">
        <f aca="false">CB91+(BT91+BU91)*44/12</f>
        <v>#VALUE!</v>
      </c>
      <c r="CD91" s="120" t="n">
        <f aca="true">AVERAGE(OFFSET($CC$3,0,0,'Données projet'!$E$12+1,1))-AVERAGE(OFFSET($H$3,0,0,'Données projet'!$E$12+1,1))</f>
        <v>240.228848647662</v>
      </c>
      <c r="CE91" s="120" t="n">
        <f aca="false">$CE$3</f>
        <v>343.237768841432</v>
      </c>
      <c r="CF91" s="121" t="n">
        <f aca="false">IF(ISNA(VLOOKUP(A91,'Données projet'!$A$113:$I$133,3,0)),0,VLOOKUP(A91,'Données projet'!$A$113:$I$133,3,0))</f>
        <v>0</v>
      </c>
      <c r="CG91" s="121" t="n">
        <f aca="false">IF(ISNA(VLOOKUP(A91,'Données projet'!$A$113:$I$133,4,0)),0,VLOOKUP(A91,'Données projet'!$A$113:$I$133,4,0))</f>
        <v>0</v>
      </c>
      <c r="CH91" s="122" t="n">
        <f aca="false">IF(ISNA(VLOOKUP(A91,'Données projet'!$A$113:$I$133,5,0)),0%,VLOOKUP(A91,'Données projet'!$A$113:$I$133,5,0)*VLOOKUP('Données projet'!$B$12,Paramètres!$A$1:$I$89,7,0))</f>
        <v>0</v>
      </c>
      <c r="CI91" s="122" t="n">
        <f aca="false">IF(ISNA(VLOOKUP(A91,'Données projet'!$A$113:$I$133,6,0)),0%,VLOOKUP(A91,'Données projet'!$A$113:$I$133,6,0)*VLOOKUP('Données projet'!$B$12,Paramètres!$A$1:$I$89,7,0))</f>
        <v>0</v>
      </c>
      <c r="CJ91" s="122" t="n">
        <f aca="false">IF(ISNA(VLOOKUP(A91,'Données projet'!$A$113:$I$133,7,0)),0%,VLOOKUP(A91,'Données projet'!$A$113:$I$133,7,0))</f>
        <v>0</v>
      </c>
      <c r="CK91" s="129" t="n">
        <f aca="false">EXP(-LN(2)/35)*CK90+(1-EXP(-LN(2)/35))/(LN(2)/35)*CG91*CH91*VLOOKUP('Données projet'!$B$12,Paramètres!$A$1:$I$89,3,0)*0.475*44/12</f>
        <v>1.66924604019573</v>
      </c>
      <c r="CL91" s="129" t="n">
        <f aca="false">EXP(-LN(2)/25)*CL90+(1-EXP(-LN(2)/25))/(LN(2)/25)*Calculateur!CG91*Calculateur!CI91*VLOOKUP('Données projet'!$B$12,Paramètres!$A$1:$I$89,3,0)*0.475*44/12</f>
        <v>4.76839543034396</v>
      </c>
      <c r="CM91" s="129" t="n">
        <f aca="false">EXP(-LN(2)/2)*CM90+(1-EXP(-LN(2)/2))/(LN(2)/2)*CG91*CJ91*VLOOKUP('Données projet'!$B$12,Paramètres!$A$1:$I$89,3,0)*0.475*44/12</f>
        <v>1.79555853194814E-008</v>
      </c>
      <c r="CN91" s="130" t="n">
        <f aca="false">SUM(CK91:CM91)</f>
        <v>6.43764148849528</v>
      </c>
      <c r="CO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8" t="e">
        <f aca="false">VLOOKUP(A91,'Données projet'!$A$139:$I$159,2,0)</f>
        <v>#N/A</v>
      </c>
      <c r="CR91" s="118" t="e">
        <f aca="false">VLOOKUP(A91,'Données projet'!$A$139:$I$159,9,0)</f>
        <v>#N/A</v>
      </c>
      <c r="CS91" s="118" t="n">
        <f aca="false" t="array" ref="CS91:CS91">INDEX(CR:CR,MIN(IF(ISNUMBER(CR91:CR287),ROW(CR91:CR287),"")))</f>
        <v>0</v>
      </c>
      <c r="CT91" s="118" t="n">
        <f aca="false">IF('Données projet'!$A$140&gt;35,CT90+CS91-DB90,IF(A91&lt;'Données projet'!$A$140,$CQ$205^A91,IF(A91='Données projet'!$A$140,'Données projet'!$B$140,CT90+CS91-DB90)))</f>
        <v>-5.6843418860808E-014</v>
      </c>
      <c r="CU91" s="125" t="n">
        <f aca="false">CT91*VLOOKUP('Données projet'!$B$13,Paramètres!$A$1:$I$89,3,0)*VLOOKUP('Données projet'!$B$13,Paramètres!$A$1:$I$89,5,0)</f>
        <v>-3.10365066980012E-014</v>
      </c>
      <c r="CV91" s="117" t="e">
        <f aca="false">EXP(-1.0587+0.8836*LN(CU91)+0.284)</f>
        <v>#VALUE!</v>
      </c>
      <c r="CW91" s="128" t="e">
        <f aca="false">(CU91+CV91)*0.475*44/12</f>
        <v>#VALUE!</v>
      </c>
      <c r="CX91" s="120" t="e">
        <f aca="false">CW91+(CO91+CP91)*44/12</f>
        <v>#VALUE!</v>
      </c>
      <c r="CY91" s="120" t="n">
        <f aca="true">AVERAGE(OFFSET($CX$3,0,0,'Données projet'!$E$13+1,1))-AVERAGE(OFFSET($H$3,0,0,'Données projet'!$E$13+1,1))</f>
        <v>207.023069645676</v>
      </c>
      <c r="CZ91" s="120" t="n">
        <f aca="false">$CZ$3</f>
        <v>342.068879333518</v>
      </c>
      <c r="DA91" s="121" t="n">
        <f aca="false">IF(ISNA(VLOOKUP(A91,'Données projet'!$A$139:$I$159,3,0)),0,VLOOKUP(A91,'Données projet'!$A$139:$I$159,3,0))</f>
        <v>0</v>
      </c>
      <c r="DB91" s="121" t="n">
        <f aca="false">IF(ISNA(VLOOKUP(A91,'Données projet'!$A$139:$I$159,4,0)),0,VLOOKUP(A91,'Données projet'!$A$139:$I$159,4,0))</f>
        <v>0</v>
      </c>
      <c r="DC91" s="122" t="n">
        <f aca="false">IF(ISNA(VLOOKUP(A91,'Données projet'!$A$139:$I$159,5,0)),0%,VLOOKUP(A91,'Données projet'!$A$139:$I$159,5,0)*VLOOKUP('Données projet'!$B$13,Paramètres!$A$1:$I$89,7,0))</f>
        <v>0</v>
      </c>
      <c r="DD91" s="122" t="n">
        <f aca="false">IF(ISNA(VLOOKUP(A91,'Données projet'!$A$139:$I$159,6,0)),0%,VLOOKUP(A91,'Données projet'!$A$139:$I$159,6,0)*VLOOKUP('Données projet'!$B$13,Paramètres!$A$1:$I$89,7,0))</f>
        <v>0</v>
      </c>
      <c r="DE91" s="122" t="n">
        <f aca="false">IF(ISNA(VLOOKUP(A91,'Données projet'!$A$139:$I$159,7,0)),0%,VLOOKUP(A91,'Données projet'!$A$139:$I$159,7,0))</f>
        <v>0</v>
      </c>
      <c r="DF91" s="129" t="n">
        <f aca="false">EXP(-LN(2)/35)*DF90+(1-EXP(-LN(2)/35))/(LN(2)/35)*DB91*DC91*VLOOKUP('Données projet'!$B$13,Paramètres!$A$1:$I$89,3,0)*0.475*44/12</f>
        <v>2.09443135232105</v>
      </c>
      <c r="DG91" s="129" t="n">
        <f aca="false">EXP(-LN(2)/25)*DG90+(1-EXP(-LN(2)/25))/(LN(2)/25)*Calculateur!DB91*Calculateur!DD91*VLOOKUP('Données projet'!$B$13,Paramètres!$A$1:$I$89,3,0)*0.475*44/12</f>
        <v>7.7943405451952</v>
      </c>
      <c r="DH91" s="129" t="n">
        <f aca="false">EXP(-LN(2)/2)*DH90+(1-EXP(-LN(2)/2))/(LN(2)/2)*DB91*DE91*VLOOKUP('Données projet'!$B$13,Paramètres!$A$1:$I$89,3,0)*0.475*44/12</f>
        <v>2.47248493095876E-008</v>
      </c>
      <c r="DI91" s="130" t="n">
        <f aca="false">SUM(DF91:DH91)</f>
        <v>9.8887719222411</v>
      </c>
      <c r="DJ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8" t="e">
        <f aca="false">VLOOKUP(A91,'Données projet'!$A$165:$I$185,2,0)</f>
        <v>#N/A</v>
      </c>
      <c r="DM91" s="118" t="e">
        <f aca="false">VLOOKUP(A91,'Données projet'!$A$165:$I$185,9,0)</f>
        <v>#N/A</v>
      </c>
      <c r="DN91" s="118" t="n">
        <f aca="false" t="array" ref="DN91:DN91">INDEX(DM:DM,MIN(IF(ISNUMBER(DM91:DM287),ROW(DM91:DM287),"")))</f>
        <v>0</v>
      </c>
      <c r="DO91" s="118" t="n">
        <f aca="false">IF('Données projet'!$A$166&gt;35,DO90+DN91-DW90,IF(A91&lt;'Données projet'!$A$166,$DL$205^A91,IF(A91='Données projet'!$A$166,'Données projet'!$B$166,DO90+DN91-DW90)))</f>
        <v>0</v>
      </c>
      <c r="DP91" s="125" t="n">
        <f aca="false">DO91*VLOOKUP('Données projet'!$B$14,Paramètres!$A$1:$I$89,3,0)*VLOOKUP('Données projet'!$B$14,Paramètres!$A$1:$I$89,5,0)</f>
        <v>0</v>
      </c>
      <c r="DQ91" s="117" t="e">
        <f aca="false">EXP(-1.0587+0.8836*LN(DP91)+0.284)</f>
        <v>#VALUE!</v>
      </c>
      <c r="DR91" s="128" t="e">
        <f aca="false">(DP91+DQ91)*0.475*44/12</f>
        <v>#VALUE!</v>
      </c>
      <c r="DS91" s="120" t="e">
        <f aca="false">DR91+(DJ91+DK91)*44/12</f>
        <v>#VALUE!</v>
      </c>
      <c r="DT91" s="120" t="n">
        <f aca="true">AVERAGE(OFFSET($DS$3,0,0,'Données projet'!$E$14+1,1))-AVERAGE(OFFSET($H$3,0,0,'Données projet'!$E$14+1,1))</f>
        <v>549.432320957297</v>
      </c>
      <c r="DU91" s="120" t="n">
        <f aca="false">$DU$3</f>
        <v>280.26155987301</v>
      </c>
      <c r="DV91" s="121" t="n">
        <f aca="false">IF(ISNA(VLOOKUP(A91,'Données projet'!$A$165:$I$185,3,0)),0,VLOOKUP(A91,'Données projet'!$A$165:$I$185,3,0))</f>
        <v>0</v>
      </c>
      <c r="DW91" s="121" t="n">
        <f aca="false">IF(ISNA(VLOOKUP(A91,'Données projet'!$A$165:$I$185,4,0)),0,VLOOKUP(A91,'Données projet'!$A$165:$I$185,4,0))</f>
        <v>0</v>
      </c>
      <c r="DX91" s="122" t="n">
        <f aca="false">IF(ISNA(VLOOKUP(A91,'Données projet'!$A$165:$I$185,5,0)),0%,VLOOKUP(A91,'Données projet'!$A$165:$I$185,5,0)*VLOOKUP('Données projet'!$B$14,Paramètres!$A$1:$I$89,7,0))</f>
        <v>0</v>
      </c>
      <c r="DY91" s="122" t="n">
        <f aca="false">IF(ISNA(VLOOKUP(A91,'Données projet'!$A$165:$I$185,6,0)),0%,VLOOKUP(A91,'Données projet'!$A$165:$I$185,6,0)*VLOOKUP('Données projet'!$B$14,Paramètres!$A$1:$I$89,7,0))</f>
        <v>0</v>
      </c>
      <c r="DZ91" s="122" t="n">
        <f aca="false">IF(ISNA(VLOOKUP(A91,'Données projet'!$A$165:$I$185,7,0)),0%,VLOOKUP(A91,'Données projet'!$A$165:$I$185,7,0))</f>
        <v>0</v>
      </c>
      <c r="EA91" s="129" t="n">
        <f aca="false">EXP(-LN(2)/35)*EA90+(1-EXP(-LN(2)/35))/(LN(2)/35)*DW91*DX91*VLOOKUP('Données projet'!$B$14,Paramètres!$A$1:$I$89,3,0)*0.475*44/12</f>
        <v>0.761532904321203</v>
      </c>
      <c r="EB91" s="129" t="n">
        <f aca="false">EXP(-LN(2)/25)*EB90+(1-EXP(-LN(2)/25))/(LN(2)/25)*Calculateur!DW91*Calculateur!DY91*VLOOKUP('Données projet'!$B$14,Paramètres!$A$1:$I$89,3,0)*0.475*44/12</f>
        <v>1.55278641623897</v>
      </c>
      <c r="EC91" s="129" t="n">
        <f aca="false">EXP(-LN(2)/2)*EC90+(1-EXP(-LN(2)/2))/(LN(2)/2)*DW91*DZ91*VLOOKUP('Données projet'!$B$14,Paramètres!$A$1:$I$89,3,0)*0.475*44/12</f>
        <v>1.13976458731284E-008</v>
      </c>
      <c r="ED91" s="130" t="n">
        <f aca="false">SUM(EA91:EC91)</f>
        <v>2.31431933195781</v>
      </c>
      <c r="EE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8" t="e">
        <f aca="false">VLOOKUP(A91,'Données projet'!$A$191:$I$211,2,0)</f>
        <v>#N/A</v>
      </c>
      <c r="EH91" s="118" t="e">
        <f aca="false">VLOOKUP(A91,'Données projet'!$A$191:$I$211,9,0)</f>
        <v>#N/A</v>
      </c>
      <c r="EI91" s="118" t="n">
        <f aca="false" t="array" ref="EI91:EI91">INDEX(EH:EH,MIN(IF(ISNUMBER(EH91:EH287),ROW(EH91:EH287),"")))</f>
        <v>0</v>
      </c>
      <c r="EJ91" s="118" t="n">
        <f aca="false">IF('Données projet'!$A$192&gt;35,EJ90+EI91-ER90,IF(A91&lt;'Données projet'!$A$192,$EG$205^A91,IF(A91='Données projet'!$A$192,'Données projet'!$B$192,EJ90+EI91-ER90)))</f>
        <v>0</v>
      </c>
      <c r="EK91" s="125" t="e">
        <f aca="false">EJ91*VLOOKUP('Données projet'!$B$15,Paramètres!$A$1:$I$89,3,0)*VLOOKUP('Données projet'!$B$15,Paramètres!$A$1:$I$89,5,0)</f>
        <v>#N/A</v>
      </c>
      <c r="EL91" s="117" t="e">
        <f aca="false">EXP(-1.0587+0.8836*LN(EK91)+0.284)</f>
        <v>#N/A</v>
      </c>
      <c r="EM91" s="128" t="e">
        <f aca="false">(EK91+EL91)*0.475*44/12</f>
        <v>#N/A</v>
      </c>
      <c r="EN91" s="120" t="e">
        <f aca="false">EM91+(EE91+EF91)*44/12</f>
        <v>#N/A</v>
      </c>
      <c r="EO91" s="120" t="e">
        <f aca="true">AVERAGE(OFFSET($EN$3,0,0,'Données projet'!$E$15+1,1))-AVERAGE(OFFSET($H$3,0,0,'Données projet'!$E$15+1,1))</f>
        <v>#N/A</v>
      </c>
      <c r="EP91" s="120" t="e">
        <f aca="false">$EP$3</f>
        <v>#N/A</v>
      </c>
      <c r="EQ91" s="121" t="n">
        <f aca="false">IF(ISNA(VLOOKUP(A91,'Données projet'!$A$191:$I$211,3,0)),0,VLOOKUP(A91,'Données projet'!$A$191:$I$211,3,0))</f>
        <v>0</v>
      </c>
      <c r="ER91" s="121" t="n">
        <f aca="false">IF(ISNA(VLOOKUP(A91,'Données projet'!$A$191:$I$211,4,0)),0,VLOOKUP(A91,'Données projet'!$A$191:$I$211,4,0))</f>
        <v>0</v>
      </c>
      <c r="ES91" s="122" t="n">
        <f aca="false">IF(ISNA(VLOOKUP(A91,'Données projet'!$A$191:$I$211,5,0)),0%,VLOOKUP(A91,'Données projet'!$A$191:$I$211,5,0)*VLOOKUP('Données projet'!$B$15,Paramètres!$A$1:$I$89,7,0))</f>
        <v>0</v>
      </c>
      <c r="ET91" s="122" t="n">
        <f aca="false">IF(ISNA(VLOOKUP(A91,'Données projet'!$A$191:$I$211,6,0)),0%,VLOOKUP(A91,'Données projet'!$A$191:$I$211,6,0)*VLOOKUP('Données projet'!$B$15,Paramètres!$A$1:$I$89,7,0))</f>
        <v>0</v>
      </c>
      <c r="EU91" s="122" t="n">
        <f aca="false">IF(ISNA(VLOOKUP(A91,'Données projet'!$A$191:$I$211,7,0)),0%,VLOOKUP(A91,'Données projet'!$A$191:$I$211,7,0))</f>
        <v>0</v>
      </c>
      <c r="EV91" s="129" t="e">
        <f aca="false">EXP(-LN(2)/35)*EV90+(1-EXP(-LN(2)/35))/(LN(2)/35)*ER91*ES91*VLOOKUP('Données projet'!$B$15,Paramètres!$A$1:$I$89,3,0)*0.475*44/12</f>
        <v>#N/A</v>
      </c>
      <c r="EW91" s="129" t="e">
        <f aca="false">EXP(-LN(2)/25)*EW90+(1-EXP(-LN(2)/25))/(LN(2)/25)*Calculateur!ER91*Calculateur!ET91*VLOOKUP('Données projet'!$B$15,Paramètres!$A$1:$I$89,3,0)*0.475*44/12</f>
        <v>#N/A</v>
      </c>
      <c r="EX91" s="129" t="e">
        <f aca="false">EXP(-LN(2)/2)*EX90+(1-EXP(-LN(2)/2))/(LN(2)/2)*ER91*EU91*VLOOKUP('Données projet'!$B$15,Paramètres!$A$1:$I$89,3,0)*0.475*44/12</f>
        <v>#N/A</v>
      </c>
      <c r="EY91" s="130" t="e">
        <f aca="false">SUM(EV91:EX91)</f>
        <v>#N/A</v>
      </c>
      <c r="EZ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8" t="e">
        <f aca="false">VLOOKUP(A91,'Données projet'!$A$217:$I$237,2,0)</f>
        <v>#N/A</v>
      </c>
      <c r="FC91" s="118" t="e">
        <f aca="false">VLOOKUP(A91,'Données projet'!$A$217:$I$237,9,0)</f>
        <v>#N/A</v>
      </c>
      <c r="FD91" s="118" t="n">
        <f aca="false" t="array" ref="FD91:FD91">INDEX(FC:FC,MIN(IF(ISNUMBER(FC91:FC287),ROW(FC91:FC287),"")))</f>
        <v>0</v>
      </c>
      <c r="FE91" s="118" t="n">
        <f aca="false">IF('Données projet'!$A$218&gt;35,FE90+FD91-FM90,IF(A91&lt;'Données projet'!$A$218,$FB$205^A91,IF(A91='Données projet'!$A$218,'Données projet'!$B$218,FE90+FD91-FM90)))</f>
        <v>0</v>
      </c>
      <c r="FF91" s="125" t="e">
        <f aca="false">FE91*VLOOKUP('Données projet'!$B$16,Paramètres!$A$1:$I$89,3,0)*VLOOKUP('Données projet'!$B$16,Paramètres!$A$1:$I$89,5,0)</f>
        <v>#N/A</v>
      </c>
      <c r="FG91" s="117" t="e">
        <f aca="false">EXP(-1.0587+0.8836*LN(FF91)+0.284)</f>
        <v>#N/A</v>
      </c>
      <c r="FH91" s="128" t="e">
        <f aca="false">(FF91+FG91)*0.475*44/12</f>
        <v>#N/A</v>
      </c>
      <c r="FI91" s="120" t="e">
        <f aca="false">FH91+(EZ91+FA91)*44/12</f>
        <v>#N/A</v>
      </c>
      <c r="FJ91" s="120" t="e">
        <f aca="true">AVERAGE(OFFSET($FI$3,0,0,'Données projet'!$E$16+1,1))-AVERAGE(OFFSET($H$3,0,0,'Données projet'!$E$16+1,1))</f>
        <v>#N/A</v>
      </c>
      <c r="FK91" s="120" t="e">
        <f aca="false">$FK$3</f>
        <v>#N/A</v>
      </c>
      <c r="FL91" s="121" t="n">
        <f aca="false">IF(ISNA(VLOOKUP(A91,'Données projet'!$A$217:$I$237,3,0)),0,VLOOKUP(A91,'Données projet'!$A$217:$I$237,3,0))</f>
        <v>0</v>
      </c>
      <c r="FM91" s="121" t="n">
        <f aca="false">IF(ISNA(VLOOKUP(A91,'Données projet'!$A$217:$I$237,4,0)),0,VLOOKUP(A91,'Données projet'!$A$217:$I$237,4,0))</f>
        <v>0</v>
      </c>
      <c r="FN91" s="122" t="n">
        <f aca="false">IF(ISNA(VLOOKUP(A91,'Données projet'!$A$217:$I$237,5,0)),0%,VLOOKUP(A91,'Données projet'!$A$217:$I$237,5,0)*VLOOKUP('Données projet'!$B$16,Paramètres!$A$1:$I$89,7,0))</f>
        <v>0</v>
      </c>
      <c r="FO91" s="122" t="n">
        <f aca="false">IF(ISNA(VLOOKUP(A91,'Données projet'!$A$217:$I$237,6,0)),0%,VLOOKUP(A91,'Données projet'!$A$217:$I$237,6,0)*VLOOKUP('Données projet'!$B$16,Paramètres!$A$1:$I$89,7,0))</f>
        <v>0</v>
      </c>
      <c r="FP91" s="122" t="n">
        <f aca="false">IF(ISNA(VLOOKUP(A91,'Données projet'!$A$217:$I$237,7,0)),0%,VLOOKUP(A91,'Données projet'!$A$217:$I$237,7,0))</f>
        <v>0</v>
      </c>
      <c r="FQ91" s="129" t="e">
        <f aca="false">EXP(-LN(2)/35)*FQ90+(1-EXP(-LN(2)/35))/(LN(2)/35)*FM91*FN91*VLOOKUP('Données projet'!$B$16,Paramètres!$A$1:$I$89,3,0)*0.475*44/12</f>
        <v>#N/A</v>
      </c>
      <c r="FR91" s="129" t="e">
        <f aca="false">EXP(-LN(2)/25)*FR90+(1-EXP(-LN(2)/25))/(LN(2)/25)*Calculateur!FM91*Calculateur!FO91*VLOOKUP('Données projet'!$B$16,Paramètres!$A$1:$I$89,3,0)*0.475*44/12</f>
        <v>#N/A</v>
      </c>
      <c r="FS91" s="129" t="e">
        <f aca="false">EXP(-LN(2)/2)*FS90+(1-EXP(-LN(2)/2))/(LN(2)/2)*FM91*FP91*VLOOKUP('Données projet'!$B$16,Paramètres!$A$1:$I$89,3,0)*0.475*44/12</f>
        <v>#N/A</v>
      </c>
      <c r="FT91" s="130" t="e">
        <f aca="false">SUM(FQ91:FS91)</f>
        <v>#N/A</v>
      </c>
      <c r="FU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8" t="e">
        <f aca="false">VLOOKUP(A91,'Données projet'!$A$243:$I$263,2,0)</f>
        <v>#N/A</v>
      </c>
      <c r="FX91" s="118" t="e">
        <f aca="false">VLOOKUP(A91,'Données projet'!$A$243:$I$263,9,0)</f>
        <v>#N/A</v>
      </c>
      <c r="FY91" s="118" t="n">
        <f aca="false" t="array" ref="FY91:FY91">INDEX(FX:FX,MIN(IF(ISNUMBER(FX91:FX287),ROW(FX91:FX287),"")))</f>
        <v>0</v>
      </c>
      <c r="FZ91" s="118" t="n">
        <f aca="false">IF('Données projet'!$A$244&gt;35,FZ90+FY91-GH90,IF(A91&lt;'Données projet'!$A$244,$FW$205^A91,IF(A91='Données projet'!$A$244,'Données projet'!$B$244,FZ90+FY91-GH90)))</f>
        <v>0</v>
      </c>
      <c r="GA91" s="125" t="e">
        <f aca="false">FZ91*VLOOKUP('Données projet'!$B$17,Paramètres!$A$1:$I$89,3,0)*VLOOKUP('Données projet'!$B$17,Paramètres!$A$1:$I$89,5,0)</f>
        <v>#N/A</v>
      </c>
      <c r="GB91" s="117" t="e">
        <f aca="false">EXP(-1.0587+0.8836*LN(GA91)+0.284)</f>
        <v>#N/A</v>
      </c>
      <c r="GC91" s="128" t="e">
        <f aca="false">(GA91+GB91)*0.475*44/12</f>
        <v>#N/A</v>
      </c>
      <c r="GD91" s="120" t="e">
        <f aca="false">GC91+(FU91+FV91)*44/12</f>
        <v>#N/A</v>
      </c>
      <c r="GE91" s="120" t="e">
        <f aca="true">AVERAGE(OFFSET($GD$3,0,0,'Données projet'!$E$17+1,1))-AVERAGE(OFFSET($H$3,0,0,'Données projet'!$E$17+1,1))</f>
        <v>#N/A</v>
      </c>
      <c r="GF91" s="120" t="e">
        <f aca="false">$GF$3</f>
        <v>#N/A</v>
      </c>
      <c r="GG91" s="121" t="n">
        <f aca="false">IF(ISNA(VLOOKUP(A91,'Données projet'!$A$243:$I$263,3,0)),0,VLOOKUP(A91,'Données projet'!$A$243:$I$263,3,0))</f>
        <v>0</v>
      </c>
      <c r="GH91" s="121" t="n">
        <f aca="false">IF(ISNA(VLOOKUP(A91,'Données projet'!$A$243:$I$263,4,0)),0,VLOOKUP(A91,'Données projet'!$A$243:$I$263,4,0))</f>
        <v>0</v>
      </c>
      <c r="GI91" s="122" t="n">
        <f aca="false">IF(ISNA(VLOOKUP(A91,'Données projet'!$A$243:$I$263,5,0)),0%,VLOOKUP(A91,'Données projet'!$A$243:$I$263,5,0)*VLOOKUP('Données projet'!$B$17,Paramètres!$A$1:$I$89,7,0))</f>
        <v>0</v>
      </c>
      <c r="GJ91" s="122" t="n">
        <f aca="false">IF(ISNA(VLOOKUP(A91,'Données projet'!$A$243:$I$263,6,0)),0%,VLOOKUP(A91,'Données projet'!$A$243:$I$263,6,0)*VLOOKUP('Données projet'!$B$17,Paramètres!$A$1:$I$89,7,0))</f>
        <v>0</v>
      </c>
      <c r="GK91" s="122" t="n">
        <f aca="false">IF(ISNA(VLOOKUP(A91,'Données projet'!$A$243:$I$263,7,0)),0%,VLOOKUP(A91,'Données projet'!$A$243:$I$263,7,0))</f>
        <v>0</v>
      </c>
      <c r="GL91" s="129" t="e">
        <f aca="false">EXP(-LN(2)/35)*GL90+(1-EXP(-LN(2)/35))/(LN(2)/35)*GH91*GI91*VLOOKUP('Données projet'!$B$17,Paramètres!$A$1:$I$89,3,0)*0.475*44/12</f>
        <v>#N/A</v>
      </c>
      <c r="GM91" s="129" t="e">
        <f aca="false">EXP(-LN(2)/25)*GM90+(1-EXP(-LN(2)/25))/(LN(2)/25)*Calculateur!GH91*Calculateur!GJ91*VLOOKUP('Données projet'!$B$17,Paramètres!$A$1:$I$89,3,0)*0.475*44/12</f>
        <v>#N/A</v>
      </c>
      <c r="GN91" s="129" t="e">
        <f aca="false">EXP(-LN(2)/2)*GN90+(1-EXP(-LN(2)/2))/(LN(2)/2)*GH91*GK91*VLOOKUP('Données projet'!$B$17,Paramètres!$A$1:$I$89,3,0)*0.475*44/12</f>
        <v>#N/A</v>
      </c>
      <c r="GO91" s="129" t="e">
        <f aca="false">SUM(GL91:GN91)</f>
        <v>#N/A</v>
      </c>
      <c r="GP91" s="126" t="n">
        <f aca="false"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8" t="n">
        <f aca="false"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8" t="e">
        <f aca="false">VLOOKUP(A91,'Données projet'!$A$269:$I$289,2,0)</f>
        <v>#N/A</v>
      </c>
      <c r="GS91" s="118" t="e">
        <f aca="false">VLOOKUP(A91,'Données projet'!$A$269:$I$289,9,0)</f>
        <v>#N/A</v>
      </c>
      <c r="GT91" s="118" t="n">
        <f aca="false" t="array" ref="GT91:GT91">INDEX(GS:GS,MIN(IF(ISNUMBER(GS91:GS287),ROW(GS91:GS287),"")))</f>
        <v>0</v>
      </c>
      <c r="GU91" s="118" t="n">
        <f aca="false">IF('Données projet'!$A$270&gt;35,GU90+GT91-HC90,IF(A91&lt;'Données projet'!$A$270,$GR$205^A91,IF(A91='Données projet'!$A$270,'Données projet'!$B$270,GU90+GT91-HC90)))</f>
        <v>0</v>
      </c>
      <c r="GV91" s="125" t="e">
        <f aca="false">GU91*VLOOKUP('Données projet'!$B$18,Paramètres!$A$1:$I$89,3,0)*VLOOKUP('Données projet'!$B$18,Paramètres!$A$1:$I$89,5,0)</f>
        <v>#N/A</v>
      </c>
      <c r="GW91" s="117" t="e">
        <f aca="false">EXP(-1.0587+0.8836*LN(GV91)+0.284)</f>
        <v>#N/A</v>
      </c>
      <c r="GX91" s="128" t="e">
        <f aca="false">(GV91+GW91)*0.475*44/12</f>
        <v>#N/A</v>
      </c>
      <c r="GY91" s="120" t="e">
        <f aca="false">GX91+(GP91+GQ91)*44/12</f>
        <v>#N/A</v>
      </c>
      <c r="GZ91" s="120" t="e">
        <f aca="true">AVERAGE(OFFSET($GY$3,0,0,'Données projet'!$E$18+1,1))-AVERAGE(OFFSET($H$3,0,0,'Données projet'!$E$18+1,1))</f>
        <v>#N/A</v>
      </c>
      <c r="HA91" s="120" t="e">
        <f aca="false">$HA$3</f>
        <v>#N/A</v>
      </c>
      <c r="HB91" s="121" t="n">
        <f aca="false">IF(ISNA(VLOOKUP(A91,'Données projet'!$A$269:$I$289,3,0)),0,VLOOKUP(A91,'Données projet'!$A$269:$I$289,3,0))</f>
        <v>0</v>
      </c>
      <c r="HC91" s="121" t="n">
        <f aca="false">IF(ISNA(VLOOKUP(A91,'Données projet'!$A$269:$I$289,4,0)),0,VLOOKUP(A91,'Données projet'!$A$269:$I$289,4,0))</f>
        <v>0</v>
      </c>
      <c r="HD91" s="122" t="n">
        <f aca="false">IF(ISNA(VLOOKUP(A91,'Données projet'!$A$269:$I$289,5,0)),0%,VLOOKUP(A91,'Données projet'!$A$269:$I$289,5,0)*VLOOKUP('Données projet'!$B$18,Paramètres!$A$1:$I$89,7,0))</f>
        <v>0</v>
      </c>
      <c r="HE91" s="122" t="n">
        <f aca="false">IF(ISNA(VLOOKUP(A91,'Données projet'!$A$269:$I$289,6,0)),0%,VLOOKUP(A91,'Données projet'!$A$269:$I$289,6,0)*VLOOKUP('Données projet'!$B$18,Paramètres!$A$1:$I$89,7,0))</f>
        <v>0</v>
      </c>
      <c r="HF91" s="122" t="n">
        <f aca="false">IF(ISNA(VLOOKUP(A91,'Données projet'!$A$269:$I$289,7,0)),0%,VLOOKUP(A91,'Données projet'!$A$269:$I$289,7,0))</f>
        <v>0</v>
      </c>
      <c r="HG91" s="129" t="e">
        <f aca="false">EXP(-LN(2)/35)*HG90+(1-EXP(-LN(2)/35))/(LN(2)/35)*HC91*HD91*VLOOKUP('Données projet'!$B$18,Paramètres!$A$1:$I$89,3,0)*0.475*44/12</f>
        <v>#N/A</v>
      </c>
      <c r="HH91" s="129" t="e">
        <f aca="false">EXP(-LN(2)/25)*HH90+(1-EXP(-LN(2)/25))/(LN(2)/25)*Calculateur!HC91*Calculateur!HE91*VLOOKUP('Données projet'!$B$18,Paramètres!$A$1:$I$89,3,0)*0.475*44/12</f>
        <v>#N/A</v>
      </c>
      <c r="HI91" s="129" t="e">
        <f aca="false">EXP(-LN(2)/2)*HI90+(1-EXP(-LN(2)/2))/(LN(2)/2)*HC91*HF91*VLOOKUP('Données projet'!$B$18,Paramètres!$A$1:$I$89,3,0)*0.475*44/12</f>
        <v>#N/A</v>
      </c>
      <c r="HJ91" s="130" t="e">
        <f aca="false">SUM(HG91:HI91)</f>
        <v>#N/A</v>
      </c>
    </row>
    <row r="92" customFormat="false" ht="14.25" hidden="false" customHeight="false" outlineLevel="0" collapsed="false">
      <c r="A92" s="112" t="n">
        <f aca="false">A91+1</f>
        <v>89</v>
      </c>
      <c r="B92" s="113" t="n">
        <f aca="false">'Scénario référence'!$B$16*5+'Scénario référence'!$B$17*0+'Scénario référence'!$B$18*5</f>
        <v>0</v>
      </c>
      <c r="C92" s="127" t="n">
        <f aca="false"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4" t="n">
        <f aca="false">IFERROR(EXP(-1.0587+0.8836*LN(C92)+0.284),0)</f>
        <v>0</v>
      </c>
      <c r="E9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2" s="114" t="n">
        <f aca="false">IF(OR('Scénario référence'!$F$8&gt;0,'Scénario référence'!$F$9&gt;0),('Scénario référence'!$F$8+'Scénario référence'!$F$9)*10,0)</f>
        <v>0</v>
      </c>
      <c r="G92" s="114" t="n">
        <f aca="false"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15" t="n">
        <f aca="false">(B92+E92+F92)*44/12+(C92+D92)*0.475*44/12</f>
        <v>256.666666666667</v>
      </c>
      <c r="I92" s="11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7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8" t="e">
        <f aca="false">VLOOKUP(A92,'Données projet'!$A$35:$I$55,2,0)</f>
        <v>#N/A</v>
      </c>
      <c r="L92" s="118" t="e">
        <f aca="false">VLOOKUP(A92,'Données projet'!$A$35:$I$55,9,0)</f>
        <v>#N/A</v>
      </c>
      <c r="M92" s="118" t="n">
        <f aca="false" t="array" ref="M92:M92">INDEX(L:L,MIN(IF(ISNUMBER(L92:L288),ROW(L92:L288),"")))</f>
        <v>17.5</v>
      </c>
      <c r="N92" s="117" t="n">
        <f aca="false">IF('Données projet'!$A$36&gt;35,N91+M92-V91,IF(A92&lt;'Données projet'!$A$36,$K$205^A92,IF(A92='Données projet'!$A$36,'Données projet'!$B$36,N91+M92-V91)))</f>
        <v>571</v>
      </c>
      <c r="O92" s="117" t="n">
        <f aca="false">N92*VLOOKUP('Données projet'!$B$9,Paramètres!$A$1:$I$89,3,0)*VLOOKUP('Données projet'!$B$9,Paramètres!$A$1:$I$89,5,0)</f>
        <v>267.228</v>
      </c>
      <c r="P92" s="117" t="n">
        <f aca="false">EXP(-1.0587+0.8836*LN(O92)+0.284)</f>
        <v>64.2606280628662</v>
      </c>
      <c r="Q92" s="128" t="n">
        <f aca="false">(O92+P92)*0.475*44/12</f>
        <v>577.342693876158</v>
      </c>
      <c r="R92" s="120" t="n">
        <f aca="false">Q92+(I92+J92)*44/12</f>
        <v>870.676027209492</v>
      </c>
      <c r="S92" s="120" t="n">
        <f aca="true">AVERAGE(OFFSET($R$3,0,0,'Données projet'!$E$9+1,1))-AVERAGE(OFFSET($H$3,0,0,'Données projet'!$E$9+1,1))</f>
        <v>319.229030946746</v>
      </c>
      <c r="T92" s="120" t="n">
        <f aca="false">$T$3</f>
        <v>254.586909731428</v>
      </c>
      <c r="U92" s="121" t="n">
        <f aca="false">IF(ISNA(VLOOKUP(A92,'Données projet'!$A$35:$I$55,3,0)),0,VLOOKUP(A92,'Données projet'!$A$35:$I$55,3,0))</f>
        <v>0</v>
      </c>
      <c r="V92" s="121" t="n">
        <f aca="false">IF(ISNA(VLOOKUP(A92,'Données projet'!$A$35:$I$55,4,0)),0,VLOOKUP(A92,'Données projet'!$A$35:$I$55,4,0))</f>
        <v>0</v>
      </c>
      <c r="W92" s="122" t="n">
        <f aca="false">IF(ISNA(VLOOKUP(A92,'Données projet'!$A$35:$I$55,5,0)),0%,VLOOKUP(A92,'Données projet'!$A$35:$I$55,5,0)*VLOOKUP('Données projet'!$B$9,Paramètres!$A$1:$I$89,7,0))</f>
        <v>0</v>
      </c>
      <c r="X92" s="122" t="n">
        <f aca="false">IF(ISNA(VLOOKUP(A92,'Données projet'!$A$35:$I$55,6,0)),0%,VLOOKUP(A92,'Données projet'!$A$35:$I$55,6,0)*VLOOKUP('Données projet'!$B$9,Paramètres!$A$1:$I$89,7,0))</f>
        <v>0</v>
      </c>
      <c r="Y92" s="122" t="n">
        <f aca="false">IF(ISNA(VLOOKUP(A92,'Données projet'!$A$35:$I$55,7,0)),0%,VLOOKUP(A92,'Données projet'!$A$35:$I$55,7,0))</f>
        <v>0</v>
      </c>
      <c r="Z92" s="129" t="n">
        <f aca="false">EXP(-LN(2)/35)*Z91+(1-EXP(-LN(2)/35))/(LN(2)/35)*V92*W92*VLOOKUP('Données projet'!$B$9,Paramètres!$A$1:$I$89,3,0)*0.475*44/12</f>
        <v>2.82131722632589</v>
      </c>
      <c r="AA92" s="129" t="n">
        <f aca="false">EXP(-LN(2)/25)*AA91+(1-EXP(-LN(2)/25))/(LN(2)/25)*Calculateur!V92*Calculateur!X92*VLOOKUP('Données projet'!$B$9,Paramètres!$A$1:$I$89,3,0)*0.475*44/12</f>
        <v>2.17217843232421</v>
      </c>
      <c r="AB92" s="129" t="n">
        <f aca="false">EXP(-LN(2)/2)*AB91+(1-EXP(-LN(2)/2))/(LN(2)/2)*V92*Y92*VLOOKUP('Données projet'!$B$9,Paramètres!$A$1:$I$89,3,0)*0.475*44/12</f>
        <v>1.45447834383768E-008</v>
      </c>
      <c r="AC92" s="130" t="n">
        <f aca="false">SUM(Z92:AB92)</f>
        <v>4.99349567319489</v>
      </c>
      <c r="AD92" s="117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7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8" t="e">
        <f aca="false">VLOOKUP(A92,'Données projet'!$A$61:$I$81,2,0)</f>
        <v>#N/A</v>
      </c>
      <c r="AG92" s="118" t="e">
        <f aca="false">VLOOKUP(A92,'Données projet'!$A$61:$I$81,9,0)</f>
        <v>#N/A</v>
      </c>
      <c r="AH92" s="118" t="n">
        <f aca="false" t="array" ref="AH92:AH92">INDEX(AG:AG,MIN(IF(ISNUMBER(AG92:AG288),ROW(AG92:AG288),"")))</f>
        <v>0</v>
      </c>
      <c r="AI92" s="117" t="n">
        <f aca="false">IF('Données projet'!$A$62&gt;35,AI91+AH92-AQ91,IF(A92&lt;'Données projet'!$A$62,$AF$205^A92,IF(A92='Données projet'!$A$62,'Données projet'!$B$62,AI91+AH92-AQ91)))</f>
        <v>1.13686837721616E-013</v>
      </c>
      <c r="AJ92" s="117" t="n">
        <f aca="false">AI92*VLOOKUP('Données projet'!$B$10,Paramètres!$A$1:$I$89,3,0)*VLOOKUP('Données projet'!$B$10,Paramètres!$A$1:$I$89,5,0)</f>
        <v>6.35509422863834E-014</v>
      </c>
      <c r="AK92" s="117" t="n">
        <f aca="false">EXP(-1.0587+0.8836*LN(AJ92)+0.284)</f>
        <v>1.0064464192544E-012</v>
      </c>
      <c r="AL92" s="128" t="n">
        <f aca="false">(AJ92+AK92)*0.475*44/12</f>
        <v>1.86357873801686E-012</v>
      </c>
      <c r="AM92" s="120" t="n">
        <f aca="false">AL92+(AD92+AE92)*44/12</f>
        <v>293.333333333335</v>
      </c>
      <c r="AN92" s="120" t="n">
        <f aca="true">AVERAGE(OFFSET($AM$3,0,0,'Données projet'!$E$10+1,1))-AVERAGE(OFFSET($H$3,0,0,'Données projet'!$E$10+1,1))</f>
        <v>365.705101827279</v>
      </c>
      <c r="AO92" s="120" t="n">
        <f aca="false">$AO$3</f>
        <v>436.238338449625</v>
      </c>
      <c r="AP92" s="121" t="n">
        <f aca="false">IF(ISNA(VLOOKUP(A92,'Données projet'!$A$61:$I$81,3,0)),0,VLOOKUP(A92,'Données projet'!$A$61:$I$81,3,0))</f>
        <v>0</v>
      </c>
      <c r="AQ92" s="121" t="n">
        <f aca="false">IF(ISNA(VLOOKUP(A92,'Données projet'!$A$61:$I$81,4,0)),0,VLOOKUP(A92,'Données projet'!$A$61:$I$81,4,0))</f>
        <v>0</v>
      </c>
      <c r="AR92" s="122" t="n">
        <f aca="false">IF(ISNA(VLOOKUP(A92,'Données projet'!$A$61:$I$81,5,0)),0%,VLOOKUP(A92,'Données projet'!$A$61:$I$81,5,0)*VLOOKUP('Données projet'!$B$10,Paramètres!$A$1:$I$89,7,0))</f>
        <v>0</v>
      </c>
      <c r="AS92" s="122" t="n">
        <f aca="false">IF(ISNA(VLOOKUP(A92,'Données projet'!$A$61:$I$81,6,0)),0%,VLOOKUP(A92,'Données projet'!$A$61:$I$81,6,0)*VLOOKUP('Données projet'!$B$10,Paramètres!$A$1:$I$89,7,0))</f>
        <v>0</v>
      </c>
      <c r="AT92" s="122" t="n">
        <f aca="false">IF(ISNA(VLOOKUP(A92,'Données projet'!$A$61:$I$81,7,0)),0%,VLOOKUP(A92,'Données projet'!$A$61:$I$81,7,0))</f>
        <v>0</v>
      </c>
      <c r="AU92" s="129" t="n">
        <f aca="false">EXP(-LN(2)/35)*AU91+(1-EXP(-LN(2)/35))/(LN(2)/35)*AQ92*AR92*VLOOKUP('Données projet'!$B$10,Paramètres!$A$1:$I$89,3,0)*0.475*44/12</f>
        <v>1.06495578185644</v>
      </c>
      <c r="AV92" s="129" t="n">
        <f aca="false">EXP(-LN(2)/25)*AV91+(1-EXP(-LN(2)/25))/(LN(2)/25)*Calculateur!AQ92*Calculateur!AS92*VLOOKUP('Données projet'!$B$10,Paramètres!$A$1:$I$89,3,0)*0.475*44/12</f>
        <v>2.57282790366756</v>
      </c>
      <c r="AW92" s="129" t="n">
        <f aca="false">EXP(-LN(2)/2)*AW91+(1-EXP(-LN(2)/2))/(LN(2)/2)*AQ92*AT92*VLOOKUP('Données projet'!$B$10,Paramètres!$A$1:$I$89,3,0)*0.475*44/12</f>
        <v>7.82754785285371E-009</v>
      </c>
      <c r="AX92" s="129" t="n">
        <f aca="false">SUM(AU92:AW92)</f>
        <v>3.63778369335155</v>
      </c>
      <c r="AY92" s="124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8" t="e">
        <f aca="false">VLOOKUP(A92,'Données projet'!$A$87:$I$107,2,0)</f>
        <v>#N/A</v>
      </c>
      <c r="BB92" s="118" t="e">
        <f aca="false">VLOOKUP(A92,'Données projet'!$A$87:$I$107,9,0)</f>
        <v>#N/A</v>
      </c>
      <c r="BC92" s="118" t="n">
        <f aca="false" t="array" ref="BC92:BC92">INDEX(BB:BB,MIN(IF(ISNUMBER(BB92:BB288),ROW(BB92:BB288),"")))</f>
        <v>0</v>
      </c>
      <c r="BD92" s="118" t="n">
        <f aca="false">IF('Données projet'!$A$88&gt;35,BD91+BC92-BL91,IF(A92&lt;'Données projet'!$A$88,$BA$205^A92,IF(A92='Données projet'!$A$88,'Données projet'!$B$88,BD91+BC92-BL91)))</f>
        <v>1.98951966012828E-013</v>
      </c>
      <c r="BE92" s="117" t="n">
        <f aca="false">BD92*VLOOKUP('Données projet'!$B$11,Paramètres!$A$1:$I$89,3,0)*VLOOKUP('Données projet'!$B$11,Paramètres!$A$1:$I$89,5,0)</f>
        <v>1.73804437508807E-013</v>
      </c>
      <c r="BF92" s="117" t="n">
        <f aca="false">EXP(-1.0587+0.8836*LN(BE92)+0.284)</f>
        <v>2.44832936339505E-012</v>
      </c>
      <c r="BG92" s="128" t="n">
        <f aca="false">(BE92+BF92)*0.475*44/12</f>
        <v>4.56688303657421E-012</v>
      </c>
      <c r="BH92" s="120" t="n">
        <f aca="false">BG92+(AY92+AZ92)*44/12</f>
        <v>293.333333333338</v>
      </c>
      <c r="BI92" s="120" t="n">
        <f aca="true">AVERAGE(OFFSET($BH$3,0,0,'Données projet'!$E$11+1,1))-AVERAGE(OFFSET($H$3,0,0,'Données projet'!$E$11+1,1))</f>
        <v>321.235999689929</v>
      </c>
      <c r="BJ92" s="120" t="n">
        <f aca="false">$BJ$3</f>
        <v>388.051958478005</v>
      </c>
      <c r="BK92" s="121" t="n">
        <f aca="false">IF(ISNA(VLOOKUP(A92,'Données projet'!$A$87:$I$107,3,0)),0,VLOOKUP(A92,'Données projet'!$A$87:$I$107,3,0))</f>
        <v>0</v>
      </c>
      <c r="BL92" s="121" t="n">
        <f aca="false">IF(ISNA(VLOOKUP(A92,'Données projet'!$A$87:$I$107,4,0)),0,VLOOKUP(A92,'Données projet'!$A$87:$I$107,4,0))</f>
        <v>0</v>
      </c>
      <c r="BM92" s="122" t="n">
        <f aca="false">IF(ISNA(VLOOKUP(A92,'Données projet'!$A$87:$I$107,5,0)),0%,VLOOKUP(A92,'Données projet'!$A$87:$I$107,5,0)*VLOOKUP('Données projet'!$B$11,Paramètres!$A$1:$I$89,7,0))</f>
        <v>0</v>
      </c>
      <c r="BN92" s="122" t="n">
        <f aca="false">IF(ISNA(VLOOKUP(A92,'Données projet'!$A$87:$I$107,6,0)),0%,VLOOKUP(A92,'Données projet'!$A$87:$I$107,6,0)*VLOOKUP('Données projet'!$B$11,Paramètres!$A$1:$I$89,7,0))</f>
        <v>0</v>
      </c>
      <c r="BO92" s="122" t="n">
        <f aca="false">IF(ISNA(VLOOKUP(A92,'Données projet'!$A$87:$I$107,7,0)),0%,VLOOKUP(A92,'Données projet'!$A$87:$I$107,7,0))</f>
        <v>0</v>
      </c>
      <c r="BP92" s="129" t="n">
        <f aca="false">EXP(-LN(2)/35)*BP91+(1-EXP(-LN(2)/35))/(LN(2)/35)*BL92*BM92*VLOOKUP('Données projet'!$B$11,Paramètres!$A$1:$I$89,3,0)*0.475*44/12</f>
        <v>2.67370072481224</v>
      </c>
      <c r="BQ92" s="129" t="n">
        <f aca="false">EXP(-LN(2)/25)*BQ91+(1-EXP(-LN(2)/25))/(LN(2)/25)*Calculateur!BL92*Calculateur!BN92*VLOOKUP('Données projet'!$B$11,Paramètres!$A$1:$I$89,3,0)*0.475*44/12</f>
        <v>2.62618990753456</v>
      </c>
      <c r="BR92" s="129" t="n">
        <f aca="false">EXP(-LN(2)/2)*BR91+(1-EXP(-LN(2)/2))/(LN(2)/2)*BL92*BO92*VLOOKUP('Données projet'!$B$11,Paramètres!$A$1:$I$89,3,0)*0.475*44/12</f>
        <v>7.95653969413884E-009</v>
      </c>
      <c r="BS92" s="130" t="n">
        <f aca="false">SUM(BP92:BR92)</f>
        <v>5.29989064030334</v>
      </c>
      <c r="BT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8" t="e">
        <f aca="false">VLOOKUP(A92,'Données projet'!$A$113:$I$133,2,0)</f>
        <v>#N/A</v>
      </c>
      <c r="BW92" s="118" t="e">
        <f aca="false">VLOOKUP(A92,'Données projet'!$A$113:$I$133,9,0)</f>
        <v>#N/A</v>
      </c>
      <c r="BX92" s="118" t="n">
        <f aca="false" t="array" ref="BX92:BX92">INDEX(BW:BW,MIN(IF(ISNUMBER(BW92:BW288),ROW(BW92:BW288),"")))</f>
        <v>0</v>
      </c>
      <c r="BY92" s="118" t="n">
        <f aca="false">IF('Données projet'!$A$114&gt;35,BY91+BX92-CG91,IF(A92&lt;'Données projet'!$A$114,$BV$205^A92,IF(A92='Données projet'!$A$114,'Données projet'!$B$114,BY91+BX92-CG91)))</f>
        <v>0</v>
      </c>
      <c r="BZ92" s="117" t="n">
        <f aca="false">BY92*VLOOKUP('Données projet'!$B$12,Paramètres!$A$1:$I$89,3,0)*VLOOKUP('Données projet'!$B$12,Paramètres!$A$1:$I$89,5,0)</f>
        <v>0</v>
      </c>
      <c r="CA92" s="117" t="e">
        <f aca="false">EXP(-1.0587+0.8836*LN(BZ92)+0.284)</f>
        <v>#VALUE!</v>
      </c>
      <c r="CB92" s="128" t="e">
        <f aca="false">(BZ92+CA92)*0.475*44/12</f>
        <v>#VALUE!</v>
      </c>
      <c r="CC92" s="120" t="e">
        <f aca="false">CB92+(BT92+BU92)*44/12</f>
        <v>#VALUE!</v>
      </c>
      <c r="CD92" s="120" t="n">
        <f aca="true">AVERAGE(OFFSET($CC$3,0,0,'Données projet'!$E$12+1,1))-AVERAGE(OFFSET($H$3,0,0,'Données projet'!$E$12+1,1))</f>
        <v>240.228848647662</v>
      </c>
      <c r="CE92" s="120" t="n">
        <f aca="false">$CE$3</f>
        <v>343.237768841432</v>
      </c>
      <c r="CF92" s="121" t="n">
        <f aca="false">IF(ISNA(VLOOKUP(A92,'Données projet'!$A$113:$I$133,3,0)),0,VLOOKUP(A92,'Données projet'!$A$113:$I$133,3,0))</f>
        <v>0</v>
      </c>
      <c r="CG92" s="121" t="n">
        <f aca="false">IF(ISNA(VLOOKUP(A92,'Données projet'!$A$113:$I$133,4,0)),0,VLOOKUP(A92,'Données projet'!$A$113:$I$133,4,0))</f>
        <v>0</v>
      </c>
      <c r="CH92" s="122" t="n">
        <f aca="false">IF(ISNA(VLOOKUP(A92,'Données projet'!$A$113:$I$133,5,0)),0%,VLOOKUP(A92,'Données projet'!$A$113:$I$133,5,0)*VLOOKUP('Données projet'!$B$12,Paramètres!$A$1:$I$89,7,0))</f>
        <v>0</v>
      </c>
      <c r="CI92" s="122" t="n">
        <f aca="false">IF(ISNA(VLOOKUP(A92,'Données projet'!$A$113:$I$133,6,0)),0%,VLOOKUP(A92,'Données projet'!$A$113:$I$133,6,0)*VLOOKUP('Données projet'!$B$12,Paramètres!$A$1:$I$89,7,0))</f>
        <v>0</v>
      </c>
      <c r="CJ92" s="122" t="n">
        <f aca="false">IF(ISNA(VLOOKUP(A92,'Données projet'!$A$113:$I$133,7,0)),0%,VLOOKUP(A92,'Données projet'!$A$113:$I$133,7,0))</f>
        <v>0</v>
      </c>
      <c r="CK92" s="129" t="n">
        <f aca="false">EXP(-LN(2)/35)*CK91+(1-EXP(-LN(2)/35))/(LN(2)/35)*CG92*CH92*VLOOKUP('Données projet'!$B$12,Paramètres!$A$1:$I$89,3,0)*0.475*44/12</f>
        <v>1.63651314348704</v>
      </c>
      <c r="CL92" s="129" t="n">
        <f aca="false">EXP(-LN(2)/25)*CL91+(1-EXP(-LN(2)/25))/(LN(2)/25)*Calculateur!CG92*Calculateur!CI92*VLOOKUP('Données projet'!$B$12,Paramètres!$A$1:$I$89,3,0)*0.475*44/12</f>
        <v>4.63800340654219</v>
      </c>
      <c r="CM92" s="129" t="n">
        <f aca="false">EXP(-LN(2)/2)*CM91+(1-EXP(-LN(2)/2))/(LN(2)/2)*CG92*CJ92*VLOOKUP('Données projet'!$B$12,Paramètres!$A$1:$I$89,3,0)*0.475*44/12</f>
        <v>1.26965161395789E-008</v>
      </c>
      <c r="CN92" s="130" t="n">
        <f aca="false">SUM(CK92:CM92)</f>
        <v>6.27451656272575</v>
      </c>
      <c r="CO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8" t="e">
        <f aca="false">VLOOKUP(A92,'Données projet'!$A$139:$I$159,2,0)</f>
        <v>#N/A</v>
      </c>
      <c r="CR92" s="118" t="e">
        <f aca="false">VLOOKUP(A92,'Données projet'!$A$139:$I$159,9,0)</f>
        <v>#N/A</v>
      </c>
      <c r="CS92" s="118" t="n">
        <f aca="false" t="array" ref="CS92:CS92">INDEX(CR:CR,MIN(IF(ISNUMBER(CR92:CR288),ROW(CR92:CR288),"")))</f>
        <v>0</v>
      </c>
      <c r="CT92" s="118" t="n">
        <f aca="false">IF('Données projet'!$A$140&gt;35,CT91+CS92-DB91,IF(A92&lt;'Données projet'!$A$140,$CQ$205^A92,IF(A92='Données projet'!$A$140,'Données projet'!$B$140,CT91+CS92-DB91)))</f>
        <v>-5.6843418860808E-014</v>
      </c>
      <c r="CU92" s="125" t="n">
        <f aca="false">CT92*VLOOKUP('Données projet'!$B$13,Paramètres!$A$1:$I$89,3,0)*VLOOKUP('Données projet'!$B$13,Paramètres!$A$1:$I$89,5,0)</f>
        <v>-3.10365066980012E-014</v>
      </c>
      <c r="CV92" s="117" t="e">
        <f aca="false">EXP(-1.0587+0.8836*LN(CU92)+0.284)</f>
        <v>#VALUE!</v>
      </c>
      <c r="CW92" s="128" t="e">
        <f aca="false">(CU92+CV92)*0.475*44/12</f>
        <v>#VALUE!</v>
      </c>
      <c r="CX92" s="120" t="e">
        <f aca="false">CW92+(CO92+CP92)*44/12</f>
        <v>#VALUE!</v>
      </c>
      <c r="CY92" s="120" t="n">
        <f aca="true">AVERAGE(OFFSET($CX$3,0,0,'Données projet'!$E$13+1,1))-AVERAGE(OFFSET($H$3,0,0,'Données projet'!$E$13+1,1))</f>
        <v>207.023069645676</v>
      </c>
      <c r="CZ92" s="120" t="n">
        <f aca="false">$CZ$3</f>
        <v>342.068879333518</v>
      </c>
      <c r="DA92" s="121" t="n">
        <f aca="false">IF(ISNA(VLOOKUP(A92,'Données projet'!$A$139:$I$159,3,0)),0,VLOOKUP(A92,'Données projet'!$A$139:$I$159,3,0))</f>
        <v>0</v>
      </c>
      <c r="DB92" s="121" t="n">
        <f aca="false">IF(ISNA(VLOOKUP(A92,'Données projet'!$A$139:$I$159,4,0)),0,VLOOKUP(A92,'Données projet'!$A$139:$I$159,4,0))</f>
        <v>0</v>
      </c>
      <c r="DC92" s="122" t="n">
        <f aca="false">IF(ISNA(VLOOKUP(A92,'Données projet'!$A$139:$I$159,5,0)),0%,VLOOKUP(A92,'Données projet'!$A$139:$I$159,5,0)*VLOOKUP('Données projet'!$B$13,Paramètres!$A$1:$I$89,7,0))</f>
        <v>0</v>
      </c>
      <c r="DD92" s="122" t="n">
        <f aca="false">IF(ISNA(VLOOKUP(A92,'Données projet'!$A$139:$I$159,6,0)),0%,VLOOKUP(A92,'Données projet'!$A$139:$I$159,6,0)*VLOOKUP('Données projet'!$B$13,Paramètres!$A$1:$I$89,7,0))</f>
        <v>0</v>
      </c>
      <c r="DE92" s="122" t="n">
        <f aca="false">IF(ISNA(VLOOKUP(A92,'Données projet'!$A$139:$I$159,7,0)),0%,VLOOKUP(A92,'Données projet'!$A$139:$I$159,7,0))</f>
        <v>0</v>
      </c>
      <c r="DF92" s="129" t="n">
        <f aca="false">EXP(-LN(2)/35)*DF91+(1-EXP(-LN(2)/35))/(LN(2)/35)*DB92*DC92*VLOOKUP('Données projet'!$B$13,Paramètres!$A$1:$I$89,3,0)*0.475*44/12</f>
        <v>2.05336083097902</v>
      </c>
      <c r="DG92" s="129" t="n">
        <f aca="false">EXP(-LN(2)/25)*DG91+(1-EXP(-LN(2)/25))/(LN(2)/25)*Calculateur!DB92*Calculateur!DD92*VLOOKUP('Données projet'!$B$13,Paramètres!$A$1:$I$89,3,0)*0.475*44/12</f>
        <v>7.58120389310028</v>
      </c>
      <c r="DH92" s="129" t="n">
        <f aca="false">EXP(-LN(2)/2)*DH91+(1-EXP(-LN(2)/2))/(LN(2)/2)*DB92*DE92*VLOOKUP('Données projet'!$B$13,Paramètres!$A$1:$I$89,3,0)*0.475*44/12</f>
        <v>1.74831086106249E-008</v>
      </c>
      <c r="DI92" s="130" t="n">
        <f aca="false">SUM(DF92:DH92)</f>
        <v>9.63456474156241</v>
      </c>
      <c r="DJ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8" t="e">
        <f aca="false">VLOOKUP(A92,'Données projet'!$A$165:$I$185,2,0)</f>
        <v>#N/A</v>
      </c>
      <c r="DM92" s="118" t="e">
        <f aca="false">VLOOKUP(A92,'Données projet'!$A$165:$I$185,9,0)</f>
        <v>#N/A</v>
      </c>
      <c r="DN92" s="118" t="n">
        <f aca="false" t="array" ref="DN92:DN92">INDEX(DM:DM,MIN(IF(ISNUMBER(DM92:DM288),ROW(DM92:DM288),"")))</f>
        <v>0</v>
      </c>
      <c r="DO92" s="118" t="n">
        <f aca="false">IF('Données projet'!$A$166&gt;35,DO91+DN92-DW91,IF(A92&lt;'Données projet'!$A$166,$DL$205^A92,IF(A92='Données projet'!$A$166,'Données projet'!$B$166,DO91+DN92-DW91)))</f>
        <v>0</v>
      </c>
      <c r="DP92" s="125" t="n">
        <f aca="false">DO92*VLOOKUP('Données projet'!$B$14,Paramètres!$A$1:$I$89,3,0)*VLOOKUP('Données projet'!$B$14,Paramètres!$A$1:$I$89,5,0)</f>
        <v>0</v>
      </c>
      <c r="DQ92" s="117" t="e">
        <f aca="false">EXP(-1.0587+0.8836*LN(DP92)+0.284)</f>
        <v>#VALUE!</v>
      </c>
      <c r="DR92" s="128" t="e">
        <f aca="false">(DP92+DQ92)*0.475*44/12</f>
        <v>#VALUE!</v>
      </c>
      <c r="DS92" s="120" t="e">
        <f aca="false">DR92+(DJ92+DK92)*44/12</f>
        <v>#VALUE!</v>
      </c>
      <c r="DT92" s="120" t="n">
        <f aca="true">AVERAGE(OFFSET($DS$3,0,0,'Données projet'!$E$14+1,1))-AVERAGE(OFFSET($H$3,0,0,'Données projet'!$E$14+1,1))</f>
        <v>549.432320957297</v>
      </c>
      <c r="DU92" s="120" t="n">
        <f aca="false">$DU$3</f>
        <v>280.26155987301</v>
      </c>
      <c r="DV92" s="121" t="n">
        <f aca="false">IF(ISNA(VLOOKUP(A92,'Données projet'!$A$165:$I$185,3,0)),0,VLOOKUP(A92,'Données projet'!$A$165:$I$185,3,0))</f>
        <v>0</v>
      </c>
      <c r="DW92" s="121" t="n">
        <f aca="false">IF(ISNA(VLOOKUP(A92,'Données projet'!$A$165:$I$185,4,0)),0,VLOOKUP(A92,'Données projet'!$A$165:$I$185,4,0))</f>
        <v>0</v>
      </c>
      <c r="DX92" s="122" t="n">
        <f aca="false">IF(ISNA(VLOOKUP(A92,'Données projet'!$A$165:$I$185,5,0)),0%,VLOOKUP(A92,'Données projet'!$A$165:$I$185,5,0)*VLOOKUP('Données projet'!$B$14,Paramètres!$A$1:$I$89,7,0))</f>
        <v>0</v>
      </c>
      <c r="DY92" s="122" t="n">
        <f aca="false">IF(ISNA(VLOOKUP(A92,'Données projet'!$A$165:$I$185,6,0)),0%,VLOOKUP(A92,'Données projet'!$A$165:$I$185,6,0)*VLOOKUP('Données projet'!$B$14,Paramètres!$A$1:$I$89,7,0))</f>
        <v>0</v>
      </c>
      <c r="DZ92" s="122" t="n">
        <f aca="false">IF(ISNA(VLOOKUP(A92,'Données projet'!$A$165:$I$185,7,0)),0%,VLOOKUP(A92,'Données projet'!$A$165:$I$185,7,0))</f>
        <v>0</v>
      </c>
      <c r="EA92" s="129" t="n">
        <f aca="false">EXP(-LN(2)/35)*EA91+(1-EXP(-LN(2)/35))/(LN(2)/35)*DW92*DX92*VLOOKUP('Données projet'!$B$14,Paramètres!$A$1:$I$89,3,0)*0.475*44/12</f>
        <v>0.746599708556671</v>
      </c>
      <c r="EB92" s="129" t="n">
        <f aca="false">EXP(-LN(2)/25)*EB91+(1-EXP(-LN(2)/25))/(LN(2)/25)*Calculateur!DW92*Calculateur!DY92*VLOOKUP('Données projet'!$B$14,Paramètres!$A$1:$I$89,3,0)*0.475*44/12</f>
        <v>1.51032539002942</v>
      </c>
      <c r="EC92" s="129" t="n">
        <f aca="false">EXP(-LN(2)/2)*EC91+(1-EXP(-LN(2)/2))/(LN(2)/2)*DW92*DZ92*VLOOKUP('Données projet'!$B$14,Paramètres!$A$1:$I$89,3,0)*0.475*44/12</f>
        <v>8.05935268645195E-009</v>
      </c>
      <c r="ED92" s="130" t="n">
        <f aca="false">SUM(EA92:EC92)</f>
        <v>2.25692510664545</v>
      </c>
      <c r="EE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8" t="e">
        <f aca="false">VLOOKUP(A92,'Données projet'!$A$191:$I$211,2,0)</f>
        <v>#N/A</v>
      </c>
      <c r="EH92" s="118" t="e">
        <f aca="false">VLOOKUP(A92,'Données projet'!$A$191:$I$211,9,0)</f>
        <v>#N/A</v>
      </c>
      <c r="EI92" s="118" t="n">
        <f aca="false" t="array" ref="EI92:EI92">INDEX(EH:EH,MIN(IF(ISNUMBER(EH92:EH288),ROW(EH92:EH288),"")))</f>
        <v>0</v>
      </c>
      <c r="EJ92" s="118" t="n">
        <f aca="false">IF('Données projet'!$A$192&gt;35,EJ91+EI92-ER91,IF(A92&lt;'Données projet'!$A$192,$EG$205^A92,IF(A92='Données projet'!$A$192,'Données projet'!$B$192,EJ91+EI92-ER91)))</f>
        <v>0</v>
      </c>
      <c r="EK92" s="125" t="e">
        <f aca="false">EJ92*VLOOKUP('Données projet'!$B$15,Paramètres!$A$1:$I$89,3,0)*VLOOKUP('Données projet'!$B$15,Paramètres!$A$1:$I$89,5,0)</f>
        <v>#N/A</v>
      </c>
      <c r="EL92" s="117" t="e">
        <f aca="false">EXP(-1.0587+0.8836*LN(EK92)+0.284)</f>
        <v>#N/A</v>
      </c>
      <c r="EM92" s="128" t="e">
        <f aca="false">(EK92+EL92)*0.475*44/12</f>
        <v>#N/A</v>
      </c>
      <c r="EN92" s="120" t="e">
        <f aca="false">EM92+(EE92+EF92)*44/12</f>
        <v>#N/A</v>
      </c>
      <c r="EO92" s="120" t="e">
        <f aca="true">AVERAGE(OFFSET($EN$3,0,0,'Données projet'!$E$15+1,1))-AVERAGE(OFFSET($H$3,0,0,'Données projet'!$E$15+1,1))</f>
        <v>#N/A</v>
      </c>
      <c r="EP92" s="120" t="e">
        <f aca="false">$EP$3</f>
        <v>#N/A</v>
      </c>
      <c r="EQ92" s="121" t="n">
        <f aca="false">IF(ISNA(VLOOKUP(A92,'Données projet'!$A$191:$I$211,3,0)),0,VLOOKUP(A92,'Données projet'!$A$191:$I$211,3,0))</f>
        <v>0</v>
      </c>
      <c r="ER92" s="121" t="n">
        <f aca="false">IF(ISNA(VLOOKUP(A92,'Données projet'!$A$191:$I$211,4,0)),0,VLOOKUP(A92,'Données projet'!$A$191:$I$211,4,0))</f>
        <v>0</v>
      </c>
      <c r="ES92" s="122" t="n">
        <f aca="false">IF(ISNA(VLOOKUP(A92,'Données projet'!$A$191:$I$211,5,0)),0%,VLOOKUP(A92,'Données projet'!$A$191:$I$211,5,0)*VLOOKUP('Données projet'!$B$15,Paramètres!$A$1:$I$89,7,0))</f>
        <v>0</v>
      </c>
      <c r="ET92" s="122" t="n">
        <f aca="false">IF(ISNA(VLOOKUP(A92,'Données projet'!$A$191:$I$211,6,0)),0%,VLOOKUP(A92,'Données projet'!$A$191:$I$211,6,0)*VLOOKUP('Données projet'!$B$15,Paramètres!$A$1:$I$89,7,0))</f>
        <v>0</v>
      </c>
      <c r="EU92" s="122" t="n">
        <f aca="false">IF(ISNA(VLOOKUP(A92,'Données projet'!$A$191:$I$211,7,0)),0%,VLOOKUP(A92,'Données projet'!$A$191:$I$211,7,0))</f>
        <v>0</v>
      </c>
      <c r="EV92" s="129" t="e">
        <f aca="false">EXP(-LN(2)/35)*EV91+(1-EXP(-LN(2)/35))/(LN(2)/35)*ER92*ES92*VLOOKUP('Données projet'!$B$15,Paramètres!$A$1:$I$89,3,0)*0.475*44/12</f>
        <v>#N/A</v>
      </c>
      <c r="EW92" s="129" t="e">
        <f aca="false">EXP(-LN(2)/25)*EW91+(1-EXP(-LN(2)/25))/(LN(2)/25)*Calculateur!ER92*Calculateur!ET92*VLOOKUP('Données projet'!$B$15,Paramètres!$A$1:$I$89,3,0)*0.475*44/12</f>
        <v>#N/A</v>
      </c>
      <c r="EX92" s="129" t="e">
        <f aca="false">EXP(-LN(2)/2)*EX91+(1-EXP(-LN(2)/2))/(LN(2)/2)*ER92*EU92*VLOOKUP('Données projet'!$B$15,Paramètres!$A$1:$I$89,3,0)*0.475*44/12</f>
        <v>#N/A</v>
      </c>
      <c r="EY92" s="130" t="e">
        <f aca="false">SUM(EV92:EX92)</f>
        <v>#N/A</v>
      </c>
      <c r="EZ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8" t="e">
        <f aca="false">VLOOKUP(A92,'Données projet'!$A$217:$I$237,2,0)</f>
        <v>#N/A</v>
      </c>
      <c r="FC92" s="118" t="e">
        <f aca="false">VLOOKUP(A92,'Données projet'!$A$217:$I$237,9,0)</f>
        <v>#N/A</v>
      </c>
      <c r="FD92" s="118" t="n">
        <f aca="false" t="array" ref="FD92:FD92">INDEX(FC:FC,MIN(IF(ISNUMBER(FC92:FC288),ROW(FC92:FC288),"")))</f>
        <v>0</v>
      </c>
      <c r="FE92" s="118" t="n">
        <f aca="false">IF('Données projet'!$A$218&gt;35,FE91+FD92-FM91,IF(A92&lt;'Données projet'!$A$218,$FB$205^A92,IF(A92='Données projet'!$A$218,'Données projet'!$B$218,FE91+FD92-FM91)))</f>
        <v>0</v>
      </c>
      <c r="FF92" s="125" t="e">
        <f aca="false">FE92*VLOOKUP('Données projet'!$B$16,Paramètres!$A$1:$I$89,3,0)*VLOOKUP('Données projet'!$B$16,Paramètres!$A$1:$I$89,5,0)</f>
        <v>#N/A</v>
      </c>
      <c r="FG92" s="117" t="e">
        <f aca="false">EXP(-1.0587+0.8836*LN(FF92)+0.284)</f>
        <v>#N/A</v>
      </c>
      <c r="FH92" s="128" t="e">
        <f aca="false">(FF92+FG92)*0.475*44/12</f>
        <v>#N/A</v>
      </c>
      <c r="FI92" s="120" t="e">
        <f aca="false">FH92+(EZ92+FA92)*44/12</f>
        <v>#N/A</v>
      </c>
      <c r="FJ92" s="120" t="e">
        <f aca="true">AVERAGE(OFFSET($FI$3,0,0,'Données projet'!$E$16+1,1))-AVERAGE(OFFSET($H$3,0,0,'Données projet'!$E$16+1,1))</f>
        <v>#N/A</v>
      </c>
      <c r="FK92" s="120" t="e">
        <f aca="false">$FK$3</f>
        <v>#N/A</v>
      </c>
      <c r="FL92" s="121" t="n">
        <f aca="false">IF(ISNA(VLOOKUP(A92,'Données projet'!$A$217:$I$237,3,0)),0,VLOOKUP(A92,'Données projet'!$A$217:$I$237,3,0))</f>
        <v>0</v>
      </c>
      <c r="FM92" s="121" t="n">
        <f aca="false">IF(ISNA(VLOOKUP(A92,'Données projet'!$A$217:$I$237,4,0)),0,VLOOKUP(A92,'Données projet'!$A$217:$I$237,4,0))</f>
        <v>0</v>
      </c>
      <c r="FN92" s="122" t="n">
        <f aca="false">IF(ISNA(VLOOKUP(A92,'Données projet'!$A$217:$I$237,5,0)),0%,VLOOKUP(A92,'Données projet'!$A$217:$I$237,5,0)*VLOOKUP('Données projet'!$B$16,Paramètres!$A$1:$I$89,7,0))</f>
        <v>0</v>
      </c>
      <c r="FO92" s="122" t="n">
        <f aca="false">IF(ISNA(VLOOKUP(A92,'Données projet'!$A$217:$I$237,6,0)),0%,VLOOKUP(A92,'Données projet'!$A$217:$I$237,6,0)*VLOOKUP('Données projet'!$B$16,Paramètres!$A$1:$I$89,7,0))</f>
        <v>0</v>
      </c>
      <c r="FP92" s="122" t="n">
        <f aca="false">IF(ISNA(VLOOKUP(A92,'Données projet'!$A$217:$I$237,7,0)),0%,VLOOKUP(A92,'Données projet'!$A$217:$I$237,7,0))</f>
        <v>0</v>
      </c>
      <c r="FQ92" s="129" t="e">
        <f aca="false">EXP(-LN(2)/35)*FQ91+(1-EXP(-LN(2)/35))/(LN(2)/35)*FM92*FN92*VLOOKUP('Données projet'!$B$16,Paramètres!$A$1:$I$89,3,0)*0.475*44/12</f>
        <v>#N/A</v>
      </c>
      <c r="FR92" s="129" t="e">
        <f aca="false">EXP(-LN(2)/25)*FR91+(1-EXP(-LN(2)/25))/(LN(2)/25)*Calculateur!FM92*Calculateur!FO92*VLOOKUP('Données projet'!$B$16,Paramètres!$A$1:$I$89,3,0)*0.475*44/12</f>
        <v>#N/A</v>
      </c>
      <c r="FS92" s="129" t="e">
        <f aca="false">EXP(-LN(2)/2)*FS91+(1-EXP(-LN(2)/2))/(LN(2)/2)*FM92*FP92*VLOOKUP('Données projet'!$B$16,Paramètres!$A$1:$I$89,3,0)*0.475*44/12</f>
        <v>#N/A</v>
      </c>
      <c r="FT92" s="130" t="e">
        <f aca="false">SUM(FQ92:FS92)</f>
        <v>#N/A</v>
      </c>
      <c r="FU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8" t="e">
        <f aca="false">VLOOKUP(A92,'Données projet'!$A$243:$I$263,2,0)</f>
        <v>#N/A</v>
      </c>
      <c r="FX92" s="118" t="e">
        <f aca="false">VLOOKUP(A92,'Données projet'!$A$243:$I$263,9,0)</f>
        <v>#N/A</v>
      </c>
      <c r="FY92" s="118" t="n">
        <f aca="false" t="array" ref="FY92:FY92">INDEX(FX:FX,MIN(IF(ISNUMBER(FX92:FX288),ROW(FX92:FX288),"")))</f>
        <v>0</v>
      </c>
      <c r="FZ92" s="118" t="n">
        <f aca="false">IF('Données projet'!$A$244&gt;35,FZ91+FY92-GH91,IF(A92&lt;'Données projet'!$A$244,$FW$205^A92,IF(A92='Données projet'!$A$244,'Données projet'!$B$244,FZ91+FY92-GH91)))</f>
        <v>0</v>
      </c>
      <c r="GA92" s="125" t="e">
        <f aca="false">FZ92*VLOOKUP('Données projet'!$B$17,Paramètres!$A$1:$I$89,3,0)*VLOOKUP('Données projet'!$B$17,Paramètres!$A$1:$I$89,5,0)</f>
        <v>#N/A</v>
      </c>
      <c r="GB92" s="117" t="e">
        <f aca="false">EXP(-1.0587+0.8836*LN(GA92)+0.284)</f>
        <v>#N/A</v>
      </c>
      <c r="GC92" s="128" t="e">
        <f aca="false">(GA92+GB92)*0.475*44/12</f>
        <v>#N/A</v>
      </c>
      <c r="GD92" s="120" t="e">
        <f aca="false">GC92+(FU92+FV92)*44/12</f>
        <v>#N/A</v>
      </c>
      <c r="GE92" s="120" t="e">
        <f aca="true">AVERAGE(OFFSET($GD$3,0,0,'Données projet'!$E$17+1,1))-AVERAGE(OFFSET($H$3,0,0,'Données projet'!$E$17+1,1))</f>
        <v>#N/A</v>
      </c>
      <c r="GF92" s="120" t="e">
        <f aca="false">$GF$3</f>
        <v>#N/A</v>
      </c>
      <c r="GG92" s="121" t="n">
        <f aca="false">IF(ISNA(VLOOKUP(A92,'Données projet'!$A$243:$I$263,3,0)),0,VLOOKUP(A92,'Données projet'!$A$243:$I$263,3,0))</f>
        <v>0</v>
      </c>
      <c r="GH92" s="121" t="n">
        <f aca="false">IF(ISNA(VLOOKUP(A92,'Données projet'!$A$243:$I$263,4,0)),0,VLOOKUP(A92,'Données projet'!$A$243:$I$263,4,0))</f>
        <v>0</v>
      </c>
      <c r="GI92" s="122" t="n">
        <f aca="false">IF(ISNA(VLOOKUP(A92,'Données projet'!$A$243:$I$263,5,0)),0%,VLOOKUP(A92,'Données projet'!$A$243:$I$263,5,0)*VLOOKUP('Données projet'!$B$17,Paramètres!$A$1:$I$89,7,0))</f>
        <v>0</v>
      </c>
      <c r="GJ92" s="122" t="n">
        <f aca="false">IF(ISNA(VLOOKUP(A92,'Données projet'!$A$243:$I$263,6,0)),0%,VLOOKUP(A92,'Données projet'!$A$243:$I$263,6,0)*VLOOKUP('Données projet'!$B$17,Paramètres!$A$1:$I$89,7,0))</f>
        <v>0</v>
      </c>
      <c r="GK92" s="122" t="n">
        <f aca="false">IF(ISNA(VLOOKUP(A92,'Données projet'!$A$243:$I$263,7,0)),0%,VLOOKUP(A92,'Données projet'!$A$243:$I$263,7,0))</f>
        <v>0</v>
      </c>
      <c r="GL92" s="129" t="e">
        <f aca="false">EXP(-LN(2)/35)*GL91+(1-EXP(-LN(2)/35))/(LN(2)/35)*GH92*GI92*VLOOKUP('Données projet'!$B$17,Paramètres!$A$1:$I$89,3,0)*0.475*44/12</f>
        <v>#N/A</v>
      </c>
      <c r="GM92" s="129" t="e">
        <f aca="false">EXP(-LN(2)/25)*GM91+(1-EXP(-LN(2)/25))/(LN(2)/25)*Calculateur!GH92*Calculateur!GJ92*VLOOKUP('Données projet'!$B$17,Paramètres!$A$1:$I$89,3,0)*0.475*44/12</f>
        <v>#N/A</v>
      </c>
      <c r="GN92" s="129" t="e">
        <f aca="false">EXP(-LN(2)/2)*GN91+(1-EXP(-LN(2)/2))/(LN(2)/2)*GH92*GK92*VLOOKUP('Données projet'!$B$17,Paramètres!$A$1:$I$89,3,0)*0.475*44/12</f>
        <v>#N/A</v>
      </c>
      <c r="GO92" s="129" t="e">
        <f aca="false">SUM(GL92:GN92)</f>
        <v>#N/A</v>
      </c>
      <c r="GP92" s="126" t="n">
        <f aca="false"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8" t="n">
        <f aca="false"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8" t="e">
        <f aca="false">VLOOKUP(A92,'Données projet'!$A$269:$I$289,2,0)</f>
        <v>#N/A</v>
      </c>
      <c r="GS92" s="118" t="e">
        <f aca="false">VLOOKUP(A92,'Données projet'!$A$269:$I$289,9,0)</f>
        <v>#N/A</v>
      </c>
      <c r="GT92" s="118" t="n">
        <f aca="false" t="array" ref="GT92:GT92">INDEX(GS:GS,MIN(IF(ISNUMBER(GS92:GS288),ROW(GS92:GS288),"")))</f>
        <v>0</v>
      </c>
      <c r="GU92" s="118" t="n">
        <f aca="false">IF('Données projet'!$A$270&gt;35,GU91+GT92-HC91,IF(A92&lt;'Données projet'!$A$270,$GR$205^A92,IF(A92='Données projet'!$A$270,'Données projet'!$B$270,GU91+GT92-HC91)))</f>
        <v>0</v>
      </c>
      <c r="GV92" s="125" t="e">
        <f aca="false">GU92*VLOOKUP('Données projet'!$B$18,Paramètres!$A$1:$I$89,3,0)*VLOOKUP('Données projet'!$B$18,Paramètres!$A$1:$I$89,5,0)</f>
        <v>#N/A</v>
      </c>
      <c r="GW92" s="117" t="e">
        <f aca="false">EXP(-1.0587+0.8836*LN(GV92)+0.284)</f>
        <v>#N/A</v>
      </c>
      <c r="GX92" s="128" t="e">
        <f aca="false">(GV92+GW92)*0.475*44/12</f>
        <v>#N/A</v>
      </c>
      <c r="GY92" s="120" t="e">
        <f aca="false">GX92+(GP92+GQ92)*44/12</f>
        <v>#N/A</v>
      </c>
      <c r="GZ92" s="120" t="e">
        <f aca="true">AVERAGE(OFFSET($GY$3,0,0,'Données projet'!$E$18+1,1))-AVERAGE(OFFSET($H$3,0,0,'Données projet'!$E$18+1,1))</f>
        <v>#N/A</v>
      </c>
      <c r="HA92" s="120" t="e">
        <f aca="false">$HA$3</f>
        <v>#N/A</v>
      </c>
      <c r="HB92" s="121" t="n">
        <f aca="false">IF(ISNA(VLOOKUP(A92,'Données projet'!$A$269:$I$289,3,0)),0,VLOOKUP(A92,'Données projet'!$A$269:$I$289,3,0))</f>
        <v>0</v>
      </c>
      <c r="HC92" s="121" t="n">
        <f aca="false">IF(ISNA(VLOOKUP(A92,'Données projet'!$A$269:$I$289,4,0)),0,VLOOKUP(A92,'Données projet'!$A$269:$I$289,4,0))</f>
        <v>0</v>
      </c>
      <c r="HD92" s="122" t="n">
        <f aca="false">IF(ISNA(VLOOKUP(A92,'Données projet'!$A$269:$I$289,5,0)),0%,VLOOKUP(A92,'Données projet'!$A$269:$I$289,5,0)*VLOOKUP('Données projet'!$B$18,Paramètres!$A$1:$I$89,7,0))</f>
        <v>0</v>
      </c>
      <c r="HE92" s="122" t="n">
        <f aca="false">IF(ISNA(VLOOKUP(A92,'Données projet'!$A$269:$I$289,6,0)),0%,VLOOKUP(A92,'Données projet'!$A$269:$I$289,6,0)*VLOOKUP('Données projet'!$B$18,Paramètres!$A$1:$I$89,7,0))</f>
        <v>0</v>
      </c>
      <c r="HF92" s="122" t="n">
        <f aca="false">IF(ISNA(VLOOKUP(A92,'Données projet'!$A$269:$I$289,7,0)),0%,VLOOKUP(A92,'Données projet'!$A$269:$I$289,7,0))</f>
        <v>0</v>
      </c>
      <c r="HG92" s="129" t="e">
        <f aca="false">EXP(-LN(2)/35)*HG91+(1-EXP(-LN(2)/35))/(LN(2)/35)*HC92*HD92*VLOOKUP('Données projet'!$B$18,Paramètres!$A$1:$I$89,3,0)*0.475*44/12</f>
        <v>#N/A</v>
      </c>
      <c r="HH92" s="129" t="e">
        <f aca="false">EXP(-LN(2)/25)*HH91+(1-EXP(-LN(2)/25))/(LN(2)/25)*Calculateur!HC92*Calculateur!HE92*VLOOKUP('Données projet'!$B$18,Paramètres!$A$1:$I$89,3,0)*0.475*44/12</f>
        <v>#N/A</v>
      </c>
      <c r="HI92" s="129" t="e">
        <f aca="false">EXP(-LN(2)/2)*HI91+(1-EXP(-LN(2)/2))/(LN(2)/2)*HC92*HF92*VLOOKUP('Données projet'!$B$18,Paramètres!$A$1:$I$89,3,0)*0.475*44/12</f>
        <v>#N/A</v>
      </c>
      <c r="HJ92" s="130" t="e">
        <f aca="false">SUM(HG92:HI92)</f>
        <v>#N/A</v>
      </c>
    </row>
    <row r="93" customFormat="false" ht="14.25" hidden="false" customHeight="false" outlineLevel="0" collapsed="false">
      <c r="A93" s="112" t="n">
        <f aca="false">A92+1</f>
        <v>90</v>
      </c>
      <c r="B93" s="113" t="n">
        <f aca="false">'Scénario référence'!$B$16*5+'Scénario référence'!$B$17*0+'Scénario référence'!$B$18*5</f>
        <v>0</v>
      </c>
      <c r="C93" s="127" t="n">
        <f aca="false"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4" t="n">
        <f aca="false">IFERROR(EXP(-1.0587+0.8836*LN(C93)+0.284),0)</f>
        <v>0</v>
      </c>
      <c r="E9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3" s="114" t="n">
        <f aca="false">IF(OR('Scénario référence'!$F$8&gt;0,'Scénario référence'!$F$9&gt;0),('Scénario référence'!$F$8+'Scénario référence'!$F$9)*10,0)</f>
        <v>0</v>
      </c>
      <c r="G93" s="114" t="n">
        <f aca="false"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15" t="n">
        <f aca="false">(B93+E93+F93)*44/12+(C93+D93)*0.475*44/12</f>
        <v>256.666666666667</v>
      </c>
      <c r="I93" s="11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7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8" t="n">
        <f aca="false">VLOOKUP(A93,'Données projet'!$A$35:$I$55,2,0)</f>
        <v>588.5</v>
      </c>
      <c r="L93" s="118" t="n">
        <f aca="false">VLOOKUP(A93,'Données projet'!$A$35:$I$55,9,0)</f>
        <v>17.5</v>
      </c>
      <c r="M93" s="118" t="n">
        <f aca="false" t="array" ref="M93:M93">INDEX(L:L,MIN(IF(ISNUMBER(L93:L289),ROW(L93:L289),"")))</f>
        <v>17.5</v>
      </c>
      <c r="N93" s="117" t="n">
        <f aca="false">IF('Données projet'!$A$36&gt;35,N92+M93-V92,IF(A93&lt;'Données projet'!$A$36,$K$205^A93,IF(A93='Données projet'!$A$36,'Données projet'!$B$36,N92+M93-V92)))</f>
        <v>588.5</v>
      </c>
      <c r="O93" s="117" t="n">
        <f aca="false">N93*VLOOKUP('Données projet'!$B$9,Paramètres!$A$1:$I$89,3,0)*VLOOKUP('Données projet'!$B$9,Paramètres!$A$1:$I$89,5,0)</f>
        <v>275.418</v>
      </c>
      <c r="P93" s="117" t="n">
        <f aca="false">EXP(-1.0587+0.8836*LN(O93)+0.284)</f>
        <v>65.9977726808173</v>
      </c>
      <c r="Q93" s="128" t="n">
        <f aca="false">(O93+P93)*0.475*44/12</f>
        <v>594.632470752423</v>
      </c>
      <c r="R93" s="120" t="n">
        <f aca="false">Q93+(I93+J93)*44/12</f>
        <v>887.965804085757</v>
      </c>
      <c r="S93" s="120" t="n">
        <f aca="true">AVERAGE(OFFSET($R$3,0,0,'Données projet'!$E$9+1,1))-AVERAGE(OFFSET($H$3,0,0,'Données projet'!$E$9+1,1))</f>
        <v>319.229030946746</v>
      </c>
      <c r="T93" s="120" t="n">
        <f aca="false">$T$3</f>
        <v>254.586909731428</v>
      </c>
      <c r="U93" s="121" t="n">
        <f aca="false">IF(ISNA(VLOOKUP(A93,'Données projet'!$A$35:$I$55,3,0)),0,VLOOKUP(A93,'Données projet'!$A$35:$I$55,3,0))</f>
        <v>8</v>
      </c>
      <c r="V93" s="121" t="n">
        <f aca="false">IF(ISNA(VLOOKUP(A93,'Données projet'!$A$35:$I$55,4,0)),0,VLOOKUP(A93,'Données projet'!$A$35:$I$55,4,0))</f>
        <v>98</v>
      </c>
      <c r="W93" s="122" t="n">
        <f aca="false">IF(ISNA(VLOOKUP(A93,'Données projet'!$A$35:$I$55,5,0)),0%,VLOOKUP(A93,'Données projet'!$A$35:$I$55,5,0)*VLOOKUP('Données projet'!$B$9,Paramètres!$A$1:$I$89,7,0))</f>
        <v>0</v>
      </c>
      <c r="X93" s="122" t="n">
        <f aca="false">IF(ISNA(VLOOKUP(A93,'Données projet'!$A$35:$I$55,6,0)),0%,VLOOKUP(A93,'Données projet'!$A$35:$I$55,6,0)*VLOOKUP('Données projet'!$B$9,Paramètres!$A$1:$I$89,7,0))</f>
        <v>0</v>
      </c>
      <c r="Y93" s="122" t="n">
        <f aca="false">IF(ISNA(VLOOKUP(A93,'Données projet'!$A$35:$I$55,7,0)),0%,VLOOKUP(A93,'Données projet'!$A$35:$I$55,7,0))</f>
        <v>0</v>
      </c>
      <c r="Z93" s="129" t="n">
        <f aca="false">EXP(-LN(2)/35)*Z92+(1-EXP(-LN(2)/35))/(LN(2)/35)*V93*W93*VLOOKUP('Données projet'!$B$9,Paramètres!$A$1:$I$89,3,0)*0.475*44/12</f>
        <v>2.76599291635123</v>
      </c>
      <c r="AA93" s="129" t="n">
        <f aca="false">EXP(-LN(2)/25)*AA92+(1-EXP(-LN(2)/25))/(LN(2)/25)*Calculateur!V93*Calculateur!X93*VLOOKUP('Données projet'!$B$9,Paramètres!$A$1:$I$89,3,0)*0.475*44/12</f>
        <v>2.11278009886241</v>
      </c>
      <c r="AB93" s="129" t="n">
        <f aca="false">EXP(-LN(2)/2)*AB92+(1-EXP(-LN(2)/2))/(LN(2)/2)*V93*Y93*VLOOKUP('Données projet'!$B$9,Paramètres!$A$1:$I$89,3,0)*0.475*44/12</f>
        <v>1.0284715000166E-008</v>
      </c>
      <c r="AC93" s="130" t="n">
        <f aca="false">SUM(Z93:AB93)</f>
        <v>4.87877302549836</v>
      </c>
      <c r="AD93" s="117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7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8" t="e">
        <f aca="false">VLOOKUP(A93,'Données projet'!$A$61:$I$81,2,0)</f>
        <v>#N/A</v>
      </c>
      <c r="AG93" s="118" t="e">
        <f aca="false">VLOOKUP(A93,'Données projet'!$A$61:$I$81,9,0)</f>
        <v>#N/A</v>
      </c>
      <c r="AH93" s="118" t="n">
        <f aca="false" t="array" ref="AH93:AH93">INDEX(AG:AG,MIN(IF(ISNUMBER(AG93:AG289),ROW(AG93:AG289),"")))</f>
        <v>0</v>
      </c>
      <c r="AI93" s="117" t="n">
        <f aca="false">IF('Données projet'!$A$62&gt;35,AI92+AH93-AQ92,IF(A93&lt;'Données projet'!$A$62,$AF$205^A93,IF(A93='Données projet'!$A$62,'Données projet'!$B$62,AI92+AH93-AQ92)))</f>
        <v>1.13686837721616E-013</v>
      </c>
      <c r="AJ93" s="117" t="n">
        <f aca="false">AI93*VLOOKUP('Données projet'!$B$10,Paramètres!$A$1:$I$89,3,0)*VLOOKUP('Données projet'!$B$10,Paramètres!$A$1:$I$89,5,0)</f>
        <v>6.35509422863834E-014</v>
      </c>
      <c r="AK93" s="117" t="n">
        <f aca="false">EXP(-1.0587+0.8836*LN(AJ93)+0.284)</f>
        <v>1.0064464192544E-012</v>
      </c>
      <c r="AL93" s="128" t="n">
        <f aca="false">(AJ93+AK93)*0.475*44/12</f>
        <v>1.86357873801686E-012</v>
      </c>
      <c r="AM93" s="120" t="n">
        <f aca="false">AL93+(AD93+AE93)*44/12</f>
        <v>293.333333333335</v>
      </c>
      <c r="AN93" s="120" t="n">
        <f aca="true">AVERAGE(OFFSET($AM$3,0,0,'Données projet'!$E$10+1,1))-AVERAGE(OFFSET($H$3,0,0,'Données projet'!$E$10+1,1))</f>
        <v>365.705101827279</v>
      </c>
      <c r="AO93" s="120" t="n">
        <f aca="false">$AO$3</f>
        <v>436.238338449625</v>
      </c>
      <c r="AP93" s="121" t="n">
        <f aca="false">IF(ISNA(VLOOKUP(A93,'Données projet'!$A$61:$I$81,3,0)),0,VLOOKUP(A93,'Données projet'!$A$61:$I$81,3,0))</f>
        <v>0</v>
      </c>
      <c r="AQ93" s="121" t="n">
        <f aca="false">IF(ISNA(VLOOKUP(A93,'Données projet'!$A$61:$I$81,4,0)),0,VLOOKUP(A93,'Données projet'!$A$61:$I$81,4,0))</f>
        <v>0</v>
      </c>
      <c r="AR93" s="122" t="n">
        <f aca="false">IF(ISNA(VLOOKUP(A93,'Données projet'!$A$61:$I$81,5,0)),0%,VLOOKUP(A93,'Données projet'!$A$61:$I$81,5,0)*VLOOKUP('Données projet'!$B$10,Paramètres!$A$1:$I$89,7,0))</f>
        <v>0</v>
      </c>
      <c r="AS93" s="122" t="n">
        <f aca="false">IF(ISNA(VLOOKUP(A93,'Données projet'!$A$61:$I$81,6,0)),0%,VLOOKUP(A93,'Données projet'!$A$61:$I$81,6,0)*VLOOKUP('Données projet'!$B$10,Paramètres!$A$1:$I$89,7,0))</f>
        <v>0</v>
      </c>
      <c r="AT93" s="122" t="n">
        <f aca="false">IF(ISNA(VLOOKUP(A93,'Données projet'!$A$61:$I$81,7,0)),0%,VLOOKUP(A93,'Données projet'!$A$61:$I$81,7,0))</f>
        <v>0</v>
      </c>
      <c r="AU93" s="129" t="n">
        <f aca="false">EXP(-LN(2)/35)*AU92+(1-EXP(-LN(2)/35))/(LN(2)/35)*AQ93*AR93*VLOOKUP('Données projet'!$B$10,Paramètres!$A$1:$I$89,3,0)*0.475*44/12</f>
        <v>1.04407264853313</v>
      </c>
      <c r="AV93" s="129" t="n">
        <f aca="false">EXP(-LN(2)/25)*AV92+(1-EXP(-LN(2)/25))/(LN(2)/25)*Calculateur!AQ93*Calculateur!AS93*VLOOKUP('Données projet'!$B$10,Paramètres!$A$1:$I$89,3,0)*0.475*44/12</f>
        <v>2.50247378934263</v>
      </c>
      <c r="AW93" s="129" t="n">
        <f aca="false">EXP(-LN(2)/2)*AW92+(1-EXP(-LN(2)/2))/(LN(2)/2)*AQ93*AT93*VLOOKUP('Données projet'!$B$10,Paramètres!$A$1:$I$89,3,0)*0.475*44/12</f>
        <v>5.53491216681506E-009</v>
      </c>
      <c r="AX93" s="129" t="n">
        <f aca="false">SUM(AU93:AW93)</f>
        <v>3.54654644341067</v>
      </c>
      <c r="AY93" s="124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8" t="e">
        <f aca="false">VLOOKUP(A93,'Données projet'!$A$87:$I$107,2,0)</f>
        <v>#N/A</v>
      </c>
      <c r="BB93" s="118" t="e">
        <f aca="false">VLOOKUP(A93,'Données projet'!$A$87:$I$107,9,0)</f>
        <v>#N/A</v>
      </c>
      <c r="BC93" s="118" t="n">
        <f aca="false" t="array" ref="BC93:BC93">INDEX(BB:BB,MIN(IF(ISNUMBER(BB93:BB289),ROW(BB93:BB289),"")))</f>
        <v>0</v>
      </c>
      <c r="BD93" s="118" t="n">
        <f aca="false">IF('Données projet'!$A$88&gt;35,BD92+BC93-BL92,IF(A93&lt;'Données projet'!$A$88,$BA$205^A93,IF(A93='Données projet'!$A$88,'Données projet'!$B$88,BD92+BC93-BL92)))</f>
        <v>1.98951966012828E-013</v>
      </c>
      <c r="BE93" s="117" t="n">
        <f aca="false">BD93*VLOOKUP('Données projet'!$B$11,Paramètres!$A$1:$I$89,3,0)*VLOOKUP('Données projet'!$B$11,Paramètres!$A$1:$I$89,5,0)</f>
        <v>1.73804437508807E-013</v>
      </c>
      <c r="BF93" s="117" t="n">
        <f aca="false">EXP(-1.0587+0.8836*LN(BE93)+0.284)</f>
        <v>2.44832936339505E-012</v>
      </c>
      <c r="BG93" s="128" t="n">
        <f aca="false">(BE93+BF93)*0.475*44/12</f>
        <v>4.56688303657421E-012</v>
      </c>
      <c r="BH93" s="120" t="n">
        <f aca="false">BG93+(AY93+AZ93)*44/12</f>
        <v>293.333333333338</v>
      </c>
      <c r="BI93" s="120" t="n">
        <f aca="true">AVERAGE(OFFSET($BH$3,0,0,'Données projet'!$E$11+1,1))-AVERAGE(OFFSET($H$3,0,0,'Données projet'!$E$11+1,1))</f>
        <v>321.235999689929</v>
      </c>
      <c r="BJ93" s="120" t="n">
        <f aca="false">$BJ$3</f>
        <v>388.051958478005</v>
      </c>
      <c r="BK93" s="121" t="n">
        <f aca="false">IF(ISNA(VLOOKUP(A93,'Données projet'!$A$87:$I$107,3,0)),0,VLOOKUP(A93,'Données projet'!$A$87:$I$107,3,0))</f>
        <v>0</v>
      </c>
      <c r="BL93" s="121" t="n">
        <f aca="false">IF(ISNA(VLOOKUP(A93,'Données projet'!$A$87:$I$107,4,0)),0,VLOOKUP(A93,'Données projet'!$A$87:$I$107,4,0))</f>
        <v>0</v>
      </c>
      <c r="BM93" s="122" t="n">
        <f aca="false">IF(ISNA(VLOOKUP(A93,'Données projet'!$A$87:$I$107,5,0)),0%,VLOOKUP(A93,'Données projet'!$A$87:$I$107,5,0)*VLOOKUP('Données projet'!$B$11,Paramètres!$A$1:$I$89,7,0))</f>
        <v>0</v>
      </c>
      <c r="BN93" s="122" t="n">
        <f aca="false">IF(ISNA(VLOOKUP(A93,'Données projet'!$A$87:$I$107,6,0)),0%,VLOOKUP(A93,'Données projet'!$A$87:$I$107,6,0)*VLOOKUP('Données projet'!$B$11,Paramètres!$A$1:$I$89,7,0))</f>
        <v>0</v>
      </c>
      <c r="BO93" s="122" t="n">
        <f aca="false">IF(ISNA(VLOOKUP(A93,'Données projet'!$A$87:$I$107,7,0)),0%,VLOOKUP(A93,'Données projet'!$A$87:$I$107,7,0))</f>
        <v>0</v>
      </c>
      <c r="BP93" s="129" t="n">
        <f aca="false">EXP(-LN(2)/35)*BP92+(1-EXP(-LN(2)/35))/(LN(2)/35)*BL93*BM93*VLOOKUP('Données projet'!$B$11,Paramètres!$A$1:$I$89,3,0)*0.475*44/12</f>
        <v>2.62127108439508</v>
      </c>
      <c r="BQ93" s="129" t="n">
        <f aca="false">EXP(-LN(2)/25)*BQ92+(1-EXP(-LN(2)/25))/(LN(2)/25)*Calculateur!BL93*Calculateur!BN93*VLOOKUP('Données projet'!$B$11,Paramètres!$A$1:$I$89,3,0)*0.475*44/12</f>
        <v>2.55437660640771</v>
      </c>
      <c r="BR93" s="129" t="n">
        <f aca="false">EXP(-LN(2)/2)*BR92+(1-EXP(-LN(2)/2))/(LN(2)/2)*BL93*BO93*VLOOKUP('Données projet'!$B$11,Paramètres!$A$1:$I$89,3,0)*0.475*44/12</f>
        <v>5.62612317250551E-009</v>
      </c>
      <c r="BS93" s="130" t="n">
        <f aca="false">SUM(BP93:BR93)</f>
        <v>5.17564769642891</v>
      </c>
      <c r="BT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8" t="e">
        <f aca="false">VLOOKUP(A93,'Données projet'!$A$113:$I$133,2,0)</f>
        <v>#N/A</v>
      </c>
      <c r="BW93" s="118" t="e">
        <f aca="false">VLOOKUP(A93,'Données projet'!$A$113:$I$133,9,0)</f>
        <v>#N/A</v>
      </c>
      <c r="BX93" s="118" t="n">
        <f aca="false" t="array" ref="BX93:BX93">INDEX(BW:BW,MIN(IF(ISNUMBER(BW93:BW289),ROW(BW93:BW289),"")))</f>
        <v>0</v>
      </c>
      <c r="BY93" s="118" t="n">
        <f aca="false">IF('Données projet'!$A$114&gt;35,BY92+BX93-CG92,IF(A93&lt;'Données projet'!$A$114,$BV$205^A93,IF(A93='Données projet'!$A$114,'Données projet'!$B$114,BY92+BX93-CG92)))</f>
        <v>0</v>
      </c>
      <c r="BZ93" s="117" t="n">
        <f aca="false">BY93*VLOOKUP('Données projet'!$B$12,Paramètres!$A$1:$I$89,3,0)*VLOOKUP('Données projet'!$B$12,Paramètres!$A$1:$I$89,5,0)</f>
        <v>0</v>
      </c>
      <c r="CA93" s="117" t="e">
        <f aca="false">EXP(-1.0587+0.8836*LN(BZ93)+0.284)</f>
        <v>#VALUE!</v>
      </c>
      <c r="CB93" s="128" t="e">
        <f aca="false">(BZ93+CA93)*0.475*44/12</f>
        <v>#VALUE!</v>
      </c>
      <c r="CC93" s="120" t="e">
        <f aca="false">CB93+(BT93+BU93)*44/12</f>
        <v>#VALUE!</v>
      </c>
      <c r="CD93" s="120" t="n">
        <f aca="true">AVERAGE(OFFSET($CC$3,0,0,'Données projet'!$E$12+1,1))-AVERAGE(OFFSET($H$3,0,0,'Données projet'!$E$12+1,1))</f>
        <v>240.228848647662</v>
      </c>
      <c r="CE93" s="120" t="n">
        <f aca="false">$CE$3</f>
        <v>343.237768841432</v>
      </c>
      <c r="CF93" s="121" t="n">
        <f aca="false">IF(ISNA(VLOOKUP(A93,'Données projet'!$A$113:$I$133,3,0)),0,VLOOKUP(A93,'Données projet'!$A$113:$I$133,3,0))</f>
        <v>0</v>
      </c>
      <c r="CG93" s="121" t="n">
        <f aca="false">IF(ISNA(VLOOKUP(A93,'Données projet'!$A$113:$I$133,4,0)),0,VLOOKUP(A93,'Données projet'!$A$113:$I$133,4,0))</f>
        <v>0</v>
      </c>
      <c r="CH93" s="122" t="n">
        <f aca="false">IF(ISNA(VLOOKUP(A93,'Données projet'!$A$113:$I$133,5,0)),0%,VLOOKUP(A93,'Données projet'!$A$113:$I$133,5,0)*VLOOKUP('Données projet'!$B$12,Paramètres!$A$1:$I$89,7,0))</f>
        <v>0</v>
      </c>
      <c r="CI93" s="122" t="n">
        <f aca="false">IF(ISNA(VLOOKUP(A93,'Données projet'!$A$113:$I$133,6,0)),0%,VLOOKUP(A93,'Données projet'!$A$113:$I$133,6,0)*VLOOKUP('Données projet'!$B$12,Paramètres!$A$1:$I$89,7,0))</f>
        <v>0</v>
      </c>
      <c r="CJ93" s="122" t="n">
        <f aca="false">IF(ISNA(VLOOKUP(A93,'Données projet'!$A$113:$I$133,7,0)),0%,VLOOKUP(A93,'Données projet'!$A$113:$I$133,7,0))</f>
        <v>0</v>
      </c>
      <c r="CK93" s="129" t="n">
        <f aca="false">EXP(-LN(2)/35)*CK92+(1-EXP(-LN(2)/35))/(LN(2)/35)*CG93*CH93*VLOOKUP('Données projet'!$B$12,Paramètres!$A$1:$I$89,3,0)*0.475*44/12</f>
        <v>1.60442211891771</v>
      </c>
      <c r="CL93" s="129" t="n">
        <f aca="false">EXP(-LN(2)/25)*CL92+(1-EXP(-LN(2)/25))/(LN(2)/25)*Calculateur!CG93*Calculateur!CI93*VLOOKUP('Données projet'!$B$12,Paramètres!$A$1:$I$89,3,0)*0.475*44/12</f>
        <v>4.5111769594883</v>
      </c>
      <c r="CM93" s="129" t="n">
        <f aca="false">EXP(-LN(2)/2)*CM92+(1-EXP(-LN(2)/2))/(LN(2)/2)*CG93*CJ93*VLOOKUP('Données projet'!$B$12,Paramètres!$A$1:$I$89,3,0)*0.475*44/12</f>
        <v>8.97779265974072E-009</v>
      </c>
      <c r="CN93" s="130" t="n">
        <f aca="false">SUM(CK93:CM93)</f>
        <v>6.1155990873838</v>
      </c>
      <c r="CO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8" t="e">
        <f aca="false">VLOOKUP(A93,'Données projet'!$A$139:$I$159,2,0)</f>
        <v>#N/A</v>
      </c>
      <c r="CR93" s="118" t="e">
        <f aca="false">VLOOKUP(A93,'Données projet'!$A$139:$I$159,9,0)</f>
        <v>#N/A</v>
      </c>
      <c r="CS93" s="118" t="n">
        <f aca="false" t="array" ref="CS93:CS93">INDEX(CR:CR,MIN(IF(ISNUMBER(CR93:CR289),ROW(CR93:CR289),"")))</f>
        <v>0</v>
      </c>
      <c r="CT93" s="118" t="n">
        <f aca="false">IF('Données projet'!$A$140&gt;35,CT92+CS93-DB92,IF(A93&lt;'Données projet'!$A$140,$CQ$205^A93,IF(A93='Données projet'!$A$140,'Données projet'!$B$140,CT92+CS93-DB92)))</f>
        <v>-5.6843418860808E-014</v>
      </c>
      <c r="CU93" s="125" t="n">
        <f aca="false">CT93*VLOOKUP('Données projet'!$B$13,Paramètres!$A$1:$I$89,3,0)*VLOOKUP('Données projet'!$B$13,Paramètres!$A$1:$I$89,5,0)</f>
        <v>-3.10365066980012E-014</v>
      </c>
      <c r="CV93" s="117" t="e">
        <f aca="false">EXP(-1.0587+0.8836*LN(CU93)+0.284)</f>
        <v>#VALUE!</v>
      </c>
      <c r="CW93" s="128" t="e">
        <f aca="false">(CU93+CV93)*0.475*44/12</f>
        <v>#VALUE!</v>
      </c>
      <c r="CX93" s="120" t="e">
        <f aca="false">CW93+(CO93+CP93)*44/12</f>
        <v>#VALUE!</v>
      </c>
      <c r="CY93" s="120" t="n">
        <f aca="true">AVERAGE(OFFSET($CX$3,0,0,'Données projet'!$E$13+1,1))-AVERAGE(OFFSET($H$3,0,0,'Données projet'!$E$13+1,1))</f>
        <v>207.023069645676</v>
      </c>
      <c r="CZ93" s="120" t="n">
        <f aca="false">$CZ$3</f>
        <v>342.068879333518</v>
      </c>
      <c r="DA93" s="121" t="n">
        <f aca="false">IF(ISNA(VLOOKUP(A93,'Données projet'!$A$139:$I$159,3,0)),0,VLOOKUP(A93,'Données projet'!$A$139:$I$159,3,0))</f>
        <v>0</v>
      </c>
      <c r="DB93" s="121" t="n">
        <f aca="false">IF(ISNA(VLOOKUP(A93,'Données projet'!$A$139:$I$159,4,0)),0,VLOOKUP(A93,'Données projet'!$A$139:$I$159,4,0))</f>
        <v>0</v>
      </c>
      <c r="DC93" s="122" t="n">
        <f aca="false">IF(ISNA(VLOOKUP(A93,'Données projet'!$A$139:$I$159,5,0)),0%,VLOOKUP(A93,'Données projet'!$A$139:$I$159,5,0)*VLOOKUP('Données projet'!$B$13,Paramètres!$A$1:$I$89,7,0))</f>
        <v>0</v>
      </c>
      <c r="DD93" s="122" t="n">
        <f aca="false">IF(ISNA(VLOOKUP(A93,'Données projet'!$A$139:$I$159,6,0)),0%,VLOOKUP(A93,'Données projet'!$A$139:$I$159,6,0)*VLOOKUP('Données projet'!$B$13,Paramètres!$A$1:$I$89,7,0))</f>
        <v>0</v>
      </c>
      <c r="DE93" s="122" t="n">
        <f aca="false">IF(ISNA(VLOOKUP(A93,'Données projet'!$A$139:$I$159,7,0)),0%,VLOOKUP(A93,'Données projet'!$A$139:$I$159,7,0))</f>
        <v>0</v>
      </c>
      <c r="DF93" s="129" t="n">
        <f aca="false">EXP(-LN(2)/35)*DF92+(1-EXP(-LN(2)/35))/(LN(2)/35)*DB93*DC93*VLOOKUP('Données projet'!$B$13,Paramètres!$A$1:$I$89,3,0)*0.475*44/12</f>
        <v>2.01309567750996</v>
      </c>
      <c r="DG93" s="129" t="n">
        <f aca="false">EXP(-LN(2)/25)*DG92+(1-EXP(-LN(2)/25))/(LN(2)/25)*Calculateur!DB93*Calculateur!DD93*VLOOKUP('Données projet'!$B$13,Paramètres!$A$1:$I$89,3,0)*0.475*44/12</f>
        <v>7.37389547396527</v>
      </c>
      <c r="DH93" s="129" t="n">
        <f aca="false">EXP(-LN(2)/2)*DH92+(1-EXP(-LN(2)/2))/(LN(2)/2)*DB93*DE93*VLOOKUP('Données projet'!$B$13,Paramètres!$A$1:$I$89,3,0)*0.475*44/12</f>
        <v>1.23624246547938E-008</v>
      </c>
      <c r="DI93" s="130" t="n">
        <f aca="false">SUM(DF93:DH93)</f>
        <v>9.38699116383766</v>
      </c>
      <c r="DJ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8" t="e">
        <f aca="false">VLOOKUP(A93,'Données projet'!$A$165:$I$185,2,0)</f>
        <v>#N/A</v>
      </c>
      <c r="DM93" s="118" t="e">
        <f aca="false">VLOOKUP(A93,'Données projet'!$A$165:$I$185,9,0)</f>
        <v>#N/A</v>
      </c>
      <c r="DN93" s="118" t="e">
        <f aca="false" t="array" ref="DN93:DN93">INDEX(DM:DM,MIN(IF(ISNUMBER(DM93:DM289),ROW(DM93:DM289),"")))</f>
        <v>#N/A</v>
      </c>
      <c r="DO93" s="118" t="n">
        <f aca="false">IF('Données projet'!$A$166&gt;35,DO92+DN93-DW92,IF(A93&lt;'Données projet'!$A$166,$DL$205^A93,IF(A93='Données projet'!$A$166,'Données projet'!$B$166,DO92+DN93-DW92)))</f>
        <v>0</v>
      </c>
      <c r="DP93" s="125" t="n">
        <f aca="false">DO93*VLOOKUP('Données projet'!$B$14,Paramètres!$A$1:$I$89,3,0)*VLOOKUP('Données projet'!$B$14,Paramètres!$A$1:$I$89,5,0)</f>
        <v>0</v>
      </c>
      <c r="DQ93" s="117" t="e">
        <f aca="false">EXP(-1.0587+0.8836*LN(DP93)+0.284)</f>
        <v>#VALUE!</v>
      </c>
      <c r="DR93" s="128" t="e">
        <f aca="false">(DP93+DQ93)*0.475*44/12</f>
        <v>#VALUE!</v>
      </c>
      <c r="DS93" s="120" t="e">
        <f aca="false">DR93+(DJ93+DK93)*44/12</f>
        <v>#VALUE!</v>
      </c>
      <c r="DT93" s="120" t="n">
        <f aca="true">AVERAGE(OFFSET($DS$3,0,0,'Données projet'!$E$14+1,1))-AVERAGE(OFFSET($H$3,0,0,'Données projet'!$E$14+1,1))</f>
        <v>549.432320957297</v>
      </c>
      <c r="DU93" s="120" t="n">
        <f aca="false">$DU$3</f>
        <v>280.26155987301</v>
      </c>
      <c r="DV93" s="121" t="n">
        <f aca="false">IF(ISNA(VLOOKUP(A93,'Données projet'!$A$165:$I$185,3,0)),0,VLOOKUP(A93,'Données projet'!$A$165:$I$185,3,0))</f>
        <v>0</v>
      </c>
      <c r="DW93" s="121" t="n">
        <f aca="false">IF(ISNA(VLOOKUP(A93,'Données projet'!$A$165:$I$185,4,0)),0,VLOOKUP(A93,'Données projet'!$A$165:$I$185,4,0))</f>
        <v>0</v>
      </c>
      <c r="DX93" s="122" t="n">
        <f aca="false">IF(ISNA(VLOOKUP(A93,'Données projet'!$A$165:$I$185,5,0)),0%,VLOOKUP(A93,'Données projet'!$A$165:$I$185,5,0)*VLOOKUP('Données projet'!$B$14,Paramètres!$A$1:$I$89,7,0))</f>
        <v>0</v>
      </c>
      <c r="DY93" s="122" t="n">
        <f aca="false">IF(ISNA(VLOOKUP(A93,'Données projet'!$A$165:$I$185,6,0)),0%,VLOOKUP(A93,'Données projet'!$A$165:$I$185,6,0)*VLOOKUP('Données projet'!$B$14,Paramètres!$A$1:$I$89,7,0))</f>
        <v>0</v>
      </c>
      <c r="DZ93" s="122" t="n">
        <f aca="false">IF(ISNA(VLOOKUP(A93,'Données projet'!$A$165:$I$185,7,0)),0%,VLOOKUP(A93,'Données projet'!$A$165:$I$185,7,0))</f>
        <v>0</v>
      </c>
      <c r="EA93" s="129" t="n">
        <f aca="false">EXP(-LN(2)/35)*EA92+(1-EXP(-LN(2)/35))/(LN(2)/35)*DW93*DX93*VLOOKUP('Données projet'!$B$14,Paramètres!$A$1:$I$89,3,0)*0.475*44/12</f>
        <v>0.731959343652732</v>
      </c>
      <c r="EB93" s="129" t="n">
        <f aca="false">EXP(-LN(2)/25)*EB92+(1-EXP(-LN(2)/25))/(LN(2)/25)*Calculateur!DW93*Calculateur!DY93*VLOOKUP('Données projet'!$B$14,Paramètres!$A$1:$I$89,3,0)*0.475*44/12</f>
        <v>1.46902546281451</v>
      </c>
      <c r="EC93" s="129" t="n">
        <f aca="false">EXP(-LN(2)/2)*EC92+(1-EXP(-LN(2)/2))/(LN(2)/2)*DW93*DZ93*VLOOKUP('Données projet'!$B$14,Paramètres!$A$1:$I$89,3,0)*0.475*44/12</f>
        <v>5.69882293656419E-009</v>
      </c>
      <c r="ED93" s="130" t="n">
        <f aca="false">SUM(EA93:EC93)</f>
        <v>2.20098481216606</v>
      </c>
      <c r="EE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8" t="e">
        <f aca="false">VLOOKUP(A93,'Données projet'!$A$191:$I$211,2,0)</f>
        <v>#N/A</v>
      </c>
      <c r="EH93" s="118" t="e">
        <f aca="false">VLOOKUP(A93,'Données projet'!$A$191:$I$211,9,0)</f>
        <v>#N/A</v>
      </c>
      <c r="EI93" s="118" t="e">
        <f aca="false" t="array" ref="EI93:EI93">INDEX(EH:EH,MIN(IF(ISNUMBER(EH93:EH289),ROW(EH93:EH289),"")))</f>
        <v>#N/A</v>
      </c>
      <c r="EJ93" s="118" t="n">
        <f aca="false">IF('Données projet'!$A$192&gt;35,EJ92+EI93-ER92,IF(A93&lt;'Données projet'!$A$192,$EG$205^A93,IF(A93='Données projet'!$A$192,'Données projet'!$B$192,EJ92+EI93-ER92)))</f>
        <v>0</v>
      </c>
      <c r="EK93" s="125" t="e">
        <f aca="false">EJ93*VLOOKUP('Données projet'!$B$15,Paramètres!$A$1:$I$89,3,0)*VLOOKUP('Données projet'!$B$15,Paramètres!$A$1:$I$89,5,0)</f>
        <v>#N/A</v>
      </c>
      <c r="EL93" s="117" t="e">
        <f aca="false">EXP(-1.0587+0.8836*LN(EK93)+0.284)</f>
        <v>#N/A</v>
      </c>
      <c r="EM93" s="128" t="e">
        <f aca="false">(EK93+EL93)*0.475*44/12</f>
        <v>#N/A</v>
      </c>
      <c r="EN93" s="120" t="e">
        <f aca="false">EM93+(EE93+EF93)*44/12</f>
        <v>#N/A</v>
      </c>
      <c r="EO93" s="120" t="e">
        <f aca="true">AVERAGE(OFFSET($EN$3,0,0,'Données projet'!$E$15+1,1))-AVERAGE(OFFSET($H$3,0,0,'Données projet'!$E$15+1,1))</f>
        <v>#N/A</v>
      </c>
      <c r="EP93" s="120" t="e">
        <f aca="false">$EP$3</f>
        <v>#N/A</v>
      </c>
      <c r="EQ93" s="121" t="n">
        <f aca="false">IF(ISNA(VLOOKUP(A93,'Données projet'!$A$191:$I$211,3,0)),0,VLOOKUP(A93,'Données projet'!$A$191:$I$211,3,0))</f>
        <v>0</v>
      </c>
      <c r="ER93" s="121" t="n">
        <f aca="false">IF(ISNA(VLOOKUP(A93,'Données projet'!$A$191:$I$211,4,0)),0,VLOOKUP(A93,'Données projet'!$A$191:$I$211,4,0))</f>
        <v>0</v>
      </c>
      <c r="ES93" s="122" t="n">
        <f aca="false">IF(ISNA(VLOOKUP(A93,'Données projet'!$A$191:$I$211,5,0)),0%,VLOOKUP(A93,'Données projet'!$A$191:$I$211,5,0)*VLOOKUP('Données projet'!$B$15,Paramètres!$A$1:$I$89,7,0))</f>
        <v>0</v>
      </c>
      <c r="ET93" s="122" t="n">
        <f aca="false">IF(ISNA(VLOOKUP(A93,'Données projet'!$A$191:$I$211,6,0)),0%,VLOOKUP(A93,'Données projet'!$A$191:$I$211,6,0)*VLOOKUP('Données projet'!$B$15,Paramètres!$A$1:$I$89,7,0))</f>
        <v>0</v>
      </c>
      <c r="EU93" s="122" t="n">
        <f aca="false">IF(ISNA(VLOOKUP(A93,'Données projet'!$A$191:$I$211,7,0)),0%,VLOOKUP(A93,'Données projet'!$A$191:$I$211,7,0))</f>
        <v>0</v>
      </c>
      <c r="EV93" s="129" t="e">
        <f aca="false">EXP(-LN(2)/35)*EV92+(1-EXP(-LN(2)/35))/(LN(2)/35)*ER93*ES93*VLOOKUP('Données projet'!$B$15,Paramètres!$A$1:$I$89,3,0)*0.475*44/12</f>
        <v>#N/A</v>
      </c>
      <c r="EW93" s="129" t="e">
        <f aca="false">EXP(-LN(2)/25)*EW92+(1-EXP(-LN(2)/25))/(LN(2)/25)*Calculateur!ER93*Calculateur!ET93*VLOOKUP('Données projet'!$B$15,Paramètres!$A$1:$I$89,3,0)*0.475*44/12</f>
        <v>#N/A</v>
      </c>
      <c r="EX93" s="129" t="e">
        <f aca="false">EXP(-LN(2)/2)*EX92+(1-EXP(-LN(2)/2))/(LN(2)/2)*ER93*EU93*VLOOKUP('Données projet'!$B$15,Paramètres!$A$1:$I$89,3,0)*0.475*44/12</f>
        <v>#N/A</v>
      </c>
      <c r="EY93" s="130" t="e">
        <f aca="false">SUM(EV93:EX93)</f>
        <v>#N/A</v>
      </c>
      <c r="EZ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8" t="e">
        <f aca="false">VLOOKUP(A93,'Données projet'!$A$217:$I$237,2,0)</f>
        <v>#N/A</v>
      </c>
      <c r="FC93" s="118" t="e">
        <f aca="false">VLOOKUP(A93,'Données projet'!$A$217:$I$237,9,0)</f>
        <v>#N/A</v>
      </c>
      <c r="FD93" s="118" t="e">
        <f aca="false" t="array" ref="FD93:FD93">INDEX(FC:FC,MIN(IF(ISNUMBER(FC93:FC289),ROW(FC93:FC289),"")))</f>
        <v>#N/A</v>
      </c>
      <c r="FE93" s="118" t="n">
        <f aca="false">IF('Données projet'!$A$218&gt;35,FE92+FD93-FM92,IF(A93&lt;'Données projet'!$A$218,$FB$205^A93,IF(A93='Données projet'!$A$218,'Données projet'!$B$218,FE92+FD93-FM92)))</f>
        <v>0</v>
      </c>
      <c r="FF93" s="125" t="e">
        <f aca="false">FE93*VLOOKUP('Données projet'!$B$16,Paramètres!$A$1:$I$89,3,0)*VLOOKUP('Données projet'!$B$16,Paramètres!$A$1:$I$89,5,0)</f>
        <v>#N/A</v>
      </c>
      <c r="FG93" s="117" t="e">
        <f aca="false">EXP(-1.0587+0.8836*LN(FF93)+0.284)</f>
        <v>#N/A</v>
      </c>
      <c r="FH93" s="128" t="e">
        <f aca="false">(FF93+FG93)*0.475*44/12</f>
        <v>#N/A</v>
      </c>
      <c r="FI93" s="120" t="e">
        <f aca="false">FH93+(EZ93+FA93)*44/12</f>
        <v>#N/A</v>
      </c>
      <c r="FJ93" s="120" t="e">
        <f aca="true">AVERAGE(OFFSET($FI$3,0,0,'Données projet'!$E$16+1,1))-AVERAGE(OFFSET($H$3,0,0,'Données projet'!$E$16+1,1))</f>
        <v>#N/A</v>
      </c>
      <c r="FK93" s="120" t="e">
        <f aca="false">$FK$3</f>
        <v>#N/A</v>
      </c>
      <c r="FL93" s="121" t="n">
        <f aca="false">IF(ISNA(VLOOKUP(A93,'Données projet'!$A$217:$I$237,3,0)),0,VLOOKUP(A93,'Données projet'!$A$217:$I$237,3,0))</f>
        <v>0</v>
      </c>
      <c r="FM93" s="121" t="n">
        <f aca="false">IF(ISNA(VLOOKUP(A93,'Données projet'!$A$217:$I$237,4,0)),0,VLOOKUP(A93,'Données projet'!$A$217:$I$237,4,0))</f>
        <v>0</v>
      </c>
      <c r="FN93" s="122" t="n">
        <f aca="false">IF(ISNA(VLOOKUP(A93,'Données projet'!$A$217:$I$237,5,0)),0%,VLOOKUP(A93,'Données projet'!$A$217:$I$237,5,0)*VLOOKUP('Données projet'!$B$16,Paramètres!$A$1:$I$89,7,0))</f>
        <v>0</v>
      </c>
      <c r="FO93" s="122" t="n">
        <f aca="false">IF(ISNA(VLOOKUP(A93,'Données projet'!$A$217:$I$237,6,0)),0%,VLOOKUP(A93,'Données projet'!$A$217:$I$237,6,0)*VLOOKUP('Données projet'!$B$16,Paramètres!$A$1:$I$89,7,0))</f>
        <v>0</v>
      </c>
      <c r="FP93" s="122" t="n">
        <f aca="false">IF(ISNA(VLOOKUP(A93,'Données projet'!$A$217:$I$237,7,0)),0%,VLOOKUP(A93,'Données projet'!$A$217:$I$237,7,0))</f>
        <v>0</v>
      </c>
      <c r="FQ93" s="129" t="e">
        <f aca="false">EXP(-LN(2)/35)*FQ92+(1-EXP(-LN(2)/35))/(LN(2)/35)*FM93*FN93*VLOOKUP('Données projet'!$B$16,Paramètres!$A$1:$I$89,3,0)*0.475*44/12</f>
        <v>#N/A</v>
      </c>
      <c r="FR93" s="129" t="e">
        <f aca="false">EXP(-LN(2)/25)*FR92+(1-EXP(-LN(2)/25))/(LN(2)/25)*Calculateur!FM93*Calculateur!FO93*VLOOKUP('Données projet'!$B$16,Paramètres!$A$1:$I$89,3,0)*0.475*44/12</f>
        <v>#N/A</v>
      </c>
      <c r="FS93" s="129" t="e">
        <f aca="false">EXP(-LN(2)/2)*FS92+(1-EXP(-LN(2)/2))/(LN(2)/2)*FM93*FP93*VLOOKUP('Données projet'!$B$16,Paramètres!$A$1:$I$89,3,0)*0.475*44/12</f>
        <v>#N/A</v>
      </c>
      <c r="FT93" s="130" t="e">
        <f aca="false">SUM(FQ93:FS93)</f>
        <v>#N/A</v>
      </c>
      <c r="FU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8" t="e">
        <f aca="false">VLOOKUP(A93,'Données projet'!$A$243:$I$263,2,0)</f>
        <v>#N/A</v>
      </c>
      <c r="FX93" s="118" t="e">
        <f aca="false">VLOOKUP(A93,'Données projet'!$A$243:$I$263,9,0)</f>
        <v>#N/A</v>
      </c>
      <c r="FY93" s="118" t="e">
        <f aca="false" t="array" ref="FY93:FY93">INDEX(FX:FX,MIN(IF(ISNUMBER(FX93:FX289),ROW(FX93:FX289),"")))</f>
        <v>#N/A</v>
      </c>
      <c r="FZ93" s="118" t="n">
        <f aca="false">IF('Données projet'!$A$244&gt;35,FZ92+FY93-GH92,IF(A93&lt;'Données projet'!$A$244,$FW$205^A93,IF(A93='Données projet'!$A$244,'Données projet'!$B$244,FZ92+FY93-GH92)))</f>
        <v>0</v>
      </c>
      <c r="GA93" s="125" t="e">
        <f aca="false">FZ93*VLOOKUP('Données projet'!$B$17,Paramètres!$A$1:$I$89,3,0)*VLOOKUP('Données projet'!$B$17,Paramètres!$A$1:$I$89,5,0)</f>
        <v>#N/A</v>
      </c>
      <c r="GB93" s="117" t="e">
        <f aca="false">EXP(-1.0587+0.8836*LN(GA93)+0.284)</f>
        <v>#N/A</v>
      </c>
      <c r="GC93" s="128" t="e">
        <f aca="false">(GA93+GB93)*0.475*44/12</f>
        <v>#N/A</v>
      </c>
      <c r="GD93" s="120" t="e">
        <f aca="false">GC93+(FU93+FV93)*44/12</f>
        <v>#N/A</v>
      </c>
      <c r="GE93" s="120" t="e">
        <f aca="true">AVERAGE(OFFSET($GD$3,0,0,'Données projet'!$E$17+1,1))-AVERAGE(OFFSET($H$3,0,0,'Données projet'!$E$17+1,1))</f>
        <v>#N/A</v>
      </c>
      <c r="GF93" s="120" t="e">
        <f aca="false">$GF$3</f>
        <v>#N/A</v>
      </c>
      <c r="GG93" s="121" t="n">
        <f aca="false">IF(ISNA(VLOOKUP(A93,'Données projet'!$A$243:$I$263,3,0)),0,VLOOKUP(A93,'Données projet'!$A$243:$I$263,3,0))</f>
        <v>0</v>
      </c>
      <c r="GH93" s="121" t="n">
        <f aca="false">IF(ISNA(VLOOKUP(A93,'Données projet'!$A$243:$I$263,4,0)),0,VLOOKUP(A93,'Données projet'!$A$243:$I$263,4,0))</f>
        <v>0</v>
      </c>
      <c r="GI93" s="122" t="n">
        <f aca="false">IF(ISNA(VLOOKUP(A93,'Données projet'!$A$243:$I$263,5,0)),0%,VLOOKUP(A93,'Données projet'!$A$243:$I$263,5,0)*VLOOKUP('Données projet'!$B$17,Paramètres!$A$1:$I$89,7,0))</f>
        <v>0</v>
      </c>
      <c r="GJ93" s="122" t="n">
        <f aca="false">IF(ISNA(VLOOKUP(A93,'Données projet'!$A$243:$I$263,6,0)),0%,VLOOKUP(A93,'Données projet'!$A$243:$I$263,6,0)*VLOOKUP('Données projet'!$B$17,Paramètres!$A$1:$I$89,7,0))</f>
        <v>0</v>
      </c>
      <c r="GK93" s="122" t="n">
        <f aca="false">IF(ISNA(VLOOKUP(A93,'Données projet'!$A$243:$I$263,7,0)),0%,VLOOKUP(A93,'Données projet'!$A$243:$I$263,7,0))</f>
        <v>0</v>
      </c>
      <c r="GL93" s="129" t="e">
        <f aca="false">EXP(-LN(2)/35)*GL92+(1-EXP(-LN(2)/35))/(LN(2)/35)*GH93*GI93*VLOOKUP('Données projet'!$B$17,Paramètres!$A$1:$I$89,3,0)*0.475*44/12</f>
        <v>#N/A</v>
      </c>
      <c r="GM93" s="129" t="e">
        <f aca="false">EXP(-LN(2)/25)*GM92+(1-EXP(-LN(2)/25))/(LN(2)/25)*Calculateur!GH93*Calculateur!GJ93*VLOOKUP('Données projet'!$B$17,Paramètres!$A$1:$I$89,3,0)*0.475*44/12</f>
        <v>#N/A</v>
      </c>
      <c r="GN93" s="129" t="e">
        <f aca="false">EXP(-LN(2)/2)*GN92+(1-EXP(-LN(2)/2))/(LN(2)/2)*GH93*GK93*VLOOKUP('Données projet'!$B$17,Paramètres!$A$1:$I$89,3,0)*0.475*44/12</f>
        <v>#N/A</v>
      </c>
      <c r="GO93" s="129" t="e">
        <f aca="false">SUM(GL93:GN93)</f>
        <v>#N/A</v>
      </c>
      <c r="GP93" s="126" t="n">
        <f aca="false"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8" t="n">
        <f aca="false"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8" t="e">
        <f aca="false">VLOOKUP(A93,'Données projet'!$A$269:$I$289,2,0)</f>
        <v>#N/A</v>
      </c>
      <c r="GS93" s="118" t="e">
        <f aca="false">VLOOKUP(A93,'Données projet'!$A$269:$I$289,9,0)</f>
        <v>#N/A</v>
      </c>
      <c r="GT93" s="118" t="e">
        <f aca="false" t="array" ref="GT93:GT93">INDEX(GS:GS,MIN(IF(ISNUMBER(GS93:GS289),ROW(GS93:GS289),"")))</f>
        <v>#N/A</v>
      </c>
      <c r="GU93" s="118" t="n">
        <f aca="false">IF('Données projet'!$A$270&gt;35,GU92+GT93-HC92,IF(A93&lt;'Données projet'!$A$270,$GR$205^A93,IF(A93='Données projet'!$A$270,'Données projet'!$B$270,GU92+GT93-HC92)))</f>
        <v>0</v>
      </c>
      <c r="GV93" s="125" t="e">
        <f aca="false">GU93*VLOOKUP('Données projet'!$B$18,Paramètres!$A$1:$I$89,3,0)*VLOOKUP('Données projet'!$B$18,Paramètres!$A$1:$I$89,5,0)</f>
        <v>#N/A</v>
      </c>
      <c r="GW93" s="117" t="e">
        <f aca="false">EXP(-1.0587+0.8836*LN(GV93)+0.284)</f>
        <v>#N/A</v>
      </c>
      <c r="GX93" s="128" t="e">
        <f aca="false">(GV93+GW93)*0.475*44/12</f>
        <v>#N/A</v>
      </c>
      <c r="GY93" s="120" t="e">
        <f aca="false">GX93+(GP93+GQ93)*44/12</f>
        <v>#N/A</v>
      </c>
      <c r="GZ93" s="120" t="e">
        <f aca="true">AVERAGE(OFFSET($GY$3,0,0,'Données projet'!$E$18+1,1))-AVERAGE(OFFSET($H$3,0,0,'Données projet'!$E$18+1,1))</f>
        <v>#N/A</v>
      </c>
      <c r="HA93" s="120" t="e">
        <f aca="false">$HA$3</f>
        <v>#N/A</v>
      </c>
      <c r="HB93" s="121" t="n">
        <f aca="false">IF(ISNA(VLOOKUP(A93,'Données projet'!$A$269:$I$289,3,0)),0,VLOOKUP(A93,'Données projet'!$A$269:$I$289,3,0))</f>
        <v>0</v>
      </c>
      <c r="HC93" s="121" t="n">
        <f aca="false">IF(ISNA(VLOOKUP(A93,'Données projet'!$A$269:$I$289,4,0)),0,VLOOKUP(A93,'Données projet'!$A$269:$I$289,4,0))</f>
        <v>0</v>
      </c>
      <c r="HD93" s="122" t="n">
        <f aca="false">IF(ISNA(VLOOKUP(A93,'Données projet'!$A$269:$I$289,5,0)),0%,VLOOKUP(A93,'Données projet'!$A$269:$I$289,5,0)*VLOOKUP('Données projet'!$B$18,Paramètres!$A$1:$I$89,7,0))</f>
        <v>0</v>
      </c>
      <c r="HE93" s="122" t="n">
        <f aca="false">IF(ISNA(VLOOKUP(A93,'Données projet'!$A$269:$I$289,6,0)),0%,VLOOKUP(A93,'Données projet'!$A$269:$I$289,6,0)*VLOOKUP('Données projet'!$B$18,Paramètres!$A$1:$I$89,7,0))</f>
        <v>0</v>
      </c>
      <c r="HF93" s="122" t="n">
        <f aca="false">IF(ISNA(VLOOKUP(A93,'Données projet'!$A$269:$I$289,7,0)),0%,VLOOKUP(A93,'Données projet'!$A$269:$I$289,7,0))</f>
        <v>0</v>
      </c>
      <c r="HG93" s="129" t="e">
        <f aca="false">EXP(-LN(2)/35)*HG92+(1-EXP(-LN(2)/35))/(LN(2)/35)*HC93*HD93*VLOOKUP('Données projet'!$B$18,Paramètres!$A$1:$I$89,3,0)*0.475*44/12</f>
        <v>#N/A</v>
      </c>
      <c r="HH93" s="129" t="e">
        <f aca="false">EXP(-LN(2)/25)*HH92+(1-EXP(-LN(2)/25))/(LN(2)/25)*Calculateur!HC93*Calculateur!HE93*VLOOKUP('Données projet'!$B$18,Paramètres!$A$1:$I$89,3,0)*0.475*44/12</f>
        <v>#N/A</v>
      </c>
      <c r="HI93" s="129" t="e">
        <f aca="false">EXP(-LN(2)/2)*HI92+(1-EXP(-LN(2)/2))/(LN(2)/2)*HC93*HF93*VLOOKUP('Données projet'!$B$18,Paramètres!$A$1:$I$89,3,0)*0.475*44/12</f>
        <v>#N/A</v>
      </c>
      <c r="HJ93" s="130" t="e">
        <f aca="false">SUM(HG93:HI93)</f>
        <v>#N/A</v>
      </c>
    </row>
    <row r="94" customFormat="false" ht="14.25" hidden="false" customHeight="false" outlineLevel="0" collapsed="false">
      <c r="A94" s="112" t="n">
        <f aca="false">A93+1</f>
        <v>91</v>
      </c>
      <c r="B94" s="113" t="n">
        <f aca="false">'Scénario référence'!$B$16*5+'Scénario référence'!$B$17*0+'Scénario référence'!$B$18*5</f>
        <v>0</v>
      </c>
      <c r="C94" s="127" t="n">
        <f aca="false"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4" t="n">
        <f aca="false">IFERROR(EXP(-1.0587+0.8836*LN(C94)+0.284),0)</f>
        <v>0</v>
      </c>
      <c r="E9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4" s="114" t="n">
        <f aca="false">IF(OR('Scénario référence'!$F$8&gt;0,'Scénario référence'!$F$9&gt;0),('Scénario référence'!$F$8+'Scénario référence'!$F$9)*10,0)</f>
        <v>0</v>
      </c>
      <c r="G94" s="114" t="n">
        <f aca="false"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15" t="n">
        <f aca="false">(B94+E94+F94)*44/12+(C94+D94)*0.475*44/12</f>
        <v>256.666666666667</v>
      </c>
      <c r="I94" s="11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7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8" t="e">
        <f aca="false">VLOOKUP(A94,'Données projet'!$A$35:$I$55,2,0)</f>
        <v>#N/A</v>
      </c>
      <c r="L94" s="118" t="e">
        <f aca="false">VLOOKUP(A94,'Données projet'!$A$35:$I$55,9,0)</f>
        <v>#N/A</v>
      </c>
      <c r="M94" s="118" t="n">
        <f aca="false" t="array" ref="M94:M94">INDEX(L:L,MIN(IF(ISNUMBER(L94:L290),ROW(L94:L290),"")))</f>
        <v>18.5</v>
      </c>
      <c r="N94" s="117" t="n">
        <f aca="false">IF('Données projet'!$A$36&gt;35,N93+M94-V93,IF(A94&lt;'Données projet'!$A$36,$K$205^A94,IF(A94='Données projet'!$A$36,'Données projet'!$B$36,N93+M94-V93)))</f>
        <v>509</v>
      </c>
      <c r="O94" s="117" t="n">
        <f aca="false">N94*VLOOKUP('Données projet'!$B$9,Paramètres!$A$1:$I$89,3,0)*VLOOKUP('Données projet'!$B$9,Paramètres!$A$1:$I$89,5,0)</f>
        <v>238.212</v>
      </c>
      <c r="P94" s="117" t="n">
        <f aca="false">EXP(-1.0587+0.8836*LN(O94)+0.284)</f>
        <v>58.0546663071638</v>
      </c>
      <c r="Q94" s="128" t="n">
        <f aca="false">(O94+P94)*0.475*44/12</f>
        <v>515.997777151643</v>
      </c>
      <c r="R94" s="120" t="n">
        <f aca="false">Q94+(I94+J94)*44/12</f>
        <v>809.331110484977</v>
      </c>
      <c r="S94" s="120" t="n">
        <f aca="true">AVERAGE(OFFSET($R$3,0,0,'Données projet'!$E$9+1,1))-AVERAGE(OFFSET($H$3,0,0,'Données projet'!$E$9+1,1))</f>
        <v>319.229030946746</v>
      </c>
      <c r="T94" s="120" t="n">
        <f aca="false">$T$3</f>
        <v>254.586909731428</v>
      </c>
      <c r="U94" s="121" t="n">
        <f aca="false">IF(ISNA(VLOOKUP(A94,'Données projet'!$A$35:$I$55,3,0)),0,VLOOKUP(A94,'Données projet'!$A$35:$I$55,3,0))</f>
        <v>0</v>
      </c>
      <c r="V94" s="121" t="n">
        <f aca="false">IF(ISNA(VLOOKUP(A94,'Données projet'!$A$35:$I$55,4,0)),0,VLOOKUP(A94,'Données projet'!$A$35:$I$55,4,0))</f>
        <v>0</v>
      </c>
      <c r="W94" s="122" t="n">
        <f aca="false">IF(ISNA(VLOOKUP(A94,'Données projet'!$A$35:$I$55,5,0)),0%,VLOOKUP(A94,'Données projet'!$A$35:$I$55,5,0)*VLOOKUP('Données projet'!$B$9,Paramètres!$A$1:$I$89,7,0))</f>
        <v>0</v>
      </c>
      <c r="X94" s="122" t="n">
        <f aca="false">IF(ISNA(VLOOKUP(A94,'Données projet'!$A$35:$I$55,6,0)),0%,VLOOKUP(A94,'Données projet'!$A$35:$I$55,6,0)*VLOOKUP('Données projet'!$B$9,Paramètres!$A$1:$I$89,7,0))</f>
        <v>0</v>
      </c>
      <c r="Y94" s="122" t="n">
        <f aca="false">IF(ISNA(VLOOKUP(A94,'Données projet'!$A$35:$I$55,7,0)),0%,VLOOKUP(A94,'Données projet'!$A$35:$I$55,7,0))</f>
        <v>0</v>
      </c>
      <c r="Z94" s="129" t="n">
        <f aca="false">EXP(-LN(2)/35)*Z93+(1-EXP(-LN(2)/35))/(LN(2)/35)*V94*W94*VLOOKUP('Données projet'!$B$9,Paramètres!$A$1:$I$89,3,0)*0.475*44/12</f>
        <v>2.71175348235068</v>
      </c>
      <c r="AA94" s="129" t="n">
        <f aca="false">EXP(-LN(2)/25)*AA93+(1-EXP(-LN(2)/25))/(LN(2)/25)*Calculateur!V94*Calculateur!X94*VLOOKUP('Données projet'!$B$9,Paramètres!$A$1:$I$89,3,0)*0.475*44/12</f>
        <v>2.05500601595274</v>
      </c>
      <c r="AB94" s="129" t="n">
        <f aca="false">EXP(-LN(2)/2)*AB93+(1-EXP(-LN(2)/2))/(LN(2)/2)*V94*Y94*VLOOKUP('Données projet'!$B$9,Paramètres!$A$1:$I$89,3,0)*0.475*44/12</f>
        <v>7.27239171918838E-009</v>
      </c>
      <c r="AC94" s="130" t="n">
        <f aca="false">SUM(Z94:AB94)</f>
        <v>4.76675950557581</v>
      </c>
      <c r="AD94" s="117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7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8" t="e">
        <f aca="false">VLOOKUP(A94,'Données projet'!$A$61:$I$81,2,0)</f>
        <v>#N/A</v>
      </c>
      <c r="AG94" s="118" t="e">
        <f aca="false">VLOOKUP(A94,'Données projet'!$A$61:$I$81,9,0)</f>
        <v>#N/A</v>
      </c>
      <c r="AH94" s="118" t="e">
        <f aca="false" t="array" ref="AH94:AH94">INDEX(AG:AG,MIN(IF(ISNUMBER(AG94:AG290),ROW(AG94:AG290),"")))</f>
        <v>#N/A</v>
      </c>
      <c r="AI94" s="117" t="n">
        <f aca="false">IF('Données projet'!$A$62&gt;35,AI93+AH94-AQ93,IF(A94&lt;'Données projet'!$A$62,$AF$205^A94,IF(A94='Données projet'!$A$62,'Données projet'!$B$62,AI93+AH94-AQ93)))</f>
        <v>1.13686837721616E-013</v>
      </c>
      <c r="AJ94" s="117" t="n">
        <f aca="false">AI94*VLOOKUP('Données projet'!$B$10,Paramètres!$A$1:$I$89,3,0)*VLOOKUP('Données projet'!$B$10,Paramètres!$A$1:$I$89,5,0)</f>
        <v>6.35509422863834E-014</v>
      </c>
      <c r="AK94" s="117" t="n">
        <f aca="false">EXP(-1.0587+0.8836*LN(AJ94)+0.284)</f>
        <v>1.0064464192544E-012</v>
      </c>
      <c r="AL94" s="128" t="n">
        <f aca="false">(AJ94+AK94)*0.475*44/12</f>
        <v>1.86357873801686E-012</v>
      </c>
      <c r="AM94" s="120" t="n">
        <f aca="false">AL94+(AD94+AE94)*44/12</f>
        <v>293.333333333335</v>
      </c>
      <c r="AN94" s="120" t="n">
        <f aca="true">AVERAGE(OFFSET($AM$3,0,0,'Données projet'!$E$10+1,1))-AVERAGE(OFFSET($H$3,0,0,'Données projet'!$E$10+1,1))</f>
        <v>365.705101827279</v>
      </c>
      <c r="AO94" s="120" t="n">
        <f aca="false">$AO$3</f>
        <v>436.238338449625</v>
      </c>
      <c r="AP94" s="121" t="n">
        <f aca="false">IF(ISNA(VLOOKUP(A94,'Données projet'!$A$61:$I$81,3,0)),0,VLOOKUP(A94,'Données projet'!$A$61:$I$81,3,0))</f>
        <v>0</v>
      </c>
      <c r="AQ94" s="121" t="n">
        <f aca="false">IF(ISNA(VLOOKUP(A94,'Données projet'!$A$61:$I$81,4,0)),0,VLOOKUP(A94,'Données projet'!$A$61:$I$81,4,0))</f>
        <v>0</v>
      </c>
      <c r="AR94" s="122" t="n">
        <f aca="false">IF(ISNA(VLOOKUP(A94,'Données projet'!$A$61:$I$81,5,0)),0%,VLOOKUP(A94,'Données projet'!$A$61:$I$81,5,0)*VLOOKUP('Données projet'!$B$10,Paramètres!$A$1:$I$89,7,0))</f>
        <v>0</v>
      </c>
      <c r="AS94" s="122" t="n">
        <f aca="false">IF(ISNA(VLOOKUP(A94,'Données projet'!$A$61:$I$81,6,0)),0%,VLOOKUP(A94,'Données projet'!$A$61:$I$81,6,0)*VLOOKUP('Données projet'!$B$10,Paramètres!$A$1:$I$89,7,0))</f>
        <v>0</v>
      </c>
      <c r="AT94" s="122" t="n">
        <f aca="false">IF(ISNA(VLOOKUP(A94,'Données projet'!$A$61:$I$81,7,0)),0%,VLOOKUP(A94,'Données projet'!$A$61:$I$81,7,0))</f>
        <v>0</v>
      </c>
      <c r="AU94" s="129" t="n">
        <f aca="false">EXP(-LN(2)/35)*AU93+(1-EXP(-LN(2)/35))/(LN(2)/35)*AQ94*AR94*VLOOKUP('Données projet'!$B$10,Paramètres!$A$1:$I$89,3,0)*0.475*44/12</f>
        <v>1.02359902071683</v>
      </c>
      <c r="AV94" s="129" t="n">
        <f aca="false">EXP(-LN(2)/25)*AV93+(1-EXP(-LN(2)/25))/(LN(2)/25)*Calculateur!AQ94*Calculateur!AS94*VLOOKUP('Données projet'!$B$10,Paramètres!$A$1:$I$89,3,0)*0.475*44/12</f>
        <v>2.43404351197368</v>
      </c>
      <c r="AW94" s="129" t="n">
        <f aca="false">EXP(-LN(2)/2)*AW93+(1-EXP(-LN(2)/2))/(LN(2)/2)*AQ94*AT94*VLOOKUP('Données projet'!$B$10,Paramètres!$A$1:$I$89,3,0)*0.475*44/12</f>
        <v>3.91377392642685E-009</v>
      </c>
      <c r="AX94" s="129" t="n">
        <f aca="false">SUM(AU94:AW94)</f>
        <v>3.45764253660428</v>
      </c>
      <c r="AY94" s="124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8" t="e">
        <f aca="false">VLOOKUP(A94,'Données projet'!$A$87:$I$107,2,0)</f>
        <v>#N/A</v>
      </c>
      <c r="BB94" s="118" t="e">
        <f aca="false">VLOOKUP(A94,'Données projet'!$A$87:$I$107,9,0)</f>
        <v>#N/A</v>
      </c>
      <c r="BC94" s="118" t="e">
        <f aca="false" t="array" ref="BC94:BC94">INDEX(BB:BB,MIN(IF(ISNUMBER(BB94:BB290),ROW(BB94:BB290),"")))</f>
        <v>#N/A</v>
      </c>
      <c r="BD94" s="118" t="n">
        <f aca="false">IF('Données projet'!$A$88&gt;35,BD93+BC94-BL93,IF(A94&lt;'Données projet'!$A$88,$BA$205^A94,IF(A94='Données projet'!$A$88,'Données projet'!$B$88,BD93+BC94-BL93)))</f>
        <v>1.98951966012828E-013</v>
      </c>
      <c r="BE94" s="117" t="n">
        <f aca="false">BD94*VLOOKUP('Données projet'!$B$11,Paramètres!$A$1:$I$89,3,0)*VLOOKUP('Données projet'!$B$11,Paramètres!$A$1:$I$89,5,0)</f>
        <v>1.73804437508807E-013</v>
      </c>
      <c r="BF94" s="117" t="n">
        <f aca="false">EXP(-1.0587+0.8836*LN(BE94)+0.284)</f>
        <v>2.44832936339505E-012</v>
      </c>
      <c r="BG94" s="128" t="n">
        <f aca="false">(BE94+BF94)*0.475*44/12</f>
        <v>4.56688303657421E-012</v>
      </c>
      <c r="BH94" s="120" t="n">
        <f aca="false">BG94+(AY94+AZ94)*44/12</f>
        <v>293.333333333338</v>
      </c>
      <c r="BI94" s="120" t="n">
        <f aca="true">AVERAGE(OFFSET($BH$3,0,0,'Données projet'!$E$11+1,1))-AVERAGE(OFFSET($H$3,0,0,'Données projet'!$E$11+1,1))</f>
        <v>321.235999689929</v>
      </c>
      <c r="BJ94" s="120" t="n">
        <f aca="false">$BJ$3</f>
        <v>388.051958478005</v>
      </c>
      <c r="BK94" s="121" t="n">
        <f aca="false">IF(ISNA(VLOOKUP(A94,'Données projet'!$A$87:$I$107,3,0)),0,VLOOKUP(A94,'Données projet'!$A$87:$I$107,3,0))</f>
        <v>0</v>
      </c>
      <c r="BL94" s="121" t="n">
        <f aca="false">IF(ISNA(VLOOKUP(A94,'Données projet'!$A$87:$I$107,4,0)),0,VLOOKUP(A94,'Données projet'!$A$87:$I$107,4,0))</f>
        <v>0</v>
      </c>
      <c r="BM94" s="122" t="n">
        <f aca="false">IF(ISNA(VLOOKUP(A94,'Données projet'!$A$87:$I$107,5,0)),0%,VLOOKUP(A94,'Données projet'!$A$87:$I$107,5,0)*VLOOKUP('Données projet'!$B$11,Paramètres!$A$1:$I$89,7,0))</f>
        <v>0</v>
      </c>
      <c r="BN94" s="122" t="n">
        <f aca="false">IF(ISNA(VLOOKUP(A94,'Données projet'!$A$87:$I$107,6,0)),0%,VLOOKUP(A94,'Données projet'!$A$87:$I$107,6,0)*VLOOKUP('Données projet'!$B$11,Paramètres!$A$1:$I$89,7,0))</f>
        <v>0</v>
      </c>
      <c r="BO94" s="122" t="n">
        <f aca="false">IF(ISNA(VLOOKUP(A94,'Données projet'!$A$87:$I$107,7,0)),0%,VLOOKUP(A94,'Données projet'!$A$87:$I$107,7,0))</f>
        <v>0</v>
      </c>
      <c r="BP94" s="129" t="n">
        <f aca="false">EXP(-LN(2)/35)*BP93+(1-EXP(-LN(2)/35))/(LN(2)/35)*BL94*BM94*VLOOKUP('Données projet'!$B$11,Paramètres!$A$1:$I$89,3,0)*0.475*44/12</f>
        <v>2.56986955724759</v>
      </c>
      <c r="BQ94" s="129" t="n">
        <f aca="false">EXP(-LN(2)/25)*BQ93+(1-EXP(-LN(2)/25))/(LN(2)/25)*Calculateur!BL94*Calculateur!BN94*VLOOKUP('Données projet'!$B$11,Paramètres!$A$1:$I$89,3,0)*0.475*44/12</f>
        <v>2.48452704377666</v>
      </c>
      <c r="BR94" s="129" t="n">
        <f aca="false">EXP(-LN(2)/2)*BR93+(1-EXP(-LN(2)/2))/(LN(2)/2)*BL94*BO94*VLOOKUP('Données projet'!$B$11,Paramètres!$A$1:$I$89,3,0)*0.475*44/12</f>
        <v>3.97826984706942E-009</v>
      </c>
      <c r="BS94" s="130" t="n">
        <f aca="false">SUM(BP94:BR94)</f>
        <v>5.05439660500252</v>
      </c>
      <c r="BT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8" t="e">
        <f aca="false">VLOOKUP(A94,'Données projet'!$A$113:$I$133,2,0)</f>
        <v>#N/A</v>
      </c>
      <c r="BW94" s="118" t="e">
        <f aca="false">VLOOKUP(A94,'Données projet'!$A$113:$I$133,9,0)</f>
        <v>#N/A</v>
      </c>
      <c r="BX94" s="118" t="e">
        <f aca="false" t="array" ref="BX94:BX94">INDEX(BW:BW,MIN(IF(ISNUMBER(BW94:BW290),ROW(BW94:BW290),"")))</f>
        <v>#N/A</v>
      </c>
      <c r="BY94" s="118" t="n">
        <f aca="false">IF('Données projet'!$A$114&gt;35,BY93+BX94-CG93,IF(A94&lt;'Données projet'!$A$114,$BV$205^A94,IF(A94='Données projet'!$A$114,'Données projet'!$B$114,BY93+BX94-CG93)))</f>
        <v>0</v>
      </c>
      <c r="BZ94" s="117" t="n">
        <f aca="false">BY94*VLOOKUP('Données projet'!$B$12,Paramètres!$A$1:$I$89,3,0)*VLOOKUP('Données projet'!$B$12,Paramètres!$A$1:$I$89,5,0)</f>
        <v>0</v>
      </c>
      <c r="CA94" s="117" t="e">
        <f aca="false">EXP(-1.0587+0.8836*LN(BZ94)+0.284)</f>
        <v>#VALUE!</v>
      </c>
      <c r="CB94" s="128" t="e">
        <f aca="false">(BZ94+CA94)*0.475*44/12</f>
        <v>#VALUE!</v>
      </c>
      <c r="CC94" s="120" t="e">
        <f aca="false">CB94+(BT94+BU94)*44/12</f>
        <v>#VALUE!</v>
      </c>
      <c r="CD94" s="120" t="n">
        <f aca="true">AVERAGE(OFFSET($CC$3,0,0,'Données projet'!$E$12+1,1))-AVERAGE(OFFSET($H$3,0,0,'Données projet'!$E$12+1,1))</f>
        <v>240.228848647662</v>
      </c>
      <c r="CE94" s="120" t="n">
        <f aca="false">$CE$3</f>
        <v>343.237768841432</v>
      </c>
      <c r="CF94" s="121" t="n">
        <f aca="false">IF(ISNA(VLOOKUP(A94,'Données projet'!$A$113:$I$133,3,0)),0,VLOOKUP(A94,'Données projet'!$A$113:$I$133,3,0))</f>
        <v>0</v>
      </c>
      <c r="CG94" s="121" t="n">
        <f aca="false">IF(ISNA(VLOOKUP(A94,'Données projet'!$A$113:$I$133,4,0)),0,VLOOKUP(A94,'Données projet'!$A$113:$I$133,4,0))</f>
        <v>0</v>
      </c>
      <c r="CH94" s="122" t="n">
        <f aca="false">IF(ISNA(VLOOKUP(A94,'Données projet'!$A$113:$I$133,5,0)),0%,VLOOKUP(A94,'Données projet'!$A$113:$I$133,5,0)*VLOOKUP('Données projet'!$B$12,Paramètres!$A$1:$I$89,7,0))</f>
        <v>0</v>
      </c>
      <c r="CI94" s="122" t="n">
        <f aca="false">IF(ISNA(VLOOKUP(A94,'Données projet'!$A$113:$I$133,6,0)),0%,VLOOKUP(A94,'Données projet'!$A$113:$I$133,6,0)*VLOOKUP('Données projet'!$B$12,Paramètres!$A$1:$I$89,7,0))</f>
        <v>0</v>
      </c>
      <c r="CJ94" s="122" t="n">
        <f aca="false">IF(ISNA(VLOOKUP(A94,'Données projet'!$A$113:$I$133,7,0)),0%,VLOOKUP(A94,'Données projet'!$A$113:$I$133,7,0))</f>
        <v>0</v>
      </c>
      <c r="CK94" s="129" t="n">
        <f aca="false">EXP(-LN(2)/35)*CK93+(1-EXP(-LN(2)/35))/(LN(2)/35)*CG94*CH94*VLOOKUP('Données projet'!$B$12,Paramètres!$A$1:$I$89,3,0)*0.475*44/12</f>
        <v>1.5729603797666</v>
      </c>
      <c r="CL94" s="129" t="n">
        <f aca="false">EXP(-LN(2)/25)*CL93+(1-EXP(-LN(2)/25))/(LN(2)/25)*Calculateur!CG94*Calculateur!CI94*VLOOKUP('Données projet'!$B$12,Paramètres!$A$1:$I$89,3,0)*0.475*44/12</f>
        <v>4.3878185882986</v>
      </c>
      <c r="CM94" s="129" t="n">
        <f aca="false">EXP(-LN(2)/2)*CM93+(1-EXP(-LN(2)/2))/(LN(2)/2)*CG94*CJ94*VLOOKUP('Données projet'!$B$12,Paramètres!$A$1:$I$89,3,0)*0.475*44/12</f>
        <v>6.34825806978947E-009</v>
      </c>
      <c r="CN94" s="130" t="n">
        <f aca="false">SUM(CK94:CM94)</f>
        <v>5.96077897441346</v>
      </c>
      <c r="CO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8" t="e">
        <f aca="false">VLOOKUP(A94,'Données projet'!$A$139:$I$159,2,0)</f>
        <v>#N/A</v>
      </c>
      <c r="CR94" s="118" t="e">
        <f aca="false">VLOOKUP(A94,'Données projet'!$A$139:$I$159,9,0)</f>
        <v>#N/A</v>
      </c>
      <c r="CS94" s="118" t="e">
        <f aca="false" t="array" ref="CS94:CS94">INDEX(CR:CR,MIN(IF(ISNUMBER(CR94:CR290),ROW(CR94:CR290),"")))</f>
        <v>#N/A</v>
      </c>
      <c r="CT94" s="118" t="n">
        <f aca="false">IF('Données projet'!$A$140&gt;35,CT93+CS94-DB93,IF(A94&lt;'Données projet'!$A$140,$CQ$205^A94,IF(A94='Données projet'!$A$140,'Données projet'!$B$140,CT93+CS94-DB93)))</f>
        <v>-5.6843418860808E-014</v>
      </c>
      <c r="CU94" s="125" t="n">
        <f aca="false">CT94*VLOOKUP('Données projet'!$B$13,Paramètres!$A$1:$I$89,3,0)*VLOOKUP('Données projet'!$B$13,Paramètres!$A$1:$I$89,5,0)</f>
        <v>-3.10365066980012E-014</v>
      </c>
      <c r="CV94" s="117" t="e">
        <f aca="false">EXP(-1.0587+0.8836*LN(CU94)+0.284)</f>
        <v>#VALUE!</v>
      </c>
      <c r="CW94" s="128" t="e">
        <f aca="false">(CU94+CV94)*0.475*44/12</f>
        <v>#VALUE!</v>
      </c>
      <c r="CX94" s="120" t="e">
        <f aca="false">CW94+(CO94+CP94)*44/12</f>
        <v>#VALUE!</v>
      </c>
      <c r="CY94" s="120" t="n">
        <f aca="true">AVERAGE(OFFSET($CX$3,0,0,'Données projet'!$E$13+1,1))-AVERAGE(OFFSET($H$3,0,0,'Données projet'!$E$13+1,1))</f>
        <v>207.023069645676</v>
      </c>
      <c r="CZ94" s="120" t="n">
        <f aca="false">$CZ$3</f>
        <v>342.068879333518</v>
      </c>
      <c r="DA94" s="121" t="n">
        <f aca="false">IF(ISNA(VLOOKUP(A94,'Données projet'!$A$139:$I$159,3,0)),0,VLOOKUP(A94,'Données projet'!$A$139:$I$159,3,0))</f>
        <v>0</v>
      </c>
      <c r="DB94" s="121" t="n">
        <f aca="false">IF(ISNA(VLOOKUP(A94,'Données projet'!$A$139:$I$159,4,0)),0,VLOOKUP(A94,'Données projet'!$A$139:$I$159,4,0))</f>
        <v>0</v>
      </c>
      <c r="DC94" s="122" t="n">
        <f aca="false">IF(ISNA(VLOOKUP(A94,'Données projet'!$A$139:$I$159,5,0)),0%,VLOOKUP(A94,'Données projet'!$A$139:$I$159,5,0)*VLOOKUP('Données projet'!$B$13,Paramètres!$A$1:$I$89,7,0))</f>
        <v>0</v>
      </c>
      <c r="DD94" s="122" t="n">
        <f aca="false">IF(ISNA(VLOOKUP(A94,'Données projet'!$A$139:$I$159,6,0)),0%,VLOOKUP(A94,'Données projet'!$A$139:$I$159,6,0)*VLOOKUP('Données projet'!$B$13,Paramètres!$A$1:$I$89,7,0))</f>
        <v>0</v>
      </c>
      <c r="DE94" s="122" t="n">
        <f aca="false">IF(ISNA(VLOOKUP(A94,'Données projet'!$A$139:$I$159,7,0)),0%,VLOOKUP(A94,'Données projet'!$A$139:$I$159,7,0))</f>
        <v>0</v>
      </c>
      <c r="DF94" s="129" t="n">
        <f aca="false">EXP(-LN(2)/35)*DF93+(1-EXP(-LN(2)/35))/(LN(2)/35)*DB94*DC94*VLOOKUP('Données projet'!$B$13,Paramètres!$A$1:$I$89,3,0)*0.475*44/12</f>
        <v>1.97362009914111</v>
      </c>
      <c r="DG94" s="129" t="n">
        <f aca="false">EXP(-LN(2)/25)*DG93+(1-EXP(-LN(2)/25))/(LN(2)/25)*Calculateur!DB94*Calculateur!DD94*VLOOKUP('Données projet'!$B$13,Paramètres!$A$1:$I$89,3,0)*0.475*44/12</f>
        <v>7.17225591445338</v>
      </c>
      <c r="DH94" s="129" t="n">
        <f aca="false">EXP(-LN(2)/2)*DH93+(1-EXP(-LN(2)/2))/(LN(2)/2)*DB94*DE94*VLOOKUP('Données projet'!$B$13,Paramètres!$A$1:$I$89,3,0)*0.475*44/12</f>
        <v>8.74155430531244E-009</v>
      </c>
      <c r="DI94" s="130" t="n">
        <f aca="false">SUM(DF94:DH94)</f>
        <v>9.14587602233605</v>
      </c>
      <c r="DJ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8" t="e">
        <f aca="false">VLOOKUP(A94,'Données projet'!$A$165:$I$185,2,0)</f>
        <v>#N/A</v>
      </c>
      <c r="DM94" s="118" t="e">
        <f aca="false">VLOOKUP(A94,'Données projet'!$A$165:$I$185,9,0)</f>
        <v>#N/A</v>
      </c>
      <c r="DN94" s="118" t="e">
        <f aca="false" t="array" ref="DN94:DN94">INDEX(DM:DM,MIN(IF(ISNUMBER(DM94:DM290),ROW(DM94:DM290),"")))</f>
        <v>#N/A</v>
      </c>
      <c r="DO94" s="118" t="n">
        <f aca="false">IF('Données projet'!$A$166&gt;35,DO93+DN94-DW93,IF(A94&lt;'Données projet'!$A$166,$DL$205^A94,IF(A94='Données projet'!$A$166,'Données projet'!$B$166,DO93+DN94-DW93)))</f>
        <v>0</v>
      </c>
      <c r="DP94" s="125" t="n">
        <f aca="false">DO94*VLOOKUP('Données projet'!$B$14,Paramètres!$A$1:$I$89,3,0)*VLOOKUP('Données projet'!$B$14,Paramètres!$A$1:$I$89,5,0)</f>
        <v>0</v>
      </c>
      <c r="DQ94" s="117" t="e">
        <f aca="false">EXP(-1.0587+0.8836*LN(DP94)+0.284)</f>
        <v>#VALUE!</v>
      </c>
      <c r="DR94" s="128" t="e">
        <f aca="false">(DP94+DQ94)*0.475*44/12</f>
        <v>#VALUE!</v>
      </c>
      <c r="DS94" s="120" t="e">
        <f aca="false">DR94+(DJ94+DK94)*44/12</f>
        <v>#VALUE!</v>
      </c>
      <c r="DT94" s="120" t="n">
        <f aca="true">AVERAGE(OFFSET($DS$3,0,0,'Données projet'!$E$14+1,1))-AVERAGE(OFFSET($H$3,0,0,'Données projet'!$E$14+1,1))</f>
        <v>549.432320957297</v>
      </c>
      <c r="DU94" s="120" t="n">
        <f aca="false">$DU$3</f>
        <v>280.26155987301</v>
      </c>
      <c r="DV94" s="121" t="n">
        <f aca="false">IF(ISNA(VLOOKUP(A94,'Données projet'!$A$165:$I$185,3,0)),0,VLOOKUP(A94,'Données projet'!$A$165:$I$185,3,0))</f>
        <v>0</v>
      </c>
      <c r="DW94" s="121" t="n">
        <f aca="false">IF(ISNA(VLOOKUP(A94,'Données projet'!$A$165:$I$185,4,0)),0,VLOOKUP(A94,'Données projet'!$A$165:$I$185,4,0))</f>
        <v>0</v>
      </c>
      <c r="DX94" s="122" t="n">
        <f aca="false">IF(ISNA(VLOOKUP(A94,'Données projet'!$A$165:$I$185,5,0)),0%,VLOOKUP(A94,'Données projet'!$A$165:$I$185,5,0)*VLOOKUP('Données projet'!$B$14,Paramètres!$A$1:$I$89,7,0))</f>
        <v>0</v>
      </c>
      <c r="DY94" s="122" t="n">
        <f aca="false">IF(ISNA(VLOOKUP(A94,'Données projet'!$A$165:$I$185,6,0)),0%,VLOOKUP(A94,'Données projet'!$A$165:$I$185,6,0)*VLOOKUP('Données projet'!$B$14,Paramètres!$A$1:$I$89,7,0))</f>
        <v>0</v>
      </c>
      <c r="DZ94" s="122" t="n">
        <f aca="false">IF(ISNA(VLOOKUP(A94,'Données projet'!$A$165:$I$185,7,0)),0%,VLOOKUP(A94,'Données projet'!$A$165:$I$185,7,0))</f>
        <v>0</v>
      </c>
      <c r="EA94" s="129" t="n">
        <f aca="false">EXP(-LN(2)/35)*EA93+(1-EXP(-LN(2)/35))/(LN(2)/35)*DW94*DX94*VLOOKUP('Données projet'!$B$14,Paramètres!$A$1:$I$89,3,0)*0.475*44/12</f>
        <v>0.717606067374818</v>
      </c>
      <c r="EB94" s="129" t="n">
        <f aca="false">EXP(-LN(2)/25)*EB93+(1-EXP(-LN(2)/25))/(LN(2)/25)*Calculateur!DW94*Calculateur!DY94*VLOOKUP('Données projet'!$B$14,Paramètres!$A$1:$I$89,3,0)*0.475*44/12</f>
        <v>1.42885488428115</v>
      </c>
      <c r="EC94" s="129" t="n">
        <f aca="false">EXP(-LN(2)/2)*EC93+(1-EXP(-LN(2)/2))/(LN(2)/2)*DW94*DZ94*VLOOKUP('Données projet'!$B$14,Paramètres!$A$1:$I$89,3,0)*0.475*44/12</f>
        <v>4.02967634322598E-009</v>
      </c>
      <c r="ED94" s="130" t="n">
        <f aca="false">SUM(EA94:EC94)</f>
        <v>2.14646095568565</v>
      </c>
      <c r="EE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8" t="e">
        <f aca="false">VLOOKUP(A94,'Données projet'!$A$191:$I$211,2,0)</f>
        <v>#N/A</v>
      </c>
      <c r="EH94" s="118" t="e">
        <f aca="false">VLOOKUP(A94,'Données projet'!$A$191:$I$211,9,0)</f>
        <v>#N/A</v>
      </c>
      <c r="EI94" s="118" t="e">
        <f aca="false" t="array" ref="EI94:EI94">INDEX(EH:EH,MIN(IF(ISNUMBER(EH94:EH290),ROW(EH94:EH290),"")))</f>
        <v>#N/A</v>
      </c>
      <c r="EJ94" s="118" t="n">
        <f aca="false">IF('Données projet'!$A$192&gt;35,EJ93+EI94-ER93,IF(A94&lt;'Données projet'!$A$192,$EG$205^A94,IF(A94='Données projet'!$A$192,'Données projet'!$B$192,EJ93+EI94-ER93)))</f>
        <v>0</v>
      </c>
      <c r="EK94" s="125" t="e">
        <f aca="false">EJ94*VLOOKUP('Données projet'!$B$15,Paramètres!$A$1:$I$89,3,0)*VLOOKUP('Données projet'!$B$15,Paramètres!$A$1:$I$89,5,0)</f>
        <v>#N/A</v>
      </c>
      <c r="EL94" s="117" t="e">
        <f aca="false">EXP(-1.0587+0.8836*LN(EK94)+0.284)</f>
        <v>#N/A</v>
      </c>
      <c r="EM94" s="128" t="e">
        <f aca="false">(EK94+EL94)*0.475*44/12</f>
        <v>#N/A</v>
      </c>
      <c r="EN94" s="120" t="e">
        <f aca="false">EM94+(EE94+EF94)*44/12</f>
        <v>#N/A</v>
      </c>
      <c r="EO94" s="120" t="e">
        <f aca="true">AVERAGE(OFFSET($EN$3,0,0,'Données projet'!$E$15+1,1))-AVERAGE(OFFSET($H$3,0,0,'Données projet'!$E$15+1,1))</f>
        <v>#N/A</v>
      </c>
      <c r="EP94" s="120" t="e">
        <f aca="false">$EP$3</f>
        <v>#N/A</v>
      </c>
      <c r="EQ94" s="121" t="n">
        <f aca="false">IF(ISNA(VLOOKUP(A94,'Données projet'!$A$191:$I$211,3,0)),0,VLOOKUP(A94,'Données projet'!$A$191:$I$211,3,0))</f>
        <v>0</v>
      </c>
      <c r="ER94" s="121" t="n">
        <f aca="false">IF(ISNA(VLOOKUP(A94,'Données projet'!$A$191:$I$211,4,0)),0,VLOOKUP(A94,'Données projet'!$A$191:$I$211,4,0))</f>
        <v>0</v>
      </c>
      <c r="ES94" s="122" t="n">
        <f aca="false">IF(ISNA(VLOOKUP(A94,'Données projet'!$A$191:$I$211,5,0)),0%,VLOOKUP(A94,'Données projet'!$A$191:$I$211,5,0)*VLOOKUP('Données projet'!$B$15,Paramètres!$A$1:$I$89,7,0))</f>
        <v>0</v>
      </c>
      <c r="ET94" s="122" t="n">
        <f aca="false">IF(ISNA(VLOOKUP(A94,'Données projet'!$A$191:$I$211,6,0)),0%,VLOOKUP(A94,'Données projet'!$A$191:$I$211,6,0)*VLOOKUP('Données projet'!$B$15,Paramètres!$A$1:$I$89,7,0))</f>
        <v>0</v>
      </c>
      <c r="EU94" s="122" t="n">
        <f aca="false">IF(ISNA(VLOOKUP(A94,'Données projet'!$A$191:$I$211,7,0)),0%,VLOOKUP(A94,'Données projet'!$A$191:$I$211,7,0))</f>
        <v>0</v>
      </c>
      <c r="EV94" s="129" t="e">
        <f aca="false">EXP(-LN(2)/35)*EV93+(1-EXP(-LN(2)/35))/(LN(2)/35)*ER94*ES94*VLOOKUP('Données projet'!$B$15,Paramètres!$A$1:$I$89,3,0)*0.475*44/12</f>
        <v>#N/A</v>
      </c>
      <c r="EW94" s="129" t="e">
        <f aca="false">EXP(-LN(2)/25)*EW93+(1-EXP(-LN(2)/25))/(LN(2)/25)*Calculateur!ER94*Calculateur!ET94*VLOOKUP('Données projet'!$B$15,Paramètres!$A$1:$I$89,3,0)*0.475*44/12</f>
        <v>#N/A</v>
      </c>
      <c r="EX94" s="129" t="e">
        <f aca="false">EXP(-LN(2)/2)*EX93+(1-EXP(-LN(2)/2))/(LN(2)/2)*ER94*EU94*VLOOKUP('Données projet'!$B$15,Paramètres!$A$1:$I$89,3,0)*0.475*44/12</f>
        <v>#N/A</v>
      </c>
      <c r="EY94" s="130" t="e">
        <f aca="false">SUM(EV94:EX94)</f>
        <v>#N/A</v>
      </c>
      <c r="EZ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8" t="e">
        <f aca="false">VLOOKUP(A94,'Données projet'!$A$217:$I$237,2,0)</f>
        <v>#N/A</v>
      </c>
      <c r="FC94" s="118" t="e">
        <f aca="false">VLOOKUP(A94,'Données projet'!$A$217:$I$237,9,0)</f>
        <v>#N/A</v>
      </c>
      <c r="FD94" s="118" t="e">
        <f aca="false" t="array" ref="FD94:FD94">INDEX(FC:FC,MIN(IF(ISNUMBER(FC94:FC290),ROW(FC94:FC290),"")))</f>
        <v>#N/A</v>
      </c>
      <c r="FE94" s="118" t="n">
        <f aca="false">IF('Données projet'!$A$218&gt;35,FE93+FD94-FM93,IF(A94&lt;'Données projet'!$A$218,$FB$205^A94,IF(A94='Données projet'!$A$218,'Données projet'!$B$218,FE93+FD94-FM93)))</f>
        <v>0</v>
      </c>
      <c r="FF94" s="125" t="e">
        <f aca="false">FE94*VLOOKUP('Données projet'!$B$16,Paramètres!$A$1:$I$89,3,0)*VLOOKUP('Données projet'!$B$16,Paramètres!$A$1:$I$89,5,0)</f>
        <v>#N/A</v>
      </c>
      <c r="FG94" s="117" t="e">
        <f aca="false">EXP(-1.0587+0.8836*LN(FF94)+0.284)</f>
        <v>#N/A</v>
      </c>
      <c r="FH94" s="128" t="e">
        <f aca="false">(FF94+FG94)*0.475*44/12</f>
        <v>#N/A</v>
      </c>
      <c r="FI94" s="120" t="e">
        <f aca="false">FH94+(EZ94+FA94)*44/12</f>
        <v>#N/A</v>
      </c>
      <c r="FJ94" s="120" t="e">
        <f aca="true">AVERAGE(OFFSET($FI$3,0,0,'Données projet'!$E$16+1,1))-AVERAGE(OFFSET($H$3,0,0,'Données projet'!$E$16+1,1))</f>
        <v>#N/A</v>
      </c>
      <c r="FK94" s="120" t="e">
        <f aca="false">$FK$3</f>
        <v>#N/A</v>
      </c>
      <c r="FL94" s="121" t="n">
        <f aca="false">IF(ISNA(VLOOKUP(A94,'Données projet'!$A$217:$I$237,3,0)),0,VLOOKUP(A94,'Données projet'!$A$217:$I$237,3,0))</f>
        <v>0</v>
      </c>
      <c r="FM94" s="121" t="n">
        <f aca="false">IF(ISNA(VLOOKUP(A94,'Données projet'!$A$217:$I$237,4,0)),0,VLOOKUP(A94,'Données projet'!$A$217:$I$237,4,0))</f>
        <v>0</v>
      </c>
      <c r="FN94" s="122" t="n">
        <f aca="false">IF(ISNA(VLOOKUP(A94,'Données projet'!$A$217:$I$237,5,0)),0%,VLOOKUP(A94,'Données projet'!$A$217:$I$237,5,0)*VLOOKUP('Données projet'!$B$16,Paramètres!$A$1:$I$89,7,0))</f>
        <v>0</v>
      </c>
      <c r="FO94" s="122" t="n">
        <f aca="false">IF(ISNA(VLOOKUP(A94,'Données projet'!$A$217:$I$237,6,0)),0%,VLOOKUP(A94,'Données projet'!$A$217:$I$237,6,0)*VLOOKUP('Données projet'!$B$16,Paramètres!$A$1:$I$89,7,0))</f>
        <v>0</v>
      </c>
      <c r="FP94" s="122" t="n">
        <f aca="false">IF(ISNA(VLOOKUP(A94,'Données projet'!$A$217:$I$237,7,0)),0%,VLOOKUP(A94,'Données projet'!$A$217:$I$237,7,0))</f>
        <v>0</v>
      </c>
      <c r="FQ94" s="129" t="e">
        <f aca="false">EXP(-LN(2)/35)*FQ93+(1-EXP(-LN(2)/35))/(LN(2)/35)*FM94*FN94*VLOOKUP('Données projet'!$B$16,Paramètres!$A$1:$I$89,3,0)*0.475*44/12</f>
        <v>#N/A</v>
      </c>
      <c r="FR94" s="129" t="e">
        <f aca="false">EXP(-LN(2)/25)*FR93+(1-EXP(-LN(2)/25))/(LN(2)/25)*Calculateur!FM94*Calculateur!FO94*VLOOKUP('Données projet'!$B$16,Paramètres!$A$1:$I$89,3,0)*0.475*44/12</f>
        <v>#N/A</v>
      </c>
      <c r="FS94" s="129" t="e">
        <f aca="false">EXP(-LN(2)/2)*FS93+(1-EXP(-LN(2)/2))/(LN(2)/2)*FM94*FP94*VLOOKUP('Données projet'!$B$16,Paramètres!$A$1:$I$89,3,0)*0.475*44/12</f>
        <v>#N/A</v>
      </c>
      <c r="FT94" s="130" t="e">
        <f aca="false">SUM(FQ94:FS94)</f>
        <v>#N/A</v>
      </c>
      <c r="FU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8" t="e">
        <f aca="false">VLOOKUP(A94,'Données projet'!$A$243:$I$263,2,0)</f>
        <v>#N/A</v>
      </c>
      <c r="FX94" s="118" t="e">
        <f aca="false">VLOOKUP(A94,'Données projet'!$A$243:$I$263,9,0)</f>
        <v>#N/A</v>
      </c>
      <c r="FY94" s="118" t="e">
        <f aca="false" t="array" ref="FY94:FY94">INDEX(FX:FX,MIN(IF(ISNUMBER(FX94:FX290),ROW(FX94:FX290),"")))</f>
        <v>#N/A</v>
      </c>
      <c r="FZ94" s="118" t="n">
        <f aca="false">IF('Données projet'!$A$244&gt;35,FZ93+FY94-GH93,IF(A94&lt;'Données projet'!$A$244,$FW$205^A94,IF(A94='Données projet'!$A$244,'Données projet'!$B$244,FZ93+FY94-GH93)))</f>
        <v>0</v>
      </c>
      <c r="GA94" s="125" t="e">
        <f aca="false">FZ94*VLOOKUP('Données projet'!$B$17,Paramètres!$A$1:$I$89,3,0)*VLOOKUP('Données projet'!$B$17,Paramètres!$A$1:$I$89,5,0)</f>
        <v>#N/A</v>
      </c>
      <c r="GB94" s="117" t="e">
        <f aca="false">EXP(-1.0587+0.8836*LN(GA94)+0.284)</f>
        <v>#N/A</v>
      </c>
      <c r="GC94" s="128" t="e">
        <f aca="false">(GA94+GB94)*0.475*44/12</f>
        <v>#N/A</v>
      </c>
      <c r="GD94" s="120" t="e">
        <f aca="false">GC94+(FU94+FV94)*44/12</f>
        <v>#N/A</v>
      </c>
      <c r="GE94" s="120" t="e">
        <f aca="true">AVERAGE(OFFSET($GD$3,0,0,'Données projet'!$E$17+1,1))-AVERAGE(OFFSET($H$3,0,0,'Données projet'!$E$17+1,1))</f>
        <v>#N/A</v>
      </c>
      <c r="GF94" s="120" t="e">
        <f aca="false">$GF$3</f>
        <v>#N/A</v>
      </c>
      <c r="GG94" s="121" t="n">
        <f aca="false">IF(ISNA(VLOOKUP(A94,'Données projet'!$A$243:$I$263,3,0)),0,VLOOKUP(A94,'Données projet'!$A$243:$I$263,3,0))</f>
        <v>0</v>
      </c>
      <c r="GH94" s="121" t="n">
        <f aca="false">IF(ISNA(VLOOKUP(A94,'Données projet'!$A$243:$I$263,4,0)),0,VLOOKUP(A94,'Données projet'!$A$243:$I$263,4,0))</f>
        <v>0</v>
      </c>
      <c r="GI94" s="122" t="n">
        <f aca="false">IF(ISNA(VLOOKUP(A94,'Données projet'!$A$243:$I$263,5,0)),0%,VLOOKUP(A94,'Données projet'!$A$243:$I$263,5,0)*VLOOKUP('Données projet'!$B$17,Paramètres!$A$1:$I$89,7,0))</f>
        <v>0</v>
      </c>
      <c r="GJ94" s="122" t="n">
        <f aca="false">IF(ISNA(VLOOKUP(A94,'Données projet'!$A$243:$I$263,6,0)),0%,VLOOKUP(A94,'Données projet'!$A$243:$I$263,6,0)*VLOOKUP('Données projet'!$B$17,Paramètres!$A$1:$I$89,7,0))</f>
        <v>0</v>
      </c>
      <c r="GK94" s="122" t="n">
        <f aca="false">IF(ISNA(VLOOKUP(A94,'Données projet'!$A$243:$I$263,7,0)),0%,VLOOKUP(A94,'Données projet'!$A$243:$I$263,7,0))</f>
        <v>0</v>
      </c>
      <c r="GL94" s="129" t="e">
        <f aca="false">EXP(-LN(2)/35)*GL93+(1-EXP(-LN(2)/35))/(LN(2)/35)*GH94*GI94*VLOOKUP('Données projet'!$B$17,Paramètres!$A$1:$I$89,3,0)*0.475*44/12</f>
        <v>#N/A</v>
      </c>
      <c r="GM94" s="129" t="e">
        <f aca="false">EXP(-LN(2)/25)*GM93+(1-EXP(-LN(2)/25))/(LN(2)/25)*Calculateur!GH94*Calculateur!GJ94*VLOOKUP('Données projet'!$B$17,Paramètres!$A$1:$I$89,3,0)*0.475*44/12</f>
        <v>#N/A</v>
      </c>
      <c r="GN94" s="129" t="e">
        <f aca="false">EXP(-LN(2)/2)*GN93+(1-EXP(-LN(2)/2))/(LN(2)/2)*GH94*GK94*VLOOKUP('Données projet'!$B$17,Paramètres!$A$1:$I$89,3,0)*0.475*44/12</f>
        <v>#N/A</v>
      </c>
      <c r="GO94" s="129" t="e">
        <f aca="false">SUM(GL94:GN94)</f>
        <v>#N/A</v>
      </c>
      <c r="GP94" s="126" t="n">
        <f aca="false"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8" t="n">
        <f aca="false"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8" t="e">
        <f aca="false">VLOOKUP(A94,'Données projet'!$A$269:$I$289,2,0)</f>
        <v>#N/A</v>
      </c>
      <c r="GS94" s="118" t="e">
        <f aca="false">VLOOKUP(A94,'Données projet'!$A$269:$I$289,9,0)</f>
        <v>#N/A</v>
      </c>
      <c r="GT94" s="118" t="e">
        <f aca="false" t="array" ref="GT94:GT94">INDEX(GS:GS,MIN(IF(ISNUMBER(GS94:GS290),ROW(GS94:GS290),"")))</f>
        <v>#N/A</v>
      </c>
      <c r="GU94" s="118" t="n">
        <f aca="false">IF('Données projet'!$A$270&gt;35,GU93+GT94-HC93,IF(A94&lt;'Données projet'!$A$270,$GR$205^A94,IF(A94='Données projet'!$A$270,'Données projet'!$B$270,GU93+GT94-HC93)))</f>
        <v>0</v>
      </c>
      <c r="GV94" s="125" t="e">
        <f aca="false">GU94*VLOOKUP('Données projet'!$B$18,Paramètres!$A$1:$I$89,3,0)*VLOOKUP('Données projet'!$B$18,Paramètres!$A$1:$I$89,5,0)</f>
        <v>#N/A</v>
      </c>
      <c r="GW94" s="117" t="e">
        <f aca="false">EXP(-1.0587+0.8836*LN(GV94)+0.284)</f>
        <v>#N/A</v>
      </c>
      <c r="GX94" s="128" t="e">
        <f aca="false">(GV94+GW94)*0.475*44/12</f>
        <v>#N/A</v>
      </c>
      <c r="GY94" s="120" t="e">
        <f aca="false">GX94+(GP94+GQ94)*44/12</f>
        <v>#N/A</v>
      </c>
      <c r="GZ94" s="120" t="e">
        <f aca="true">AVERAGE(OFFSET($GY$3,0,0,'Données projet'!$E$18+1,1))-AVERAGE(OFFSET($H$3,0,0,'Données projet'!$E$18+1,1))</f>
        <v>#N/A</v>
      </c>
      <c r="HA94" s="120" t="e">
        <f aca="false">$HA$3</f>
        <v>#N/A</v>
      </c>
      <c r="HB94" s="121" t="n">
        <f aca="false">IF(ISNA(VLOOKUP(A94,'Données projet'!$A$269:$I$289,3,0)),0,VLOOKUP(A94,'Données projet'!$A$269:$I$289,3,0))</f>
        <v>0</v>
      </c>
      <c r="HC94" s="121" t="n">
        <f aca="false">IF(ISNA(VLOOKUP(A94,'Données projet'!$A$269:$I$289,4,0)),0,VLOOKUP(A94,'Données projet'!$A$269:$I$289,4,0))</f>
        <v>0</v>
      </c>
      <c r="HD94" s="122" t="n">
        <f aca="false">IF(ISNA(VLOOKUP(A94,'Données projet'!$A$269:$I$289,5,0)),0%,VLOOKUP(A94,'Données projet'!$A$269:$I$289,5,0)*VLOOKUP('Données projet'!$B$18,Paramètres!$A$1:$I$89,7,0))</f>
        <v>0</v>
      </c>
      <c r="HE94" s="122" t="n">
        <f aca="false">IF(ISNA(VLOOKUP(A94,'Données projet'!$A$269:$I$289,6,0)),0%,VLOOKUP(A94,'Données projet'!$A$269:$I$289,6,0)*VLOOKUP('Données projet'!$B$18,Paramètres!$A$1:$I$89,7,0))</f>
        <v>0</v>
      </c>
      <c r="HF94" s="122" t="n">
        <f aca="false">IF(ISNA(VLOOKUP(A94,'Données projet'!$A$269:$I$289,7,0)),0%,VLOOKUP(A94,'Données projet'!$A$269:$I$289,7,0))</f>
        <v>0</v>
      </c>
      <c r="HG94" s="129" t="e">
        <f aca="false">EXP(-LN(2)/35)*HG93+(1-EXP(-LN(2)/35))/(LN(2)/35)*HC94*HD94*VLOOKUP('Données projet'!$B$18,Paramètres!$A$1:$I$89,3,0)*0.475*44/12</f>
        <v>#N/A</v>
      </c>
      <c r="HH94" s="129" t="e">
        <f aca="false">EXP(-LN(2)/25)*HH93+(1-EXP(-LN(2)/25))/(LN(2)/25)*Calculateur!HC94*Calculateur!HE94*VLOOKUP('Données projet'!$B$18,Paramètres!$A$1:$I$89,3,0)*0.475*44/12</f>
        <v>#N/A</v>
      </c>
      <c r="HI94" s="129" t="e">
        <f aca="false">EXP(-LN(2)/2)*HI93+(1-EXP(-LN(2)/2))/(LN(2)/2)*HC94*HF94*VLOOKUP('Données projet'!$B$18,Paramètres!$A$1:$I$89,3,0)*0.475*44/12</f>
        <v>#N/A</v>
      </c>
      <c r="HJ94" s="130" t="e">
        <f aca="false">SUM(HG94:HI94)</f>
        <v>#N/A</v>
      </c>
    </row>
    <row r="95" customFormat="false" ht="14.25" hidden="false" customHeight="false" outlineLevel="0" collapsed="false">
      <c r="A95" s="112" t="n">
        <f aca="false">A94+1</f>
        <v>92</v>
      </c>
      <c r="B95" s="113" t="n">
        <f aca="false">'Scénario référence'!$B$16*5+'Scénario référence'!$B$17*0+'Scénario référence'!$B$18*5</f>
        <v>0</v>
      </c>
      <c r="C95" s="127" t="n">
        <f aca="false"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4" t="n">
        <f aca="false">IFERROR(EXP(-1.0587+0.8836*LN(C95)+0.284),0)</f>
        <v>0</v>
      </c>
      <c r="E9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5" s="114" t="n">
        <f aca="false">IF(OR('Scénario référence'!$F$8&gt;0,'Scénario référence'!$F$9&gt;0),('Scénario référence'!$F$8+'Scénario référence'!$F$9)*10,0)</f>
        <v>0</v>
      </c>
      <c r="G95" s="114" t="n">
        <f aca="false"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15" t="n">
        <f aca="false">(B95+E95+F95)*44/12+(C95+D95)*0.475*44/12</f>
        <v>256.666666666667</v>
      </c>
      <c r="I95" s="11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7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8" t="e">
        <f aca="false">VLOOKUP(A95,'Données projet'!$A$35:$I$55,2,0)</f>
        <v>#N/A</v>
      </c>
      <c r="L95" s="118" t="e">
        <f aca="false">VLOOKUP(A95,'Données projet'!$A$35:$I$55,9,0)</f>
        <v>#N/A</v>
      </c>
      <c r="M95" s="118" t="n">
        <f aca="false" t="array" ref="M95:M95">INDEX(L:L,MIN(IF(ISNUMBER(L95:L291),ROW(L95:L291),"")))</f>
        <v>18.5</v>
      </c>
      <c r="N95" s="117" t="n">
        <f aca="false">IF('Données projet'!$A$36&gt;35,N94+M95-V94,IF(A95&lt;'Données projet'!$A$36,$K$205^A95,IF(A95='Données projet'!$A$36,'Données projet'!$B$36,N94+M95-V94)))</f>
        <v>527.5</v>
      </c>
      <c r="O95" s="117" t="n">
        <f aca="false">N95*VLOOKUP('Données projet'!$B$9,Paramètres!$A$1:$I$89,3,0)*VLOOKUP('Données projet'!$B$9,Paramètres!$A$1:$I$89,5,0)</f>
        <v>246.87</v>
      </c>
      <c r="P95" s="117" t="n">
        <f aca="false">EXP(-1.0587+0.8836*LN(O95)+0.284)</f>
        <v>59.9152077887673</v>
      </c>
      <c r="Q95" s="128" t="n">
        <f aca="false">(O95+P95)*0.475*44/12</f>
        <v>534.317570232103</v>
      </c>
      <c r="R95" s="120" t="n">
        <f aca="false">Q95+(I95+J95)*44/12</f>
        <v>827.650903565436</v>
      </c>
      <c r="S95" s="120" t="n">
        <f aca="true">AVERAGE(OFFSET($R$3,0,0,'Données projet'!$E$9+1,1))-AVERAGE(OFFSET($H$3,0,0,'Données projet'!$E$9+1,1))</f>
        <v>319.229030946746</v>
      </c>
      <c r="T95" s="120" t="n">
        <f aca="false">$T$3</f>
        <v>254.586909731428</v>
      </c>
      <c r="U95" s="121" t="n">
        <f aca="false">IF(ISNA(VLOOKUP(A95,'Données projet'!$A$35:$I$55,3,0)),0,VLOOKUP(A95,'Données projet'!$A$35:$I$55,3,0))</f>
        <v>0</v>
      </c>
      <c r="V95" s="121" t="n">
        <f aca="false">IF(ISNA(VLOOKUP(A95,'Données projet'!$A$35:$I$55,4,0)),0,VLOOKUP(A95,'Données projet'!$A$35:$I$55,4,0))</f>
        <v>0</v>
      </c>
      <c r="W95" s="122" t="n">
        <f aca="false">IF(ISNA(VLOOKUP(A95,'Données projet'!$A$35:$I$55,5,0)),0%,VLOOKUP(A95,'Données projet'!$A$35:$I$55,5,0)*VLOOKUP('Données projet'!$B$9,Paramètres!$A$1:$I$89,7,0))</f>
        <v>0</v>
      </c>
      <c r="X95" s="122" t="n">
        <f aca="false">IF(ISNA(VLOOKUP(A95,'Données projet'!$A$35:$I$55,6,0)),0%,VLOOKUP(A95,'Données projet'!$A$35:$I$55,6,0)*VLOOKUP('Données projet'!$B$9,Paramètres!$A$1:$I$89,7,0))</f>
        <v>0</v>
      </c>
      <c r="Y95" s="122" t="n">
        <f aca="false">IF(ISNA(VLOOKUP(A95,'Données projet'!$A$35:$I$55,7,0)),0%,VLOOKUP(A95,'Données projet'!$A$35:$I$55,7,0))</f>
        <v>0</v>
      </c>
      <c r="Z95" s="129" t="n">
        <f aca="false">EXP(-LN(2)/35)*Z94+(1-EXP(-LN(2)/35))/(LN(2)/35)*V95*W95*VLOOKUP('Données projet'!$B$9,Paramètres!$A$1:$I$89,3,0)*0.475*44/12</f>
        <v>2.65857765056809</v>
      </c>
      <c r="AA95" s="129" t="n">
        <f aca="false">EXP(-LN(2)/25)*AA94+(1-EXP(-LN(2)/25))/(LN(2)/25)*Calculateur!V95*Calculateur!X95*VLOOKUP('Données projet'!$B$9,Paramètres!$A$1:$I$89,3,0)*0.475*44/12</f>
        <v>1.99881176837844</v>
      </c>
      <c r="AB95" s="129" t="n">
        <f aca="false">EXP(-LN(2)/2)*AB94+(1-EXP(-LN(2)/2))/(LN(2)/2)*V95*Y95*VLOOKUP('Données projet'!$B$9,Paramètres!$A$1:$I$89,3,0)*0.475*44/12</f>
        <v>5.142357500083E-009</v>
      </c>
      <c r="AC95" s="130" t="n">
        <f aca="false">SUM(Z95:AB95)</f>
        <v>4.65738942408888</v>
      </c>
      <c r="AD95" s="117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7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8" t="e">
        <f aca="false">VLOOKUP(A95,'Données projet'!$A$61:$I$81,2,0)</f>
        <v>#N/A</v>
      </c>
      <c r="AG95" s="118" t="e">
        <f aca="false">VLOOKUP(A95,'Données projet'!$A$61:$I$81,9,0)</f>
        <v>#N/A</v>
      </c>
      <c r="AH95" s="118" t="e">
        <f aca="false" t="array" ref="AH95:AH95">INDEX(AG:AG,MIN(IF(ISNUMBER(AG95:AG291),ROW(AG95:AG291),"")))</f>
        <v>#N/A</v>
      </c>
      <c r="AI95" s="117" t="n">
        <f aca="false">IF('Données projet'!$A$62&gt;35,AI94+AH95-AQ94,IF(A95&lt;'Données projet'!$A$62,$AF$205^A95,IF(A95='Données projet'!$A$62,'Données projet'!$B$62,AI94+AH95-AQ94)))</f>
        <v>1.13686837721616E-013</v>
      </c>
      <c r="AJ95" s="117" t="n">
        <f aca="false">AI95*VLOOKUP('Données projet'!$B$10,Paramètres!$A$1:$I$89,3,0)*VLOOKUP('Données projet'!$B$10,Paramètres!$A$1:$I$89,5,0)</f>
        <v>6.35509422863834E-014</v>
      </c>
      <c r="AK95" s="117" t="n">
        <f aca="false">EXP(-1.0587+0.8836*LN(AJ95)+0.284)</f>
        <v>1.0064464192544E-012</v>
      </c>
      <c r="AL95" s="128" t="n">
        <f aca="false">(AJ95+AK95)*0.475*44/12</f>
        <v>1.86357873801686E-012</v>
      </c>
      <c r="AM95" s="120" t="n">
        <f aca="false">AL95+(AD95+AE95)*44/12</f>
        <v>293.333333333335</v>
      </c>
      <c r="AN95" s="120" t="n">
        <f aca="true">AVERAGE(OFFSET($AM$3,0,0,'Données projet'!$E$10+1,1))-AVERAGE(OFFSET($H$3,0,0,'Données projet'!$E$10+1,1))</f>
        <v>365.705101827279</v>
      </c>
      <c r="AO95" s="120" t="n">
        <f aca="false">$AO$3</f>
        <v>436.238338449625</v>
      </c>
      <c r="AP95" s="121" t="n">
        <f aca="false">IF(ISNA(VLOOKUP(A95,'Données projet'!$A$61:$I$81,3,0)),0,VLOOKUP(A95,'Données projet'!$A$61:$I$81,3,0))</f>
        <v>0</v>
      </c>
      <c r="AQ95" s="121" t="n">
        <f aca="false">IF(ISNA(VLOOKUP(A95,'Données projet'!$A$61:$I$81,4,0)),0,VLOOKUP(A95,'Données projet'!$A$61:$I$81,4,0))</f>
        <v>0</v>
      </c>
      <c r="AR95" s="122" t="n">
        <f aca="false">IF(ISNA(VLOOKUP(A95,'Données projet'!$A$61:$I$81,5,0)),0%,VLOOKUP(A95,'Données projet'!$A$61:$I$81,5,0)*VLOOKUP('Données projet'!$B$10,Paramètres!$A$1:$I$89,7,0))</f>
        <v>0</v>
      </c>
      <c r="AS95" s="122" t="n">
        <f aca="false">IF(ISNA(VLOOKUP(A95,'Données projet'!$A$61:$I$81,6,0)),0%,VLOOKUP(A95,'Données projet'!$A$61:$I$81,6,0)*VLOOKUP('Données projet'!$B$10,Paramètres!$A$1:$I$89,7,0))</f>
        <v>0</v>
      </c>
      <c r="AT95" s="122" t="n">
        <f aca="false">IF(ISNA(VLOOKUP(A95,'Données projet'!$A$61:$I$81,7,0)),0%,VLOOKUP(A95,'Données projet'!$A$61:$I$81,7,0))</f>
        <v>0</v>
      </c>
      <c r="AU95" s="129" t="n">
        <f aca="false">EXP(-LN(2)/35)*AU94+(1-EXP(-LN(2)/35))/(LN(2)/35)*AQ95*AR95*VLOOKUP('Données projet'!$B$10,Paramètres!$A$1:$I$89,3,0)*0.475*44/12</f>
        <v>1.00352686825432</v>
      </c>
      <c r="AV95" s="129" t="n">
        <f aca="false">EXP(-LN(2)/25)*AV94+(1-EXP(-LN(2)/25))/(LN(2)/25)*Calculateur!AQ95*Calculateur!AS95*VLOOKUP('Données projet'!$B$10,Paramètres!$A$1:$I$89,3,0)*0.475*44/12</f>
        <v>2.36748446413798</v>
      </c>
      <c r="AW95" s="129" t="n">
        <f aca="false">EXP(-LN(2)/2)*AW94+(1-EXP(-LN(2)/2))/(LN(2)/2)*AQ95*AT95*VLOOKUP('Données projet'!$B$10,Paramètres!$A$1:$I$89,3,0)*0.475*44/12</f>
        <v>2.76745608340753E-009</v>
      </c>
      <c r="AX95" s="129" t="n">
        <f aca="false">SUM(AU95:AW95)</f>
        <v>3.37101133515976</v>
      </c>
      <c r="AY95" s="124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8" t="e">
        <f aca="false">VLOOKUP(A95,'Données projet'!$A$87:$I$107,2,0)</f>
        <v>#N/A</v>
      </c>
      <c r="BB95" s="118" t="e">
        <f aca="false">VLOOKUP(A95,'Données projet'!$A$87:$I$107,9,0)</f>
        <v>#N/A</v>
      </c>
      <c r="BC95" s="118" t="e">
        <f aca="false" t="array" ref="BC95:BC95">INDEX(BB:BB,MIN(IF(ISNUMBER(BB95:BB291),ROW(BB95:BB291),"")))</f>
        <v>#N/A</v>
      </c>
      <c r="BD95" s="118" t="n">
        <f aca="false">IF('Données projet'!$A$88&gt;35,BD94+BC95-BL94,IF(A95&lt;'Données projet'!$A$88,$BA$205^A95,IF(A95='Données projet'!$A$88,'Données projet'!$B$88,BD94+BC95-BL94)))</f>
        <v>1.98951966012828E-013</v>
      </c>
      <c r="BE95" s="117" t="n">
        <f aca="false">BD95*VLOOKUP('Données projet'!$B$11,Paramètres!$A$1:$I$89,3,0)*VLOOKUP('Données projet'!$B$11,Paramètres!$A$1:$I$89,5,0)</f>
        <v>1.73804437508807E-013</v>
      </c>
      <c r="BF95" s="117" t="n">
        <f aca="false">EXP(-1.0587+0.8836*LN(BE95)+0.284)</f>
        <v>2.44832936339505E-012</v>
      </c>
      <c r="BG95" s="128" t="n">
        <f aca="false">(BE95+BF95)*0.475*44/12</f>
        <v>4.56688303657421E-012</v>
      </c>
      <c r="BH95" s="120" t="n">
        <f aca="false">BG95+(AY95+AZ95)*44/12</f>
        <v>293.333333333338</v>
      </c>
      <c r="BI95" s="120" t="n">
        <f aca="true">AVERAGE(OFFSET($BH$3,0,0,'Données projet'!$E$11+1,1))-AVERAGE(OFFSET($H$3,0,0,'Données projet'!$E$11+1,1))</f>
        <v>321.235999689929</v>
      </c>
      <c r="BJ95" s="120" t="n">
        <f aca="false">$BJ$3</f>
        <v>388.051958478005</v>
      </c>
      <c r="BK95" s="121" t="n">
        <f aca="false">IF(ISNA(VLOOKUP(A95,'Données projet'!$A$87:$I$107,3,0)),0,VLOOKUP(A95,'Données projet'!$A$87:$I$107,3,0))</f>
        <v>0</v>
      </c>
      <c r="BL95" s="121" t="n">
        <f aca="false">IF(ISNA(VLOOKUP(A95,'Données projet'!$A$87:$I$107,4,0)),0,VLOOKUP(A95,'Données projet'!$A$87:$I$107,4,0))</f>
        <v>0</v>
      </c>
      <c r="BM95" s="122" t="n">
        <f aca="false">IF(ISNA(VLOOKUP(A95,'Données projet'!$A$87:$I$107,5,0)),0%,VLOOKUP(A95,'Données projet'!$A$87:$I$107,5,0)*VLOOKUP('Données projet'!$B$11,Paramètres!$A$1:$I$89,7,0))</f>
        <v>0</v>
      </c>
      <c r="BN95" s="122" t="n">
        <f aca="false">IF(ISNA(VLOOKUP(A95,'Données projet'!$A$87:$I$107,6,0)),0%,VLOOKUP(A95,'Données projet'!$A$87:$I$107,6,0)*VLOOKUP('Données projet'!$B$11,Paramètres!$A$1:$I$89,7,0))</f>
        <v>0</v>
      </c>
      <c r="BO95" s="122" t="n">
        <f aca="false">IF(ISNA(VLOOKUP(A95,'Données projet'!$A$87:$I$107,7,0)),0%,VLOOKUP(A95,'Données projet'!$A$87:$I$107,7,0))</f>
        <v>0</v>
      </c>
      <c r="BP95" s="129" t="n">
        <f aca="false">EXP(-LN(2)/35)*BP94+(1-EXP(-LN(2)/35))/(LN(2)/35)*BL95*BM95*VLOOKUP('Données projet'!$B$11,Paramètres!$A$1:$I$89,3,0)*0.475*44/12</f>
        <v>2.51947598269562</v>
      </c>
      <c r="BQ95" s="129" t="n">
        <f aca="false">EXP(-LN(2)/25)*BQ94+(1-EXP(-LN(2)/25))/(LN(2)/25)*Calculateur!BL95*Calculateur!BN95*VLOOKUP('Données projet'!$B$11,Paramètres!$A$1:$I$89,3,0)*0.475*44/12</f>
        <v>2.41658752110899</v>
      </c>
      <c r="BR95" s="129" t="n">
        <f aca="false">EXP(-LN(2)/2)*BR94+(1-EXP(-LN(2)/2))/(LN(2)/2)*BL95*BO95*VLOOKUP('Données projet'!$B$11,Paramètres!$A$1:$I$89,3,0)*0.475*44/12</f>
        <v>2.81306158625276E-009</v>
      </c>
      <c r="BS95" s="130" t="n">
        <f aca="false">SUM(BP95:BR95)</f>
        <v>4.93606350661767</v>
      </c>
      <c r="BT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8" t="e">
        <f aca="false">VLOOKUP(A95,'Données projet'!$A$113:$I$133,2,0)</f>
        <v>#N/A</v>
      </c>
      <c r="BW95" s="118" t="e">
        <f aca="false">VLOOKUP(A95,'Données projet'!$A$113:$I$133,9,0)</f>
        <v>#N/A</v>
      </c>
      <c r="BX95" s="118" t="e">
        <f aca="false" t="array" ref="BX95:BX95">INDEX(BW:BW,MIN(IF(ISNUMBER(BW95:BW291),ROW(BW95:BW291),"")))</f>
        <v>#N/A</v>
      </c>
      <c r="BY95" s="118" t="n">
        <f aca="false">IF('Données projet'!$A$114&gt;35,BY94+BX95-CG94,IF(A95&lt;'Données projet'!$A$114,$BV$205^A95,IF(A95='Données projet'!$A$114,'Données projet'!$B$114,BY94+BX95-CG94)))</f>
        <v>0</v>
      </c>
      <c r="BZ95" s="117" t="n">
        <f aca="false">BY95*VLOOKUP('Données projet'!$B$12,Paramètres!$A$1:$I$89,3,0)*VLOOKUP('Données projet'!$B$12,Paramètres!$A$1:$I$89,5,0)</f>
        <v>0</v>
      </c>
      <c r="CA95" s="117" t="e">
        <f aca="false">EXP(-1.0587+0.8836*LN(BZ95)+0.284)</f>
        <v>#VALUE!</v>
      </c>
      <c r="CB95" s="128" t="e">
        <f aca="false">(BZ95+CA95)*0.475*44/12</f>
        <v>#VALUE!</v>
      </c>
      <c r="CC95" s="120" t="e">
        <f aca="false">CB95+(BT95+BU95)*44/12</f>
        <v>#VALUE!</v>
      </c>
      <c r="CD95" s="120" t="n">
        <f aca="true">AVERAGE(OFFSET($CC$3,0,0,'Données projet'!$E$12+1,1))-AVERAGE(OFFSET($H$3,0,0,'Données projet'!$E$12+1,1))</f>
        <v>240.228848647662</v>
      </c>
      <c r="CE95" s="120" t="n">
        <f aca="false">$CE$3</f>
        <v>343.237768841432</v>
      </c>
      <c r="CF95" s="121" t="n">
        <f aca="false">IF(ISNA(VLOOKUP(A95,'Données projet'!$A$113:$I$133,3,0)),0,VLOOKUP(A95,'Données projet'!$A$113:$I$133,3,0))</f>
        <v>0</v>
      </c>
      <c r="CG95" s="121" t="n">
        <f aca="false">IF(ISNA(VLOOKUP(A95,'Données projet'!$A$113:$I$133,4,0)),0,VLOOKUP(A95,'Données projet'!$A$113:$I$133,4,0))</f>
        <v>0</v>
      </c>
      <c r="CH95" s="122" t="n">
        <f aca="false">IF(ISNA(VLOOKUP(A95,'Données projet'!$A$113:$I$133,5,0)),0%,VLOOKUP(A95,'Données projet'!$A$113:$I$133,5,0)*VLOOKUP('Données projet'!$B$12,Paramètres!$A$1:$I$89,7,0))</f>
        <v>0</v>
      </c>
      <c r="CI95" s="122" t="n">
        <f aca="false">IF(ISNA(VLOOKUP(A95,'Données projet'!$A$113:$I$133,6,0)),0%,VLOOKUP(A95,'Données projet'!$A$113:$I$133,6,0)*VLOOKUP('Données projet'!$B$12,Paramètres!$A$1:$I$89,7,0))</f>
        <v>0</v>
      </c>
      <c r="CJ95" s="122" t="n">
        <f aca="false">IF(ISNA(VLOOKUP(A95,'Données projet'!$A$113:$I$133,7,0)),0%,VLOOKUP(A95,'Données projet'!$A$113:$I$133,7,0))</f>
        <v>0</v>
      </c>
      <c r="CK95" s="129" t="n">
        <f aca="false">EXP(-LN(2)/35)*CK94+(1-EXP(-LN(2)/35))/(LN(2)/35)*CG95*CH95*VLOOKUP('Données projet'!$B$12,Paramètres!$A$1:$I$89,3,0)*0.475*44/12</f>
        <v>1.54211558613048</v>
      </c>
      <c r="CL95" s="129" t="n">
        <f aca="false">EXP(-LN(2)/25)*CL94+(1-EXP(-LN(2)/25))/(LN(2)/25)*Calculateur!CG95*Calculateur!CI95*VLOOKUP('Données projet'!$B$12,Paramètres!$A$1:$I$89,3,0)*0.475*44/12</f>
        <v>4.26783345825623</v>
      </c>
      <c r="CM95" s="129" t="n">
        <f aca="false">EXP(-LN(2)/2)*CM94+(1-EXP(-LN(2)/2))/(LN(2)/2)*CG95*CJ95*VLOOKUP('Données projet'!$B$12,Paramètres!$A$1:$I$89,3,0)*0.475*44/12</f>
        <v>4.48889632987036E-009</v>
      </c>
      <c r="CN95" s="130" t="n">
        <f aca="false">SUM(CK95:CM95)</f>
        <v>5.8099490488756</v>
      </c>
      <c r="CO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8" t="e">
        <f aca="false">VLOOKUP(A95,'Données projet'!$A$139:$I$159,2,0)</f>
        <v>#N/A</v>
      </c>
      <c r="CR95" s="118" t="e">
        <f aca="false">VLOOKUP(A95,'Données projet'!$A$139:$I$159,9,0)</f>
        <v>#N/A</v>
      </c>
      <c r="CS95" s="118" t="e">
        <f aca="false" t="array" ref="CS95:CS95">INDEX(CR:CR,MIN(IF(ISNUMBER(CR95:CR291),ROW(CR95:CR291),"")))</f>
        <v>#N/A</v>
      </c>
      <c r="CT95" s="118" t="n">
        <f aca="false">IF('Données projet'!$A$140&gt;35,CT94+CS95-DB94,IF(A95&lt;'Données projet'!$A$140,$CQ$205^A95,IF(A95='Données projet'!$A$140,'Données projet'!$B$140,CT94+CS95-DB94)))</f>
        <v>-5.6843418860808E-014</v>
      </c>
      <c r="CU95" s="125" t="n">
        <f aca="false">CT95*VLOOKUP('Données projet'!$B$13,Paramètres!$A$1:$I$89,3,0)*VLOOKUP('Données projet'!$B$13,Paramètres!$A$1:$I$89,5,0)</f>
        <v>-3.10365066980012E-014</v>
      </c>
      <c r="CV95" s="117" t="e">
        <f aca="false">EXP(-1.0587+0.8836*LN(CU95)+0.284)</f>
        <v>#VALUE!</v>
      </c>
      <c r="CW95" s="128" t="e">
        <f aca="false">(CU95+CV95)*0.475*44/12</f>
        <v>#VALUE!</v>
      </c>
      <c r="CX95" s="120" t="e">
        <f aca="false">CW95+(CO95+CP95)*44/12</f>
        <v>#VALUE!</v>
      </c>
      <c r="CY95" s="120" t="n">
        <f aca="true">AVERAGE(OFFSET($CX$3,0,0,'Données projet'!$E$13+1,1))-AVERAGE(OFFSET($H$3,0,0,'Données projet'!$E$13+1,1))</f>
        <v>207.023069645676</v>
      </c>
      <c r="CZ95" s="120" t="n">
        <f aca="false">$CZ$3</f>
        <v>342.068879333518</v>
      </c>
      <c r="DA95" s="121" t="n">
        <f aca="false">IF(ISNA(VLOOKUP(A95,'Données projet'!$A$139:$I$159,3,0)),0,VLOOKUP(A95,'Données projet'!$A$139:$I$159,3,0))</f>
        <v>0</v>
      </c>
      <c r="DB95" s="121" t="n">
        <f aca="false">IF(ISNA(VLOOKUP(A95,'Données projet'!$A$139:$I$159,4,0)),0,VLOOKUP(A95,'Données projet'!$A$139:$I$159,4,0))</f>
        <v>0</v>
      </c>
      <c r="DC95" s="122" t="n">
        <f aca="false">IF(ISNA(VLOOKUP(A95,'Données projet'!$A$139:$I$159,5,0)),0%,VLOOKUP(A95,'Données projet'!$A$139:$I$159,5,0)*VLOOKUP('Données projet'!$B$13,Paramètres!$A$1:$I$89,7,0))</f>
        <v>0</v>
      </c>
      <c r="DD95" s="122" t="n">
        <f aca="false">IF(ISNA(VLOOKUP(A95,'Données projet'!$A$139:$I$159,6,0)),0%,VLOOKUP(A95,'Données projet'!$A$139:$I$159,6,0)*VLOOKUP('Données projet'!$B$13,Paramètres!$A$1:$I$89,7,0))</f>
        <v>0</v>
      </c>
      <c r="DE95" s="122" t="n">
        <f aca="false">IF(ISNA(VLOOKUP(A95,'Données projet'!$A$139:$I$159,7,0)),0%,VLOOKUP(A95,'Données projet'!$A$139:$I$159,7,0))</f>
        <v>0</v>
      </c>
      <c r="DF95" s="129" t="n">
        <f aca="false">EXP(-LN(2)/35)*DF94+(1-EXP(-LN(2)/35))/(LN(2)/35)*DB95*DC95*VLOOKUP('Données projet'!$B$13,Paramètres!$A$1:$I$89,3,0)*0.475*44/12</f>
        <v>1.93491861278635</v>
      </c>
      <c r="DG95" s="129" t="n">
        <f aca="false">EXP(-LN(2)/25)*DG94+(1-EXP(-LN(2)/25))/(LN(2)/25)*Calculateur!DB95*Calculateur!DD95*VLOOKUP('Données projet'!$B$13,Paramètres!$A$1:$I$89,3,0)*0.475*44/12</f>
        <v>6.97613019930011</v>
      </c>
      <c r="DH95" s="129" t="n">
        <f aca="false">EXP(-LN(2)/2)*DH94+(1-EXP(-LN(2)/2))/(LN(2)/2)*DB95*DE95*VLOOKUP('Données projet'!$B$13,Paramètres!$A$1:$I$89,3,0)*0.475*44/12</f>
        <v>6.18121232739689E-009</v>
      </c>
      <c r="DI95" s="130" t="n">
        <f aca="false">SUM(DF95:DH95)</f>
        <v>8.91104881826767</v>
      </c>
      <c r="DJ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8" t="e">
        <f aca="false">VLOOKUP(A95,'Données projet'!$A$165:$I$185,2,0)</f>
        <v>#N/A</v>
      </c>
      <c r="DM95" s="118" t="e">
        <f aca="false">VLOOKUP(A95,'Données projet'!$A$165:$I$185,9,0)</f>
        <v>#N/A</v>
      </c>
      <c r="DN95" s="118" t="e">
        <f aca="false" t="array" ref="DN95:DN95">INDEX(DM:DM,MIN(IF(ISNUMBER(DM95:DM291),ROW(DM95:DM291),"")))</f>
        <v>#N/A</v>
      </c>
      <c r="DO95" s="118" t="n">
        <f aca="false">IF('Données projet'!$A$166&gt;35,DO94+DN95-DW94,IF(A95&lt;'Données projet'!$A$166,$DL$205^A95,IF(A95='Données projet'!$A$166,'Données projet'!$B$166,DO94+DN95-DW94)))</f>
        <v>0</v>
      </c>
      <c r="DP95" s="125" t="n">
        <f aca="false">DO95*VLOOKUP('Données projet'!$B$14,Paramètres!$A$1:$I$89,3,0)*VLOOKUP('Données projet'!$B$14,Paramètres!$A$1:$I$89,5,0)</f>
        <v>0</v>
      </c>
      <c r="DQ95" s="117" t="e">
        <f aca="false">EXP(-1.0587+0.8836*LN(DP95)+0.284)</f>
        <v>#VALUE!</v>
      </c>
      <c r="DR95" s="128" t="e">
        <f aca="false">(DP95+DQ95)*0.475*44/12</f>
        <v>#VALUE!</v>
      </c>
      <c r="DS95" s="120" t="e">
        <f aca="false">DR95+(DJ95+DK95)*44/12</f>
        <v>#VALUE!</v>
      </c>
      <c r="DT95" s="120" t="n">
        <f aca="true">AVERAGE(OFFSET($DS$3,0,0,'Données projet'!$E$14+1,1))-AVERAGE(OFFSET($H$3,0,0,'Données projet'!$E$14+1,1))</f>
        <v>549.432320957297</v>
      </c>
      <c r="DU95" s="120" t="n">
        <f aca="false">$DU$3</f>
        <v>280.26155987301</v>
      </c>
      <c r="DV95" s="121" t="n">
        <f aca="false">IF(ISNA(VLOOKUP(A95,'Données projet'!$A$165:$I$185,3,0)),0,VLOOKUP(A95,'Données projet'!$A$165:$I$185,3,0))</f>
        <v>0</v>
      </c>
      <c r="DW95" s="121" t="n">
        <f aca="false">IF(ISNA(VLOOKUP(A95,'Données projet'!$A$165:$I$185,4,0)),0,VLOOKUP(A95,'Données projet'!$A$165:$I$185,4,0))</f>
        <v>0</v>
      </c>
      <c r="DX95" s="122" t="n">
        <f aca="false">IF(ISNA(VLOOKUP(A95,'Données projet'!$A$165:$I$185,5,0)),0%,VLOOKUP(A95,'Données projet'!$A$165:$I$185,5,0)*VLOOKUP('Données projet'!$B$14,Paramètres!$A$1:$I$89,7,0))</f>
        <v>0</v>
      </c>
      <c r="DY95" s="122" t="n">
        <f aca="false">IF(ISNA(VLOOKUP(A95,'Données projet'!$A$165:$I$185,6,0)),0%,VLOOKUP(A95,'Données projet'!$A$165:$I$185,6,0)*VLOOKUP('Données projet'!$B$14,Paramètres!$A$1:$I$89,7,0))</f>
        <v>0</v>
      </c>
      <c r="DZ95" s="122" t="n">
        <f aca="false">IF(ISNA(VLOOKUP(A95,'Données projet'!$A$165:$I$185,7,0)),0%,VLOOKUP(A95,'Données projet'!$A$165:$I$185,7,0))</f>
        <v>0</v>
      </c>
      <c r="EA95" s="129" t="n">
        <f aca="false">EXP(-LN(2)/35)*EA94+(1-EXP(-LN(2)/35))/(LN(2)/35)*DW95*DX95*VLOOKUP('Données projet'!$B$14,Paramètres!$A$1:$I$89,3,0)*0.475*44/12</f>
        <v>0.70353425009008</v>
      </c>
      <c r="EB95" s="129" t="n">
        <f aca="false">EXP(-LN(2)/25)*EB94+(1-EXP(-LN(2)/25))/(LN(2)/25)*Calculateur!DW95*Calculateur!DY95*VLOOKUP('Données projet'!$B$14,Paramètres!$A$1:$I$89,3,0)*0.475*44/12</f>
        <v>1.38978277233027</v>
      </c>
      <c r="EC95" s="129" t="n">
        <f aca="false">EXP(-LN(2)/2)*EC94+(1-EXP(-LN(2)/2))/(LN(2)/2)*DW95*DZ95*VLOOKUP('Données projet'!$B$14,Paramètres!$A$1:$I$89,3,0)*0.475*44/12</f>
        <v>2.8494114682821E-009</v>
      </c>
      <c r="ED95" s="130" t="n">
        <f aca="false">SUM(EA95:EC95)</f>
        <v>2.09331702526976</v>
      </c>
      <c r="EE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8" t="e">
        <f aca="false">VLOOKUP(A95,'Données projet'!$A$191:$I$211,2,0)</f>
        <v>#N/A</v>
      </c>
      <c r="EH95" s="118" t="e">
        <f aca="false">VLOOKUP(A95,'Données projet'!$A$191:$I$211,9,0)</f>
        <v>#N/A</v>
      </c>
      <c r="EI95" s="118" t="e">
        <f aca="false" t="array" ref="EI95:EI95">INDEX(EH:EH,MIN(IF(ISNUMBER(EH95:EH291),ROW(EH95:EH291),"")))</f>
        <v>#N/A</v>
      </c>
      <c r="EJ95" s="118" t="n">
        <f aca="false">IF('Données projet'!$A$192&gt;35,EJ94+EI95-ER94,IF(A95&lt;'Données projet'!$A$192,$EG$205^A95,IF(A95='Données projet'!$A$192,'Données projet'!$B$192,EJ94+EI95-ER94)))</f>
        <v>0</v>
      </c>
      <c r="EK95" s="125" t="e">
        <f aca="false">EJ95*VLOOKUP('Données projet'!$B$15,Paramètres!$A$1:$I$89,3,0)*VLOOKUP('Données projet'!$B$15,Paramètres!$A$1:$I$89,5,0)</f>
        <v>#N/A</v>
      </c>
      <c r="EL95" s="117" t="e">
        <f aca="false">EXP(-1.0587+0.8836*LN(EK95)+0.284)</f>
        <v>#N/A</v>
      </c>
      <c r="EM95" s="128" t="e">
        <f aca="false">(EK95+EL95)*0.475*44/12</f>
        <v>#N/A</v>
      </c>
      <c r="EN95" s="120" t="e">
        <f aca="false">EM95+(EE95+EF95)*44/12</f>
        <v>#N/A</v>
      </c>
      <c r="EO95" s="120" t="e">
        <f aca="true">AVERAGE(OFFSET($EN$3,0,0,'Données projet'!$E$15+1,1))-AVERAGE(OFFSET($H$3,0,0,'Données projet'!$E$15+1,1))</f>
        <v>#N/A</v>
      </c>
      <c r="EP95" s="120" t="e">
        <f aca="false">$EP$3</f>
        <v>#N/A</v>
      </c>
      <c r="EQ95" s="121" t="n">
        <f aca="false">IF(ISNA(VLOOKUP(A95,'Données projet'!$A$191:$I$211,3,0)),0,VLOOKUP(A95,'Données projet'!$A$191:$I$211,3,0))</f>
        <v>0</v>
      </c>
      <c r="ER95" s="121" t="n">
        <f aca="false">IF(ISNA(VLOOKUP(A95,'Données projet'!$A$191:$I$211,4,0)),0,VLOOKUP(A95,'Données projet'!$A$191:$I$211,4,0))</f>
        <v>0</v>
      </c>
      <c r="ES95" s="122" t="n">
        <f aca="false">IF(ISNA(VLOOKUP(A95,'Données projet'!$A$191:$I$211,5,0)),0%,VLOOKUP(A95,'Données projet'!$A$191:$I$211,5,0)*VLOOKUP('Données projet'!$B$15,Paramètres!$A$1:$I$89,7,0))</f>
        <v>0</v>
      </c>
      <c r="ET95" s="122" t="n">
        <f aca="false">IF(ISNA(VLOOKUP(A95,'Données projet'!$A$191:$I$211,6,0)),0%,VLOOKUP(A95,'Données projet'!$A$191:$I$211,6,0)*VLOOKUP('Données projet'!$B$15,Paramètres!$A$1:$I$89,7,0))</f>
        <v>0</v>
      </c>
      <c r="EU95" s="122" t="n">
        <f aca="false">IF(ISNA(VLOOKUP(A95,'Données projet'!$A$191:$I$211,7,0)),0%,VLOOKUP(A95,'Données projet'!$A$191:$I$211,7,0))</f>
        <v>0</v>
      </c>
      <c r="EV95" s="129" t="e">
        <f aca="false">EXP(-LN(2)/35)*EV94+(1-EXP(-LN(2)/35))/(LN(2)/35)*ER95*ES95*VLOOKUP('Données projet'!$B$15,Paramètres!$A$1:$I$89,3,0)*0.475*44/12</f>
        <v>#N/A</v>
      </c>
      <c r="EW95" s="129" t="e">
        <f aca="false">EXP(-LN(2)/25)*EW94+(1-EXP(-LN(2)/25))/(LN(2)/25)*Calculateur!ER95*Calculateur!ET95*VLOOKUP('Données projet'!$B$15,Paramètres!$A$1:$I$89,3,0)*0.475*44/12</f>
        <v>#N/A</v>
      </c>
      <c r="EX95" s="129" t="e">
        <f aca="false">EXP(-LN(2)/2)*EX94+(1-EXP(-LN(2)/2))/(LN(2)/2)*ER95*EU95*VLOOKUP('Données projet'!$B$15,Paramètres!$A$1:$I$89,3,0)*0.475*44/12</f>
        <v>#N/A</v>
      </c>
      <c r="EY95" s="130" t="e">
        <f aca="false">SUM(EV95:EX95)</f>
        <v>#N/A</v>
      </c>
      <c r="EZ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8" t="e">
        <f aca="false">VLOOKUP(A95,'Données projet'!$A$217:$I$237,2,0)</f>
        <v>#N/A</v>
      </c>
      <c r="FC95" s="118" t="e">
        <f aca="false">VLOOKUP(A95,'Données projet'!$A$217:$I$237,9,0)</f>
        <v>#N/A</v>
      </c>
      <c r="FD95" s="118" t="e">
        <f aca="false" t="array" ref="FD95:FD95">INDEX(FC:FC,MIN(IF(ISNUMBER(FC95:FC291),ROW(FC95:FC291),"")))</f>
        <v>#N/A</v>
      </c>
      <c r="FE95" s="118" t="n">
        <f aca="false">IF('Données projet'!$A$218&gt;35,FE94+FD95-FM94,IF(A95&lt;'Données projet'!$A$218,$FB$205^A95,IF(A95='Données projet'!$A$218,'Données projet'!$B$218,FE94+FD95-FM94)))</f>
        <v>0</v>
      </c>
      <c r="FF95" s="125" t="e">
        <f aca="false">FE95*VLOOKUP('Données projet'!$B$16,Paramètres!$A$1:$I$89,3,0)*VLOOKUP('Données projet'!$B$16,Paramètres!$A$1:$I$89,5,0)</f>
        <v>#N/A</v>
      </c>
      <c r="FG95" s="117" t="e">
        <f aca="false">EXP(-1.0587+0.8836*LN(FF95)+0.284)</f>
        <v>#N/A</v>
      </c>
      <c r="FH95" s="128" t="e">
        <f aca="false">(FF95+FG95)*0.475*44/12</f>
        <v>#N/A</v>
      </c>
      <c r="FI95" s="120" t="e">
        <f aca="false">FH95+(EZ95+FA95)*44/12</f>
        <v>#N/A</v>
      </c>
      <c r="FJ95" s="120" t="e">
        <f aca="true">AVERAGE(OFFSET($FI$3,0,0,'Données projet'!$E$16+1,1))-AVERAGE(OFFSET($H$3,0,0,'Données projet'!$E$16+1,1))</f>
        <v>#N/A</v>
      </c>
      <c r="FK95" s="120" t="e">
        <f aca="false">$FK$3</f>
        <v>#N/A</v>
      </c>
      <c r="FL95" s="121" t="n">
        <f aca="false">IF(ISNA(VLOOKUP(A95,'Données projet'!$A$217:$I$237,3,0)),0,VLOOKUP(A95,'Données projet'!$A$217:$I$237,3,0))</f>
        <v>0</v>
      </c>
      <c r="FM95" s="121" t="n">
        <f aca="false">IF(ISNA(VLOOKUP(A95,'Données projet'!$A$217:$I$237,4,0)),0,VLOOKUP(A95,'Données projet'!$A$217:$I$237,4,0))</f>
        <v>0</v>
      </c>
      <c r="FN95" s="122" t="n">
        <f aca="false">IF(ISNA(VLOOKUP(A95,'Données projet'!$A$217:$I$237,5,0)),0%,VLOOKUP(A95,'Données projet'!$A$217:$I$237,5,0)*VLOOKUP('Données projet'!$B$16,Paramètres!$A$1:$I$89,7,0))</f>
        <v>0</v>
      </c>
      <c r="FO95" s="122" t="n">
        <f aca="false">IF(ISNA(VLOOKUP(A95,'Données projet'!$A$217:$I$237,6,0)),0%,VLOOKUP(A95,'Données projet'!$A$217:$I$237,6,0)*VLOOKUP('Données projet'!$B$16,Paramètres!$A$1:$I$89,7,0))</f>
        <v>0</v>
      </c>
      <c r="FP95" s="122" t="n">
        <f aca="false">IF(ISNA(VLOOKUP(A95,'Données projet'!$A$217:$I$237,7,0)),0%,VLOOKUP(A95,'Données projet'!$A$217:$I$237,7,0))</f>
        <v>0</v>
      </c>
      <c r="FQ95" s="129" t="e">
        <f aca="false">EXP(-LN(2)/35)*FQ94+(1-EXP(-LN(2)/35))/(LN(2)/35)*FM95*FN95*VLOOKUP('Données projet'!$B$16,Paramètres!$A$1:$I$89,3,0)*0.475*44/12</f>
        <v>#N/A</v>
      </c>
      <c r="FR95" s="129" t="e">
        <f aca="false">EXP(-LN(2)/25)*FR94+(1-EXP(-LN(2)/25))/(LN(2)/25)*Calculateur!FM95*Calculateur!FO95*VLOOKUP('Données projet'!$B$16,Paramètres!$A$1:$I$89,3,0)*0.475*44/12</f>
        <v>#N/A</v>
      </c>
      <c r="FS95" s="129" t="e">
        <f aca="false">EXP(-LN(2)/2)*FS94+(1-EXP(-LN(2)/2))/(LN(2)/2)*FM95*FP95*VLOOKUP('Données projet'!$B$16,Paramètres!$A$1:$I$89,3,0)*0.475*44/12</f>
        <v>#N/A</v>
      </c>
      <c r="FT95" s="130" t="e">
        <f aca="false">SUM(FQ95:FS95)</f>
        <v>#N/A</v>
      </c>
      <c r="FU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8" t="e">
        <f aca="false">VLOOKUP(A95,'Données projet'!$A$243:$I$263,2,0)</f>
        <v>#N/A</v>
      </c>
      <c r="FX95" s="118" t="e">
        <f aca="false">VLOOKUP(A95,'Données projet'!$A$243:$I$263,9,0)</f>
        <v>#N/A</v>
      </c>
      <c r="FY95" s="118" t="e">
        <f aca="false" t="array" ref="FY95:FY95">INDEX(FX:FX,MIN(IF(ISNUMBER(FX95:FX291),ROW(FX95:FX291),"")))</f>
        <v>#N/A</v>
      </c>
      <c r="FZ95" s="118" t="n">
        <f aca="false">IF('Données projet'!$A$244&gt;35,FZ94+FY95-GH94,IF(A95&lt;'Données projet'!$A$244,$FW$205^A95,IF(A95='Données projet'!$A$244,'Données projet'!$B$244,FZ94+FY95-GH94)))</f>
        <v>0</v>
      </c>
      <c r="GA95" s="125" t="e">
        <f aca="false">FZ95*VLOOKUP('Données projet'!$B$17,Paramètres!$A$1:$I$89,3,0)*VLOOKUP('Données projet'!$B$17,Paramètres!$A$1:$I$89,5,0)</f>
        <v>#N/A</v>
      </c>
      <c r="GB95" s="117" t="e">
        <f aca="false">EXP(-1.0587+0.8836*LN(GA95)+0.284)</f>
        <v>#N/A</v>
      </c>
      <c r="GC95" s="128" t="e">
        <f aca="false">(GA95+GB95)*0.475*44/12</f>
        <v>#N/A</v>
      </c>
      <c r="GD95" s="120" t="e">
        <f aca="false">GC95+(FU95+FV95)*44/12</f>
        <v>#N/A</v>
      </c>
      <c r="GE95" s="120" t="e">
        <f aca="true">AVERAGE(OFFSET($GD$3,0,0,'Données projet'!$E$17+1,1))-AVERAGE(OFFSET($H$3,0,0,'Données projet'!$E$17+1,1))</f>
        <v>#N/A</v>
      </c>
      <c r="GF95" s="120" t="e">
        <f aca="false">$GF$3</f>
        <v>#N/A</v>
      </c>
      <c r="GG95" s="121" t="n">
        <f aca="false">IF(ISNA(VLOOKUP(A95,'Données projet'!$A$243:$I$263,3,0)),0,VLOOKUP(A95,'Données projet'!$A$243:$I$263,3,0))</f>
        <v>0</v>
      </c>
      <c r="GH95" s="121" t="n">
        <f aca="false">IF(ISNA(VLOOKUP(A95,'Données projet'!$A$243:$I$263,4,0)),0,VLOOKUP(A95,'Données projet'!$A$243:$I$263,4,0))</f>
        <v>0</v>
      </c>
      <c r="GI95" s="122" t="n">
        <f aca="false">IF(ISNA(VLOOKUP(A95,'Données projet'!$A$243:$I$263,5,0)),0%,VLOOKUP(A95,'Données projet'!$A$243:$I$263,5,0)*VLOOKUP('Données projet'!$B$17,Paramètres!$A$1:$I$89,7,0))</f>
        <v>0</v>
      </c>
      <c r="GJ95" s="122" t="n">
        <f aca="false">IF(ISNA(VLOOKUP(A95,'Données projet'!$A$243:$I$263,6,0)),0%,VLOOKUP(A95,'Données projet'!$A$243:$I$263,6,0)*VLOOKUP('Données projet'!$B$17,Paramètres!$A$1:$I$89,7,0))</f>
        <v>0</v>
      </c>
      <c r="GK95" s="122" t="n">
        <f aca="false">IF(ISNA(VLOOKUP(A95,'Données projet'!$A$243:$I$263,7,0)),0%,VLOOKUP(A95,'Données projet'!$A$243:$I$263,7,0))</f>
        <v>0</v>
      </c>
      <c r="GL95" s="129" t="e">
        <f aca="false">EXP(-LN(2)/35)*GL94+(1-EXP(-LN(2)/35))/(LN(2)/35)*GH95*GI95*VLOOKUP('Données projet'!$B$17,Paramètres!$A$1:$I$89,3,0)*0.475*44/12</f>
        <v>#N/A</v>
      </c>
      <c r="GM95" s="129" t="e">
        <f aca="false">EXP(-LN(2)/25)*GM94+(1-EXP(-LN(2)/25))/(LN(2)/25)*Calculateur!GH95*Calculateur!GJ95*VLOOKUP('Données projet'!$B$17,Paramètres!$A$1:$I$89,3,0)*0.475*44/12</f>
        <v>#N/A</v>
      </c>
      <c r="GN95" s="129" t="e">
        <f aca="false">EXP(-LN(2)/2)*GN94+(1-EXP(-LN(2)/2))/(LN(2)/2)*GH95*GK95*VLOOKUP('Données projet'!$B$17,Paramètres!$A$1:$I$89,3,0)*0.475*44/12</f>
        <v>#N/A</v>
      </c>
      <c r="GO95" s="129" t="e">
        <f aca="false">SUM(GL95:GN95)</f>
        <v>#N/A</v>
      </c>
      <c r="GP95" s="126" t="n">
        <f aca="false"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8" t="n">
        <f aca="false"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8" t="e">
        <f aca="false">VLOOKUP(A95,'Données projet'!$A$269:$I$289,2,0)</f>
        <v>#N/A</v>
      </c>
      <c r="GS95" s="118" t="e">
        <f aca="false">VLOOKUP(A95,'Données projet'!$A$269:$I$289,9,0)</f>
        <v>#N/A</v>
      </c>
      <c r="GT95" s="118" t="e">
        <f aca="false" t="array" ref="GT95:GT95">INDEX(GS:GS,MIN(IF(ISNUMBER(GS95:GS291),ROW(GS95:GS291),"")))</f>
        <v>#N/A</v>
      </c>
      <c r="GU95" s="118" t="n">
        <f aca="false">IF('Données projet'!$A$270&gt;35,GU94+GT95-HC94,IF(A95&lt;'Données projet'!$A$270,$GR$205^A95,IF(A95='Données projet'!$A$270,'Données projet'!$B$270,GU94+GT95-HC94)))</f>
        <v>0</v>
      </c>
      <c r="GV95" s="125" t="e">
        <f aca="false">GU95*VLOOKUP('Données projet'!$B$18,Paramètres!$A$1:$I$89,3,0)*VLOOKUP('Données projet'!$B$18,Paramètres!$A$1:$I$89,5,0)</f>
        <v>#N/A</v>
      </c>
      <c r="GW95" s="117" t="e">
        <f aca="false">EXP(-1.0587+0.8836*LN(GV95)+0.284)</f>
        <v>#N/A</v>
      </c>
      <c r="GX95" s="128" t="e">
        <f aca="false">(GV95+GW95)*0.475*44/12</f>
        <v>#N/A</v>
      </c>
      <c r="GY95" s="120" t="e">
        <f aca="false">GX95+(GP95+GQ95)*44/12</f>
        <v>#N/A</v>
      </c>
      <c r="GZ95" s="120" t="e">
        <f aca="true">AVERAGE(OFFSET($GY$3,0,0,'Données projet'!$E$18+1,1))-AVERAGE(OFFSET($H$3,0,0,'Données projet'!$E$18+1,1))</f>
        <v>#N/A</v>
      </c>
      <c r="HA95" s="120" t="e">
        <f aca="false">$HA$3</f>
        <v>#N/A</v>
      </c>
      <c r="HB95" s="121" t="n">
        <f aca="false">IF(ISNA(VLOOKUP(A95,'Données projet'!$A$269:$I$289,3,0)),0,VLOOKUP(A95,'Données projet'!$A$269:$I$289,3,0))</f>
        <v>0</v>
      </c>
      <c r="HC95" s="121" t="n">
        <f aca="false">IF(ISNA(VLOOKUP(A95,'Données projet'!$A$269:$I$289,4,0)),0,VLOOKUP(A95,'Données projet'!$A$269:$I$289,4,0))</f>
        <v>0</v>
      </c>
      <c r="HD95" s="122" t="n">
        <f aca="false">IF(ISNA(VLOOKUP(A95,'Données projet'!$A$269:$I$289,5,0)),0%,VLOOKUP(A95,'Données projet'!$A$269:$I$289,5,0)*VLOOKUP('Données projet'!$B$18,Paramètres!$A$1:$I$89,7,0))</f>
        <v>0</v>
      </c>
      <c r="HE95" s="122" t="n">
        <f aca="false">IF(ISNA(VLOOKUP(A95,'Données projet'!$A$269:$I$289,6,0)),0%,VLOOKUP(A95,'Données projet'!$A$269:$I$289,6,0)*VLOOKUP('Données projet'!$B$18,Paramètres!$A$1:$I$89,7,0))</f>
        <v>0</v>
      </c>
      <c r="HF95" s="122" t="n">
        <f aca="false">IF(ISNA(VLOOKUP(A95,'Données projet'!$A$269:$I$289,7,0)),0%,VLOOKUP(A95,'Données projet'!$A$269:$I$289,7,0))</f>
        <v>0</v>
      </c>
      <c r="HG95" s="129" t="e">
        <f aca="false">EXP(-LN(2)/35)*HG94+(1-EXP(-LN(2)/35))/(LN(2)/35)*HC95*HD95*VLOOKUP('Données projet'!$B$18,Paramètres!$A$1:$I$89,3,0)*0.475*44/12</f>
        <v>#N/A</v>
      </c>
      <c r="HH95" s="129" t="e">
        <f aca="false">EXP(-LN(2)/25)*HH94+(1-EXP(-LN(2)/25))/(LN(2)/25)*Calculateur!HC95*Calculateur!HE95*VLOOKUP('Données projet'!$B$18,Paramètres!$A$1:$I$89,3,0)*0.475*44/12</f>
        <v>#N/A</v>
      </c>
      <c r="HI95" s="129" t="e">
        <f aca="false">EXP(-LN(2)/2)*HI94+(1-EXP(-LN(2)/2))/(LN(2)/2)*HC95*HF95*VLOOKUP('Données projet'!$B$18,Paramètres!$A$1:$I$89,3,0)*0.475*44/12</f>
        <v>#N/A</v>
      </c>
      <c r="HJ95" s="130" t="e">
        <f aca="false">SUM(HG95:HI95)</f>
        <v>#N/A</v>
      </c>
    </row>
    <row r="96" customFormat="false" ht="14.25" hidden="false" customHeight="false" outlineLevel="0" collapsed="false">
      <c r="A96" s="112" t="n">
        <f aca="false">A95+1</f>
        <v>93</v>
      </c>
      <c r="B96" s="113" t="n">
        <f aca="false">'Scénario référence'!$B$16*5+'Scénario référence'!$B$17*0+'Scénario référence'!$B$18*5</f>
        <v>0</v>
      </c>
      <c r="C96" s="127" t="n">
        <f aca="false"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4" t="n">
        <f aca="false">IFERROR(EXP(-1.0587+0.8836*LN(C96)+0.284),0)</f>
        <v>0</v>
      </c>
      <c r="E9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6" s="114" t="n">
        <f aca="false">IF(OR('Scénario référence'!$F$8&gt;0,'Scénario référence'!$F$9&gt;0),('Scénario référence'!$F$8+'Scénario référence'!$F$9)*10,0)</f>
        <v>0</v>
      </c>
      <c r="G96" s="114" t="n">
        <f aca="false"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15" t="n">
        <f aca="false">(B96+E96+F96)*44/12+(C96+D96)*0.475*44/12</f>
        <v>256.666666666667</v>
      </c>
      <c r="I96" s="11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7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8" t="e">
        <f aca="false">VLOOKUP(A96,'Données projet'!$A$35:$I$55,2,0)</f>
        <v>#N/A</v>
      </c>
      <c r="L96" s="118" t="e">
        <f aca="false">VLOOKUP(A96,'Données projet'!$A$35:$I$55,9,0)</f>
        <v>#N/A</v>
      </c>
      <c r="M96" s="118" t="n">
        <f aca="false" t="array" ref="M96:M96">INDEX(L:L,MIN(IF(ISNUMBER(L96:L292),ROW(L96:L292),"")))</f>
        <v>18.5</v>
      </c>
      <c r="N96" s="117" t="n">
        <f aca="false">IF('Données projet'!$A$36&gt;35,N95+M96-V95,IF(A96&lt;'Données projet'!$A$36,$K$205^A96,IF(A96='Données projet'!$A$36,'Données projet'!$B$36,N95+M96-V95)))</f>
        <v>546</v>
      </c>
      <c r="O96" s="117" t="n">
        <f aca="false">N96*VLOOKUP('Données projet'!$B$9,Paramètres!$A$1:$I$89,3,0)*VLOOKUP('Données projet'!$B$9,Paramètres!$A$1:$I$89,5,0)</f>
        <v>255.528</v>
      </c>
      <c r="P96" s="117" t="n">
        <f aca="false">EXP(-1.0587+0.8836*LN(O96)+0.284)</f>
        <v>61.7681678687215</v>
      </c>
      <c r="Q96" s="128" t="n">
        <f aca="false">(O96+P96)*0.475*44/12</f>
        <v>552.624159038023</v>
      </c>
      <c r="R96" s="120" t="n">
        <f aca="false">Q96+(I96+J96)*44/12</f>
        <v>845.957492371356</v>
      </c>
      <c r="S96" s="120" t="n">
        <f aca="true">AVERAGE(OFFSET($R$3,0,0,'Données projet'!$E$9+1,1))-AVERAGE(OFFSET($H$3,0,0,'Données projet'!$E$9+1,1))</f>
        <v>319.229030946746</v>
      </c>
      <c r="T96" s="120" t="n">
        <f aca="false">$T$3</f>
        <v>254.586909731428</v>
      </c>
      <c r="U96" s="121" t="n">
        <f aca="false">IF(ISNA(VLOOKUP(A96,'Données projet'!$A$35:$I$55,3,0)),0,VLOOKUP(A96,'Données projet'!$A$35:$I$55,3,0))</f>
        <v>0</v>
      </c>
      <c r="V96" s="121" t="n">
        <f aca="false">IF(ISNA(VLOOKUP(A96,'Données projet'!$A$35:$I$55,4,0)),0,VLOOKUP(A96,'Données projet'!$A$35:$I$55,4,0))</f>
        <v>0</v>
      </c>
      <c r="W96" s="122" t="n">
        <f aca="false">IF(ISNA(VLOOKUP(A96,'Données projet'!$A$35:$I$55,5,0)),0%,VLOOKUP(A96,'Données projet'!$A$35:$I$55,5,0)*VLOOKUP('Données projet'!$B$9,Paramètres!$A$1:$I$89,7,0))</f>
        <v>0</v>
      </c>
      <c r="X96" s="122" t="n">
        <f aca="false">IF(ISNA(VLOOKUP(A96,'Données projet'!$A$35:$I$55,6,0)),0%,VLOOKUP(A96,'Données projet'!$A$35:$I$55,6,0)*VLOOKUP('Données projet'!$B$9,Paramètres!$A$1:$I$89,7,0))</f>
        <v>0</v>
      </c>
      <c r="Y96" s="122" t="n">
        <f aca="false">IF(ISNA(VLOOKUP(A96,'Données projet'!$A$35:$I$55,7,0)),0%,VLOOKUP(A96,'Données projet'!$A$35:$I$55,7,0))</f>
        <v>0</v>
      </c>
      <c r="Z96" s="129" t="n">
        <f aca="false">EXP(-LN(2)/35)*Z95+(1-EXP(-LN(2)/35))/(LN(2)/35)*V96*W96*VLOOKUP('Données projet'!$B$9,Paramètres!$A$1:$I$89,3,0)*0.475*44/12</f>
        <v>2.6064445644127</v>
      </c>
      <c r="AA96" s="129" t="n">
        <f aca="false">EXP(-LN(2)/25)*AA95+(1-EXP(-LN(2)/25))/(LN(2)/25)*Calculateur!V96*Calculateur!X96*VLOOKUP('Données projet'!$B$9,Paramètres!$A$1:$I$89,3,0)*0.475*44/12</f>
        <v>1.94415415545919</v>
      </c>
      <c r="AB96" s="129" t="n">
        <f aca="false">EXP(-LN(2)/2)*AB95+(1-EXP(-LN(2)/2))/(LN(2)/2)*V96*Y96*VLOOKUP('Données projet'!$B$9,Paramètres!$A$1:$I$89,3,0)*0.475*44/12</f>
        <v>3.63619585959419E-009</v>
      </c>
      <c r="AC96" s="130" t="n">
        <f aca="false">SUM(Z96:AB96)</f>
        <v>4.55059872350808</v>
      </c>
      <c r="AD96" s="117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7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8" t="e">
        <f aca="false">VLOOKUP(A96,'Données projet'!$A$61:$I$81,2,0)</f>
        <v>#N/A</v>
      </c>
      <c r="AG96" s="118" t="e">
        <f aca="false">VLOOKUP(A96,'Données projet'!$A$61:$I$81,9,0)</f>
        <v>#N/A</v>
      </c>
      <c r="AH96" s="118" t="e">
        <f aca="false" t="array" ref="AH96:AH96">INDEX(AG:AG,MIN(IF(ISNUMBER(AG96:AG292),ROW(AG96:AG292),"")))</f>
        <v>#N/A</v>
      </c>
      <c r="AI96" s="117" t="n">
        <f aca="false">IF('Données projet'!$A$62&gt;35,AI95+AH96-AQ95,IF(A96&lt;'Données projet'!$A$62,$AF$205^A96,IF(A96='Données projet'!$A$62,'Données projet'!$B$62,AI95+AH96-AQ95)))</f>
        <v>1.13686837721616E-013</v>
      </c>
      <c r="AJ96" s="117" t="n">
        <f aca="false">AI96*VLOOKUP('Données projet'!$B$10,Paramètres!$A$1:$I$89,3,0)*VLOOKUP('Données projet'!$B$10,Paramètres!$A$1:$I$89,5,0)</f>
        <v>6.35509422863834E-014</v>
      </c>
      <c r="AK96" s="117" t="n">
        <f aca="false">EXP(-1.0587+0.8836*LN(AJ96)+0.284)</f>
        <v>1.0064464192544E-012</v>
      </c>
      <c r="AL96" s="128" t="n">
        <f aca="false">(AJ96+AK96)*0.475*44/12</f>
        <v>1.86357873801686E-012</v>
      </c>
      <c r="AM96" s="120" t="n">
        <f aca="false">AL96+(AD96+AE96)*44/12</f>
        <v>293.333333333335</v>
      </c>
      <c r="AN96" s="120" t="n">
        <f aca="true">AVERAGE(OFFSET($AM$3,0,0,'Données projet'!$E$10+1,1))-AVERAGE(OFFSET($H$3,0,0,'Données projet'!$E$10+1,1))</f>
        <v>365.705101827279</v>
      </c>
      <c r="AO96" s="120" t="n">
        <f aca="false">$AO$3</f>
        <v>436.238338449625</v>
      </c>
      <c r="AP96" s="121" t="n">
        <f aca="false">IF(ISNA(VLOOKUP(A96,'Données projet'!$A$61:$I$81,3,0)),0,VLOOKUP(A96,'Données projet'!$A$61:$I$81,3,0))</f>
        <v>0</v>
      </c>
      <c r="AQ96" s="121" t="n">
        <f aca="false">IF(ISNA(VLOOKUP(A96,'Données projet'!$A$61:$I$81,4,0)),0,VLOOKUP(A96,'Données projet'!$A$61:$I$81,4,0))</f>
        <v>0</v>
      </c>
      <c r="AR96" s="122" t="n">
        <f aca="false">IF(ISNA(VLOOKUP(A96,'Données projet'!$A$61:$I$81,5,0)),0%,VLOOKUP(A96,'Données projet'!$A$61:$I$81,5,0)*VLOOKUP('Données projet'!$B$10,Paramètres!$A$1:$I$89,7,0))</f>
        <v>0</v>
      </c>
      <c r="AS96" s="122" t="n">
        <f aca="false">IF(ISNA(VLOOKUP(A96,'Données projet'!$A$61:$I$81,6,0)),0%,VLOOKUP(A96,'Données projet'!$A$61:$I$81,6,0)*VLOOKUP('Données projet'!$B$10,Paramètres!$A$1:$I$89,7,0))</f>
        <v>0</v>
      </c>
      <c r="AT96" s="122" t="n">
        <f aca="false">IF(ISNA(VLOOKUP(A96,'Données projet'!$A$61:$I$81,7,0)),0%,VLOOKUP(A96,'Données projet'!$A$61:$I$81,7,0))</f>
        <v>0</v>
      </c>
      <c r="AU96" s="129" t="n">
        <f aca="false">EXP(-LN(2)/35)*AU95+(1-EXP(-LN(2)/35))/(LN(2)/35)*AQ96*AR96*VLOOKUP('Données projet'!$B$10,Paramètres!$A$1:$I$89,3,0)*0.475*44/12</f>
        <v>0.983848318458808</v>
      </c>
      <c r="AV96" s="129" t="n">
        <f aca="false">EXP(-LN(2)/25)*AV95+(1-EXP(-LN(2)/25))/(LN(2)/25)*Calculateur!AQ96*Calculateur!AS96*VLOOKUP('Données projet'!$B$10,Paramètres!$A$1:$I$89,3,0)*0.475*44/12</f>
        <v>2.30274547696553</v>
      </c>
      <c r="AW96" s="129" t="n">
        <f aca="false">EXP(-LN(2)/2)*AW95+(1-EXP(-LN(2)/2))/(LN(2)/2)*AQ96*AT96*VLOOKUP('Données projet'!$B$10,Paramètres!$A$1:$I$89,3,0)*0.475*44/12</f>
        <v>1.95688696321343E-009</v>
      </c>
      <c r="AX96" s="129" t="n">
        <f aca="false">SUM(AU96:AW96)</f>
        <v>3.28659379738122</v>
      </c>
      <c r="AY96" s="124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8" t="e">
        <f aca="false">VLOOKUP(A96,'Données projet'!$A$87:$I$107,2,0)</f>
        <v>#N/A</v>
      </c>
      <c r="BB96" s="118" t="e">
        <f aca="false">VLOOKUP(A96,'Données projet'!$A$87:$I$107,9,0)</f>
        <v>#N/A</v>
      </c>
      <c r="BC96" s="118" t="e">
        <f aca="false" t="array" ref="BC96:BC96">INDEX(BB:BB,MIN(IF(ISNUMBER(BB96:BB292),ROW(BB96:BB292),"")))</f>
        <v>#N/A</v>
      </c>
      <c r="BD96" s="118" t="n">
        <f aca="false">IF('Données projet'!$A$88&gt;35,BD95+BC96-BL95,IF(A96&lt;'Données projet'!$A$88,$BA$205^A96,IF(A96='Données projet'!$A$88,'Données projet'!$B$88,BD95+BC96-BL95)))</f>
        <v>1.98951966012828E-013</v>
      </c>
      <c r="BE96" s="117" t="n">
        <f aca="false">BD96*VLOOKUP('Données projet'!$B$11,Paramètres!$A$1:$I$89,3,0)*VLOOKUP('Données projet'!$B$11,Paramètres!$A$1:$I$89,5,0)</f>
        <v>1.73804437508807E-013</v>
      </c>
      <c r="BF96" s="117" t="n">
        <f aca="false">EXP(-1.0587+0.8836*LN(BE96)+0.284)</f>
        <v>2.44832936339505E-012</v>
      </c>
      <c r="BG96" s="128" t="n">
        <f aca="false">(BE96+BF96)*0.475*44/12</f>
        <v>4.56688303657421E-012</v>
      </c>
      <c r="BH96" s="120" t="n">
        <f aca="false">BG96+(AY96+AZ96)*44/12</f>
        <v>293.333333333338</v>
      </c>
      <c r="BI96" s="120" t="n">
        <f aca="true">AVERAGE(OFFSET($BH$3,0,0,'Données projet'!$E$11+1,1))-AVERAGE(OFFSET($H$3,0,0,'Données projet'!$E$11+1,1))</f>
        <v>321.235999689929</v>
      </c>
      <c r="BJ96" s="120" t="n">
        <f aca="false">$BJ$3</f>
        <v>388.051958478005</v>
      </c>
      <c r="BK96" s="121" t="n">
        <f aca="false">IF(ISNA(VLOOKUP(A96,'Données projet'!$A$87:$I$107,3,0)),0,VLOOKUP(A96,'Données projet'!$A$87:$I$107,3,0))</f>
        <v>0</v>
      </c>
      <c r="BL96" s="121" t="n">
        <f aca="false">IF(ISNA(VLOOKUP(A96,'Données projet'!$A$87:$I$107,4,0)),0,VLOOKUP(A96,'Données projet'!$A$87:$I$107,4,0))</f>
        <v>0</v>
      </c>
      <c r="BM96" s="122" t="n">
        <f aca="false">IF(ISNA(VLOOKUP(A96,'Données projet'!$A$87:$I$107,5,0)),0%,VLOOKUP(A96,'Données projet'!$A$87:$I$107,5,0)*VLOOKUP('Données projet'!$B$11,Paramètres!$A$1:$I$89,7,0))</f>
        <v>0</v>
      </c>
      <c r="BN96" s="122" t="n">
        <f aca="false">IF(ISNA(VLOOKUP(A96,'Données projet'!$A$87:$I$107,6,0)),0%,VLOOKUP(A96,'Données projet'!$A$87:$I$107,6,0)*VLOOKUP('Données projet'!$B$11,Paramètres!$A$1:$I$89,7,0))</f>
        <v>0</v>
      </c>
      <c r="BO96" s="122" t="n">
        <f aca="false">IF(ISNA(VLOOKUP(A96,'Données projet'!$A$87:$I$107,7,0)),0%,VLOOKUP(A96,'Données projet'!$A$87:$I$107,7,0))</f>
        <v>0</v>
      </c>
      <c r="BP96" s="129" t="n">
        <f aca="false">EXP(-LN(2)/35)*BP95+(1-EXP(-LN(2)/35))/(LN(2)/35)*BL96*BM96*VLOOKUP('Données projet'!$B$11,Paramètres!$A$1:$I$89,3,0)*0.475*44/12</f>
        <v>2.47007059540357</v>
      </c>
      <c r="BQ96" s="129" t="n">
        <f aca="false">EXP(-LN(2)/25)*BQ95+(1-EXP(-LN(2)/25))/(LN(2)/25)*Calculateur!BL96*Calculateur!BN96*VLOOKUP('Données projet'!$B$11,Paramètres!$A$1:$I$89,3,0)*0.475*44/12</f>
        <v>2.35050580826145</v>
      </c>
      <c r="BR96" s="129" t="n">
        <f aca="false">EXP(-LN(2)/2)*BR95+(1-EXP(-LN(2)/2))/(LN(2)/2)*BL96*BO96*VLOOKUP('Données projet'!$B$11,Paramètres!$A$1:$I$89,3,0)*0.475*44/12</f>
        <v>1.98913492353471E-009</v>
      </c>
      <c r="BS96" s="130" t="n">
        <f aca="false">SUM(BP96:BR96)</f>
        <v>4.82057640565415</v>
      </c>
      <c r="BT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8" t="e">
        <f aca="false">VLOOKUP(A96,'Données projet'!$A$113:$I$133,2,0)</f>
        <v>#N/A</v>
      </c>
      <c r="BW96" s="118" t="e">
        <f aca="false">VLOOKUP(A96,'Données projet'!$A$113:$I$133,9,0)</f>
        <v>#N/A</v>
      </c>
      <c r="BX96" s="118" t="e">
        <f aca="false" t="array" ref="BX96:BX96">INDEX(BW:BW,MIN(IF(ISNUMBER(BW96:BW292),ROW(BW96:BW292),"")))</f>
        <v>#N/A</v>
      </c>
      <c r="BY96" s="118" t="n">
        <f aca="false">IF('Données projet'!$A$114&gt;35,BY95+BX96-CG95,IF(A96&lt;'Données projet'!$A$114,$BV$205^A96,IF(A96='Données projet'!$A$114,'Données projet'!$B$114,BY95+BX96-CG95)))</f>
        <v>0</v>
      </c>
      <c r="BZ96" s="117" t="n">
        <f aca="false">BY96*VLOOKUP('Données projet'!$B$12,Paramètres!$A$1:$I$89,3,0)*VLOOKUP('Données projet'!$B$12,Paramètres!$A$1:$I$89,5,0)</f>
        <v>0</v>
      </c>
      <c r="CA96" s="117" t="e">
        <f aca="false">EXP(-1.0587+0.8836*LN(BZ96)+0.284)</f>
        <v>#VALUE!</v>
      </c>
      <c r="CB96" s="128" t="e">
        <f aca="false">(BZ96+CA96)*0.475*44/12</f>
        <v>#VALUE!</v>
      </c>
      <c r="CC96" s="120" t="e">
        <f aca="false">CB96+(BT96+BU96)*44/12</f>
        <v>#VALUE!</v>
      </c>
      <c r="CD96" s="120" t="n">
        <f aca="true">AVERAGE(OFFSET($CC$3,0,0,'Données projet'!$E$12+1,1))-AVERAGE(OFFSET($H$3,0,0,'Données projet'!$E$12+1,1))</f>
        <v>240.228848647662</v>
      </c>
      <c r="CE96" s="120" t="n">
        <f aca="false">$CE$3</f>
        <v>343.237768841432</v>
      </c>
      <c r="CF96" s="121" t="n">
        <f aca="false">IF(ISNA(VLOOKUP(A96,'Données projet'!$A$113:$I$133,3,0)),0,VLOOKUP(A96,'Données projet'!$A$113:$I$133,3,0))</f>
        <v>0</v>
      </c>
      <c r="CG96" s="121" t="n">
        <f aca="false">IF(ISNA(VLOOKUP(A96,'Données projet'!$A$113:$I$133,4,0)),0,VLOOKUP(A96,'Données projet'!$A$113:$I$133,4,0))</f>
        <v>0</v>
      </c>
      <c r="CH96" s="122" t="n">
        <f aca="false">IF(ISNA(VLOOKUP(A96,'Données projet'!$A$113:$I$133,5,0)),0%,VLOOKUP(A96,'Données projet'!$A$113:$I$133,5,0)*VLOOKUP('Données projet'!$B$12,Paramètres!$A$1:$I$89,7,0))</f>
        <v>0</v>
      </c>
      <c r="CI96" s="122" t="n">
        <f aca="false">IF(ISNA(VLOOKUP(A96,'Données projet'!$A$113:$I$133,6,0)),0%,VLOOKUP(A96,'Données projet'!$A$113:$I$133,6,0)*VLOOKUP('Données projet'!$B$12,Paramètres!$A$1:$I$89,7,0))</f>
        <v>0</v>
      </c>
      <c r="CJ96" s="122" t="n">
        <f aca="false">IF(ISNA(VLOOKUP(A96,'Données projet'!$A$113:$I$133,7,0)),0%,VLOOKUP(A96,'Données projet'!$A$113:$I$133,7,0))</f>
        <v>0</v>
      </c>
      <c r="CK96" s="129" t="n">
        <f aca="false">EXP(-LN(2)/35)*CK95+(1-EXP(-LN(2)/35))/(LN(2)/35)*CG96*CH96*VLOOKUP('Données projet'!$B$12,Paramètres!$A$1:$I$89,3,0)*0.475*44/12</f>
        <v>1.51187564008409</v>
      </c>
      <c r="CL96" s="129" t="n">
        <f aca="false">EXP(-LN(2)/25)*CL95+(1-EXP(-LN(2)/25))/(LN(2)/25)*Calculateur!CG96*Calculateur!CI96*VLOOKUP('Données projet'!$B$12,Paramètres!$A$1:$I$89,3,0)*0.475*44/12</f>
        <v>4.1511293279046</v>
      </c>
      <c r="CM96" s="129" t="n">
        <f aca="false">EXP(-LN(2)/2)*CM95+(1-EXP(-LN(2)/2))/(LN(2)/2)*CG96*CJ96*VLOOKUP('Données projet'!$B$12,Paramètres!$A$1:$I$89,3,0)*0.475*44/12</f>
        <v>3.17412903489474E-009</v>
      </c>
      <c r="CN96" s="130" t="n">
        <f aca="false">SUM(CK96:CM96)</f>
        <v>5.66300497116282</v>
      </c>
      <c r="CO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8" t="e">
        <f aca="false">VLOOKUP(A96,'Données projet'!$A$139:$I$159,2,0)</f>
        <v>#N/A</v>
      </c>
      <c r="CR96" s="118" t="e">
        <f aca="false">VLOOKUP(A96,'Données projet'!$A$139:$I$159,9,0)</f>
        <v>#N/A</v>
      </c>
      <c r="CS96" s="118" t="e">
        <f aca="false" t="array" ref="CS96:CS96">INDEX(CR:CR,MIN(IF(ISNUMBER(CR96:CR292),ROW(CR96:CR292),"")))</f>
        <v>#N/A</v>
      </c>
      <c r="CT96" s="118" t="n">
        <f aca="false">IF('Données projet'!$A$140&gt;35,CT95+CS96-DB95,IF(A96&lt;'Données projet'!$A$140,$CQ$205^A96,IF(A96='Données projet'!$A$140,'Données projet'!$B$140,CT95+CS96-DB95)))</f>
        <v>-5.6843418860808E-014</v>
      </c>
      <c r="CU96" s="125" t="n">
        <f aca="false">CT96*VLOOKUP('Données projet'!$B$13,Paramètres!$A$1:$I$89,3,0)*VLOOKUP('Données projet'!$B$13,Paramètres!$A$1:$I$89,5,0)</f>
        <v>-3.10365066980012E-014</v>
      </c>
      <c r="CV96" s="117" t="e">
        <f aca="false">EXP(-1.0587+0.8836*LN(CU96)+0.284)</f>
        <v>#VALUE!</v>
      </c>
      <c r="CW96" s="128" t="e">
        <f aca="false">(CU96+CV96)*0.475*44/12</f>
        <v>#VALUE!</v>
      </c>
      <c r="CX96" s="120" t="e">
        <f aca="false">CW96+(CO96+CP96)*44/12</f>
        <v>#VALUE!</v>
      </c>
      <c r="CY96" s="120" t="n">
        <f aca="true">AVERAGE(OFFSET($CX$3,0,0,'Données projet'!$E$13+1,1))-AVERAGE(OFFSET($H$3,0,0,'Données projet'!$E$13+1,1))</f>
        <v>207.023069645676</v>
      </c>
      <c r="CZ96" s="120" t="n">
        <f aca="false">$CZ$3</f>
        <v>342.068879333518</v>
      </c>
      <c r="DA96" s="121" t="n">
        <f aca="false">IF(ISNA(VLOOKUP(A96,'Données projet'!$A$139:$I$159,3,0)),0,VLOOKUP(A96,'Données projet'!$A$139:$I$159,3,0))</f>
        <v>0</v>
      </c>
      <c r="DB96" s="121" t="n">
        <f aca="false">IF(ISNA(VLOOKUP(A96,'Données projet'!$A$139:$I$159,4,0)),0,VLOOKUP(A96,'Données projet'!$A$139:$I$159,4,0))</f>
        <v>0</v>
      </c>
      <c r="DC96" s="122" t="n">
        <f aca="false">IF(ISNA(VLOOKUP(A96,'Données projet'!$A$139:$I$159,5,0)),0%,VLOOKUP(A96,'Données projet'!$A$139:$I$159,5,0)*VLOOKUP('Données projet'!$B$13,Paramètres!$A$1:$I$89,7,0))</f>
        <v>0</v>
      </c>
      <c r="DD96" s="122" t="n">
        <f aca="false">IF(ISNA(VLOOKUP(A96,'Données projet'!$A$139:$I$159,6,0)),0%,VLOOKUP(A96,'Données projet'!$A$139:$I$159,6,0)*VLOOKUP('Données projet'!$B$13,Paramètres!$A$1:$I$89,7,0))</f>
        <v>0</v>
      </c>
      <c r="DE96" s="122" t="n">
        <f aca="false">IF(ISNA(VLOOKUP(A96,'Données projet'!$A$139:$I$159,7,0)),0%,VLOOKUP(A96,'Données projet'!$A$139:$I$159,7,0))</f>
        <v>0</v>
      </c>
      <c r="DF96" s="129" t="n">
        <f aca="false">EXP(-LN(2)/35)*DF95+(1-EXP(-LN(2)/35))/(LN(2)/35)*DB96*DC96*VLOOKUP('Données projet'!$B$13,Paramètres!$A$1:$I$89,3,0)*0.475*44/12</f>
        <v>1.89697603897343</v>
      </c>
      <c r="DG96" s="129" t="n">
        <f aca="false">EXP(-LN(2)/25)*DG95+(1-EXP(-LN(2)/25))/(LN(2)/25)*Calculateur!DB96*Calculateur!DD96*VLOOKUP('Données projet'!$B$13,Paramètres!$A$1:$I$89,3,0)*0.475*44/12</f>
        <v>6.7853675521415</v>
      </c>
      <c r="DH96" s="129" t="n">
        <f aca="false">EXP(-LN(2)/2)*DH95+(1-EXP(-LN(2)/2))/(LN(2)/2)*DB96*DE96*VLOOKUP('Données projet'!$B$13,Paramètres!$A$1:$I$89,3,0)*0.475*44/12</f>
        <v>4.37077715265622E-009</v>
      </c>
      <c r="DI96" s="130" t="n">
        <f aca="false">SUM(DF96:DH96)</f>
        <v>8.68234359548571</v>
      </c>
      <c r="DJ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8" t="e">
        <f aca="false">VLOOKUP(A96,'Données projet'!$A$165:$I$185,2,0)</f>
        <v>#N/A</v>
      </c>
      <c r="DM96" s="118" t="e">
        <f aca="false">VLOOKUP(A96,'Données projet'!$A$165:$I$185,9,0)</f>
        <v>#N/A</v>
      </c>
      <c r="DN96" s="118" t="e">
        <f aca="false" t="array" ref="DN96:DN96">INDEX(DM:DM,MIN(IF(ISNUMBER(DM96:DM292),ROW(DM96:DM292),"")))</f>
        <v>#N/A</v>
      </c>
      <c r="DO96" s="118" t="n">
        <f aca="false">IF('Données projet'!$A$166&gt;35,DO95+DN96-DW95,IF(A96&lt;'Données projet'!$A$166,$DL$205^A96,IF(A96='Données projet'!$A$166,'Données projet'!$B$166,DO95+DN96-DW95)))</f>
        <v>0</v>
      </c>
      <c r="DP96" s="125" t="n">
        <f aca="false">DO96*VLOOKUP('Données projet'!$B$14,Paramètres!$A$1:$I$89,3,0)*VLOOKUP('Données projet'!$B$14,Paramètres!$A$1:$I$89,5,0)</f>
        <v>0</v>
      </c>
      <c r="DQ96" s="117" t="e">
        <f aca="false">EXP(-1.0587+0.8836*LN(DP96)+0.284)</f>
        <v>#VALUE!</v>
      </c>
      <c r="DR96" s="128" t="e">
        <f aca="false">(DP96+DQ96)*0.475*44/12</f>
        <v>#VALUE!</v>
      </c>
      <c r="DS96" s="120" t="e">
        <f aca="false">DR96+(DJ96+DK96)*44/12</f>
        <v>#VALUE!</v>
      </c>
      <c r="DT96" s="120" t="n">
        <f aca="true">AVERAGE(OFFSET($DS$3,0,0,'Données projet'!$E$14+1,1))-AVERAGE(OFFSET($H$3,0,0,'Données projet'!$E$14+1,1))</f>
        <v>549.432320957297</v>
      </c>
      <c r="DU96" s="120" t="n">
        <f aca="false">$DU$3</f>
        <v>280.26155987301</v>
      </c>
      <c r="DV96" s="121" t="n">
        <f aca="false">IF(ISNA(VLOOKUP(A96,'Données projet'!$A$165:$I$185,3,0)),0,VLOOKUP(A96,'Données projet'!$A$165:$I$185,3,0))</f>
        <v>0</v>
      </c>
      <c r="DW96" s="121" t="n">
        <f aca="false">IF(ISNA(VLOOKUP(A96,'Données projet'!$A$165:$I$185,4,0)),0,VLOOKUP(A96,'Données projet'!$A$165:$I$185,4,0))</f>
        <v>0</v>
      </c>
      <c r="DX96" s="122" t="n">
        <f aca="false">IF(ISNA(VLOOKUP(A96,'Données projet'!$A$165:$I$185,5,0)),0%,VLOOKUP(A96,'Données projet'!$A$165:$I$185,5,0)*VLOOKUP('Données projet'!$B$14,Paramètres!$A$1:$I$89,7,0))</f>
        <v>0</v>
      </c>
      <c r="DY96" s="122" t="n">
        <f aca="false">IF(ISNA(VLOOKUP(A96,'Données projet'!$A$165:$I$185,6,0)),0%,VLOOKUP(A96,'Données projet'!$A$165:$I$185,6,0)*VLOOKUP('Données projet'!$B$14,Paramètres!$A$1:$I$89,7,0))</f>
        <v>0</v>
      </c>
      <c r="DZ96" s="122" t="n">
        <f aca="false">IF(ISNA(VLOOKUP(A96,'Données projet'!$A$165:$I$185,7,0)),0%,VLOOKUP(A96,'Données projet'!$A$165:$I$185,7,0))</f>
        <v>0</v>
      </c>
      <c r="EA96" s="129" t="n">
        <f aca="false">EXP(-LN(2)/35)*EA95+(1-EXP(-LN(2)/35))/(LN(2)/35)*DW96*DX96*VLOOKUP('Données projet'!$B$14,Paramètres!$A$1:$I$89,3,0)*0.475*44/12</f>
        <v>0.689738372559334</v>
      </c>
      <c r="EB96" s="129" t="n">
        <f aca="false">EXP(-LN(2)/25)*EB95+(1-EXP(-LN(2)/25))/(LN(2)/25)*Calculateur!DW96*Calculateur!DY96*VLOOKUP('Données projet'!$B$14,Paramètres!$A$1:$I$89,3,0)*0.475*44/12</f>
        <v>1.3517790893354</v>
      </c>
      <c r="EC96" s="129" t="n">
        <f aca="false">EXP(-LN(2)/2)*EC95+(1-EXP(-LN(2)/2))/(LN(2)/2)*DW96*DZ96*VLOOKUP('Données projet'!$B$14,Paramètres!$A$1:$I$89,3,0)*0.475*44/12</f>
        <v>2.01483817161299E-009</v>
      </c>
      <c r="ED96" s="130" t="n">
        <f aca="false">SUM(EA96:EC96)</f>
        <v>2.04151746390957</v>
      </c>
      <c r="EE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8" t="e">
        <f aca="false">VLOOKUP(A96,'Données projet'!$A$191:$I$211,2,0)</f>
        <v>#N/A</v>
      </c>
      <c r="EH96" s="118" t="e">
        <f aca="false">VLOOKUP(A96,'Données projet'!$A$191:$I$211,9,0)</f>
        <v>#N/A</v>
      </c>
      <c r="EI96" s="118" t="e">
        <f aca="false" t="array" ref="EI96:EI96">INDEX(EH:EH,MIN(IF(ISNUMBER(EH96:EH292),ROW(EH96:EH292),"")))</f>
        <v>#N/A</v>
      </c>
      <c r="EJ96" s="118" t="n">
        <f aca="false">IF('Données projet'!$A$192&gt;35,EJ95+EI96-ER95,IF(A96&lt;'Données projet'!$A$192,$EG$205^A96,IF(A96='Données projet'!$A$192,'Données projet'!$B$192,EJ95+EI96-ER95)))</f>
        <v>0</v>
      </c>
      <c r="EK96" s="125" t="e">
        <f aca="false">EJ96*VLOOKUP('Données projet'!$B$15,Paramètres!$A$1:$I$89,3,0)*VLOOKUP('Données projet'!$B$15,Paramètres!$A$1:$I$89,5,0)</f>
        <v>#N/A</v>
      </c>
      <c r="EL96" s="117" t="e">
        <f aca="false">EXP(-1.0587+0.8836*LN(EK96)+0.284)</f>
        <v>#N/A</v>
      </c>
      <c r="EM96" s="128" t="e">
        <f aca="false">(EK96+EL96)*0.475*44/12</f>
        <v>#N/A</v>
      </c>
      <c r="EN96" s="120" t="e">
        <f aca="false">EM96+(EE96+EF96)*44/12</f>
        <v>#N/A</v>
      </c>
      <c r="EO96" s="120" t="e">
        <f aca="true">AVERAGE(OFFSET($EN$3,0,0,'Données projet'!$E$15+1,1))-AVERAGE(OFFSET($H$3,0,0,'Données projet'!$E$15+1,1))</f>
        <v>#N/A</v>
      </c>
      <c r="EP96" s="120" t="e">
        <f aca="false">$EP$3</f>
        <v>#N/A</v>
      </c>
      <c r="EQ96" s="121" t="n">
        <f aca="false">IF(ISNA(VLOOKUP(A96,'Données projet'!$A$191:$I$211,3,0)),0,VLOOKUP(A96,'Données projet'!$A$191:$I$211,3,0))</f>
        <v>0</v>
      </c>
      <c r="ER96" s="121" t="n">
        <f aca="false">IF(ISNA(VLOOKUP(A96,'Données projet'!$A$191:$I$211,4,0)),0,VLOOKUP(A96,'Données projet'!$A$191:$I$211,4,0))</f>
        <v>0</v>
      </c>
      <c r="ES96" s="122" t="n">
        <f aca="false">IF(ISNA(VLOOKUP(A96,'Données projet'!$A$191:$I$211,5,0)),0%,VLOOKUP(A96,'Données projet'!$A$191:$I$211,5,0)*VLOOKUP('Données projet'!$B$15,Paramètres!$A$1:$I$89,7,0))</f>
        <v>0</v>
      </c>
      <c r="ET96" s="122" t="n">
        <f aca="false">IF(ISNA(VLOOKUP(A96,'Données projet'!$A$191:$I$211,6,0)),0%,VLOOKUP(A96,'Données projet'!$A$191:$I$211,6,0)*VLOOKUP('Données projet'!$B$15,Paramètres!$A$1:$I$89,7,0))</f>
        <v>0</v>
      </c>
      <c r="EU96" s="122" t="n">
        <f aca="false">IF(ISNA(VLOOKUP(A96,'Données projet'!$A$191:$I$211,7,0)),0%,VLOOKUP(A96,'Données projet'!$A$191:$I$211,7,0))</f>
        <v>0</v>
      </c>
      <c r="EV96" s="129" t="e">
        <f aca="false">EXP(-LN(2)/35)*EV95+(1-EXP(-LN(2)/35))/(LN(2)/35)*ER96*ES96*VLOOKUP('Données projet'!$B$15,Paramètres!$A$1:$I$89,3,0)*0.475*44/12</f>
        <v>#N/A</v>
      </c>
      <c r="EW96" s="129" t="e">
        <f aca="false">EXP(-LN(2)/25)*EW95+(1-EXP(-LN(2)/25))/(LN(2)/25)*Calculateur!ER96*Calculateur!ET96*VLOOKUP('Données projet'!$B$15,Paramètres!$A$1:$I$89,3,0)*0.475*44/12</f>
        <v>#N/A</v>
      </c>
      <c r="EX96" s="129" t="e">
        <f aca="false">EXP(-LN(2)/2)*EX95+(1-EXP(-LN(2)/2))/(LN(2)/2)*ER96*EU96*VLOOKUP('Données projet'!$B$15,Paramètres!$A$1:$I$89,3,0)*0.475*44/12</f>
        <v>#N/A</v>
      </c>
      <c r="EY96" s="130" t="e">
        <f aca="false">SUM(EV96:EX96)</f>
        <v>#N/A</v>
      </c>
      <c r="EZ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8" t="e">
        <f aca="false">VLOOKUP(A96,'Données projet'!$A$217:$I$237,2,0)</f>
        <v>#N/A</v>
      </c>
      <c r="FC96" s="118" t="e">
        <f aca="false">VLOOKUP(A96,'Données projet'!$A$217:$I$237,9,0)</f>
        <v>#N/A</v>
      </c>
      <c r="FD96" s="118" t="e">
        <f aca="false" t="array" ref="FD96:FD96">INDEX(FC:FC,MIN(IF(ISNUMBER(FC96:FC292),ROW(FC96:FC292),"")))</f>
        <v>#N/A</v>
      </c>
      <c r="FE96" s="118" t="n">
        <f aca="false">IF('Données projet'!$A$218&gt;35,FE95+FD96-FM95,IF(A96&lt;'Données projet'!$A$218,$FB$205^A96,IF(A96='Données projet'!$A$218,'Données projet'!$B$218,FE95+FD96-FM95)))</f>
        <v>0</v>
      </c>
      <c r="FF96" s="125" t="e">
        <f aca="false">FE96*VLOOKUP('Données projet'!$B$16,Paramètres!$A$1:$I$89,3,0)*VLOOKUP('Données projet'!$B$16,Paramètres!$A$1:$I$89,5,0)</f>
        <v>#N/A</v>
      </c>
      <c r="FG96" s="117" t="e">
        <f aca="false">EXP(-1.0587+0.8836*LN(FF96)+0.284)</f>
        <v>#N/A</v>
      </c>
      <c r="FH96" s="128" t="e">
        <f aca="false">(FF96+FG96)*0.475*44/12</f>
        <v>#N/A</v>
      </c>
      <c r="FI96" s="120" t="e">
        <f aca="false">FH96+(EZ96+FA96)*44/12</f>
        <v>#N/A</v>
      </c>
      <c r="FJ96" s="120" t="e">
        <f aca="true">AVERAGE(OFFSET($FI$3,0,0,'Données projet'!$E$16+1,1))-AVERAGE(OFFSET($H$3,0,0,'Données projet'!$E$16+1,1))</f>
        <v>#N/A</v>
      </c>
      <c r="FK96" s="120" t="e">
        <f aca="false">$FK$3</f>
        <v>#N/A</v>
      </c>
      <c r="FL96" s="121" t="n">
        <f aca="false">IF(ISNA(VLOOKUP(A96,'Données projet'!$A$217:$I$237,3,0)),0,VLOOKUP(A96,'Données projet'!$A$217:$I$237,3,0))</f>
        <v>0</v>
      </c>
      <c r="FM96" s="121" t="n">
        <f aca="false">IF(ISNA(VLOOKUP(A96,'Données projet'!$A$217:$I$237,4,0)),0,VLOOKUP(A96,'Données projet'!$A$217:$I$237,4,0))</f>
        <v>0</v>
      </c>
      <c r="FN96" s="122" t="n">
        <f aca="false">IF(ISNA(VLOOKUP(A96,'Données projet'!$A$217:$I$237,5,0)),0%,VLOOKUP(A96,'Données projet'!$A$217:$I$237,5,0)*VLOOKUP('Données projet'!$B$16,Paramètres!$A$1:$I$89,7,0))</f>
        <v>0</v>
      </c>
      <c r="FO96" s="122" t="n">
        <f aca="false">IF(ISNA(VLOOKUP(A96,'Données projet'!$A$217:$I$237,6,0)),0%,VLOOKUP(A96,'Données projet'!$A$217:$I$237,6,0)*VLOOKUP('Données projet'!$B$16,Paramètres!$A$1:$I$89,7,0))</f>
        <v>0</v>
      </c>
      <c r="FP96" s="122" t="n">
        <f aca="false">IF(ISNA(VLOOKUP(A96,'Données projet'!$A$217:$I$237,7,0)),0%,VLOOKUP(A96,'Données projet'!$A$217:$I$237,7,0))</f>
        <v>0</v>
      </c>
      <c r="FQ96" s="129" t="e">
        <f aca="false">EXP(-LN(2)/35)*FQ95+(1-EXP(-LN(2)/35))/(LN(2)/35)*FM96*FN96*VLOOKUP('Données projet'!$B$16,Paramètres!$A$1:$I$89,3,0)*0.475*44/12</f>
        <v>#N/A</v>
      </c>
      <c r="FR96" s="129" t="e">
        <f aca="false">EXP(-LN(2)/25)*FR95+(1-EXP(-LN(2)/25))/(LN(2)/25)*Calculateur!FM96*Calculateur!FO96*VLOOKUP('Données projet'!$B$16,Paramètres!$A$1:$I$89,3,0)*0.475*44/12</f>
        <v>#N/A</v>
      </c>
      <c r="FS96" s="129" t="e">
        <f aca="false">EXP(-LN(2)/2)*FS95+(1-EXP(-LN(2)/2))/(LN(2)/2)*FM96*FP96*VLOOKUP('Données projet'!$B$16,Paramètres!$A$1:$I$89,3,0)*0.475*44/12</f>
        <v>#N/A</v>
      </c>
      <c r="FT96" s="130" t="e">
        <f aca="false">SUM(FQ96:FS96)</f>
        <v>#N/A</v>
      </c>
      <c r="FU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8" t="e">
        <f aca="false">VLOOKUP(A96,'Données projet'!$A$243:$I$263,2,0)</f>
        <v>#N/A</v>
      </c>
      <c r="FX96" s="118" t="e">
        <f aca="false">VLOOKUP(A96,'Données projet'!$A$243:$I$263,9,0)</f>
        <v>#N/A</v>
      </c>
      <c r="FY96" s="118" t="e">
        <f aca="false" t="array" ref="FY96:FY96">INDEX(FX:FX,MIN(IF(ISNUMBER(FX96:FX292),ROW(FX96:FX292),"")))</f>
        <v>#N/A</v>
      </c>
      <c r="FZ96" s="118" t="n">
        <f aca="false">IF('Données projet'!$A$244&gt;35,FZ95+FY96-GH95,IF(A96&lt;'Données projet'!$A$244,$FW$205^A96,IF(A96='Données projet'!$A$244,'Données projet'!$B$244,FZ95+FY96-GH95)))</f>
        <v>0</v>
      </c>
      <c r="GA96" s="125" t="e">
        <f aca="false">FZ96*VLOOKUP('Données projet'!$B$17,Paramètres!$A$1:$I$89,3,0)*VLOOKUP('Données projet'!$B$17,Paramètres!$A$1:$I$89,5,0)</f>
        <v>#N/A</v>
      </c>
      <c r="GB96" s="117" t="e">
        <f aca="false">EXP(-1.0587+0.8836*LN(GA96)+0.284)</f>
        <v>#N/A</v>
      </c>
      <c r="GC96" s="128" t="e">
        <f aca="false">(GA96+GB96)*0.475*44/12</f>
        <v>#N/A</v>
      </c>
      <c r="GD96" s="120" t="e">
        <f aca="false">GC96+(FU96+FV96)*44/12</f>
        <v>#N/A</v>
      </c>
      <c r="GE96" s="120" t="e">
        <f aca="true">AVERAGE(OFFSET($GD$3,0,0,'Données projet'!$E$17+1,1))-AVERAGE(OFFSET($H$3,0,0,'Données projet'!$E$17+1,1))</f>
        <v>#N/A</v>
      </c>
      <c r="GF96" s="120" t="e">
        <f aca="false">$GF$3</f>
        <v>#N/A</v>
      </c>
      <c r="GG96" s="121" t="n">
        <f aca="false">IF(ISNA(VLOOKUP(A96,'Données projet'!$A$243:$I$263,3,0)),0,VLOOKUP(A96,'Données projet'!$A$243:$I$263,3,0))</f>
        <v>0</v>
      </c>
      <c r="GH96" s="121" t="n">
        <f aca="false">IF(ISNA(VLOOKUP(A96,'Données projet'!$A$243:$I$263,4,0)),0,VLOOKUP(A96,'Données projet'!$A$243:$I$263,4,0))</f>
        <v>0</v>
      </c>
      <c r="GI96" s="122" t="n">
        <f aca="false">IF(ISNA(VLOOKUP(A96,'Données projet'!$A$243:$I$263,5,0)),0%,VLOOKUP(A96,'Données projet'!$A$243:$I$263,5,0)*VLOOKUP('Données projet'!$B$17,Paramètres!$A$1:$I$89,7,0))</f>
        <v>0</v>
      </c>
      <c r="GJ96" s="122" t="n">
        <f aca="false">IF(ISNA(VLOOKUP(A96,'Données projet'!$A$243:$I$263,6,0)),0%,VLOOKUP(A96,'Données projet'!$A$243:$I$263,6,0)*VLOOKUP('Données projet'!$B$17,Paramètres!$A$1:$I$89,7,0))</f>
        <v>0</v>
      </c>
      <c r="GK96" s="122" t="n">
        <f aca="false">IF(ISNA(VLOOKUP(A96,'Données projet'!$A$243:$I$263,7,0)),0%,VLOOKUP(A96,'Données projet'!$A$243:$I$263,7,0))</f>
        <v>0</v>
      </c>
      <c r="GL96" s="129" t="e">
        <f aca="false">EXP(-LN(2)/35)*GL95+(1-EXP(-LN(2)/35))/(LN(2)/35)*GH96*GI96*VLOOKUP('Données projet'!$B$17,Paramètres!$A$1:$I$89,3,0)*0.475*44/12</f>
        <v>#N/A</v>
      </c>
      <c r="GM96" s="129" t="e">
        <f aca="false">EXP(-LN(2)/25)*GM95+(1-EXP(-LN(2)/25))/(LN(2)/25)*Calculateur!GH96*Calculateur!GJ96*VLOOKUP('Données projet'!$B$17,Paramètres!$A$1:$I$89,3,0)*0.475*44/12</f>
        <v>#N/A</v>
      </c>
      <c r="GN96" s="129" t="e">
        <f aca="false">EXP(-LN(2)/2)*GN95+(1-EXP(-LN(2)/2))/(LN(2)/2)*GH96*GK96*VLOOKUP('Données projet'!$B$17,Paramètres!$A$1:$I$89,3,0)*0.475*44/12</f>
        <v>#N/A</v>
      </c>
      <c r="GO96" s="129" t="e">
        <f aca="false">SUM(GL96:GN96)</f>
        <v>#N/A</v>
      </c>
      <c r="GP96" s="126" t="n">
        <f aca="false"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8" t="n">
        <f aca="false"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8" t="e">
        <f aca="false">VLOOKUP(A96,'Données projet'!$A$269:$I$289,2,0)</f>
        <v>#N/A</v>
      </c>
      <c r="GS96" s="118" t="e">
        <f aca="false">VLOOKUP(A96,'Données projet'!$A$269:$I$289,9,0)</f>
        <v>#N/A</v>
      </c>
      <c r="GT96" s="118" t="e">
        <f aca="false" t="array" ref="GT96:GT96">INDEX(GS:GS,MIN(IF(ISNUMBER(GS96:GS292),ROW(GS96:GS292),"")))</f>
        <v>#N/A</v>
      </c>
      <c r="GU96" s="118" t="n">
        <f aca="false">IF('Données projet'!$A$270&gt;35,GU95+GT96-HC95,IF(A96&lt;'Données projet'!$A$270,$GR$205^A96,IF(A96='Données projet'!$A$270,'Données projet'!$B$270,GU95+GT96-HC95)))</f>
        <v>0</v>
      </c>
      <c r="GV96" s="125" t="e">
        <f aca="false">GU96*VLOOKUP('Données projet'!$B$18,Paramètres!$A$1:$I$89,3,0)*VLOOKUP('Données projet'!$B$18,Paramètres!$A$1:$I$89,5,0)</f>
        <v>#N/A</v>
      </c>
      <c r="GW96" s="117" t="e">
        <f aca="false">EXP(-1.0587+0.8836*LN(GV96)+0.284)</f>
        <v>#N/A</v>
      </c>
      <c r="GX96" s="128" t="e">
        <f aca="false">(GV96+GW96)*0.475*44/12</f>
        <v>#N/A</v>
      </c>
      <c r="GY96" s="120" t="e">
        <f aca="false">GX96+(GP96+GQ96)*44/12</f>
        <v>#N/A</v>
      </c>
      <c r="GZ96" s="120" t="e">
        <f aca="true">AVERAGE(OFFSET($GY$3,0,0,'Données projet'!$E$18+1,1))-AVERAGE(OFFSET($H$3,0,0,'Données projet'!$E$18+1,1))</f>
        <v>#N/A</v>
      </c>
      <c r="HA96" s="120" t="e">
        <f aca="false">$HA$3</f>
        <v>#N/A</v>
      </c>
      <c r="HB96" s="121" t="n">
        <f aca="false">IF(ISNA(VLOOKUP(A96,'Données projet'!$A$269:$I$289,3,0)),0,VLOOKUP(A96,'Données projet'!$A$269:$I$289,3,0))</f>
        <v>0</v>
      </c>
      <c r="HC96" s="121" t="n">
        <f aca="false">IF(ISNA(VLOOKUP(A96,'Données projet'!$A$269:$I$289,4,0)),0,VLOOKUP(A96,'Données projet'!$A$269:$I$289,4,0))</f>
        <v>0</v>
      </c>
      <c r="HD96" s="122" t="n">
        <f aca="false">IF(ISNA(VLOOKUP(A96,'Données projet'!$A$269:$I$289,5,0)),0%,VLOOKUP(A96,'Données projet'!$A$269:$I$289,5,0)*VLOOKUP('Données projet'!$B$18,Paramètres!$A$1:$I$89,7,0))</f>
        <v>0</v>
      </c>
      <c r="HE96" s="122" t="n">
        <f aca="false">IF(ISNA(VLOOKUP(A96,'Données projet'!$A$269:$I$289,6,0)),0%,VLOOKUP(A96,'Données projet'!$A$269:$I$289,6,0)*VLOOKUP('Données projet'!$B$18,Paramètres!$A$1:$I$89,7,0))</f>
        <v>0</v>
      </c>
      <c r="HF96" s="122" t="n">
        <f aca="false">IF(ISNA(VLOOKUP(A96,'Données projet'!$A$269:$I$289,7,0)),0%,VLOOKUP(A96,'Données projet'!$A$269:$I$289,7,0))</f>
        <v>0</v>
      </c>
      <c r="HG96" s="129" t="e">
        <f aca="false">EXP(-LN(2)/35)*HG95+(1-EXP(-LN(2)/35))/(LN(2)/35)*HC96*HD96*VLOOKUP('Données projet'!$B$18,Paramètres!$A$1:$I$89,3,0)*0.475*44/12</f>
        <v>#N/A</v>
      </c>
      <c r="HH96" s="129" t="e">
        <f aca="false">EXP(-LN(2)/25)*HH95+(1-EXP(-LN(2)/25))/(LN(2)/25)*Calculateur!HC96*Calculateur!HE96*VLOOKUP('Données projet'!$B$18,Paramètres!$A$1:$I$89,3,0)*0.475*44/12</f>
        <v>#N/A</v>
      </c>
      <c r="HI96" s="129" t="e">
        <f aca="false">EXP(-LN(2)/2)*HI95+(1-EXP(-LN(2)/2))/(LN(2)/2)*HC96*HF96*VLOOKUP('Données projet'!$B$18,Paramètres!$A$1:$I$89,3,0)*0.475*44/12</f>
        <v>#N/A</v>
      </c>
      <c r="HJ96" s="130" t="e">
        <f aca="false">SUM(HG96:HI96)</f>
        <v>#N/A</v>
      </c>
    </row>
    <row r="97" customFormat="false" ht="14.25" hidden="false" customHeight="false" outlineLevel="0" collapsed="false">
      <c r="A97" s="112" t="n">
        <f aca="false">A96+1</f>
        <v>94</v>
      </c>
      <c r="B97" s="113" t="n">
        <f aca="false">'Scénario référence'!$B$16*5+'Scénario référence'!$B$17*0+'Scénario référence'!$B$18*5</f>
        <v>0</v>
      </c>
      <c r="C97" s="127" t="n">
        <f aca="false"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4" t="n">
        <f aca="false">IFERROR(EXP(-1.0587+0.8836*LN(C97)+0.284),0)</f>
        <v>0</v>
      </c>
      <c r="E9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7" s="114" t="n">
        <f aca="false">IF(OR('Scénario référence'!$F$8&gt;0,'Scénario référence'!$F$9&gt;0),('Scénario référence'!$F$8+'Scénario référence'!$F$9)*10,0)</f>
        <v>0</v>
      </c>
      <c r="G97" s="114" t="n">
        <f aca="false"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15" t="n">
        <f aca="false">(B97+E97+F97)*44/12+(C97+D97)*0.475*44/12</f>
        <v>256.666666666667</v>
      </c>
      <c r="I97" s="11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7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8" t="e">
        <f aca="false">VLOOKUP(A97,'Données projet'!$A$35:$I$55,2,0)</f>
        <v>#N/A</v>
      </c>
      <c r="L97" s="118" t="e">
        <f aca="false">VLOOKUP(A97,'Données projet'!$A$35:$I$55,9,0)</f>
        <v>#N/A</v>
      </c>
      <c r="M97" s="118" t="n">
        <f aca="false" t="array" ref="M97:M97">INDEX(L:L,MIN(IF(ISNUMBER(L97:L293),ROW(L97:L293),"")))</f>
        <v>18.5</v>
      </c>
      <c r="N97" s="117" t="n">
        <f aca="false">IF('Données projet'!$A$36&gt;35,N96+M97-V96,IF(A97&lt;'Données projet'!$A$36,$K$205^A97,IF(A97='Données projet'!$A$36,'Données projet'!$B$36,N96+M97-V96)))</f>
        <v>564.5</v>
      </c>
      <c r="O97" s="117" t="n">
        <f aca="false">N97*VLOOKUP('Données projet'!$B$9,Paramètres!$A$1:$I$89,3,0)*VLOOKUP('Données projet'!$B$9,Paramètres!$A$1:$I$89,5,0)</f>
        <v>264.186</v>
      </c>
      <c r="P97" s="117" t="n">
        <f aca="false">EXP(-1.0587+0.8836*LN(O97)+0.284)</f>
        <v>63.6138328732628</v>
      </c>
      <c r="Q97" s="128" t="n">
        <f aca="false">(O97+P97)*0.475*44/12</f>
        <v>570.918042254266</v>
      </c>
      <c r="R97" s="120" t="n">
        <f aca="false">Q97+(I97+J97)*44/12</f>
        <v>864.251375587599</v>
      </c>
      <c r="S97" s="120" t="n">
        <f aca="true">AVERAGE(OFFSET($R$3,0,0,'Données projet'!$E$9+1,1))-AVERAGE(OFFSET($H$3,0,0,'Données projet'!$E$9+1,1))</f>
        <v>319.229030946746</v>
      </c>
      <c r="T97" s="120" t="n">
        <f aca="false">$T$3</f>
        <v>254.586909731428</v>
      </c>
      <c r="U97" s="121" t="n">
        <f aca="false">IF(ISNA(VLOOKUP(A97,'Données projet'!$A$35:$I$55,3,0)),0,VLOOKUP(A97,'Données projet'!$A$35:$I$55,3,0))</f>
        <v>0</v>
      </c>
      <c r="V97" s="121" t="n">
        <f aca="false">IF(ISNA(VLOOKUP(A97,'Données projet'!$A$35:$I$55,4,0)),0,VLOOKUP(A97,'Données projet'!$A$35:$I$55,4,0))</f>
        <v>0</v>
      </c>
      <c r="W97" s="122" t="n">
        <f aca="false">IF(ISNA(VLOOKUP(A97,'Données projet'!$A$35:$I$55,5,0)),0%,VLOOKUP(A97,'Données projet'!$A$35:$I$55,5,0)*VLOOKUP('Données projet'!$B$9,Paramètres!$A$1:$I$89,7,0))</f>
        <v>0</v>
      </c>
      <c r="X97" s="122" t="n">
        <f aca="false">IF(ISNA(VLOOKUP(A97,'Données projet'!$A$35:$I$55,6,0)),0%,VLOOKUP(A97,'Données projet'!$A$35:$I$55,6,0)*VLOOKUP('Données projet'!$B$9,Paramètres!$A$1:$I$89,7,0))</f>
        <v>0</v>
      </c>
      <c r="Y97" s="122" t="n">
        <f aca="false">IF(ISNA(VLOOKUP(A97,'Données projet'!$A$35:$I$55,7,0)),0%,VLOOKUP(A97,'Données projet'!$A$35:$I$55,7,0))</f>
        <v>0</v>
      </c>
      <c r="Z97" s="129" t="n">
        <f aca="false">EXP(-LN(2)/35)*Z96+(1-EXP(-LN(2)/35))/(LN(2)/35)*V97*W97*VLOOKUP('Données projet'!$B$9,Paramètres!$A$1:$I$89,3,0)*0.475*44/12</f>
        <v>2.55533377627877</v>
      </c>
      <c r="AA97" s="129" t="n">
        <f aca="false">EXP(-LN(2)/25)*AA96+(1-EXP(-LN(2)/25))/(LN(2)/25)*Calculateur!V97*Calculateur!X97*VLOOKUP('Données projet'!$B$9,Paramètres!$A$1:$I$89,3,0)*0.475*44/12</f>
        <v>1.89099115783954</v>
      </c>
      <c r="AB97" s="129" t="n">
        <f aca="false">EXP(-LN(2)/2)*AB96+(1-EXP(-LN(2)/2))/(LN(2)/2)*V97*Y97*VLOOKUP('Données projet'!$B$9,Paramètres!$A$1:$I$89,3,0)*0.475*44/12</f>
        <v>2.5711787500415E-009</v>
      </c>
      <c r="AC97" s="130" t="n">
        <f aca="false">SUM(Z97:AB97)</f>
        <v>4.44632493668948</v>
      </c>
      <c r="AD97" s="117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7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8" t="e">
        <f aca="false">VLOOKUP(A97,'Données projet'!$A$61:$I$81,2,0)</f>
        <v>#N/A</v>
      </c>
      <c r="AG97" s="118" t="e">
        <f aca="false">VLOOKUP(A97,'Données projet'!$A$61:$I$81,9,0)</f>
        <v>#N/A</v>
      </c>
      <c r="AH97" s="118" t="e">
        <f aca="false" t="array" ref="AH97:AH97">INDEX(AG:AG,MIN(IF(ISNUMBER(AG97:AG293),ROW(AG97:AG293),"")))</f>
        <v>#N/A</v>
      </c>
      <c r="AI97" s="117" t="n">
        <f aca="false">IF('Données projet'!$A$62&gt;35,AI96+AH97-AQ96,IF(A97&lt;'Données projet'!$A$62,$AF$205^A97,IF(A97='Données projet'!$A$62,'Données projet'!$B$62,AI96+AH97-AQ96)))</f>
        <v>1.13686837721616E-013</v>
      </c>
      <c r="AJ97" s="117" t="n">
        <f aca="false">AI97*VLOOKUP('Données projet'!$B$10,Paramètres!$A$1:$I$89,3,0)*VLOOKUP('Données projet'!$B$10,Paramètres!$A$1:$I$89,5,0)</f>
        <v>6.35509422863834E-014</v>
      </c>
      <c r="AK97" s="117" t="n">
        <f aca="false">EXP(-1.0587+0.8836*LN(AJ97)+0.284)</f>
        <v>1.0064464192544E-012</v>
      </c>
      <c r="AL97" s="128" t="n">
        <f aca="false">(AJ97+AK97)*0.475*44/12</f>
        <v>1.86357873801686E-012</v>
      </c>
      <c r="AM97" s="120" t="n">
        <f aca="false">AL97+(AD97+AE97)*44/12</f>
        <v>293.333333333335</v>
      </c>
      <c r="AN97" s="120" t="n">
        <f aca="true">AVERAGE(OFFSET($AM$3,0,0,'Données projet'!$E$10+1,1))-AVERAGE(OFFSET($H$3,0,0,'Données projet'!$E$10+1,1))</f>
        <v>365.705101827279</v>
      </c>
      <c r="AO97" s="120" t="n">
        <f aca="false">$AO$3</f>
        <v>436.238338449625</v>
      </c>
      <c r="AP97" s="121" t="n">
        <f aca="false">IF(ISNA(VLOOKUP(A97,'Données projet'!$A$61:$I$81,3,0)),0,VLOOKUP(A97,'Données projet'!$A$61:$I$81,3,0))</f>
        <v>0</v>
      </c>
      <c r="AQ97" s="121" t="n">
        <f aca="false">IF(ISNA(VLOOKUP(A97,'Données projet'!$A$61:$I$81,4,0)),0,VLOOKUP(A97,'Données projet'!$A$61:$I$81,4,0))</f>
        <v>0</v>
      </c>
      <c r="AR97" s="122" t="n">
        <f aca="false">IF(ISNA(VLOOKUP(A97,'Données projet'!$A$61:$I$81,5,0)),0%,VLOOKUP(A97,'Données projet'!$A$61:$I$81,5,0)*VLOOKUP('Données projet'!$B$10,Paramètres!$A$1:$I$89,7,0))</f>
        <v>0</v>
      </c>
      <c r="AS97" s="122" t="n">
        <f aca="false">IF(ISNA(VLOOKUP(A97,'Données projet'!$A$61:$I$81,6,0)),0%,VLOOKUP(A97,'Données projet'!$A$61:$I$81,6,0)*VLOOKUP('Données projet'!$B$10,Paramètres!$A$1:$I$89,7,0))</f>
        <v>0</v>
      </c>
      <c r="AT97" s="122" t="n">
        <f aca="false">IF(ISNA(VLOOKUP(A97,'Données projet'!$A$61:$I$81,7,0)),0%,VLOOKUP(A97,'Données projet'!$A$61:$I$81,7,0))</f>
        <v>0</v>
      </c>
      <c r="AU97" s="129" t="n">
        <f aca="false">EXP(-LN(2)/35)*AU96+(1-EXP(-LN(2)/35))/(LN(2)/35)*AQ97*AR97*VLOOKUP('Données projet'!$B$10,Paramètres!$A$1:$I$89,3,0)*0.475*44/12</f>
        <v>0.964555653022051</v>
      </c>
      <c r="AV97" s="129" t="n">
        <f aca="false">EXP(-LN(2)/25)*AV96+(1-EXP(-LN(2)/25))/(LN(2)/25)*Calculateur!AQ97*Calculateur!AS97*VLOOKUP('Données projet'!$B$10,Paramètres!$A$1:$I$89,3,0)*0.475*44/12</f>
        <v>2.23977678080178</v>
      </c>
      <c r="AW97" s="129" t="n">
        <f aca="false">EXP(-LN(2)/2)*AW96+(1-EXP(-LN(2)/2))/(LN(2)/2)*AQ97*AT97*VLOOKUP('Données projet'!$B$10,Paramètres!$A$1:$I$89,3,0)*0.475*44/12</f>
        <v>1.38372804170376E-009</v>
      </c>
      <c r="AX97" s="129" t="n">
        <f aca="false">SUM(AU97:AW97)</f>
        <v>3.20433243520756</v>
      </c>
      <c r="AY97" s="124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8" t="e">
        <f aca="false">VLOOKUP(A97,'Données projet'!$A$87:$I$107,2,0)</f>
        <v>#N/A</v>
      </c>
      <c r="BB97" s="118" t="e">
        <f aca="false">VLOOKUP(A97,'Données projet'!$A$87:$I$107,9,0)</f>
        <v>#N/A</v>
      </c>
      <c r="BC97" s="118" t="e">
        <f aca="false" t="array" ref="BC97:BC97">INDEX(BB:BB,MIN(IF(ISNUMBER(BB97:BB293),ROW(BB97:BB293),"")))</f>
        <v>#N/A</v>
      </c>
      <c r="BD97" s="118" t="n">
        <f aca="false">IF('Données projet'!$A$88&gt;35,BD96+BC97-BL96,IF(A97&lt;'Données projet'!$A$88,$BA$205^A97,IF(A97='Données projet'!$A$88,'Données projet'!$B$88,BD96+BC97-BL96)))</f>
        <v>1.98951966012828E-013</v>
      </c>
      <c r="BE97" s="117" t="n">
        <f aca="false">BD97*VLOOKUP('Données projet'!$B$11,Paramètres!$A$1:$I$89,3,0)*VLOOKUP('Données projet'!$B$11,Paramètres!$A$1:$I$89,5,0)</f>
        <v>1.73804437508807E-013</v>
      </c>
      <c r="BF97" s="117" t="n">
        <f aca="false">EXP(-1.0587+0.8836*LN(BE97)+0.284)</f>
        <v>2.44832936339505E-012</v>
      </c>
      <c r="BG97" s="128" t="n">
        <f aca="false">(BE97+BF97)*0.475*44/12</f>
        <v>4.56688303657421E-012</v>
      </c>
      <c r="BH97" s="120" t="n">
        <f aca="false">BG97+(AY97+AZ97)*44/12</f>
        <v>293.333333333338</v>
      </c>
      <c r="BI97" s="120" t="n">
        <f aca="true">AVERAGE(OFFSET($BH$3,0,0,'Données projet'!$E$11+1,1))-AVERAGE(OFFSET($H$3,0,0,'Données projet'!$E$11+1,1))</f>
        <v>321.235999689929</v>
      </c>
      <c r="BJ97" s="120" t="n">
        <f aca="false">$BJ$3</f>
        <v>388.051958478005</v>
      </c>
      <c r="BK97" s="121" t="n">
        <f aca="false">IF(ISNA(VLOOKUP(A97,'Données projet'!$A$87:$I$107,3,0)),0,VLOOKUP(A97,'Données projet'!$A$87:$I$107,3,0))</f>
        <v>0</v>
      </c>
      <c r="BL97" s="121" t="n">
        <f aca="false">IF(ISNA(VLOOKUP(A97,'Données projet'!$A$87:$I$107,4,0)),0,VLOOKUP(A97,'Données projet'!$A$87:$I$107,4,0))</f>
        <v>0</v>
      </c>
      <c r="BM97" s="122" t="n">
        <f aca="false">IF(ISNA(VLOOKUP(A97,'Données projet'!$A$87:$I$107,5,0)),0%,VLOOKUP(A97,'Données projet'!$A$87:$I$107,5,0)*VLOOKUP('Données projet'!$B$11,Paramètres!$A$1:$I$89,7,0))</f>
        <v>0</v>
      </c>
      <c r="BN97" s="122" t="n">
        <f aca="false">IF(ISNA(VLOOKUP(A97,'Données projet'!$A$87:$I$107,6,0)),0%,VLOOKUP(A97,'Données projet'!$A$87:$I$107,6,0)*VLOOKUP('Données projet'!$B$11,Paramètres!$A$1:$I$89,7,0))</f>
        <v>0</v>
      </c>
      <c r="BO97" s="122" t="n">
        <f aca="false">IF(ISNA(VLOOKUP(A97,'Données projet'!$A$87:$I$107,7,0)),0%,VLOOKUP(A97,'Données projet'!$A$87:$I$107,7,0))</f>
        <v>0</v>
      </c>
      <c r="BP97" s="129" t="n">
        <f aca="false">EXP(-LN(2)/35)*BP96+(1-EXP(-LN(2)/35))/(LN(2)/35)*BL97*BM97*VLOOKUP('Données projet'!$B$11,Paramètres!$A$1:$I$89,3,0)*0.475*44/12</f>
        <v>2.421634017622</v>
      </c>
      <c r="BQ97" s="129" t="n">
        <f aca="false">EXP(-LN(2)/25)*BQ96+(1-EXP(-LN(2)/25))/(LN(2)/25)*Calculateur!BL97*Calculateur!BN97*VLOOKUP('Données projet'!$B$11,Paramètres!$A$1:$I$89,3,0)*0.475*44/12</f>
        <v>2.28623110332681</v>
      </c>
      <c r="BR97" s="129" t="n">
        <f aca="false">EXP(-LN(2)/2)*BR96+(1-EXP(-LN(2)/2))/(LN(2)/2)*BL97*BO97*VLOOKUP('Données projet'!$B$11,Paramètres!$A$1:$I$89,3,0)*0.475*44/12</f>
        <v>1.40653079312638E-009</v>
      </c>
      <c r="BS97" s="130" t="n">
        <f aca="false">SUM(BP97:BR97)</f>
        <v>4.70786512235534</v>
      </c>
      <c r="BT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8" t="e">
        <f aca="false">VLOOKUP(A97,'Données projet'!$A$113:$I$133,2,0)</f>
        <v>#N/A</v>
      </c>
      <c r="BW97" s="118" t="e">
        <f aca="false">VLOOKUP(A97,'Données projet'!$A$113:$I$133,9,0)</f>
        <v>#N/A</v>
      </c>
      <c r="BX97" s="118" t="e">
        <f aca="false" t="array" ref="BX97:BX97">INDEX(BW:BW,MIN(IF(ISNUMBER(BW97:BW293),ROW(BW97:BW293),"")))</f>
        <v>#N/A</v>
      </c>
      <c r="BY97" s="118" t="n">
        <f aca="false">IF('Données projet'!$A$114&gt;35,BY96+BX97-CG96,IF(A97&lt;'Données projet'!$A$114,$BV$205^A97,IF(A97='Données projet'!$A$114,'Données projet'!$B$114,BY96+BX97-CG96)))</f>
        <v>0</v>
      </c>
      <c r="BZ97" s="117" t="n">
        <f aca="false">BY97*VLOOKUP('Données projet'!$B$12,Paramètres!$A$1:$I$89,3,0)*VLOOKUP('Données projet'!$B$12,Paramètres!$A$1:$I$89,5,0)</f>
        <v>0</v>
      </c>
      <c r="CA97" s="117" t="e">
        <f aca="false">EXP(-1.0587+0.8836*LN(BZ97)+0.284)</f>
        <v>#VALUE!</v>
      </c>
      <c r="CB97" s="128" t="e">
        <f aca="false">(BZ97+CA97)*0.475*44/12</f>
        <v>#VALUE!</v>
      </c>
      <c r="CC97" s="120" t="e">
        <f aca="false">CB97+(BT97+BU97)*44/12</f>
        <v>#VALUE!</v>
      </c>
      <c r="CD97" s="120" t="n">
        <f aca="true">AVERAGE(OFFSET($CC$3,0,0,'Données projet'!$E$12+1,1))-AVERAGE(OFFSET($H$3,0,0,'Données projet'!$E$12+1,1))</f>
        <v>240.228848647662</v>
      </c>
      <c r="CE97" s="120" t="n">
        <f aca="false">$CE$3</f>
        <v>343.237768841432</v>
      </c>
      <c r="CF97" s="121" t="n">
        <f aca="false">IF(ISNA(VLOOKUP(A97,'Données projet'!$A$113:$I$133,3,0)),0,VLOOKUP(A97,'Données projet'!$A$113:$I$133,3,0))</f>
        <v>0</v>
      </c>
      <c r="CG97" s="121" t="n">
        <f aca="false">IF(ISNA(VLOOKUP(A97,'Données projet'!$A$113:$I$133,4,0)),0,VLOOKUP(A97,'Données projet'!$A$113:$I$133,4,0))</f>
        <v>0</v>
      </c>
      <c r="CH97" s="122" t="n">
        <f aca="false">IF(ISNA(VLOOKUP(A97,'Données projet'!$A$113:$I$133,5,0)),0%,VLOOKUP(A97,'Données projet'!$A$113:$I$133,5,0)*VLOOKUP('Données projet'!$B$12,Paramètres!$A$1:$I$89,7,0))</f>
        <v>0</v>
      </c>
      <c r="CI97" s="122" t="n">
        <f aca="false">IF(ISNA(VLOOKUP(A97,'Données projet'!$A$113:$I$133,6,0)),0%,VLOOKUP(A97,'Données projet'!$A$113:$I$133,6,0)*VLOOKUP('Données projet'!$B$12,Paramètres!$A$1:$I$89,7,0))</f>
        <v>0</v>
      </c>
      <c r="CJ97" s="122" t="n">
        <f aca="false">IF(ISNA(VLOOKUP(A97,'Données projet'!$A$113:$I$133,7,0)),0%,VLOOKUP(A97,'Données projet'!$A$113:$I$133,7,0))</f>
        <v>0</v>
      </c>
      <c r="CK97" s="129" t="n">
        <f aca="false">EXP(-LN(2)/35)*CK96+(1-EXP(-LN(2)/35))/(LN(2)/35)*CG97*CH97*VLOOKUP('Données projet'!$B$12,Paramètres!$A$1:$I$89,3,0)*0.475*44/12</f>
        <v>1.48222868093513</v>
      </c>
      <c r="CL97" s="129" t="n">
        <f aca="false">EXP(-LN(2)/25)*CL96+(1-EXP(-LN(2)/25))/(LN(2)/25)*Calculateur!CG97*Calculateur!CI97*VLOOKUP('Données projet'!$B$12,Paramètres!$A$1:$I$89,3,0)*0.475*44/12</f>
        <v>4.03761647813465</v>
      </c>
      <c r="CM97" s="129" t="n">
        <f aca="false">EXP(-LN(2)/2)*CM96+(1-EXP(-LN(2)/2))/(LN(2)/2)*CG97*CJ97*VLOOKUP('Données projet'!$B$12,Paramètres!$A$1:$I$89,3,0)*0.475*44/12</f>
        <v>2.24444816493518E-009</v>
      </c>
      <c r="CN97" s="130" t="n">
        <f aca="false">SUM(CK97:CM97)</f>
        <v>5.51984516131422</v>
      </c>
      <c r="CO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8" t="e">
        <f aca="false">VLOOKUP(A97,'Données projet'!$A$139:$I$159,2,0)</f>
        <v>#N/A</v>
      </c>
      <c r="CR97" s="118" t="e">
        <f aca="false">VLOOKUP(A97,'Données projet'!$A$139:$I$159,9,0)</f>
        <v>#N/A</v>
      </c>
      <c r="CS97" s="118" t="e">
        <f aca="false" t="array" ref="CS97:CS97">INDEX(CR:CR,MIN(IF(ISNUMBER(CR97:CR293),ROW(CR97:CR293),"")))</f>
        <v>#N/A</v>
      </c>
      <c r="CT97" s="118" t="n">
        <f aca="false">IF('Données projet'!$A$140&gt;35,CT96+CS97-DB96,IF(A97&lt;'Données projet'!$A$140,$CQ$205^A97,IF(A97='Données projet'!$A$140,'Données projet'!$B$140,CT96+CS97-DB96)))</f>
        <v>-5.6843418860808E-014</v>
      </c>
      <c r="CU97" s="125" t="n">
        <f aca="false">CT97*VLOOKUP('Données projet'!$B$13,Paramètres!$A$1:$I$89,3,0)*VLOOKUP('Données projet'!$B$13,Paramètres!$A$1:$I$89,5,0)</f>
        <v>-3.10365066980012E-014</v>
      </c>
      <c r="CV97" s="117" t="e">
        <f aca="false">EXP(-1.0587+0.8836*LN(CU97)+0.284)</f>
        <v>#VALUE!</v>
      </c>
      <c r="CW97" s="128" t="e">
        <f aca="false">(CU97+CV97)*0.475*44/12</f>
        <v>#VALUE!</v>
      </c>
      <c r="CX97" s="120" t="e">
        <f aca="false">CW97+(CO97+CP97)*44/12</f>
        <v>#VALUE!</v>
      </c>
      <c r="CY97" s="120" t="n">
        <f aca="true">AVERAGE(OFFSET($CX$3,0,0,'Données projet'!$E$13+1,1))-AVERAGE(OFFSET($H$3,0,0,'Données projet'!$E$13+1,1))</f>
        <v>207.023069645676</v>
      </c>
      <c r="CZ97" s="120" t="n">
        <f aca="false">$CZ$3</f>
        <v>342.068879333518</v>
      </c>
      <c r="DA97" s="121" t="n">
        <f aca="false">IF(ISNA(VLOOKUP(A97,'Données projet'!$A$139:$I$159,3,0)),0,VLOOKUP(A97,'Données projet'!$A$139:$I$159,3,0))</f>
        <v>0</v>
      </c>
      <c r="DB97" s="121" t="n">
        <f aca="false">IF(ISNA(VLOOKUP(A97,'Données projet'!$A$139:$I$159,4,0)),0,VLOOKUP(A97,'Données projet'!$A$139:$I$159,4,0))</f>
        <v>0</v>
      </c>
      <c r="DC97" s="122" t="n">
        <f aca="false">IF(ISNA(VLOOKUP(A97,'Données projet'!$A$139:$I$159,5,0)),0%,VLOOKUP(A97,'Données projet'!$A$139:$I$159,5,0)*VLOOKUP('Données projet'!$B$13,Paramètres!$A$1:$I$89,7,0))</f>
        <v>0</v>
      </c>
      <c r="DD97" s="122" t="n">
        <f aca="false">IF(ISNA(VLOOKUP(A97,'Données projet'!$A$139:$I$159,6,0)),0%,VLOOKUP(A97,'Données projet'!$A$139:$I$159,6,0)*VLOOKUP('Données projet'!$B$13,Paramètres!$A$1:$I$89,7,0))</f>
        <v>0</v>
      </c>
      <c r="DE97" s="122" t="n">
        <f aca="false">IF(ISNA(VLOOKUP(A97,'Données projet'!$A$139:$I$159,7,0)),0%,VLOOKUP(A97,'Données projet'!$A$139:$I$159,7,0))</f>
        <v>0</v>
      </c>
      <c r="DF97" s="129" t="n">
        <f aca="false">EXP(-LN(2)/35)*DF96+(1-EXP(-LN(2)/35))/(LN(2)/35)*DB97*DC97*VLOOKUP('Données projet'!$B$13,Paramètres!$A$1:$I$89,3,0)*0.475*44/12</f>
        <v>1.8597774958903</v>
      </c>
      <c r="DG97" s="129" t="n">
        <f aca="false">EXP(-LN(2)/25)*DG96+(1-EXP(-LN(2)/25))/(LN(2)/25)*Calculateur!DB97*Calculateur!DD97*VLOOKUP('Données projet'!$B$13,Paramètres!$A$1:$I$89,3,0)*0.475*44/12</f>
        <v>6.59982131960122</v>
      </c>
      <c r="DH97" s="129" t="n">
        <f aca="false">EXP(-LN(2)/2)*DH96+(1-EXP(-LN(2)/2))/(LN(2)/2)*DB97*DE97*VLOOKUP('Données projet'!$B$13,Paramètres!$A$1:$I$89,3,0)*0.475*44/12</f>
        <v>3.09060616369844E-009</v>
      </c>
      <c r="DI97" s="130" t="n">
        <f aca="false">SUM(DF97:DH97)</f>
        <v>8.45959881858212</v>
      </c>
      <c r="DJ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8" t="e">
        <f aca="false">VLOOKUP(A97,'Données projet'!$A$165:$I$185,2,0)</f>
        <v>#N/A</v>
      </c>
      <c r="DM97" s="118" t="e">
        <f aca="false">VLOOKUP(A97,'Données projet'!$A$165:$I$185,9,0)</f>
        <v>#N/A</v>
      </c>
      <c r="DN97" s="118" t="e">
        <f aca="false" t="array" ref="DN97:DN97">INDEX(DM:DM,MIN(IF(ISNUMBER(DM97:DM293),ROW(DM97:DM293),"")))</f>
        <v>#N/A</v>
      </c>
      <c r="DO97" s="118" t="n">
        <f aca="false">IF('Données projet'!$A$166&gt;35,DO96+DN97-DW96,IF(A97&lt;'Données projet'!$A$166,$DL$205^A97,IF(A97='Données projet'!$A$166,'Données projet'!$B$166,DO96+DN97-DW96)))</f>
        <v>0</v>
      </c>
      <c r="DP97" s="125" t="n">
        <f aca="false">DO97*VLOOKUP('Données projet'!$B$14,Paramètres!$A$1:$I$89,3,0)*VLOOKUP('Données projet'!$B$14,Paramètres!$A$1:$I$89,5,0)</f>
        <v>0</v>
      </c>
      <c r="DQ97" s="117" t="e">
        <f aca="false">EXP(-1.0587+0.8836*LN(DP97)+0.284)</f>
        <v>#VALUE!</v>
      </c>
      <c r="DR97" s="128" t="e">
        <f aca="false">(DP97+DQ97)*0.475*44/12</f>
        <v>#VALUE!</v>
      </c>
      <c r="DS97" s="120" t="e">
        <f aca="false">DR97+(DJ97+DK97)*44/12</f>
        <v>#VALUE!</v>
      </c>
      <c r="DT97" s="120" t="n">
        <f aca="true">AVERAGE(OFFSET($DS$3,0,0,'Données projet'!$E$14+1,1))-AVERAGE(OFFSET($H$3,0,0,'Données projet'!$E$14+1,1))</f>
        <v>549.432320957297</v>
      </c>
      <c r="DU97" s="120" t="n">
        <f aca="false">$DU$3</f>
        <v>280.26155987301</v>
      </c>
      <c r="DV97" s="121" t="n">
        <f aca="false">IF(ISNA(VLOOKUP(A97,'Données projet'!$A$165:$I$185,3,0)),0,VLOOKUP(A97,'Données projet'!$A$165:$I$185,3,0))</f>
        <v>0</v>
      </c>
      <c r="DW97" s="121" t="n">
        <f aca="false">IF(ISNA(VLOOKUP(A97,'Données projet'!$A$165:$I$185,4,0)),0,VLOOKUP(A97,'Données projet'!$A$165:$I$185,4,0))</f>
        <v>0</v>
      </c>
      <c r="DX97" s="122" t="n">
        <f aca="false">IF(ISNA(VLOOKUP(A97,'Données projet'!$A$165:$I$185,5,0)),0%,VLOOKUP(A97,'Données projet'!$A$165:$I$185,5,0)*VLOOKUP('Données projet'!$B$14,Paramètres!$A$1:$I$89,7,0))</f>
        <v>0</v>
      </c>
      <c r="DY97" s="122" t="n">
        <f aca="false">IF(ISNA(VLOOKUP(A97,'Données projet'!$A$165:$I$185,6,0)),0%,VLOOKUP(A97,'Données projet'!$A$165:$I$185,6,0)*VLOOKUP('Données projet'!$B$14,Paramètres!$A$1:$I$89,7,0))</f>
        <v>0</v>
      </c>
      <c r="DZ97" s="122" t="n">
        <f aca="false">IF(ISNA(VLOOKUP(A97,'Données projet'!$A$165:$I$185,7,0)),0%,VLOOKUP(A97,'Données projet'!$A$165:$I$185,7,0))</f>
        <v>0</v>
      </c>
      <c r="EA97" s="129" t="n">
        <f aca="false">EXP(-LN(2)/35)*EA96+(1-EXP(-LN(2)/35))/(LN(2)/35)*DW97*DX97*VLOOKUP('Données projet'!$B$14,Paramètres!$A$1:$I$89,3,0)*0.475*44/12</f>
        <v>0.676213023772313</v>
      </c>
      <c r="EB97" s="129" t="n">
        <f aca="false">EXP(-LN(2)/25)*EB96+(1-EXP(-LN(2)/25))/(LN(2)/25)*Calculateur!DW97*Calculateur!DY97*VLOOKUP('Données projet'!$B$14,Paramètres!$A$1:$I$89,3,0)*0.475*44/12</f>
        <v>1.31481461905055</v>
      </c>
      <c r="EC97" s="129" t="n">
        <f aca="false">EXP(-LN(2)/2)*EC96+(1-EXP(-LN(2)/2))/(LN(2)/2)*DW97*DZ97*VLOOKUP('Données projet'!$B$14,Paramètres!$A$1:$I$89,3,0)*0.475*44/12</f>
        <v>1.42470573414105E-009</v>
      </c>
      <c r="ED97" s="130" t="n">
        <f aca="false">SUM(EA97:EC97)</f>
        <v>1.99102764424757</v>
      </c>
      <c r="EE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8" t="e">
        <f aca="false">VLOOKUP(A97,'Données projet'!$A$191:$I$211,2,0)</f>
        <v>#N/A</v>
      </c>
      <c r="EH97" s="118" t="e">
        <f aca="false">VLOOKUP(A97,'Données projet'!$A$191:$I$211,9,0)</f>
        <v>#N/A</v>
      </c>
      <c r="EI97" s="118" t="e">
        <f aca="false" t="array" ref="EI97:EI97">INDEX(EH:EH,MIN(IF(ISNUMBER(EH97:EH293),ROW(EH97:EH293),"")))</f>
        <v>#N/A</v>
      </c>
      <c r="EJ97" s="118" t="n">
        <f aca="false">IF('Données projet'!$A$192&gt;35,EJ96+EI97-ER96,IF(A97&lt;'Données projet'!$A$192,$EG$205^A97,IF(A97='Données projet'!$A$192,'Données projet'!$B$192,EJ96+EI97-ER96)))</f>
        <v>0</v>
      </c>
      <c r="EK97" s="125" t="e">
        <f aca="false">EJ97*VLOOKUP('Données projet'!$B$15,Paramètres!$A$1:$I$89,3,0)*VLOOKUP('Données projet'!$B$15,Paramètres!$A$1:$I$89,5,0)</f>
        <v>#N/A</v>
      </c>
      <c r="EL97" s="117" t="e">
        <f aca="false">EXP(-1.0587+0.8836*LN(EK97)+0.284)</f>
        <v>#N/A</v>
      </c>
      <c r="EM97" s="128" t="e">
        <f aca="false">(EK97+EL97)*0.475*44/12</f>
        <v>#N/A</v>
      </c>
      <c r="EN97" s="120" t="e">
        <f aca="false">EM97+(EE97+EF97)*44/12</f>
        <v>#N/A</v>
      </c>
      <c r="EO97" s="120" t="e">
        <f aca="true">AVERAGE(OFFSET($EN$3,0,0,'Données projet'!$E$15+1,1))-AVERAGE(OFFSET($H$3,0,0,'Données projet'!$E$15+1,1))</f>
        <v>#N/A</v>
      </c>
      <c r="EP97" s="120" t="e">
        <f aca="false">$EP$3</f>
        <v>#N/A</v>
      </c>
      <c r="EQ97" s="121" t="n">
        <f aca="false">IF(ISNA(VLOOKUP(A97,'Données projet'!$A$191:$I$211,3,0)),0,VLOOKUP(A97,'Données projet'!$A$191:$I$211,3,0))</f>
        <v>0</v>
      </c>
      <c r="ER97" s="121" t="n">
        <f aca="false">IF(ISNA(VLOOKUP(A97,'Données projet'!$A$191:$I$211,4,0)),0,VLOOKUP(A97,'Données projet'!$A$191:$I$211,4,0))</f>
        <v>0</v>
      </c>
      <c r="ES97" s="122" t="n">
        <f aca="false">IF(ISNA(VLOOKUP(A97,'Données projet'!$A$191:$I$211,5,0)),0%,VLOOKUP(A97,'Données projet'!$A$191:$I$211,5,0)*VLOOKUP('Données projet'!$B$15,Paramètres!$A$1:$I$89,7,0))</f>
        <v>0</v>
      </c>
      <c r="ET97" s="122" t="n">
        <f aca="false">IF(ISNA(VLOOKUP(A97,'Données projet'!$A$191:$I$211,6,0)),0%,VLOOKUP(A97,'Données projet'!$A$191:$I$211,6,0)*VLOOKUP('Données projet'!$B$15,Paramètres!$A$1:$I$89,7,0))</f>
        <v>0</v>
      </c>
      <c r="EU97" s="122" t="n">
        <f aca="false">IF(ISNA(VLOOKUP(A97,'Données projet'!$A$191:$I$211,7,0)),0%,VLOOKUP(A97,'Données projet'!$A$191:$I$211,7,0))</f>
        <v>0</v>
      </c>
      <c r="EV97" s="129" t="e">
        <f aca="false">EXP(-LN(2)/35)*EV96+(1-EXP(-LN(2)/35))/(LN(2)/35)*ER97*ES97*VLOOKUP('Données projet'!$B$15,Paramètres!$A$1:$I$89,3,0)*0.475*44/12</f>
        <v>#N/A</v>
      </c>
      <c r="EW97" s="129" t="e">
        <f aca="false">EXP(-LN(2)/25)*EW96+(1-EXP(-LN(2)/25))/(LN(2)/25)*Calculateur!ER97*Calculateur!ET97*VLOOKUP('Données projet'!$B$15,Paramètres!$A$1:$I$89,3,0)*0.475*44/12</f>
        <v>#N/A</v>
      </c>
      <c r="EX97" s="129" t="e">
        <f aca="false">EXP(-LN(2)/2)*EX96+(1-EXP(-LN(2)/2))/(LN(2)/2)*ER97*EU97*VLOOKUP('Données projet'!$B$15,Paramètres!$A$1:$I$89,3,0)*0.475*44/12</f>
        <v>#N/A</v>
      </c>
      <c r="EY97" s="130" t="e">
        <f aca="false">SUM(EV97:EX97)</f>
        <v>#N/A</v>
      </c>
      <c r="EZ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8" t="e">
        <f aca="false">VLOOKUP(A97,'Données projet'!$A$217:$I$237,2,0)</f>
        <v>#N/A</v>
      </c>
      <c r="FC97" s="118" t="e">
        <f aca="false">VLOOKUP(A97,'Données projet'!$A$217:$I$237,9,0)</f>
        <v>#N/A</v>
      </c>
      <c r="FD97" s="118" t="e">
        <f aca="false" t="array" ref="FD97:FD97">INDEX(FC:FC,MIN(IF(ISNUMBER(FC97:FC293),ROW(FC97:FC293),"")))</f>
        <v>#N/A</v>
      </c>
      <c r="FE97" s="118" t="n">
        <f aca="false">IF('Données projet'!$A$218&gt;35,FE96+FD97-FM96,IF(A97&lt;'Données projet'!$A$218,$FB$205^A97,IF(A97='Données projet'!$A$218,'Données projet'!$B$218,FE96+FD97-FM96)))</f>
        <v>0</v>
      </c>
      <c r="FF97" s="125" t="e">
        <f aca="false">FE97*VLOOKUP('Données projet'!$B$16,Paramètres!$A$1:$I$89,3,0)*VLOOKUP('Données projet'!$B$16,Paramètres!$A$1:$I$89,5,0)</f>
        <v>#N/A</v>
      </c>
      <c r="FG97" s="117" t="e">
        <f aca="false">EXP(-1.0587+0.8836*LN(FF97)+0.284)</f>
        <v>#N/A</v>
      </c>
      <c r="FH97" s="128" t="e">
        <f aca="false">(FF97+FG97)*0.475*44/12</f>
        <v>#N/A</v>
      </c>
      <c r="FI97" s="120" t="e">
        <f aca="false">FH97+(EZ97+FA97)*44/12</f>
        <v>#N/A</v>
      </c>
      <c r="FJ97" s="120" t="e">
        <f aca="true">AVERAGE(OFFSET($FI$3,0,0,'Données projet'!$E$16+1,1))-AVERAGE(OFFSET($H$3,0,0,'Données projet'!$E$16+1,1))</f>
        <v>#N/A</v>
      </c>
      <c r="FK97" s="120" t="e">
        <f aca="false">$FK$3</f>
        <v>#N/A</v>
      </c>
      <c r="FL97" s="121" t="n">
        <f aca="false">IF(ISNA(VLOOKUP(A97,'Données projet'!$A$217:$I$237,3,0)),0,VLOOKUP(A97,'Données projet'!$A$217:$I$237,3,0))</f>
        <v>0</v>
      </c>
      <c r="FM97" s="121" t="n">
        <f aca="false">IF(ISNA(VLOOKUP(A97,'Données projet'!$A$217:$I$237,4,0)),0,VLOOKUP(A97,'Données projet'!$A$217:$I$237,4,0))</f>
        <v>0</v>
      </c>
      <c r="FN97" s="122" t="n">
        <f aca="false">IF(ISNA(VLOOKUP(A97,'Données projet'!$A$217:$I$237,5,0)),0%,VLOOKUP(A97,'Données projet'!$A$217:$I$237,5,0)*VLOOKUP('Données projet'!$B$16,Paramètres!$A$1:$I$89,7,0))</f>
        <v>0</v>
      </c>
      <c r="FO97" s="122" t="n">
        <f aca="false">IF(ISNA(VLOOKUP(A97,'Données projet'!$A$217:$I$237,6,0)),0%,VLOOKUP(A97,'Données projet'!$A$217:$I$237,6,0)*VLOOKUP('Données projet'!$B$16,Paramètres!$A$1:$I$89,7,0))</f>
        <v>0</v>
      </c>
      <c r="FP97" s="122" t="n">
        <f aca="false">IF(ISNA(VLOOKUP(A97,'Données projet'!$A$217:$I$237,7,0)),0%,VLOOKUP(A97,'Données projet'!$A$217:$I$237,7,0))</f>
        <v>0</v>
      </c>
      <c r="FQ97" s="129" t="e">
        <f aca="false">EXP(-LN(2)/35)*FQ96+(1-EXP(-LN(2)/35))/(LN(2)/35)*FM97*FN97*VLOOKUP('Données projet'!$B$16,Paramètres!$A$1:$I$89,3,0)*0.475*44/12</f>
        <v>#N/A</v>
      </c>
      <c r="FR97" s="129" t="e">
        <f aca="false">EXP(-LN(2)/25)*FR96+(1-EXP(-LN(2)/25))/(LN(2)/25)*Calculateur!FM97*Calculateur!FO97*VLOOKUP('Données projet'!$B$16,Paramètres!$A$1:$I$89,3,0)*0.475*44/12</f>
        <v>#N/A</v>
      </c>
      <c r="FS97" s="129" t="e">
        <f aca="false">EXP(-LN(2)/2)*FS96+(1-EXP(-LN(2)/2))/(LN(2)/2)*FM97*FP97*VLOOKUP('Données projet'!$B$16,Paramètres!$A$1:$I$89,3,0)*0.475*44/12</f>
        <v>#N/A</v>
      </c>
      <c r="FT97" s="130" t="e">
        <f aca="false">SUM(FQ97:FS97)</f>
        <v>#N/A</v>
      </c>
      <c r="FU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8" t="e">
        <f aca="false">VLOOKUP(A97,'Données projet'!$A$243:$I$263,2,0)</f>
        <v>#N/A</v>
      </c>
      <c r="FX97" s="118" t="e">
        <f aca="false">VLOOKUP(A97,'Données projet'!$A$243:$I$263,9,0)</f>
        <v>#N/A</v>
      </c>
      <c r="FY97" s="118" t="e">
        <f aca="false" t="array" ref="FY97:FY97">INDEX(FX:FX,MIN(IF(ISNUMBER(FX97:FX293),ROW(FX97:FX293),"")))</f>
        <v>#N/A</v>
      </c>
      <c r="FZ97" s="118" t="n">
        <f aca="false">IF('Données projet'!$A$244&gt;35,FZ96+FY97-GH96,IF(A97&lt;'Données projet'!$A$244,$FW$205^A97,IF(A97='Données projet'!$A$244,'Données projet'!$B$244,FZ96+FY97-GH96)))</f>
        <v>0</v>
      </c>
      <c r="GA97" s="125" t="e">
        <f aca="false">FZ97*VLOOKUP('Données projet'!$B$17,Paramètres!$A$1:$I$89,3,0)*VLOOKUP('Données projet'!$B$17,Paramètres!$A$1:$I$89,5,0)</f>
        <v>#N/A</v>
      </c>
      <c r="GB97" s="117" t="e">
        <f aca="false">EXP(-1.0587+0.8836*LN(GA97)+0.284)</f>
        <v>#N/A</v>
      </c>
      <c r="GC97" s="128" t="e">
        <f aca="false">(GA97+GB97)*0.475*44/12</f>
        <v>#N/A</v>
      </c>
      <c r="GD97" s="120" t="e">
        <f aca="false">GC97+(FU97+FV97)*44/12</f>
        <v>#N/A</v>
      </c>
      <c r="GE97" s="120" t="e">
        <f aca="true">AVERAGE(OFFSET($GD$3,0,0,'Données projet'!$E$17+1,1))-AVERAGE(OFFSET($H$3,0,0,'Données projet'!$E$17+1,1))</f>
        <v>#N/A</v>
      </c>
      <c r="GF97" s="120" t="e">
        <f aca="false">$GF$3</f>
        <v>#N/A</v>
      </c>
      <c r="GG97" s="121" t="n">
        <f aca="false">IF(ISNA(VLOOKUP(A97,'Données projet'!$A$243:$I$263,3,0)),0,VLOOKUP(A97,'Données projet'!$A$243:$I$263,3,0))</f>
        <v>0</v>
      </c>
      <c r="GH97" s="121" t="n">
        <f aca="false">IF(ISNA(VLOOKUP(A97,'Données projet'!$A$243:$I$263,4,0)),0,VLOOKUP(A97,'Données projet'!$A$243:$I$263,4,0))</f>
        <v>0</v>
      </c>
      <c r="GI97" s="122" t="n">
        <f aca="false">IF(ISNA(VLOOKUP(A97,'Données projet'!$A$243:$I$263,5,0)),0%,VLOOKUP(A97,'Données projet'!$A$243:$I$263,5,0)*VLOOKUP('Données projet'!$B$17,Paramètres!$A$1:$I$89,7,0))</f>
        <v>0</v>
      </c>
      <c r="GJ97" s="122" t="n">
        <f aca="false">IF(ISNA(VLOOKUP(A97,'Données projet'!$A$243:$I$263,6,0)),0%,VLOOKUP(A97,'Données projet'!$A$243:$I$263,6,0)*VLOOKUP('Données projet'!$B$17,Paramètres!$A$1:$I$89,7,0))</f>
        <v>0</v>
      </c>
      <c r="GK97" s="122" t="n">
        <f aca="false">IF(ISNA(VLOOKUP(A97,'Données projet'!$A$243:$I$263,7,0)),0%,VLOOKUP(A97,'Données projet'!$A$243:$I$263,7,0))</f>
        <v>0</v>
      </c>
      <c r="GL97" s="129" t="e">
        <f aca="false">EXP(-LN(2)/35)*GL96+(1-EXP(-LN(2)/35))/(LN(2)/35)*GH97*GI97*VLOOKUP('Données projet'!$B$17,Paramètres!$A$1:$I$89,3,0)*0.475*44/12</f>
        <v>#N/A</v>
      </c>
      <c r="GM97" s="129" t="e">
        <f aca="false">EXP(-LN(2)/25)*GM96+(1-EXP(-LN(2)/25))/(LN(2)/25)*Calculateur!GH97*Calculateur!GJ97*VLOOKUP('Données projet'!$B$17,Paramètres!$A$1:$I$89,3,0)*0.475*44/12</f>
        <v>#N/A</v>
      </c>
      <c r="GN97" s="129" t="e">
        <f aca="false">EXP(-LN(2)/2)*GN96+(1-EXP(-LN(2)/2))/(LN(2)/2)*GH97*GK97*VLOOKUP('Données projet'!$B$17,Paramètres!$A$1:$I$89,3,0)*0.475*44/12</f>
        <v>#N/A</v>
      </c>
      <c r="GO97" s="129" t="e">
        <f aca="false">SUM(GL97:GN97)</f>
        <v>#N/A</v>
      </c>
      <c r="GP97" s="126" t="n">
        <f aca="false"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8" t="n">
        <f aca="false"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8" t="e">
        <f aca="false">VLOOKUP(A97,'Données projet'!$A$269:$I$289,2,0)</f>
        <v>#N/A</v>
      </c>
      <c r="GS97" s="118" t="e">
        <f aca="false">VLOOKUP(A97,'Données projet'!$A$269:$I$289,9,0)</f>
        <v>#N/A</v>
      </c>
      <c r="GT97" s="118" t="e">
        <f aca="false" t="array" ref="GT97:GT97">INDEX(GS:GS,MIN(IF(ISNUMBER(GS97:GS293),ROW(GS97:GS293),"")))</f>
        <v>#N/A</v>
      </c>
      <c r="GU97" s="118" t="n">
        <f aca="false">IF('Données projet'!$A$270&gt;35,GU96+GT97-HC96,IF(A97&lt;'Données projet'!$A$270,$GR$205^A97,IF(A97='Données projet'!$A$270,'Données projet'!$B$270,GU96+GT97-HC96)))</f>
        <v>0</v>
      </c>
      <c r="GV97" s="125" t="e">
        <f aca="false">GU97*VLOOKUP('Données projet'!$B$18,Paramètres!$A$1:$I$89,3,0)*VLOOKUP('Données projet'!$B$18,Paramètres!$A$1:$I$89,5,0)</f>
        <v>#N/A</v>
      </c>
      <c r="GW97" s="117" t="e">
        <f aca="false">EXP(-1.0587+0.8836*LN(GV97)+0.284)</f>
        <v>#N/A</v>
      </c>
      <c r="GX97" s="128" t="e">
        <f aca="false">(GV97+GW97)*0.475*44/12</f>
        <v>#N/A</v>
      </c>
      <c r="GY97" s="120" t="e">
        <f aca="false">GX97+(GP97+GQ97)*44/12</f>
        <v>#N/A</v>
      </c>
      <c r="GZ97" s="120" t="e">
        <f aca="true">AVERAGE(OFFSET($GY$3,0,0,'Données projet'!$E$18+1,1))-AVERAGE(OFFSET($H$3,0,0,'Données projet'!$E$18+1,1))</f>
        <v>#N/A</v>
      </c>
      <c r="HA97" s="120" t="e">
        <f aca="false">$HA$3</f>
        <v>#N/A</v>
      </c>
      <c r="HB97" s="121" t="n">
        <f aca="false">IF(ISNA(VLOOKUP(A97,'Données projet'!$A$269:$I$289,3,0)),0,VLOOKUP(A97,'Données projet'!$A$269:$I$289,3,0))</f>
        <v>0</v>
      </c>
      <c r="HC97" s="121" t="n">
        <f aca="false">IF(ISNA(VLOOKUP(A97,'Données projet'!$A$269:$I$289,4,0)),0,VLOOKUP(A97,'Données projet'!$A$269:$I$289,4,0))</f>
        <v>0</v>
      </c>
      <c r="HD97" s="122" t="n">
        <f aca="false">IF(ISNA(VLOOKUP(A97,'Données projet'!$A$269:$I$289,5,0)),0%,VLOOKUP(A97,'Données projet'!$A$269:$I$289,5,0)*VLOOKUP('Données projet'!$B$18,Paramètres!$A$1:$I$89,7,0))</f>
        <v>0</v>
      </c>
      <c r="HE97" s="122" t="n">
        <f aca="false">IF(ISNA(VLOOKUP(A97,'Données projet'!$A$269:$I$289,6,0)),0%,VLOOKUP(A97,'Données projet'!$A$269:$I$289,6,0)*VLOOKUP('Données projet'!$B$18,Paramètres!$A$1:$I$89,7,0))</f>
        <v>0</v>
      </c>
      <c r="HF97" s="122" t="n">
        <f aca="false">IF(ISNA(VLOOKUP(A97,'Données projet'!$A$269:$I$289,7,0)),0%,VLOOKUP(A97,'Données projet'!$A$269:$I$289,7,0))</f>
        <v>0</v>
      </c>
      <c r="HG97" s="129" t="e">
        <f aca="false">EXP(-LN(2)/35)*HG96+(1-EXP(-LN(2)/35))/(LN(2)/35)*HC97*HD97*VLOOKUP('Données projet'!$B$18,Paramètres!$A$1:$I$89,3,0)*0.475*44/12</f>
        <v>#N/A</v>
      </c>
      <c r="HH97" s="129" t="e">
        <f aca="false">EXP(-LN(2)/25)*HH96+(1-EXP(-LN(2)/25))/(LN(2)/25)*Calculateur!HC97*Calculateur!HE97*VLOOKUP('Données projet'!$B$18,Paramètres!$A$1:$I$89,3,0)*0.475*44/12</f>
        <v>#N/A</v>
      </c>
      <c r="HI97" s="129" t="e">
        <f aca="false">EXP(-LN(2)/2)*HI96+(1-EXP(-LN(2)/2))/(LN(2)/2)*HC97*HF97*VLOOKUP('Données projet'!$B$18,Paramètres!$A$1:$I$89,3,0)*0.475*44/12</f>
        <v>#N/A</v>
      </c>
      <c r="HJ97" s="130" t="e">
        <f aca="false">SUM(HG97:HI97)</f>
        <v>#N/A</v>
      </c>
    </row>
    <row r="98" customFormat="false" ht="14.25" hidden="false" customHeight="false" outlineLevel="0" collapsed="false">
      <c r="A98" s="112" t="n">
        <f aca="false">A97+1</f>
        <v>95</v>
      </c>
      <c r="B98" s="113" t="n">
        <f aca="false">'Scénario référence'!$B$16*5+'Scénario référence'!$B$17*0+'Scénario référence'!$B$18*5</f>
        <v>0</v>
      </c>
      <c r="C98" s="127" t="n">
        <f aca="false"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4" t="n">
        <f aca="false">IFERROR(EXP(-1.0587+0.8836*LN(C98)+0.284),0)</f>
        <v>0</v>
      </c>
      <c r="E9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8" s="114" t="n">
        <f aca="false">IF(OR('Scénario référence'!$F$8&gt;0,'Scénario référence'!$F$9&gt;0),('Scénario référence'!$F$8+'Scénario référence'!$F$9)*10,0)</f>
        <v>0</v>
      </c>
      <c r="G98" s="114" t="n">
        <f aca="false"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15" t="n">
        <f aca="false">(B98+E98+F98)*44/12+(C98+D98)*0.475*44/12</f>
        <v>256.666666666667</v>
      </c>
      <c r="I98" s="11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7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8" t="e">
        <f aca="false">VLOOKUP(A98,'Données projet'!$A$35:$I$55,2,0)</f>
        <v>#N/A</v>
      </c>
      <c r="L98" s="118" t="e">
        <f aca="false">VLOOKUP(A98,'Données projet'!$A$35:$I$55,9,0)</f>
        <v>#N/A</v>
      </c>
      <c r="M98" s="118" t="n">
        <f aca="false" t="array" ref="M98:M98">INDEX(L:L,MIN(IF(ISNUMBER(L98:L294),ROW(L98:L294),"")))</f>
        <v>18.5</v>
      </c>
      <c r="N98" s="117" t="n">
        <f aca="false">IF('Données projet'!$A$36&gt;35,N97+M98-V97,IF(A98&lt;'Données projet'!$A$36,$K$205^A98,IF(A98='Données projet'!$A$36,'Données projet'!$B$36,N97+M98-V97)))</f>
        <v>583</v>
      </c>
      <c r="O98" s="117" t="n">
        <f aca="false">N98*VLOOKUP('Données projet'!$B$9,Paramètres!$A$1:$I$89,3,0)*VLOOKUP('Données projet'!$B$9,Paramètres!$A$1:$I$89,5,0)</f>
        <v>272.844</v>
      </c>
      <c r="P98" s="117" t="n">
        <f aca="false">EXP(-1.0587+0.8836*LN(O98)+0.284)</f>
        <v>65.4524692962442</v>
      </c>
      <c r="Q98" s="128" t="n">
        <f aca="false">(O98+P98)*0.475*44/12</f>
        <v>589.199684024292</v>
      </c>
      <c r="R98" s="120" t="n">
        <f aca="false">Q98+(I98+J98)*44/12</f>
        <v>882.533017357625</v>
      </c>
      <c r="S98" s="120" t="n">
        <f aca="true">AVERAGE(OFFSET($R$3,0,0,'Données projet'!$E$9+1,1))-AVERAGE(OFFSET($H$3,0,0,'Données projet'!$E$9+1,1))</f>
        <v>319.229030946746</v>
      </c>
      <c r="T98" s="120" t="n">
        <f aca="false">$T$3</f>
        <v>254.586909731428</v>
      </c>
      <c r="U98" s="121" t="n">
        <f aca="false">IF(ISNA(VLOOKUP(A98,'Données projet'!$A$35:$I$55,3,0)),0,VLOOKUP(A98,'Données projet'!$A$35:$I$55,3,0))</f>
        <v>0</v>
      </c>
      <c r="V98" s="121" t="n">
        <f aca="false">IF(ISNA(VLOOKUP(A98,'Données projet'!$A$35:$I$55,4,0)),0,VLOOKUP(A98,'Données projet'!$A$35:$I$55,4,0))</f>
        <v>0</v>
      </c>
      <c r="W98" s="122" t="n">
        <f aca="false">IF(ISNA(VLOOKUP(A98,'Données projet'!$A$35:$I$55,5,0)),0%,VLOOKUP(A98,'Données projet'!$A$35:$I$55,5,0)*VLOOKUP('Données projet'!$B$9,Paramètres!$A$1:$I$89,7,0))</f>
        <v>0</v>
      </c>
      <c r="X98" s="122" t="n">
        <f aca="false">IF(ISNA(VLOOKUP(A98,'Données projet'!$A$35:$I$55,6,0)),0%,VLOOKUP(A98,'Données projet'!$A$35:$I$55,6,0)*VLOOKUP('Données projet'!$B$9,Paramètres!$A$1:$I$89,7,0))</f>
        <v>0</v>
      </c>
      <c r="Y98" s="122" t="n">
        <f aca="false">IF(ISNA(VLOOKUP(A98,'Données projet'!$A$35:$I$55,7,0)),0%,VLOOKUP(A98,'Données projet'!$A$35:$I$55,7,0))</f>
        <v>0</v>
      </c>
      <c r="Z98" s="129" t="n">
        <f aca="false">EXP(-LN(2)/35)*Z97+(1-EXP(-LN(2)/35))/(LN(2)/35)*V98*W98*VLOOKUP('Données projet'!$B$9,Paramètres!$A$1:$I$89,3,0)*0.475*44/12</f>
        <v>2.50522523952565</v>
      </c>
      <c r="AA98" s="129" t="n">
        <f aca="false">EXP(-LN(2)/25)*AA97+(1-EXP(-LN(2)/25))/(LN(2)/25)*Calculateur!V98*Calculateur!X98*VLOOKUP('Données projet'!$B$9,Paramètres!$A$1:$I$89,3,0)*0.475*44/12</f>
        <v>1.83928190518551</v>
      </c>
      <c r="AB98" s="129" t="n">
        <f aca="false">EXP(-LN(2)/2)*AB97+(1-EXP(-LN(2)/2))/(LN(2)/2)*V98*Y98*VLOOKUP('Données projet'!$B$9,Paramètres!$A$1:$I$89,3,0)*0.475*44/12</f>
        <v>1.8180979297971E-009</v>
      </c>
      <c r="AC98" s="130" t="n">
        <f aca="false">SUM(Z98:AB98)</f>
        <v>4.34450714652926</v>
      </c>
      <c r="AD98" s="117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7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8" t="e">
        <f aca="false">VLOOKUP(A98,'Données projet'!$A$61:$I$81,2,0)</f>
        <v>#N/A</v>
      </c>
      <c r="AG98" s="118" t="e">
        <f aca="false">VLOOKUP(A98,'Données projet'!$A$61:$I$81,9,0)</f>
        <v>#N/A</v>
      </c>
      <c r="AH98" s="118" t="e">
        <f aca="false" t="array" ref="AH98:AH98">INDEX(AG:AG,MIN(IF(ISNUMBER(AG98:AG294),ROW(AG98:AG294),"")))</f>
        <v>#N/A</v>
      </c>
      <c r="AI98" s="117" t="n">
        <f aca="false">IF('Données projet'!$A$62&gt;35,AI97+AH98-AQ97,IF(A98&lt;'Données projet'!$A$62,$AF$205^A98,IF(A98='Données projet'!$A$62,'Données projet'!$B$62,AI97+AH98-AQ97)))</f>
        <v>1.13686837721616E-013</v>
      </c>
      <c r="AJ98" s="117" t="n">
        <f aca="false">AI98*VLOOKUP('Données projet'!$B$10,Paramètres!$A$1:$I$89,3,0)*VLOOKUP('Données projet'!$B$10,Paramètres!$A$1:$I$89,5,0)</f>
        <v>6.35509422863834E-014</v>
      </c>
      <c r="AK98" s="117" t="n">
        <f aca="false">EXP(-1.0587+0.8836*LN(AJ98)+0.284)</f>
        <v>1.0064464192544E-012</v>
      </c>
      <c r="AL98" s="128" t="n">
        <f aca="false">(AJ98+AK98)*0.475*44/12</f>
        <v>1.86357873801686E-012</v>
      </c>
      <c r="AM98" s="120" t="n">
        <f aca="false">AL98+(AD98+AE98)*44/12</f>
        <v>293.333333333335</v>
      </c>
      <c r="AN98" s="120" t="n">
        <f aca="true">AVERAGE(OFFSET($AM$3,0,0,'Données projet'!$E$10+1,1))-AVERAGE(OFFSET($H$3,0,0,'Données projet'!$E$10+1,1))</f>
        <v>365.705101827279</v>
      </c>
      <c r="AO98" s="120" t="n">
        <f aca="false">$AO$3</f>
        <v>436.238338449625</v>
      </c>
      <c r="AP98" s="121" t="n">
        <f aca="false">IF(ISNA(VLOOKUP(A98,'Données projet'!$A$61:$I$81,3,0)),0,VLOOKUP(A98,'Données projet'!$A$61:$I$81,3,0))</f>
        <v>0</v>
      </c>
      <c r="AQ98" s="121" t="n">
        <f aca="false">IF(ISNA(VLOOKUP(A98,'Données projet'!$A$61:$I$81,4,0)),0,VLOOKUP(A98,'Données projet'!$A$61:$I$81,4,0))</f>
        <v>0</v>
      </c>
      <c r="AR98" s="122" t="n">
        <f aca="false">IF(ISNA(VLOOKUP(A98,'Données projet'!$A$61:$I$81,5,0)),0%,VLOOKUP(A98,'Données projet'!$A$61:$I$81,5,0)*VLOOKUP('Données projet'!$B$10,Paramètres!$A$1:$I$89,7,0))</f>
        <v>0</v>
      </c>
      <c r="AS98" s="122" t="n">
        <f aca="false">IF(ISNA(VLOOKUP(A98,'Données projet'!$A$61:$I$81,6,0)),0%,VLOOKUP(A98,'Données projet'!$A$61:$I$81,6,0)*VLOOKUP('Données projet'!$B$10,Paramètres!$A$1:$I$89,7,0))</f>
        <v>0</v>
      </c>
      <c r="AT98" s="122" t="n">
        <f aca="false">IF(ISNA(VLOOKUP(A98,'Données projet'!$A$61:$I$81,7,0)),0%,VLOOKUP(A98,'Données projet'!$A$61:$I$81,7,0))</f>
        <v>0</v>
      </c>
      <c r="AU98" s="129" t="n">
        <f aca="false">EXP(-LN(2)/35)*AU97+(1-EXP(-LN(2)/35))/(LN(2)/35)*AQ98*AR98*VLOOKUP('Données projet'!$B$10,Paramètres!$A$1:$I$89,3,0)*0.475*44/12</f>
        <v>0.945641304987145</v>
      </c>
      <c r="AV98" s="129" t="n">
        <f aca="false">EXP(-LN(2)/25)*AV97+(1-EXP(-LN(2)/25))/(LN(2)/25)*Calculateur!AQ98*Calculateur!AS98*VLOOKUP('Données projet'!$B$10,Paramètres!$A$1:$I$89,3,0)*0.475*44/12</f>
        <v>2.17852996694601</v>
      </c>
      <c r="AW98" s="129" t="n">
        <f aca="false">EXP(-LN(2)/2)*AW97+(1-EXP(-LN(2)/2))/(LN(2)/2)*AQ98*AT98*VLOOKUP('Données projet'!$B$10,Paramètres!$A$1:$I$89,3,0)*0.475*44/12</f>
        <v>9.78443481606714E-010</v>
      </c>
      <c r="AX98" s="129" t="n">
        <f aca="false">SUM(AU98:AW98)</f>
        <v>3.1241712729116</v>
      </c>
      <c r="AY98" s="124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8" t="e">
        <f aca="false">VLOOKUP(A98,'Données projet'!$A$87:$I$107,2,0)</f>
        <v>#N/A</v>
      </c>
      <c r="BB98" s="118" t="e">
        <f aca="false">VLOOKUP(A98,'Données projet'!$A$87:$I$107,9,0)</f>
        <v>#N/A</v>
      </c>
      <c r="BC98" s="118" t="e">
        <f aca="false" t="array" ref="BC98:BC98">INDEX(BB:BB,MIN(IF(ISNUMBER(BB98:BB294),ROW(BB98:BB294),"")))</f>
        <v>#N/A</v>
      </c>
      <c r="BD98" s="118" t="n">
        <f aca="false">IF('Données projet'!$A$88&gt;35,BD97+BC98-BL97,IF(A98&lt;'Données projet'!$A$88,$BA$205^A98,IF(A98='Données projet'!$A$88,'Données projet'!$B$88,BD97+BC98-BL97)))</f>
        <v>1.98951966012828E-013</v>
      </c>
      <c r="BE98" s="117" t="n">
        <f aca="false">BD98*VLOOKUP('Données projet'!$B$11,Paramètres!$A$1:$I$89,3,0)*VLOOKUP('Données projet'!$B$11,Paramètres!$A$1:$I$89,5,0)</f>
        <v>1.73804437508807E-013</v>
      </c>
      <c r="BF98" s="117" t="n">
        <f aca="false">EXP(-1.0587+0.8836*LN(BE98)+0.284)</f>
        <v>2.44832936339505E-012</v>
      </c>
      <c r="BG98" s="128" t="n">
        <f aca="false">(BE98+BF98)*0.475*44/12</f>
        <v>4.56688303657421E-012</v>
      </c>
      <c r="BH98" s="120" t="n">
        <f aca="false">BG98+(AY98+AZ98)*44/12</f>
        <v>293.333333333338</v>
      </c>
      <c r="BI98" s="120" t="n">
        <f aca="true">AVERAGE(OFFSET($BH$3,0,0,'Données projet'!$E$11+1,1))-AVERAGE(OFFSET($H$3,0,0,'Données projet'!$E$11+1,1))</f>
        <v>321.235999689929</v>
      </c>
      <c r="BJ98" s="120" t="n">
        <f aca="false">$BJ$3</f>
        <v>388.051958478005</v>
      </c>
      <c r="BK98" s="121" t="n">
        <f aca="false">IF(ISNA(VLOOKUP(A98,'Données projet'!$A$87:$I$107,3,0)),0,VLOOKUP(A98,'Données projet'!$A$87:$I$107,3,0))</f>
        <v>0</v>
      </c>
      <c r="BL98" s="121" t="n">
        <f aca="false">IF(ISNA(VLOOKUP(A98,'Données projet'!$A$87:$I$107,4,0)),0,VLOOKUP(A98,'Données projet'!$A$87:$I$107,4,0))</f>
        <v>0</v>
      </c>
      <c r="BM98" s="122" t="n">
        <f aca="false">IF(ISNA(VLOOKUP(A98,'Données projet'!$A$87:$I$107,5,0)),0%,VLOOKUP(A98,'Données projet'!$A$87:$I$107,5,0)*VLOOKUP('Données projet'!$B$11,Paramètres!$A$1:$I$89,7,0))</f>
        <v>0</v>
      </c>
      <c r="BN98" s="122" t="n">
        <f aca="false">IF(ISNA(VLOOKUP(A98,'Données projet'!$A$87:$I$107,6,0)),0%,VLOOKUP(A98,'Données projet'!$A$87:$I$107,6,0)*VLOOKUP('Données projet'!$B$11,Paramètres!$A$1:$I$89,7,0))</f>
        <v>0</v>
      </c>
      <c r="BO98" s="122" t="n">
        <f aca="false">IF(ISNA(VLOOKUP(A98,'Données projet'!$A$87:$I$107,7,0)),0%,VLOOKUP(A98,'Données projet'!$A$87:$I$107,7,0))</f>
        <v>0</v>
      </c>
      <c r="BP98" s="129" t="n">
        <f aca="false">EXP(-LN(2)/35)*BP97+(1-EXP(-LN(2)/35))/(LN(2)/35)*BL98*BM98*VLOOKUP('Données projet'!$B$11,Paramètres!$A$1:$I$89,3,0)*0.475*44/12</f>
        <v>2.37414725158734</v>
      </c>
      <c r="BQ98" s="129" t="n">
        <f aca="false">EXP(-LN(2)/25)*BQ97+(1-EXP(-LN(2)/25))/(LN(2)/25)*Calculateur!BL98*Calculateur!BN98*VLOOKUP('Données projet'!$B$11,Paramètres!$A$1:$I$89,3,0)*0.475*44/12</f>
        <v>2.22371399357867</v>
      </c>
      <c r="BR98" s="129" t="n">
        <f aca="false">EXP(-LN(2)/2)*BR97+(1-EXP(-LN(2)/2))/(LN(2)/2)*BL98*BO98*VLOOKUP('Données projet'!$B$11,Paramètres!$A$1:$I$89,3,0)*0.475*44/12</f>
        <v>9.94567461767355E-010</v>
      </c>
      <c r="BS98" s="130" t="n">
        <f aca="false">SUM(BP98:BR98)</f>
        <v>4.59786124616058</v>
      </c>
      <c r="BT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8" t="e">
        <f aca="false">VLOOKUP(A98,'Données projet'!$A$113:$I$133,2,0)</f>
        <v>#N/A</v>
      </c>
      <c r="BW98" s="118" t="e">
        <f aca="false">VLOOKUP(A98,'Données projet'!$A$113:$I$133,9,0)</f>
        <v>#N/A</v>
      </c>
      <c r="BX98" s="118" t="e">
        <f aca="false" t="array" ref="BX98:BX98">INDEX(BW:BW,MIN(IF(ISNUMBER(BW98:BW294),ROW(BW98:BW294),"")))</f>
        <v>#N/A</v>
      </c>
      <c r="BY98" s="118" t="n">
        <f aca="false">IF('Données projet'!$A$114&gt;35,BY97+BX98-CG97,IF(A98&lt;'Données projet'!$A$114,$BV$205^A98,IF(A98='Données projet'!$A$114,'Données projet'!$B$114,BY97+BX98-CG97)))</f>
        <v>0</v>
      </c>
      <c r="BZ98" s="117" t="n">
        <f aca="false">BY98*VLOOKUP('Données projet'!$B$12,Paramètres!$A$1:$I$89,3,0)*VLOOKUP('Données projet'!$B$12,Paramètres!$A$1:$I$89,5,0)</f>
        <v>0</v>
      </c>
      <c r="CA98" s="117" t="e">
        <f aca="false">EXP(-1.0587+0.8836*LN(BZ98)+0.284)</f>
        <v>#VALUE!</v>
      </c>
      <c r="CB98" s="128" t="e">
        <f aca="false">(BZ98+CA98)*0.475*44/12</f>
        <v>#VALUE!</v>
      </c>
      <c r="CC98" s="120" t="e">
        <f aca="false">CB98+(BT98+BU98)*44/12</f>
        <v>#VALUE!</v>
      </c>
      <c r="CD98" s="120" t="n">
        <f aca="true">AVERAGE(OFFSET($CC$3,0,0,'Données projet'!$E$12+1,1))-AVERAGE(OFFSET($H$3,0,0,'Données projet'!$E$12+1,1))</f>
        <v>240.228848647662</v>
      </c>
      <c r="CE98" s="120" t="n">
        <f aca="false">$CE$3</f>
        <v>343.237768841432</v>
      </c>
      <c r="CF98" s="121" t="n">
        <f aca="false">IF(ISNA(VLOOKUP(A98,'Données projet'!$A$113:$I$133,3,0)),0,VLOOKUP(A98,'Données projet'!$A$113:$I$133,3,0))</f>
        <v>0</v>
      </c>
      <c r="CG98" s="121" t="n">
        <f aca="false">IF(ISNA(VLOOKUP(A98,'Données projet'!$A$113:$I$133,4,0)),0,VLOOKUP(A98,'Données projet'!$A$113:$I$133,4,0))</f>
        <v>0</v>
      </c>
      <c r="CH98" s="122" t="n">
        <f aca="false">IF(ISNA(VLOOKUP(A98,'Données projet'!$A$113:$I$133,5,0)),0%,VLOOKUP(A98,'Données projet'!$A$113:$I$133,5,0)*VLOOKUP('Données projet'!$B$12,Paramètres!$A$1:$I$89,7,0))</f>
        <v>0</v>
      </c>
      <c r="CI98" s="122" t="n">
        <f aca="false">IF(ISNA(VLOOKUP(A98,'Données projet'!$A$113:$I$133,6,0)),0%,VLOOKUP(A98,'Données projet'!$A$113:$I$133,6,0)*VLOOKUP('Données projet'!$B$12,Paramètres!$A$1:$I$89,7,0))</f>
        <v>0</v>
      </c>
      <c r="CJ98" s="122" t="n">
        <f aca="false">IF(ISNA(VLOOKUP(A98,'Données projet'!$A$113:$I$133,7,0)),0%,VLOOKUP(A98,'Données projet'!$A$113:$I$133,7,0))</f>
        <v>0</v>
      </c>
      <c r="CK98" s="129" t="n">
        <f aca="false">EXP(-LN(2)/35)*CK97+(1-EXP(-LN(2)/35))/(LN(2)/35)*CG98*CH98*VLOOKUP('Données projet'!$B$12,Paramètres!$A$1:$I$89,3,0)*0.475*44/12</f>
        <v>1.45316308057221</v>
      </c>
      <c r="CL98" s="129" t="n">
        <f aca="false">EXP(-LN(2)/25)*CL97+(1-EXP(-LN(2)/25))/(LN(2)/25)*Calculateur!CG98*Calculateur!CI98*VLOOKUP('Données projet'!$B$12,Paramètres!$A$1:$I$89,3,0)*0.475*44/12</f>
        <v>3.92720764321103</v>
      </c>
      <c r="CM98" s="129" t="n">
        <f aca="false">EXP(-LN(2)/2)*CM97+(1-EXP(-LN(2)/2))/(LN(2)/2)*CG98*CJ98*VLOOKUP('Données projet'!$B$12,Paramètres!$A$1:$I$89,3,0)*0.475*44/12</f>
        <v>1.58706451744737E-009</v>
      </c>
      <c r="CN98" s="130" t="n">
        <f aca="false">SUM(CK98:CM98)</f>
        <v>5.38037072537031</v>
      </c>
      <c r="CO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8" t="e">
        <f aca="false">VLOOKUP(A98,'Données projet'!$A$139:$I$159,2,0)</f>
        <v>#N/A</v>
      </c>
      <c r="CR98" s="118" t="e">
        <f aca="false">VLOOKUP(A98,'Données projet'!$A$139:$I$159,9,0)</f>
        <v>#N/A</v>
      </c>
      <c r="CS98" s="118" t="e">
        <f aca="false" t="array" ref="CS98:CS98">INDEX(CR:CR,MIN(IF(ISNUMBER(CR98:CR294),ROW(CR98:CR294),"")))</f>
        <v>#N/A</v>
      </c>
      <c r="CT98" s="118" t="n">
        <f aca="false">IF('Données projet'!$A$140&gt;35,CT97+CS98-DB97,IF(A98&lt;'Données projet'!$A$140,$CQ$205^A98,IF(A98='Données projet'!$A$140,'Données projet'!$B$140,CT97+CS98-DB97)))</f>
        <v>-5.6843418860808E-014</v>
      </c>
      <c r="CU98" s="125" t="n">
        <f aca="false">CT98*VLOOKUP('Données projet'!$B$13,Paramètres!$A$1:$I$89,3,0)*VLOOKUP('Données projet'!$B$13,Paramètres!$A$1:$I$89,5,0)</f>
        <v>-3.10365066980012E-014</v>
      </c>
      <c r="CV98" s="117" t="e">
        <f aca="false">EXP(-1.0587+0.8836*LN(CU98)+0.284)</f>
        <v>#VALUE!</v>
      </c>
      <c r="CW98" s="128" t="e">
        <f aca="false">(CU98+CV98)*0.475*44/12</f>
        <v>#VALUE!</v>
      </c>
      <c r="CX98" s="120" t="e">
        <f aca="false">CW98+(CO98+CP98)*44/12</f>
        <v>#VALUE!</v>
      </c>
      <c r="CY98" s="120" t="n">
        <f aca="true">AVERAGE(OFFSET($CX$3,0,0,'Données projet'!$E$13+1,1))-AVERAGE(OFFSET($H$3,0,0,'Données projet'!$E$13+1,1))</f>
        <v>207.023069645676</v>
      </c>
      <c r="CZ98" s="120" t="n">
        <f aca="false">$CZ$3</f>
        <v>342.068879333518</v>
      </c>
      <c r="DA98" s="121" t="n">
        <f aca="false">IF(ISNA(VLOOKUP(A98,'Données projet'!$A$139:$I$159,3,0)),0,VLOOKUP(A98,'Données projet'!$A$139:$I$159,3,0))</f>
        <v>0</v>
      </c>
      <c r="DB98" s="121" t="n">
        <f aca="false">IF(ISNA(VLOOKUP(A98,'Données projet'!$A$139:$I$159,4,0)),0,VLOOKUP(A98,'Données projet'!$A$139:$I$159,4,0))</f>
        <v>0</v>
      </c>
      <c r="DC98" s="122" t="n">
        <f aca="false">IF(ISNA(VLOOKUP(A98,'Données projet'!$A$139:$I$159,5,0)),0%,VLOOKUP(A98,'Données projet'!$A$139:$I$159,5,0)*VLOOKUP('Données projet'!$B$13,Paramètres!$A$1:$I$89,7,0))</f>
        <v>0</v>
      </c>
      <c r="DD98" s="122" t="n">
        <f aca="false">IF(ISNA(VLOOKUP(A98,'Données projet'!$A$139:$I$159,6,0)),0%,VLOOKUP(A98,'Données projet'!$A$139:$I$159,6,0)*VLOOKUP('Données projet'!$B$13,Paramètres!$A$1:$I$89,7,0))</f>
        <v>0</v>
      </c>
      <c r="DE98" s="122" t="n">
        <f aca="false">IF(ISNA(VLOOKUP(A98,'Données projet'!$A$139:$I$159,7,0)),0%,VLOOKUP(A98,'Données projet'!$A$139:$I$159,7,0))</f>
        <v>0</v>
      </c>
      <c r="DF98" s="129" t="n">
        <f aca="false">EXP(-LN(2)/35)*DF97+(1-EXP(-LN(2)/35))/(LN(2)/35)*DB98*DC98*VLOOKUP('Données projet'!$B$13,Paramètres!$A$1:$I$89,3,0)*0.475*44/12</f>
        <v>1.82330839354815</v>
      </c>
      <c r="DG98" s="129" t="n">
        <f aca="false">EXP(-LN(2)/25)*DG97+(1-EXP(-LN(2)/25))/(LN(2)/25)*Calculateur!DB98*Calculateur!DD98*VLOOKUP('Données projet'!$B$13,Paramètres!$A$1:$I$89,3,0)*0.475*44/12</f>
        <v>6.41934885854721</v>
      </c>
      <c r="DH98" s="129" t="n">
        <f aca="false">EXP(-LN(2)/2)*DH97+(1-EXP(-LN(2)/2))/(LN(2)/2)*DB98*DE98*VLOOKUP('Données projet'!$B$13,Paramètres!$A$1:$I$89,3,0)*0.475*44/12</f>
        <v>2.18538857632811E-009</v>
      </c>
      <c r="DI98" s="130" t="n">
        <f aca="false">SUM(DF98:DH98)</f>
        <v>8.24265725428075</v>
      </c>
      <c r="DJ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8" t="e">
        <f aca="false">VLOOKUP(A98,'Données projet'!$A$165:$I$185,2,0)</f>
        <v>#N/A</v>
      </c>
      <c r="DM98" s="118" t="e">
        <f aca="false">VLOOKUP(A98,'Données projet'!$A$165:$I$185,9,0)</f>
        <v>#N/A</v>
      </c>
      <c r="DN98" s="118" t="e">
        <f aca="false" t="array" ref="DN98:DN98">INDEX(DM:DM,MIN(IF(ISNUMBER(DM98:DM294),ROW(DM98:DM294),"")))</f>
        <v>#N/A</v>
      </c>
      <c r="DO98" s="118" t="n">
        <f aca="false">IF('Données projet'!$A$166&gt;35,DO97+DN98-DW97,IF(A98&lt;'Données projet'!$A$166,$DL$205^A98,IF(A98='Données projet'!$A$166,'Données projet'!$B$166,DO97+DN98-DW97)))</f>
        <v>0</v>
      </c>
      <c r="DP98" s="125" t="n">
        <f aca="false">DO98*VLOOKUP('Données projet'!$B$14,Paramètres!$A$1:$I$89,3,0)*VLOOKUP('Données projet'!$B$14,Paramètres!$A$1:$I$89,5,0)</f>
        <v>0</v>
      </c>
      <c r="DQ98" s="117" t="e">
        <f aca="false">EXP(-1.0587+0.8836*LN(DP98)+0.284)</f>
        <v>#VALUE!</v>
      </c>
      <c r="DR98" s="128" t="e">
        <f aca="false">(DP98+DQ98)*0.475*44/12</f>
        <v>#VALUE!</v>
      </c>
      <c r="DS98" s="120" t="e">
        <f aca="false">DR98+(DJ98+DK98)*44/12</f>
        <v>#VALUE!</v>
      </c>
      <c r="DT98" s="120" t="n">
        <f aca="true">AVERAGE(OFFSET($DS$3,0,0,'Données projet'!$E$14+1,1))-AVERAGE(OFFSET($H$3,0,0,'Données projet'!$E$14+1,1))</f>
        <v>549.432320957297</v>
      </c>
      <c r="DU98" s="120" t="n">
        <f aca="false">$DU$3</f>
        <v>280.26155987301</v>
      </c>
      <c r="DV98" s="121" t="n">
        <f aca="false">IF(ISNA(VLOOKUP(A98,'Données projet'!$A$165:$I$185,3,0)),0,VLOOKUP(A98,'Données projet'!$A$165:$I$185,3,0))</f>
        <v>0</v>
      </c>
      <c r="DW98" s="121" t="n">
        <f aca="false">IF(ISNA(VLOOKUP(A98,'Données projet'!$A$165:$I$185,4,0)),0,VLOOKUP(A98,'Données projet'!$A$165:$I$185,4,0))</f>
        <v>0</v>
      </c>
      <c r="DX98" s="122" t="n">
        <f aca="false">IF(ISNA(VLOOKUP(A98,'Données projet'!$A$165:$I$185,5,0)),0%,VLOOKUP(A98,'Données projet'!$A$165:$I$185,5,0)*VLOOKUP('Données projet'!$B$14,Paramètres!$A$1:$I$89,7,0))</f>
        <v>0</v>
      </c>
      <c r="DY98" s="122" t="n">
        <f aca="false">IF(ISNA(VLOOKUP(A98,'Données projet'!$A$165:$I$185,6,0)),0%,VLOOKUP(A98,'Données projet'!$A$165:$I$185,6,0)*VLOOKUP('Données projet'!$B$14,Paramètres!$A$1:$I$89,7,0))</f>
        <v>0</v>
      </c>
      <c r="DZ98" s="122" t="n">
        <f aca="false">IF(ISNA(VLOOKUP(A98,'Données projet'!$A$165:$I$185,7,0)),0%,VLOOKUP(A98,'Données projet'!$A$165:$I$185,7,0))</f>
        <v>0</v>
      </c>
      <c r="EA98" s="129" t="n">
        <f aca="false">EXP(-LN(2)/35)*EA97+(1-EXP(-LN(2)/35))/(LN(2)/35)*DW98*DX98*VLOOKUP('Données projet'!$B$14,Paramètres!$A$1:$I$89,3,0)*0.475*44/12</f>
        <v>0.662952898825356</v>
      </c>
      <c r="EB98" s="129" t="n">
        <f aca="false">EXP(-LN(2)/25)*EB97+(1-EXP(-LN(2)/25))/(LN(2)/25)*Calculateur!DW98*Calculateur!DY98*VLOOKUP('Données projet'!$B$14,Paramètres!$A$1:$I$89,3,0)*0.475*44/12</f>
        <v>1.27886094414952</v>
      </c>
      <c r="EC98" s="129" t="n">
        <f aca="false">EXP(-LN(2)/2)*EC97+(1-EXP(-LN(2)/2))/(LN(2)/2)*DW98*DZ98*VLOOKUP('Données projet'!$B$14,Paramètres!$A$1:$I$89,3,0)*0.475*44/12</f>
        <v>1.00741908580649E-009</v>
      </c>
      <c r="ED98" s="130" t="n">
        <f aca="false">SUM(EA98:EC98)</f>
        <v>1.94181384398229</v>
      </c>
      <c r="EE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8" t="e">
        <f aca="false">VLOOKUP(A98,'Données projet'!$A$191:$I$211,2,0)</f>
        <v>#N/A</v>
      </c>
      <c r="EH98" s="118" t="e">
        <f aca="false">VLOOKUP(A98,'Données projet'!$A$191:$I$211,9,0)</f>
        <v>#N/A</v>
      </c>
      <c r="EI98" s="118" t="e">
        <f aca="false" t="array" ref="EI98:EI98">INDEX(EH:EH,MIN(IF(ISNUMBER(EH98:EH294),ROW(EH98:EH294),"")))</f>
        <v>#N/A</v>
      </c>
      <c r="EJ98" s="118" t="n">
        <f aca="false">IF('Données projet'!$A$192&gt;35,EJ97+EI98-ER97,IF(A98&lt;'Données projet'!$A$192,$EG$205^A98,IF(A98='Données projet'!$A$192,'Données projet'!$B$192,EJ97+EI98-ER97)))</f>
        <v>0</v>
      </c>
      <c r="EK98" s="125" t="e">
        <f aca="false">EJ98*VLOOKUP('Données projet'!$B$15,Paramètres!$A$1:$I$89,3,0)*VLOOKUP('Données projet'!$B$15,Paramètres!$A$1:$I$89,5,0)</f>
        <v>#N/A</v>
      </c>
      <c r="EL98" s="117" t="e">
        <f aca="false">EXP(-1.0587+0.8836*LN(EK98)+0.284)</f>
        <v>#N/A</v>
      </c>
      <c r="EM98" s="128" t="e">
        <f aca="false">(EK98+EL98)*0.475*44/12</f>
        <v>#N/A</v>
      </c>
      <c r="EN98" s="120" t="e">
        <f aca="false">EM98+(EE98+EF98)*44/12</f>
        <v>#N/A</v>
      </c>
      <c r="EO98" s="120" t="e">
        <f aca="true">AVERAGE(OFFSET($EN$3,0,0,'Données projet'!$E$15+1,1))-AVERAGE(OFFSET($H$3,0,0,'Données projet'!$E$15+1,1))</f>
        <v>#N/A</v>
      </c>
      <c r="EP98" s="120" t="e">
        <f aca="false">$EP$3</f>
        <v>#N/A</v>
      </c>
      <c r="EQ98" s="121" t="n">
        <f aca="false">IF(ISNA(VLOOKUP(A98,'Données projet'!$A$191:$I$211,3,0)),0,VLOOKUP(A98,'Données projet'!$A$191:$I$211,3,0))</f>
        <v>0</v>
      </c>
      <c r="ER98" s="121" t="n">
        <f aca="false">IF(ISNA(VLOOKUP(A98,'Données projet'!$A$191:$I$211,4,0)),0,VLOOKUP(A98,'Données projet'!$A$191:$I$211,4,0))</f>
        <v>0</v>
      </c>
      <c r="ES98" s="122" t="n">
        <f aca="false">IF(ISNA(VLOOKUP(A98,'Données projet'!$A$191:$I$211,5,0)),0%,VLOOKUP(A98,'Données projet'!$A$191:$I$211,5,0)*VLOOKUP('Données projet'!$B$15,Paramètres!$A$1:$I$89,7,0))</f>
        <v>0</v>
      </c>
      <c r="ET98" s="122" t="n">
        <f aca="false">IF(ISNA(VLOOKUP(A98,'Données projet'!$A$191:$I$211,6,0)),0%,VLOOKUP(A98,'Données projet'!$A$191:$I$211,6,0)*VLOOKUP('Données projet'!$B$15,Paramètres!$A$1:$I$89,7,0))</f>
        <v>0</v>
      </c>
      <c r="EU98" s="122" t="n">
        <f aca="false">IF(ISNA(VLOOKUP(A98,'Données projet'!$A$191:$I$211,7,0)),0%,VLOOKUP(A98,'Données projet'!$A$191:$I$211,7,0))</f>
        <v>0</v>
      </c>
      <c r="EV98" s="129" t="e">
        <f aca="false">EXP(-LN(2)/35)*EV97+(1-EXP(-LN(2)/35))/(LN(2)/35)*ER98*ES98*VLOOKUP('Données projet'!$B$15,Paramètres!$A$1:$I$89,3,0)*0.475*44/12</f>
        <v>#N/A</v>
      </c>
      <c r="EW98" s="129" t="e">
        <f aca="false">EXP(-LN(2)/25)*EW97+(1-EXP(-LN(2)/25))/(LN(2)/25)*Calculateur!ER98*Calculateur!ET98*VLOOKUP('Données projet'!$B$15,Paramètres!$A$1:$I$89,3,0)*0.475*44/12</f>
        <v>#N/A</v>
      </c>
      <c r="EX98" s="129" t="e">
        <f aca="false">EXP(-LN(2)/2)*EX97+(1-EXP(-LN(2)/2))/(LN(2)/2)*ER98*EU98*VLOOKUP('Données projet'!$B$15,Paramètres!$A$1:$I$89,3,0)*0.475*44/12</f>
        <v>#N/A</v>
      </c>
      <c r="EY98" s="130" t="e">
        <f aca="false">SUM(EV98:EX98)</f>
        <v>#N/A</v>
      </c>
      <c r="EZ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8" t="e">
        <f aca="false">VLOOKUP(A98,'Données projet'!$A$217:$I$237,2,0)</f>
        <v>#N/A</v>
      </c>
      <c r="FC98" s="118" t="e">
        <f aca="false">VLOOKUP(A98,'Données projet'!$A$217:$I$237,9,0)</f>
        <v>#N/A</v>
      </c>
      <c r="FD98" s="118" t="e">
        <f aca="false" t="array" ref="FD98:FD98">INDEX(FC:FC,MIN(IF(ISNUMBER(FC98:FC294),ROW(FC98:FC294),"")))</f>
        <v>#N/A</v>
      </c>
      <c r="FE98" s="118" t="n">
        <f aca="false">IF('Données projet'!$A$218&gt;35,FE97+FD98-FM97,IF(A98&lt;'Données projet'!$A$218,$FB$205^A98,IF(A98='Données projet'!$A$218,'Données projet'!$B$218,FE97+FD98-FM97)))</f>
        <v>0</v>
      </c>
      <c r="FF98" s="125" t="e">
        <f aca="false">FE98*VLOOKUP('Données projet'!$B$16,Paramètres!$A$1:$I$89,3,0)*VLOOKUP('Données projet'!$B$16,Paramètres!$A$1:$I$89,5,0)</f>
        <v>#N/A</v>
      </c>
      <c r="FG98" s="117" t="e">
        <f aca="false">EXP(-1.0587+0.8836*LN(FF98)+0.284)</f>
        <v>#N/A</v>
      </c>
      <c r="FH98" s="128" t="e">
        <f aca="false">(FF98+FG98)*0.475*44/12</f>
        <v>#N/A</v>
      </c>
      <c r="FI98" s="120" t="e">
        <f aca="false">FH98+(EZ98+FA98)*44/12</f>
        <v>#N/A</v>
      </c>
      <c r="FJ98" s="120" t="e">
        <f aca="true">AVERAGE(OFFSET($FI$3,0,0,'Données projet'!$E$16+1,1))-AVERAGE(OFFSET($H$3,0,0,'Données projet'!$E$16+1,1))</f>
        <v>#N/A</v>
      </c>
      <c r="FK98" s="120" t="e">
        <f aca="false">$FK$3</f>
        <v>#N/A</v>
      </c>
      <c r="FL98" s="121" t="n">
        <f aca="false">IF(ISNA(VLOOKUP(A98,'Données projet'!$A$217:$I$237,3,0)),0,VLOOKUP(A98,'Données projet'!$A$217:$I$237,3,0))</f>
        <v>0</v>
      </c>
      <c r="FM98" s="121" t="n">
        <f aca="false">IF(ISNA(VLOOKUP(A98,'Données projet'!$A$217:$I$237,4,0)),0,VLOOKUP(A98,'Données projet'!$A$217:$I$237,4,0))</f>
        <v>0</v>
      </c>
      <c r="FN98" s="122" t="n">
        <f aca="false">IF(ISNA(VLOOKUP(A98,'Données projet'!$A$217:$I$237,5,0)),0%,VLOOKUP(A98,'Données projet'!$A$217:$I$237,5,0)*VLOOKUP('Données projet'!$B$16,Paramètres!$A$1:$I$89,7,0))</f>
        <v>0</v>
      </c>
      <c r="FO98" s="122" t="n">
        <f aca="false">IF(ISNA(VLOOKUP(A98,'Données projet'!$A$217:$I$237,6,0)),0%,VLOOKUP(A98,'Données projet'!$A$217:$I$237,6,0)*VLOOKUP('Données projet'!$B$16,Paramètres!$A$1:$I$89,7,0))</f>
        <v>0</v>
      </c>
      <c r="FP98" s="122" t="n">
        <f aca="false">IF(ISNA(VLOOKUP(A98,'Données projet'!$A$217:$I$237,7,0)),0%,VLOOKUP(A98,'Données projet'!$A$217:$I$237,7,0))</f>
        <v>0</v>
      </c>
      <c r="FQ98" s="129" t="e">
        <f aca="false">EXP(-LN(2)/35)*FQ97+(1-EXP(-LN(2)/35))/(LN(2)/35)*FM98*FN98*VLOOKUP('Données projet'!$B$16,Paramètres!$A$1:$I$89,3,0)*0.475*44/12</f>
        <v>#N/A</v>
      </c>
      <c r="FR98" s="129" t="e">
        <f aca="false">EXP(-LN(2)/25)*FR97+(1-EXP(-LN(2)/25))/(LN(2)/25)*Calculateur!FM98*Calculateur!FO98*VLOOKUP('Données projet'!$B$16,Paramètres!$A$1:$I$89,3,0)*0.475*44/12</f>
        <v>#N/A</v>
      </c>
      <c r="FS98" s="129" t="e">
        <f aca="false">EXP(-LN(2)/2)*FS97+(1-EXP(-LN(2)/2))/(LN(2)/2)*FM98*FP98*VLOOKUP('Données projet'!$B$16,Paramètres!$A$1:$I$89,3,0)*0.475*44/12</f>
        <v>#N/A</v>
      </c>
      <c r="FT98" s="130" t="e">
        <f aca="false">SUM(FQ98:FS98)</f>
        <v>#N/A</v>
      </c>
      <c r="FU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8" t="e">
        <f aca="false">VLOOKUP(A98,'Données projet'!$A$243:$I$263,2,0)</f>
        <v>#N/A</v>
      </c>
      <c r="FX98" s="118" t="e">
        <f aca="false">VLOOKUP(A98,'Données projet'!$A$243:$I$263,9,0)</f>
        <v>#N/A</v>
      </c>
      <c r="FY98" s="118" t="e">
        <f aca="false" t="array" ref="FY98:FY98">INDEX(FX:FX,MIN(IF(ISNUMBER(FX98:FX294),ROW(FX98:FX294),"")))</f>
        <v>#N/A</v>
      </c>
      <c r="FZ98" s="118" t="n">
        <f aca="false">IF('Données projet'!$A$244&gt;35,FZ97+FY98-GH97,IF(A98&lt;'Données projet'!$A$244,$FW$205^A98,IF(A98='Données projet'!$A$244,'Données projet'!$B$244,FZ97+FY98-GH97)))</f>
        <v>0</v>
      </c>
      <c r="GA98" s="125" t="e">
        <f aca="false">FZ98*VLOOKUP('Données projet'!$B$17,Paramètres!$A$1:$I$89,3,0)*VLOOKUP('Données projet'!$B$17,Paramètres!$A$1:$I$89,5,0)</f>
        <v>#N/A</v>
      </c>
      <c r="GB98" s="117" t="e">
        <f aca="false">EXP(-1.0587+0.8836*LN(GA98)+0.284)</f>
        <v>#N/A</v>
      </c>
      <c r="GC98" s="128" t="e">
        <f aca="false">(GA98+GB98)*0.475*44/12</f>
        <v>#N/A</v>
      </c>
      <c r="GD98" s="120" t="e">
        <f aca="false">GC98+(FU98+FV98)*44/12</f>
        <v>#N/A</v>
      </c>
      <c r="GE98" s="120" t="e">
        <f aca="true">AVERAGE(OFFSET($GD$3,0,0,'Données projet'!$E$17+1,1))-AVERAGE(OFFSET($H$3,0,0,'Données projet'!$E$17+1,1))</f>
        <v>#N/A</v>
      </c>
      <c r="GF98" s="120" t="e">
        <f aca="false">$GF$3</f>
        <v>#N/A</v>
      </c>
      <c r="GG98" s="121" t="n">
        <f aca="false">IF(ISNA(VLOOKUP(A98,'Données projet'!$A$243:$I$263,3,0)),0,VLOOKUP(A98,'Données projet'!$A$243:$I$263,3,0))</f>
        <v>0</v>
      </c>
      <c r="GH98" s="121" t="n">
        <f aca="false">IF(ISNA(VLOOKUP(A98,'Données projet'!$A$243:$I$263,4,0)),0,VLOOKUP(A98,'Données projet'!$A$243:$I$263,4,0))</f>
        <v>0</v>
      </c>
      <c r="GI98" s="122" t="n">
        <f aca="false">IF(ISNA(VLOOKUP(A98,'Données projet'!$A$243:$I$263,5,0)),0%,VLOOKUP(A98,'Données projet'!$A$243:$I$263,5,0)*VLOOKUP('Données projet'!$B$17,Paramètres!$A$1:$I$89,7,0))</f>
        <v>0</v>
      </c>
      <c r="GJ98" s="122" t="n">
        <f aca="false">IF(ISNA(VLOOKUP(A98,'Données projet'!$A$243:$I$263,6,0)),0%,VLOOKUP(A98,'Données projet'!$A$243:$I$263,6,0)*VLOOKUP('Données projet'!$B$17,Paramètres!$A$1:$I$89,7,0))</f>
        <v>0</v>
      </c>
      <c r="GK98" s="122" t="n">
        <f aca="false">IF(ISNA(VLOOKUP(A98,'Données projet'!$A$243:$I$263,7,0)),0%,VLOOKUP(A98,'Données projet'!$A$243:$I$263,7,0))</f>
        <v>0</v>
      </c>
      <c r="GL98" s="129" t="e">
        <f aca="false">EXP(-LN(2)/35)*GL97+(1-EXP(-LN(2)/35))/(LN(2)/35)*GH98*GI98*VLOOKUP('Données projet'!$B$17,Paramètres!$A$1:$I$89,3,0)*0.475*44/12</f>
        <v>#N/A</v>
      </c>
      <c r="GM98" s="129" t="e">
        <f aca="false">EXP(-LN(2)/25)*GM97+(1-EXP(-LN(2)/25))/(LN(2)/25)*Calculateur!GH98*Calculateur!GJ98*VLOOKUP('Données projet'!$B$17,Paramètres!$A$1:$I$89,3,0)*0.475*44/12</f>
        <v>#N/A</v>
      </c>
      <c r="GN98" s="129" t="e">
        <f aca="false">EXP(-LN(2)/2)*GN97+(1-EXP(-LN(2)/2))/(LN(2)/2)*GH98*GK98*VLOOKUP('Données projet'!$B$17,Paramètres!$A$1:$I$89,3,0)*0.475*44/12</f>
        <v>#N/A</v>
      </c>
      <c r="GO98" s="129" t="e">
        <f aca="false">SUM(GL98:GN98)</f>
        <v>#N/A</v>
      </c>
      <c r="GP98" s="126" t="n">
        <f aca="false"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8" t="n">
        <f aca="false"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8" t="e">
        <f aca="false">VLOOKUP(A98,'Données projet'!$A$269:$I$289,2,0)</f>
        <v>#N/A</v>
      </c>
      <c r="GS98" s="118" t="e">
        <f aca="false">VLOOKUP(A98,'Données projet'!$A$269:$I$289,9,0)</f>
        <v>#N/A</v>
      </c>
      <c r="GT98" s="118" t="e">
        <f aca="false" t="array" ref="GT98:GT98">INDEX(GS:GS,MIN(IF(ISNUMBER(GS98:GS294),ROW(GS98:GS294),"")))</f>
        <v>#N/A</v>
      </c>
      <c r="GU98" s="118" t="n">
        <f aca="false">IF('Données projet'!$A$270&gt;35,GU97+GT98-HC97,IF(A98&lt;'Données projet'!$A$270,$GR$205^A98,IF(A98='Données projet'!$A$270,'Données projet'!$B$270,GU97+GT98-HC97)))</f>
        <v>0</v>
      </c>
      <c r="GV98" s="125" t="e">
        <f aca="false">GU98*VLOOKUP('Données projet'!$B$18,Paramètres!$A$1:$I$89,3,0)*VLOOKUP('Données projet'!$B$18,Paramètres!$A$1:$I$89,5,0)</f>
        <v>#N/A</v>
      </c>
      <c r="GW98" s="117" t="e">
        <f aca="false">EXP(-1.0587+0.8836*LN(GV98)+0.284)</f>
        <v>#N/A</v>
      </c>
      <c r="GX98" s="128" t="e">
        <f aca="false">(GV98+GW98)*0.475*44/12</f>
        <v>#N/A</v>
      </c>
      <c r="GY98" s="120" t="e">
        <f aca="false">GX98+(GP98+GQ98)*44/12</f>
        <v>#N/A</v>
      </c>
      <c r="GZ98" s="120" t="e">
        <f aca="true">AVERAGE(OFFSET($GY$3,0,0,'Données projet'!$E$18+1,1))-AVERAGE(OFFSET($H$3,0,0,'Données projet'!$E$18+1,1))</f>
        <v>#N/A</v>
      </c>
      <c r="HA98" s="120" t="e">
        <f aca="false">$HA$3</f>
        <v>#N/A</v>
      </c>
      <c r="HB98" s="121" t="n">
        <f aca="false">IF(ISNA(VLOOKUP(A98,'Données projet'!$A$269:$I$289,3,0)),0,VLOOKUP(A98,'Données projet'!$A$269:$I$289,3,0))</f>
        <v>0</v>
      </c>
      <c r="HC98" s="121" t="n">
        <f aca="false">IF(ISNA(VLOOKUP(A98,'Données projet'!$A$269:$I$289,4,0)),0,VLOOKUP(A98,'Données projet'!$A$269:$I$289,4,0))</f>
        <v>0</v>
      </c>
      <c r="HD98" s="122" t="n">
        <f aca="false">IF(ISNA(VLOOKUP(A98,'Données projet'!$A$269:$I$289,5,0)),0%,VLOOKUP(A98,'Données projet'!$A$269:$I$289,5,0)*VLOOKUP('Données projet'!$B$18,Paramètres!$A$1:$I$89,7,0))</f>
        <v>0</v>
      </c>
      <c r="HE98" s="122" t="n">
        <f aca="false">IF(ISNA(VLOOKUP(A98,'Données projet'!$A$269:$I$289,6,0)),0%,VLOOKUP(A98,'Données projet'!$A$269:$I$289,6,0)*VLOOKUP('Données projet'!$B$18,Paramètres!$A$1:$I$89,7,0))</f>
        <v>0</v>
      </c>
      <c r="HF98" s="122" t="n">
        <f aca="false">IF(ISNA(VLOOKUP(A98,'Données projet'!$A$269:$I$289,7,0)),0%,VLOOKUP(A98,'Données projet'!$A$269:$I$289,7,0))</f>
        <v>0</v>
      </c>
      <c r="HG98" s="129" t="e">
        <f aca="false">EXP(-LN(2)/35)*HG97+(1-EXP(-LN(2)/35))/(LN(2)/35)*HC98*HD98*VLOOKUP('Données projet'!$B$18,Paramètres!$A$1:$I$89,3,0)*0.475*44/12</f>
        <v>#N/A</v>
      </c>
      <c r="HH98" s="129" t="e">
        <f aca="false">EXP(-LN(2)/25)*HH97+(1-EXP(-LN(2)/25))/(LN(2)/25)*Calculateur!HC98*Calculateur!HE98*VLOOKUP('Données projet'!$B$18,Paramètres!$A$1:$I$89,3,0)*0.475*44/12</f>
        <v>#N/A</v>
      </c>
      <c r="HI98" s="129" t="e">
        <f aca="false">EXP(-LN(2)/2)*HI97+(1-EXP(-LN(2)/2))/(LN(2)/2)*HC98*HF98*VLOOKUP('Données projet'!$B$18,Paramètres!$A$1:$I$89,3,0)*0.475*44/12</f>
        <v>#N/A</v>
      </c>
      <c r="HJ98" s="130" t="e">
        <f aca="false">SUM(HG98:HI98)</f>
        <v>#N/A</v>
      </c>
    </row>
    <row r="99" customFormat="false" ht="14.25" hidden="false" customHeight="false" outlineLevel="0" collapsed="false">
      <c r="A99" s="112" t="n">
        <f aca="false">A98+1</f>
        <v>96</v>
      </c>
      <c r="B99" s="113" t="n">
        <f aca="false">'Scénario référence'!$B$16*5+'Scénario référence'!$B$17*0+'Scénario référence'!$B$18*5</f>
        <v>0</v>
      </c>
      <c r="C99" s="127" t="n">
        <f aca="false"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4" t="n">
        <f aca="false">IFERROR(EXP(-1.0587+0.8836*LN(C99)+0.284),0)</f>
        <v>0</v>
      </c>
      <c r="E9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99" s="114" t="n">
        <f aca="false">IF(OR('Scénario référence'!$F$8&gt;0,'Scénario référence'!$F$9&gt;0),('Scénario référence'!$F$8+'Scénario référence'!$F$9)*10,0)</f>
        <v>0</v>
      </c>
      <c r="G99" s="114" t="n">
        <f aca="false"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15" t="n">
        <f aca="false">(B99+E99+F99)*44/12+(C99+D99)*0.475*44/12</f>
        <v>256.666666666667</v>
      </c>
      <c r="I99" s="11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7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8" t="e">
        <f aca="false">VLOOKUP(A99,'Données projet'!$A$35:$I$55,2,0)</f>
        <v>#N/A</v>
      </c>
      <c r="L99" s="118" t="e">
        <f aca="false">VLOOKUP(A99,'Données projet'!$A$35:$I$55,9,0)</f>
        <v>#N/A</v>
      </c>
      <c r="M99" s="118" t="n">
        <f aca="false" t="array" ref="M99:M99">INDEX(L:L,MIN(IF(ISNUMBER(L99:L295),ROW(L99:L295),"")))</f>
        <v>18.5</v>
      </c>
      <c r="N99" s="117" t="n">
        <f aca="false">IF('Données projet'!$A$36&gt;35,N98+M99-V98,IF(A99&lt;'Données projet'!$A$36,$K$205^A99,IF(A99='Données projet'!$A$36,'Données projet'!$B$36,N98+M99-V98)))</f>
        <v>601.5</v>
      </c>
      <c r="O99" s="117" t="n">
        <f aca="false">N99*VLOOKUP('Données projet'!$B$9,Paramètres!$A$1:$I$89,3,0)*VLOOKUP('Données projet'!$B$9,Paramètres!$A$1:$I$89,5,0)</f>
        <v>281.502</v>
      </c>
      <c r="P99" s="117" t="n">
        <f aca="false">EXP(-1.0587+0.8836*LN(O99)+0.284)</f>
        <v>67.2843257581007</v>
      </c>
      <c r="Q99" s="128" t="n">
        <f aca="false">(O99+P99)*0.475*44/12</f>
        <v>607.469517362025</v>
      </c>
      <c r="R99" s="120" t="n">
        <f aca="false">Q99+(I99+J99)*44/12</f>
        <v>900.802850695359</v>
      </c>
      <c r="S99" s="120" t="n">
        <f aca="true">AVERAGE(OFFSET($R$3,0,0,'Données projet'!$E$9+1,1))-AVERAGE(OFFSET($H$3,0,0,'Données projet'!$E$9+1,1))</f>
        <v>319.229030946746</v>
      </c>
      <c r="T99" s="120" t="n">
        <f aca="false">$T$3</f>
        <v>254.586909731428</v>
      </c>
      <c r="U99" s="121" t="n">
        <f aca="false">IF(ISNA(VLOOKUP(A99,'Données projet'!$A$35:$I$55,3,0)),0,VLOOKUP(A99,'Données projet'!$A$35:$I$55,3,0))</f>
        <v>0</v>
      </c>
      <c r="V99" s="121" t="n">
        <f aca="false">IF(ISNA(VLOOKUP(A99,'Données projet'!$A$35:$I$55,4,0)),0,VLOOKUP(A99,'Données projet'!$A$35:$I$55,4,0))</f>
        <v>0</v>
      </c>
      <c r="W99" s="122" t="n">
        <f aca="false">IF(ISNA(VLOOKUP(A99,'Données projet'!$A$35:$I$55,5,0)),0%,VLOOKUP(A99,'Données projet'!$A$35:$I$55,5,0)*VLOOKUP('Données projet'!$B$9,Paramètres!$A$1:$I$89,7,0))</f>
        <v>0</v>
      </c>
      <c r="X99" s="122" t="n">
        <f aca="false">IF(ISNA(VLOOKUP(A99,'Données projet'!$A$35:$I$55,6,0)),0%,VLOOKUP(A99,'Données projet'!$A$35:$I$55,6,0)*VLOOKUP('Données projet'!$B$9,Paramètres!$A$1:$I$89,7,0))</f>
        <v>0</v>
      </c>
      <c r="Y99" s="122" t="n">
        <f aca="false">IF(ISNA(VLOOKUP(A99,'Données projet'!$A$35:$I$55,7,0)),0%,VLOOKUP(A99,'Données projet'!$A$35:$I$55,7,0))</f>
        <v>0</v>
      </c>
      <c r="Z99" s="129" t="n">
        <f aca="false">EXP(-LN(2)/35)*Z98+(1-EXP(-LN(2)/35))/(LN(2)/35)*V99*W99*VLOOKUP('Données projet'!$B$9,Paramètres!$A$1:$I$89,3,0)*0.475*44/12</f>
        <v>2.45609930061506</v>
      </c>
      <c r="AA99" s="129" t="n">
        <f aca="false">EXP(-LN(2)/25)*AA98+(1-EXP(-LN(2)/25))/(LN(2)/25)*Calculateur!V99*Calculateur!X99*VLOOKUP('Données projet'!$B$9,Paramètres!$A$1:$I$89,3,0)*0.475*44/12</f>
        <v>1.78898664476458</v>
      </c>
      <c r="AB99" s="129" t="n">
        <f aca="false">EXP(-LN(2)/2)*AB98+(1-EXP(-LN(2)/2))/(LN(2)/2)*V99*Y99*VLOOKUP('Données projet'!$B$9,Paramètres!$A$1:$I$89,3,0)*0.475*44/12</f>
        <v>1.28558937502075E-009</v>
      </c>
      <c r="AC99" s="130" t="n">
        <f aca="false">SUM(Z99:AB99)</f>
        <v>4.24508594666523</v>
      </c>
      <c r="AD99" s="117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7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8" t="e">
        <f aca="false">VLOOKUP(A99,'Données projet'!$A$61:$I$81,2,0)</f>
        <v>#N/A</v>
      </c>
      <c r="AG99" s="118" t="e">
        <f aca="false">VLOOKUP(A99,'Données projet'!$A$61:$I$81,9,0)</f>
        <v>#N/A</v>
      </c>
      <c r="AH99" s="118" t="e">
        <f aca="false" t="array" ref="AH99:AH99">INDEX(AG:AG,MIN(IF(ISNUMBER(AG99:AG295),ROW(AG99:AG295),"")))</f>
        <v>#N/A</v>
      </c>
      <c r="AI99" s="117" t="n">
        <f aca="false">IF('Données projet'!$A$62&gt;35,AI98+AH99-AQ98,IF(A99&lt;'Données projet'!$A$62,$AF$205^A99,IF(A99='Données projet'!$A$62,'Données projet'!$B$62,AI98+AH99-AQ98)))</f>
        <v>1.13686837721616E-013</v>
      </c>
      <c r="AJ99" s="117" t="n">
        <f aca="false">AI99*VLOOKUP('Données projet'!$B$10,Paramètres!$A$1:$I$89,3,0)*VLOOKUP('Données projet'!$B$10,Paramètres!$A$1:$I$89,5,0)</f>
        <v>6.35509422863834E-014</v>
      </c>
      <c r="AK99" s="117" t="n">
        <f aca="false">EXP(-1.0587+0.8836*LN(AJ99)+0.284)</f>
        <v>1.0064464192544E-012</v>
      </c>
      <c r="AL99" s="128" t="n">
        <f aca="false">(AJ99+AK99)*0.475*44/12</f>
        <v>1.86357873801686E-012</v>
      </c>
      <c r="AM99" s="120" t="n">
        <f aca="false">AL99+(AD99+AE99)*44/12</f>
        <v>293.333333333335</v>
      </c>
      <c r="AN99" s="120" t="n">
        <f aca="true">AVERAGE(OFFSET($AM$3,0,0,'Données projet'!$E$10+1,1))-AVERAGE(OFFSET($H$3,0,0,'Données projet'!$E$10+1,1))</f>
        <v>365.705101827279</v>
      </c>
      <c r="AO99" s="120" t="n">
        <f aca="false">$AO$3</f>
        <v>436.238338449625</v>
      </c>
      <c r="AP99" s="121" t="n">
        <f aca="false">IF(ISNA(VLOOKUP(A99,'Données projet'!$A$61:$I$81,3,0)),0,VLOOKUP(A99,'Données projet'!$A$61:$I$81,3,0))</f>
        <v>0</v>
      </c>
      <c r="AQ99" s="121" t="n">
        <f aca="false">IF(ISNA(VLOOKUP(A99,'Données projet'!$A$61:$I$81,4,0)),0,VLOOKUP(A99,'Données projet'!$A$61:$I$81,4,0))</f>
        <v>0</v>
      </c>
      <c r="AR99" s="122" t="n">
        <f aca="false">IF(ISNA(VLOOKUP(A99,'Données projet'!$A$61:$I$81,5,0)),0%,VLOOKUP(A99,'Données projet'!$A$61:$I$81,5,0)*VLOOKUP('Données projet'!$B$10,Paramètres!$A$1:$I$89,7,0))</f>
        <v>0</v>
      </c>
      <c r="AS99" s="122" t="n">
        <f aca="false">IF(ISNA(VLOOKUP(A99,'Données projet'!$A$61:$I$81,6,0)),0%,VLOOKUP(A99,'Données projet'!$A$61:$I$81,6,0)*VLOOKUP('Données projet'!$B$10,Paramètres!$A$1:$I$89,7,0))</f>
        <v>0</v>
      </c>
      <c r="AT99" s="122" t="n">
        <f aca="false">IF(ISNA(VLOOKUP(A99,'Données projet'!$A$61:$I$81,7,0)),0%,VLOOKUP(A99,'Données projet'!$A$61:$I$81,7,0))</f>
        <v>0</v>
      </c>
      <c r="AU99" s="129" t="n">
        <f aca="false">EXP(-LN(2)/35)*AU98+(1-EXP(-LN(2)/35))/(LN(2)/35)*AQ99*AR99*VLOOKUP('Données projet'!$B$10,Paramètres!$A$1:$I$89,3,0)*0.475*44/12</f>
        <v>0.92709785578059</v>
      </c>
      <c r="AV99" s="129" t="n">
        <f aca="false">EXP(-LN(2)/25)*AV98+(1-EXP(-LN(2)/25))/(LN(2)/25)*Calculateur!AQ99*Calculateur!AS99*VLOOKUP('Données projet'!$B$10,Paramètres!$A$1:$I$89,3,0)*0.475*44/12</f>
        <v>2.11895795043596</v>
      </c>
      <c r="AW99" s="129" t="n">
        <f aca="false">EXP(-LN(2)/2)*AW98+(1-EXP(-LN(2)/2))/(LN(2)/2)*AQ99*AT99*VLOOKUP('Données projet'!$B$10,Paramètres!$A$1:$I$89,3,0)*0.475*44/12</f>
        <v>6.91864020851882E-010</v>
      </c>
      <c r="AX99" s="129" t="n">
        <f aca="false">SUM(AU99:AW99)</f>
        <v>3.04605580690842</v>
      </c>
      <c r="AY99" s="124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8" t="e">
        <f aca="false">VLOOKUP(A99,'Données projet'!$A$87:$I$107,2,0)</f>
        <v>#N/A</v>
      </c>
      <c r="BB99" s="118" t="e">
        <f aca="false">VLOOKUP(A99,'Données projet'!$A$87:$I$107,9,0)</f>
        <v>#N/A</v>
      </c>
      <c r="BC99" s="118" t="e">
        <f aca="false" t="array" ref="BC99:BC99">INDEX(BB:BB,MIN(IF(ISNUMBER(BB99:BB295),ROW(BB99:BB295),"")))</f>
        <v>#N/A</v>
      </c>
      <c r="BD99" s="118" t="n">
        <f aca="false">IF('Données projet'!$A$88&gt;35,BD98+BC99-BL98,IF(A99&lt;'Données projet'!$A$88,$BA$205^A99,IF(A99='Données projet'!$A$88,'Données projet'!$B$88,BD98+BC99-BL98)))</f>
        <v>1.98951966012828E-013</v>
      </c>
      <c r="BE99" s="117" t="n">
        <f aca="false">BD99*VLOOKUP('Données projet'!$B$11,Paramètres!$A$1:$I$89,3,0)*VLOOKUP('Données projet'!$B$11,Paramètres!$A$1:$I$89,5,0)</f>
        <v>1.73804437508807E-013</v>
      </c>
      <c r="BF99" s="117" t="n">
        <f aca="false">EXP(-1.0587+0.8836*LN(BE99)+0.284)</f>
        <v>2.44832936339505E-012</v>
      </c>
      <c r="BG99" s="128" t="n">
        <f aca="false">(BE99+BF99)*0.475*44/12</f>
        <v>4.56688303657421E-012</v>
      </c>
      <c r="BH99" s="120" t="n">
        <f aca="false">BG99+(AY99+AZ99)*44/12</f>
        <v>293.333333333338</v>
      </c>
      <c r="BI99" s="120" t="n">
        <f aca="true">AVERAGE(OFFSET($BH$3,0,0,'Données projet'!$E$11+1,1))-AVERAGE(OFFSET($H$3,0,0,'Données projet'!$E$11+1,1))</f>
        <v>321.235999689929</v>
      </c>
      <c r="BJ99" s="120" t="n">
        <f aca="false">$BJ$3</f>
        <v>388.051958478005</v>
      </c>
      <c r="BK99" s="121" t="n">
        <f aca="false">IF(ISNA(VLOOKUP(A99,'Données projet'!$A$87:$I$107,3,0)),0,VLOOKUP(A99,'Données projet'!$A$87:$I$107,3,0))</f>
        <v>0</v>
      </c>
      <c r="BL99" s="121" t="n">
        <f aca="false">IF(ISNA(VLOOKUP(A99,'Données projet'!$A$87:$I$107,4,0)),0,VLOOKUP(A99,'Données projet'!$A$87:$I$107,4,0))</f>
        <v>0</v>
      </c>
      <c r="BM99" s="122" t="n">
        <f aca="false">IF(ISNA(VLOOKUP(A99,'Données projet'!$A$87:$I$107,5,0)),0%,VLOOKUP(A99,'Données projet'!$A$87:$I$107,5,0)*VLOOKUP('Données projet'!$B$11,Paramètres!$A$1:$I$89,7,0))</f>
        <v>0</v>
      </c>
      <c r="BN99" s="122" t="n">
        <f aca="false">IF(ISNA(VLOOKUP(A99,'Données projet'!$A$87:$I$107,6,0)),0%,VLOOKUP(A99,'Données projet'!$A$87:$I$107,6,0)*VLOOKUP('Données projet'!$B$11,Paramètres!$A$1:$I$89,7,0))</f>
        <v>0</v>
      </c>
      <c r="BO99" s="122" t="n">
        <f aca="false">IF(ISNA(VLOOKUP(A99,'Données projet'!$A$87:$I$107,7,0)),0%,VLOOKUP(A99,'Données projet'!$A$87:$I$107,7,0))</f>
        <v>0</v>
      </c>
      <c r="BP99" s="129" t="n">
        <f aca="false">EXP(-LN(2)/35)*BP98+(1-EXP(-LN(2)/35))/(LN(2)/35)*BL99*BM99*VLOOKUP('Données projet'!$B$11,Paramètres!$A$1:$I$89,3,0)*0.475*44/12</f>
        <v>2.32759167207055</v>
      </c>
      <c r="BQ99" s="129" t="n">
        <f aca="false">EXP(-LN(2)/25)*BQ98+(1-EXP(-LN(2)/25))/(LN(2)/25)*Calculateur!BL99*Calculateur!BN99*VLOOKUP('Données projet'!$B$11,Paramètres!$A$1:$I$89,3,0)*0.475*44/12</f>
        <v>2.16290641748423</v>
      </c>
      <c r="BR99" s="129" t="n">
        <f aca="false">EXP(-LN(2)/2)*BR98+(1-EXP(-LN(2)/2))/(LN(2)/2)*BL99*BO99*VLOOKUP('Données projet'!$B$11,Paramètres!$A$1:$I$89,3,0)*0.475*44/12</f>
        <v>7.03265396563189E-010</v>
      </c>
      <c r="BS99" s="130" t="n">
        <f aca="false">SUM(BP99:BR99)</f>
        <v>4.49049809025804</v>
      </c>
      <c r="BT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8" t="e">
        <f aca="false">VLOOKUP(A99,'Données projet'!$A$113:$I$133,2,0)</f>
        <v>#N/A</v>
      </c>
      <c r="BW99" s="118" t="e">
        <f aca="false">VLOOKUP(A99,'Données projet'!$A$113:$I$133,9,0)</f>
        <v>#N/A</v>
      </c>
      <c r="BX99" s="118" t="e">
        <f aca="false" t="array" ref="BX99:BX99">INDEX(BW:BW,MIN(IF(ISNUMBER(BW99:BW295),ROW(BW99:BW295),"")))</f>
        <v>#N/A</v>
      </c>
      <c r="BY99" s="118" t="n">
        <f aca="false">IF('Données projet'!$A$114&gt;35,BY98+BX99-CG98,IF(A99&lt;'Données projet'!$A$114,$BV$205^A99,IF(A99='Données projet'!$A$114,'Données projet'!$B$114,BY98+BX99-CG98)))</f>
        <v>0</v>
      </c>
      <c r="BZ99" s="117" t="n">
        <f aca="false">BY99*VLOOKUP('Données projet'!$B$12,Paramètres!$A$1:$I$89,3,0)*VLOOKUP('Données projet'!$B$12,Paramètres!$A$1:$I$89,5,0)</f>
        <v>0</v>
      </c>
      <c r="CA99" s="117" t="e">
        <f aca="false">EXP(-1.0587+0.8836*LN(BZ99)+0.284)</f>
        <v>#VALUE!</v>
      </c>
      <c r="CB99" s="128" t="e">
        <f aca="false">(BZ99+CA99)*0.475*44/12</f>
        <v>#VALUE!</v>
      </c>
      <c r="CC99" s="120" t="e">
        <f aca="false">CB99+(BT99+BU99)*44/12</f>
        <v>#VALUE!</v>
      </c>
      <c r="CD99" s="120" t="n">
        <f aca="true">AVERAGE(OFFSET($CC$3,0,0,'Données projet'!$E$12+1,1))-AVERAGE(OFFSET($H$3,0,0,'Données projet'!$E$12+1,1))</f>
        <v>240.228848647662</v>
      </c>
      <c r="CE99" s="120" t="n">
        <f aca="false">$CE$3</f>
        <v>343.237768841432</v>
      </c>
      <c r="CF99" s="121" t="n">
        <f aca="false">IF(ISNA(VLOOKUP(A99,'Données projet'!$A$113:$I$133,3,0)),0,VLOOKUP(A99,'Données projet'!$A$113:$I$133,3,0))</f>
        <v>0</v>
      </c>
      <c r="CG99" s="121" t="n">
        <f aca="false">IF(ISNA(VLOOKUP(A99,'Données projet'!$A$113:$I$133,4,0)),0,VLOOKUP(A99,'Données projet'!$A$113:$I$133,4,0))</f>
        <v>0</v>
      </c>
      <c r="CH99" s="122" t="n">
        <f aca="false">IF(ISNA(VLOOKUP(A99,'Données projet'!$A$113:$I$133,5,0)),0%,VLOOKUP(A99,'Données projet'!$A$113:$I$133,5,0)*VLOOKUP('Données projet'!$B$12,Paramètres!$A$1:$I$89,7,0))</f>
        <v>0</v>
      </c>
      <c r="CI99" s="122" t="n">
        <f aca="false">IF(ISNA(VLOOKUP(A99,'Données projet'!$A$113:$I$133,6,0)),0%,VLOOKUP(A99,'Données projet'!$A$113:$I$133,6,0)*VLOOKUP('Données projet'!$B$12,Paramètres!$A$1:$I$89,7,0))</f>
        <v>0</v>
      </c>
      <c r="CJ99" s="122" t="n">
        <f aca="false">IF(ISNA(VLOOKUP(A99,'Données projet'!$A$113:$I$133,7,0)),0%,VLOOKUP(A99,'Données projet'!$A$113:$I$133,7,0))</f>
        <v>0</v>
      </c>
      <c r="CK99" s="129" t="n">
        <f aca="false">EXP(-LN(2)/35)*CK98+(1-EXP(-LN(2)/35))/(LN(2)/35)*CG99*CH99*VLOOKUP('Données projet'!$B$12,Paramètres!$A$1:$I$89,3,0)*0.475*44/12</f>
        <v>1.42466743890415</v>
      </c>
      <c r="CL99" s="129" t="n">
        <f aca="false">EXP(-LN(2)/25)*CL98+(1-EXP(-LN(2)/25))/(LN(2)/25)*Calculateur!CG99*Calculateur!CI99*VLOOKUP('Données projet'!$B$12,Paramètres!$A$1:$I$89,3,0)*0.475*44/12</f>
        <v>3.81981794368455</v>
      </c>
      <c r="CM99" s="129" t="n">
        <f aca="false">EXP(-LN(2)/2)*CM98+(1-EXP(-LN(2)/2))/(LN(2)/2)*CG99*CJ99*VLOOKUP('Données projet'!$B$12,Paramètres!$A$1:$I$89,3,0)*0.475*44/12</f>
        <v>1.12222408246759E-009</v>
      </c>
      <c r="CN99" s="130" t="n">
        <f aca="false">SUM(CK99:CM99)</f>
        <v>5.24448538371093</v>
      </c>
      <c r="CO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8" t="e">
        <f aca="false">VLOOKUP(A99,'Données projet'!$A$139:$I$159,2,0)</f>
        <v>#N/A</v>
      </c>
      <c r="CR99" s="118" t="e">
        <f aca="false">VLOOKUP(A99,'Données projet'!$A$139:$I$159,9,0)</f>
        <v>#N/A</v>
      </c>
      <c r="CS99" s="118" t="e">
        <f aca="false" t="array" ref="CS99:CS99">INDEX(CR:CR,MIN(IF(ISNUMBER(CR99:CR295),ROW(CR99:CR295),"")))</f>
        <v>#N/A</v>
      </c>
      <c r="CT99" s="118" t="n">
        <f aca="false">IF('Données projet'!$A$140&gt;35,CT98+CS99-DB98,IF(A99&lt;'Données projet'!$A$140,$CQ$205^A99,IF(A99='Données projet'!$A$140,'Données projet'!$B$140,CT98+CS99-DB98)))</f>
        <v>-5.6843418860808E-014</v>
      </c>
      <c r="CU99" s="125" t="n">
        <f aca="false">CT99*VLOOKUP('Données projet'!$B$13,Paramètres!$A$1:$I$89,3,0)*VLOOKUP('Données projet'!$B$13,Paramètres!$A$1:$I$89,5,0)</f>
        <v>-3.10365066980012E-014</v>
      </c>
      <c r="CV99" s="117" t="e">
        <f aca="false">EXP(-1.0587+0.8836*LN(CU99)+0.284)</f>
        <v>#VALUE!</v>
      </c>
      <c r="CW99" s="128" t="e">
        <f aca="false">(CU99+CV99)*0.475*44/12</f>
        <v>#VALUE!</v>
      </c>
      <c r="CX99" s="120" t="e">
        <f aca="false">CW99+(CO99+CP99)*44/12</f>
        <v>#VALUE!</v>
      </c>
      <c r="CY99" s="120" t="n">
        <f aca="true">AVERAGE(OFFSET($CX$3,0,0,'Données projet'!$E$13+1,1))-AVERAGE(OFFSET($H$3,0,0,'Données projet'!$E$13+1,1))</f>
        <v>207.023069645676</v>
      </c>
      <c r="CZ99" s="120" t="n">
        <f aca="false">$CZ$3</f>
        <v>342.068879333518</v>
      </c>
      <c r="DA99" s="121" t="n">
        <f aca="false">IF(ISNA(VLOOKUP(A99,'Données projet'!$A$139:$I$159,3,0)),0,VLOOKUP(A99,'Données projet'!$A$139:$I$159,3,0))</f>
        <v>0</v>
      </c>
      <c r="DB99" s="121" t="n">
        <f aca="false">IF(ISNA(VLOOKUP(A99,'Données projet'!$A$139:$I$159,4,0)),0,VLOOKUP(A99,'Données projet'!$A$139:$I$159,4,0))</f>
        <v>0</v>
      </c>
      <c r="DC99" s="122" t="n">
        <f aca="false">IF(ISNA(VLOOKUP(A99,'Données projet'!$A$139:$I$159,5,0)),0%,VLOOKUP(A99,'Données projet'!$A$139:$I$159,5,0)*VLOOKUP('Données projet'!$B$13,Paramètres!$A$1:$I$89,7,0))</f>
        <v>0</v>
      </c>
      <c r="DD99" s="122" t="n">
        <f aca="false">IF(ISNA(VLOOKUP(A99,'Données projet'!$A$139:$I$159,6,0)),0%,VLOOKUP(A99,'Données projet'!$A$139:$I$159,6,0)*VLOOKUP('Données projet'!$B$13,Paramètres!$A$1:$I$89,7,0))</f>
        <v>0</v>
      </c>
      <c r="DE99" s="122" t="n">
        <f aca="false">IF(ISNA(VLOOKUP(A99,'Données projet'!$A$139:$I$159,7,0)),0%,VLOOKUP(A99,'Données projet'!$A$139:$I$159,7,0))</f>
        <v>0</v>
      </c>
      <c r="DF99" s="129" t="n">
        <f aca="false">EXP(-LN(2)/35)*DF98+(1-EXP(-LN(2)/35))/(LN(2)/35)*DB99*DC99*VLOOKUP('Données projet'!$B$13,Paramètres!$A$1:$I$89,3,0)*0.475*44/12</f>
        <v>1.78755442805898</v>
      </c>
      <c r="DG99" s="129" t="n">
        <f aca="false">EXP(-LN(2)/25)*DG98+(1-EXP(-LN(2)/25))/(LN(2)/25)*Calculateur!DB99*Calculateur!DD99*VLOOKUP('Données projet'!$B$13,Paramètres!$A$1:$I$89,3,0)*0.475*44/12</f>
        <v>6.24381142643135</v>
      </c>
      <c r="DH99" s="129" t="n">
        <f aca="false">EXP(-LN(2)/2)*DH98+(1-EXP(-LN(2)/2))/(LN(2)/2)*DB99*DE99*VLOOKUP('Données projet'!$B$13,Paramètres!$A$1:$I$89,3,0)*0.475*44/12</f>
        <v>1.54530308184922E-009</v>
      </c>
      <c r="DI99" s="130" t="n">
        <f aca="false">SUM(DF99:DH99)</f>
        <v>8.03136585603563</v>
      </c>
      <c r="DJ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8" t="e">
        <f aca="false">VLOOKUP(A99,'Données projet'!$A$165:$I$185,2,0)</f>
        <v>#N/A</v>
      </c>
      <c r="DM99" s="118" t="e">
        <f aca="false">VLOOKUP(A99,'Données projet'!$A$165:$I$185,9,0)</f>
        <v>#N/A</v>
      </c>
      <c r="DN99" s="118" t="e">
        <f aca="false" t="array" ref="DN99:DN99">INDEX(DM:DM,MIN(IF(ISNUMBER(DM99:DM295),ROW(DM99:DM295),"")))</f>
        <v>#N/A</v>
      </c>
      <c r="DO99" s="118" t="n">
        <f aca="false">IF('Données projet'!$A$166&gt;35,DO98+DN99-DW98,IF(A99&lt;'Données projet'!$A$166,$DL$205^A99,IF(A99='Données projet'!$A$166,'Données projet'!$B$166,DO98+DN99-DW98)))</f>
        <v>0</v>
      </c>
      <c r="DP99" s="125" t="n">
        <f aca="false">DO99*VLOOKUP('Données projet'!$B$14,Paramètres!$A$1:$I$89,3,0)*VLOOKUP('Données projet'!$B$14,Paramètres!$A$1:$I$89,5,0)</f>
        <v>0</v>
      </c>
      <c r="DQ99" s="117" t="e">
        <f aca="false">EXP(-1.0587+0.8836*LN(DP99)+0.284)</f>
        <v>#VALUE!</v>
      </c>
      <c r="DR99" s="128" t="e">
        <f aca="false">(DP99+DQ99)*0.475*44/12</f>
        <v>#VALUE!</v>
      </c>
      <c r="DS99" s="120" t="e">
        <f aca="false">DR99+(DJ99+DK99)*44/12</f>
        <v>#VALUE!</v>
      </c>
      <c r="DT99" s="120" t="n">
        <f aca="true">AVERAGE(OFFSET($DS$3,0,0,'Données projet'!$E$14+1,1))-AVERAGE(OFFSET($H$3,0,0,'Données projet'!$E$14+1,1))</f>
        <v>549.432320957297</v>
      </c>
      <c r="DU99" s="120" t="n">
        <f aca="false">$DU$3</f>
        <v>280.26155987301</v>
      </c>
      <c r="DV99" s="121" t="n">
        <f aca="false">IF(ISNA(VLOOKUP(A99,'Données projet'!$A$165:$I$185,3,0)),0,VLOOKUP(A99,'Données projet'!$A$165:$I$185,3,0))</f>
        <v>0</v>
      </c>
      <c r="DW99" s="121" t="n">
        <f aca="false">IF(ISNA(VLOOKUP(A99,'Données projet'!$A$165:$I$185,4,0)),0,VLOOKUP(A99,'Données projet'!$A$165:$I$185,4,0))</f>
        <v>0</v>
      </c>
      <c r="DX99" s="122" t="n">
        <f aca="false">IF(ISNA(VLOOKUP(A99,'Données projet'!$A$165:$I$185,5,0)),0%,VLOOKUP(A99,'Données projet'!$A$165:$I$185,5,0)*VLOOKUP('Données projet'!$B$14,Paramètres!$A$1:$I$89,7,0))</f>
        <v>0</v>
      </c>
      <c r="DY99" s="122" t="n">
        <f aca="false">IF(ISNA(VLOOKUP(A99,'Données projet'!$A$165:$I$185,6,0)),0%,VLOOKUP(A99,'Données projet'!$A$165:$I$185,6,0)*VLOOKUP('Données projet'!$B$14,Paramètres!$A$1:$I$89,7,0))</f>
        <v>0</v>
      </c>
      <c r="DZ99" s="122" t="n">
        <f aca="false">IF(ISNA(VLOOKUP(A99,'Données projet'!$A$165:$I$185,7,0)),0%,VLOOKUP(A99,'Données projet'!$A$165:$I$185,7,0))</f>
        <v>0</v>
      </c>
      <c r="EA99" s="129" t="n">
        <f aca="false">EXP(-LN(2)/35)*EA98+(1-EXP(-LN(2)/35))/(LN(2)/35)*DW99*DX99*VLOOKUP('Données projet'!$B$14,Paramètres!$A$1:$I$89,3,0)*0.475*44/12</f>
        <v>0.649952796840732</v>
      </c>
      <c r="EB99" s="129" t="n">
        <f aca="false">EXP(-LN(2)/25)*EB98+(1-EXP(-LN(2)/25))/(LN(2)/25)*Calculateur!DW99*Calculateur!DY99*VLOOKUP('Données projet'!$B$14,Paramètres!$A$1:$I$89,3,0)*0.475*44/12</f>
        <v>1.24389042437938</v>
      </c>
      <c r="EC99" s="129" t="n">
        <f aca="false">EXP(-LN(2)/2)*EC98+(1-EXP(-LN(2)/2))/(LN(2)/2)*DW99*DZ99*VLOOKUP('Données projet'!$B$14,Paramètres!$A$1:$I$89,3,0)*0.475*44/12</f>
        <v>7.12352867070524E-010</v>
      </c>
      <c r="ED99" s="130" t="n">
        <f aca="false">SUM(EA99:EC99)</f>
        <v>1.89384322193246</v>
      </c>
      <c r="EE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8" t="e">
        <f aca="false">VLOOKUP(A99,'Données projet'!$A$191:$I$211,2,0)</f>
        <v>#N/A</v>
      </c>
      <c r="EH99" s="118" t="e">
        <f aca="false">VLOOKUP(A99,'Données projet'!$A$191:$I$211,9,0)</f>
        <v>#N/A</v>
      </c>
      <c r="EI99" s="118" t="e">
        <f aca="false" t="array" ref="EI99:EI99">INDEX(EH:EH,MIN(IF(ISNUMBER(EH99:EH295),ROW(EH99:EH295),"")))</f>
        <v>#N/A</v>
      </c>
      <c r="EJ99" s="118" t="n">
        <f aca="false">IF('Données projet'!$A$192&gt;35,EJ98+EI99-ER98,IF(A99&lt;'Données projet'!$A$192,$EG$205^A99,IF(A99='Données projet'!$A$192,'Données projet'!$B$192,EJ98+EI99-ER98)))</f>
        <v>0</v>
      </c>
      <c r="EK99" s="125" t="e">
        <f aca="false">EJ99*VLOOKUP('Données projet'!$B$15,Paramètres!$A$1:$I$89,3,0)*VLOOKUP('Données projet'!$B$15,Paramètres!$A$1:$I$89,5,0)</f>
        <v>#N/A</v>
      </c>
      <c r="EL99" s="117" t="e">
        <f aca="false">EXP(-1.0587+0.8836*LN(EK99)+0.284)</f>
        <v>#N/A</v>
      </c>
      <c r="EM99" s="128" t="e">
        <f aca="false">(EK99+EL99)*0.475*44/12</f>
        <v>#N/A</v>
      </c>
      <c r="EN99" s="120" t="e">
        <f aca="false">EM99+(EE99+EF99)*44/12</f>
        <v>#N/A</v>
      </c>
      <c r="EO99" s="120" t="e">
        <f aca="true">AVERAGE(OFFSET($EN$3,0,0,'Données projet'!$E$15+1,1))-AVERAGE(OFFSET($H$3,0,0,'Données projet'!$E$15+1,1))</f>
        <v>#N/A</v>
      </c>
      <c r="EP99" s="120" t="e">
        <f aca="false">$EP$3</f>
        <v>#N/A</v>
      </c>
      <c r="EQ99" s="121" t="n">
        <f aca="false">IF(ISNA(VLOOKUP(A99,'Données projet'!$A$191:$I$211,3,0)),0,VLOOKUP(A99,'Données projet'!$A$191:$I$211,3,0))</f>
        <v>0</v>
      </c>
      <c r="ER99" s="121" t="n">
        <f aca="false">IF(ISNA(VLOOKUP(A99,'Données projet'!$A$191:$I$211,4,0)),0,VLOOKUP(A99,'Données projet'!$A$191:$I$211,4,0))</f>
        <v>0</v>
      </c>
      <c r="ES99" s="122" t="n">
        <f aca="false">IF(ISNA(VLOOKUP(A99,'Données projet'!$A$191:$I$211,5,0)),0%,VLOOKUP(A99,'Données projet'!$A$191:$I$211,5,0)*VLOOKUP('Données projet'!$B$15,Paramètres!$A$1:$I$89,7,0))</f>
        <v>0</v>
      </c>
      <c r="ET99" s="122" t="n">
        <f aca="false">IF(ISNA(VLOOKUP(A99,'Données projet'!$A$191:$I$211,6,0)),0%,VLOOKUP(A99,'Données projet'!$A$191:$I$211,6,0)*VLOOKUP('Données projet'!$B$15,Paramètres!$A$1:$I$89,7,0))</f>
        <v>0</v>
      </c>
      <c r="EU99" s="122" t="n">
        <f aca="false">IF(ISNA(VLOOKUP(A99,'Données projet'!$A$191:$I$211,7,0)),0%,VLOOKUP(A99,'Données projet'!$A$191:$I$211,7,0))</f>
        <v>0</v>
      </c>
      <c r="EV99" s="129" t="e">
        <f aca="false">EXP(-LN(2)/35)*EV98+(1-EXP(-LN(2)/35))/(LN(2)/35)*ER99*ES99*VLOOKUP('Données projet'!$B$15,Paramètres!$A$1:$I$89,3,0)*0.475*44/12</f>
        <v>#N/A</v>
      </c>
      <c r="EW99" s="129" t="e">
        <f aca="false">EXP(-LN(2)/25)*EW98+(1-EXP(-LN(2)/25))/(LN(2)/25)*Calculateur!ER99*Calculateur!ET99*VLOOKUP('Données projet'!$B$15,Paramètres!$A$1:$I$89,3,0)*0.475*44/12</f>
        <v>#N/A</v>
      </c>
      <c r="EX99" s="129" t="e">
        <f aca="false">EXP(-LN(2)/2)*EX98+(1-EXP(-LN(2)/2))/(LN(2)/2)*ER99*EU99*VLOOKUP('Données projet'!$B$15,Paramètres!$A$1:$I$89,3,0)*0.475*44/12</f>
        <v>#N/A</v>
      </c>
      <c r="EY99" s="130" t="e">
        <f aca="false">SUM(EV99:EX99)</f>
        <v>#N/A</v>
      </c>
      <c r="EZ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8" t="e">
        <f aca="false">VLOOKUP(A99,'Données projet'!$A$217:$I$237,2,0)</f>
        <v>#N/A</v>
      </c>
      <c r="FC99" s="118" t="e">
        <f aca="false">VLOOKUP(A99,'Données projet'!$A$217:$I$237,9,0)</f>
        <v>#N/A</v>
      </c>
      <c r="FD99" s="118" t="e">
        <f aca="false" t="array" ref="FD99:FD99">INDEX(FC:FC,MIN(IF(ISNUMBER(FC99:FC295),ROW(FC99:FC295),"")))</f>
        <v>#N/A</v>
      </c>
      <c r="FE99" s="118" t="n">
        <f aca="false">IF('Données projet'!$A$218&gt;35,FE98+FD99-FM98,IF(A99&lt;'Données projet'!$A$218,$FB$205^A99,IF(A99='Données projet'!$A$218,'Données projet'!$B$218,FE98+FD99-FM98)))</f>
        <v>0</v>
      </c>
      <c r="FF99" s="125" t="e">
        <f aca="false">FE99*VLOOKUP('Données projet'!$B$16,Paramètres!$A$1:$I$89,3,0)*VLOOKUP('Données projet'!$B$16,Paramètres!$A$1:$I$89,5,0)</f>
        <v>#N/A</v>
      </c>
      <c r="FG99" s="117" t="e">
        <f aca="false">EXP(-1.0587+0.8836*LN(FF99)+0.284)</f>
        <v>#N/A</v>
      </c>
      <c r="FH99" s="128" t="e">
        <f aca="false">(FF99+FG99)*0.475*44/12</f>
        <v>#N/A</v>
      </c>
      <c r="FI99" s="120" t="e">
        <f aca="false">FH99+(EZ99+FA99)*44/12</f>
        <v>#N/A</v>
      </c>
      <c r="FJ99" s="120" t="e">
        <f aca="true">AVERAGE(OFFSET($FI$3,0,0,'Données projet'!$E$16+1,1))-AVERAGE(OFFSET($H$3,0,0,'Données projet'!$E$16+1,1))</f>
        <v>#N/A</v>
      </c>
      <c r="FK99" s="120" t="e">
        <f aca="false">$FK$3</f>
        <v>#N/A</v>
      </c>
      <c r="FL99" s="121" t="n">
        <f aca="false">IF(ISNA(VLOOKUP(A99,'Données projet'!$A$217:$I$237,3,0)),0,VLOOKUP(A99,'Données projet'!$A$217:$I$237,3,0))</f>
        <v>0</v>
      </c>
      <c r="FM99" s="121" t="n">
        <f aca="false">IF(ISNA(VLOOKUP(A99,'Données projet'!$A$217:$I$237,4,0)),0,VLOOKUP(A99,'Données projet'!$A$217:$I$237,4,0))</f>
        <v>0</v>
      </c>
      <c r="FN99" s="122" t="n">
        <f aca="false">IF(ISNA(VLOOKUP(A99,'Données projet'!$A$217:$I$237,5,0)),0%,VLOOKUP(A99,'Données projet'!$A$217:$I$237,5,0)*VLOOKUP('Données projet'!$B$16,Paramètres!$A$1:$I$89,7,0))</f>
        <v>0</v>
      </c>
      <c r="FO99" s="122" t="n">
        <f aca="false">IF(ISNA(VLOOKUP(A99,'Données projet'!$A$217:$I$237,6,0)),0%,VLOOKUP(A99,'Données projet'!$A$217:$I$237,6,0)*VLOOKUP('Données projet'!$B$16,Paramètres!$A$1:$I$89,7,0))</f>
        <v>0</v>
      </c>
      <c r="FP99" s="122" t="n">
        <f aca="false">IF(ISNA(VLOOKUP(A99,'Données projet'!$A$217:$I$237,7,0)),0%,VLOOKUP(A99,'Données projet'!$A$217:$I$237,7,0))</f>
        <v>0</v>
      </c>
      <c r="FQ99" s="129" t="e">
        <f aca="false">EXP(-LN(2)/35)*FQ98+(1-EXP(-LN(2)/35))/(LN(2)/35)*FM99*FN99*VLOOKUP('Données projet'!$B$16,Paramètres!$A$1:$I$89,3,0)*0.475*44/12</f>
        <v>#N/A</v>
      </c>
      <c r="FR99" s="129" t="e">
        <f aca="false">EXP(-LN(2)/25)*FR98+(1-EXP(-LN(2)/25))/(LN(2)/25)*Calculateur!FM99*Calculateur!FO99*VLOOKUP('Données projet'!$B$16,Paramètres!$A$1:$I$89,3,0)*0.475*44/12</f>
        <v>#N/A</v>
      </c>
      <c r="FS99" s="129" t="e">
        <f aca="false">EXP(-LN(2)/2)*FS98+(1-EXP(-LN(2)/2))/(LN(2)/2)*FM99*FP99*VLOOKUP('Données projet'!$B$16,Paramètres!$A$1:$I$89,3,0)*0.475*44/12</f>
        <v>#N/A</v>
      </c>
      <c r="FT99" s="130" t="e">
        <f aca="false">SUM(FQ99:FS99)</f>
        <v>#N/A</v>
      </c>
      <c r="FU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8" t="e">
        <f aca="false">VLOOKUP(A99,'Données projet'!$A$243:$I$263,2,0)</f>
        <v>#N/A</v>
      </c>
      <c r="FX99" s="118" t="e">
        <f aca="false">VLOOKUP(A99,'Données projet'!$A$243:$I$263,9,0)</f>
        <v>#N/A</v>
      </c>
      <c r="FY99" s="118" t="e">
        <f aca="false" t="array" ref="FY99:FY99">INDEX(FX:FX,MIN(IF(ISNUMBER(FX99:FX295),ROW(FX99:FX295),"")))</f>
        <v>#N/A</v>
      </c>
      <c r="FZ99" s="118" t="n">
        <f aca="false">IF('Données projet'!$A$244&gt;35,FZ98+FY99-GH98,IF(A99&lt;'Données projet'!$A$244,$FW$205^A99,IF(A99='Données projet'!$A$244,'Données projet'!$B$244,FZ98+FY99-GH98)))</f>
        <v>0</v>
      </c>
      <c r="GA99" s="125" t="e">
        <f aca="false">FZ99*VLOOKUP('Données projet'!$B$17,Paramètres!$A$1:$I$89,3,0)*VLOOKUP('Données projet'!$B$17,Paramètres!$A$1:$I$89,5,0)</f>
        <v>#N/A</v>
      </c>
      <c r="GB99" s="117" t="e">
        <f aca="false">EXP(-1.0587+0.8836*LN(GA99)+0.284)</f>
        <v>#N/A</v>
      </c>
      <c r="GC99" s="128" t="e">
        <f aca="false">(GA99+GB99)*0.475*44/12</f>
        <v>#N/A</v>
      </c>
      <c r="GD99" s="120" t="e">
        <f aca="false">GC99+(FU99+FV99)*44/12</f>
        <v>#N/A</v>
      </c>
      <c r="GE99" s="120" t="e">
        <f aca="true">AVERAGE(OFFSET($GD$3,0,0,'Données projet'!$E$17+1,1))-AVERAGE(OFFSET($H$3,0,0,'Données projet'!$E$17+1,1))</f>
        <v>#N/A</v>
      </c>
      <c r="GF99" s="120" t="e">
        <f aca="false">$GF$3</f>
        <v>#N/A</v>
      </c>
      <c r="GG99" s="121" t="n">
        <f aca="false">IF(ISNA(VLOOKUP(A99,'Données projet'!$A$243:$I$263,3,0)),0,VLOOKUP(A99,'Données projet'!$A$243:$I$263,3,0))</f>
        <v>0</v>
      </c>
      <c r="GH99" s="121" t="n">
        <f aca="false">IF(ISNA(VLOOKUP(A99,'Données projet'!$A$243:$I$263,4,0)),0,VLOOKUP(A99,'Données projet'!$A$243:$I$263,4,0))</f>
        <v>0</v>
      </c>
      <c r="GI99" s="122" t="n">
        <f aca="false">IF(ISNA(VLOOKUP(A99,'Données projet'!$A$243:$I$263,5,0)),0%,VLOOKUP(A99,'Données projet'!$A$243:$I$263,5,0)*VLOOKUP('Données projet'!$B$17,Paramètres!$A$1:$I$89,7,0))</f>
        <v>0</v>
      </c>
      <c r="GJ99" s="122" t="n">
        <f aca="false">IF(ISNA(VLOOKUP(A99,'Données projet'!$A$243:$I$263,6,0)),0%,VLOOKUP(A99,'Données projet'!$A$243:$I$263,6,0)*VLOOKUP('Données projet'!$B$17,Paramètres!$A$1:$I$89,7,0))</f>
        <v>0</v>
      </c>
      <c r="GK99" s="122" t="n">
        <f aca="false">IF(ISNA(VLOOKUP(A99,'Données projet'!$A$243:$I$263,7,0)),0%,VLOOKUP(A99,'Données projet'!$A$243:$I$263,7,0))</f>
        <v>0</v>
      </c>
      <c r="GL99" s="129" t="e">
        <f aca="false">EXP(-LN(2)/35)*GL98+(1-EXP(-LN(2)/35))/(LN(2)/35)*GH99*GI99*VLOOKUP('Données projet'!$B$17,Paramètres!$A$1:$I$89,3,0)*0.475*44/12</f>
        <v>#N/A</v>
      </c>
      <c r="GM99" s="129" t="e">
        <f aca="false">EXP(-LN(2)/25)*GM98+(1-EXP(-LN(2)/25))/(LN(2)/25)*Calculateur!GH99*Calculateur!GJ99*VLOOKUP('Données projet'!$B$17,Paramètres!$A$1:$I$89,3,0)*0.475*44/12</f>
        <v>#N/A</v>
      </c>
      <c r="GN99" s="129" t="e">
        <f aca="false">EXP(-LN(2)/2)*GN98+(1-EXP(-LN(2)/2))/(LN(2)/2)*GH99*GK99*VLOOKUP('Données projet'!$B$17,Paramètres!$A$1:$I$89,3,0)*0.475*44/12</f>
        <v>#N/A</v>
      </c>
      <c r="GO99" s="129" t="e">
        <f aca="false">SUM(GL99:GN99)</f>
        <v>#N/A</v>
      </c>
      <c r="GP99" s="126" t="n">
        <f aca="false"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8" t="n">
        <f aca="false"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8" t="e">
        <f aca="false">VLOOKUP(A99,'Données projet'!$A$269:$I$289,2,0)</f>
        <v>#N/A</v>
      </c>
      <c r="GS99" s="118" t="e">
        <f aca="false">VLOOKUP(A99,'Données projet'!$A$269:$I$289,9,0)</f>
        <v>#N/A</v>
      </c>
      <c r="GT99" s="118" t="e">
        <f aca="false" t="array" ref="GT99:GT99">INDEX(GS:GS,MIN(IF(ISNUMBER(GS99:GS295),ROW(GS99:GS295),"")))</f>
        <v>#N/A</v>
      </c>
      <c r="GU99" s="118" t="n">
        <f aca="false">IF('Données projet'!$A$270&gt;35,GU98+GT99-HC98,IF(A99&lt;'Données projet'!$A$270,$GR$205^A99,IF(A99='Données projet'!$A$270,'Données projet'!$B$270,GU98+GT99-HC98)))</f>
        <v>0</v>
      </c>
      <c r="GV99" s="125" t="e">
        <f aca="false">GU99*VLOOKUP('Données projet'!$B$18,Paramètres!$A$1:$I$89,3,0)*VLOOKUP('Données projet'!$B$18,Paramètres!$A$1:$I$89,5,0)</f>
        <v>#N/A</v>
      </c>
      <c r="GW99" s="117" t="e">
        <f aca="false">EXP(-1.0587+0.8836*LN(GV99)+0.284)</f>
        <v>#N/A</v>
      </c>
      <c r="GX99" s="128" t="e">
        <f aca="false">(GV99+GW99)*0.475*44/12</f>
        <v>#N/A</v>
      </c>
      <c r="GY99" s="120" t="e">
        <f aca="false">GX99+(GP99+GQ99)*44/12</f>
        <v>#N/A</v>
      </c>
      <c r="GZ99" s="120" t="e">
        <f aca="true">AVERAGE(OFFSET($GY$3,0,0,'Données projet'!$E$18+1,1))-AVERAGE(OFFSET($H$3,0,0,'Données projet'!$E$18+1,1))</f>
        <v>#N/A</v>
      </c>
      <c r="HA99" s="120" t="e">
        <f aca="false">$HA$3</f>
        <v>#N/A</v>
      </c>
      <c r="HB99" s="121" t="n">
        <f aca="false">IF(ISNA(VLOOKUP(A99,'Données projet'!$A$269:$I$289,3,0)),0,VLOOKUP(A99,'Données projet'!$A$269:$I$289,3,0))</f>
        <v>0</v>
      </c>
      <c r="HC99" s="121" t="n">
        <f aca="false">IF(ISNA(VLOOKUP(A99,'Données projet'!$A$269:$I$289,4,0)),0,VLOOKUP(A99,'Données projet'!$A$269:$I$289,4,0))</f>
        <v>0</v>
      </c>
      <c r="HD99" s="122" t="n">
        <f aca="false">IF(ISNA(VLOOKUP(A99,'Données projet'!$A$269:$I$289,5,0)),0%,VLOOKUP(A99,'Données projet'!$A$269:$I$289,5,0)*VLOOKUP('Données projet'!$B$18,Paramètres!$A$1:$I$89,7,0))</f>
        <v>0</v>
      </c>
      <c r="HE99" s="122" t="n">
        <f aca="false">IF(ISNA(VLOOKUP(A99,'Données projet'!$A$269:$I$289,6,0)),0%,VLOOKUP(A99,'Données projet'!$A$269:$I$289,6,0)*VLOOKUP('Données projet'!$B$18,Paramètres!$A$1:$I$89,7,0))</f>
        <v>0</v>
      </c>
      <c r="HF99" s="122" t="n">
        <f aca="false">IF(ISNA(VLOOKUP(A99,'Données projet'!$A$269:$I$289,7,0)),0%,VLOOKUP(A99,'Données projet'!$A$269:$I$289,7,0))</f>
        <v>0</v>
      </c>
      <c r="HG99" s="129" t="e">
        <f aca="false">EXP(-LN(2)/35)*HG98+(1-EXP(-LN(2)/35))/(LN(2)/35)*HC99*HD99*VLOOKUP('Données projet'!$B$18,Paramètres!$A$1:$I$89,3,0)*0.475*44/12</f>
        <v>#N/A</v>
      </c>
      <c r="HH99" s="129" t="e">
        <f aca="false">EXP(-LN(2)/25)*HH98+(1-EXP(-LN(2)/25))/(LN(2)/25)*Calculateur!HC99*Calculateur!HE99*VLOOKUP('Données projet'!$B$18,Paramètres!$A$1:$I$89,3,0)*0.475*44/12</f>
        <v>#N/A</v>
      </c>
      <c r="HI99" s="129" t="e">
        <f aca="false">EXP(-LN(2)/2)*HI98+(1-EXP(-LN(2)/2))/(LN(2)/2)*HC99*HF99*VLOOKUP('Données projet'!$B$18,Paramètres!$A$1:$I$89,3,0)*0.475*44/12</f>
        <v>#N/A</v>
      </c>
      <c r="HJ99" s="130" t="e">
        <f aca="false">SUM(HG99:HI99)</f>
        <v>#N/A</v>
      </c>
    </row>
    <row r="100" customFormat="false" ht="14.25" hidden="false" customHeight="false" outlineLevel="0" collapsed="false">
      <c r="A100" s="112" t="n">
        <f aca="false">A99+1</f>
        <v>97</v>
      </c>
      <c r="B100" s="113" t="n">
        <f aca="false">'Scénario référence'!$B$16*5+'Scénario référence'!$B$17*0+'Scénario référence'!$B$18*5</f>
        <v>0</v>
      </c>
      <c r="C100" s="127" t="n">
        <f aca="false"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4" t="n">
        <f aca="false">IFERROR(EXP(-1.0587+0.8836*LN(C100)+0.284),0)</f>
        <v>0</v>
      </c>
      <c r="E10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0" s="114" t="n">
        <f aca="false">IF(OR('Scénario référence'!$F$8&gt;0,'Scénario référence'!$F$9&gt;0),('Scénario référence'!$F$8+'Scénario référence'!$F$9)*10,0)</f>
        <v>0</v>
      </c>
      <c r="G100" s="114" t="n">
        <f aca="false"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15" t="n">
        <f aca="false">(B100+E100+F100)*44/12+(C100+D100)*0.475*44/12</f>
        <v>256.666666666667</v>
      </c>
      <c r="I100" s="11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7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8" t="e">
        <f aca="false">VLOOKUP(A100,'Données projet'!$A$35:$I$55,2,0)</f>
        <v>#N/A</v>
      </c>
      <c r="L100" s="118" t="e">
        <f aca="false">VLOOKUP(A100,'Données projet'!$A$35:$I$55,9,0)</f>
        <v>#N/A</v>
      </c>
      <c r="M100" s="118" t="n">
        <f aca="false" t="array" ref="M100:M100">INDEX(L:L,MIN(IF(ISNUMBER(L100:L296),ROW(L100:L296),"")))</f>
        <v>18.5</v>
      </c>
      <c r="N100" s="117" t="n">
        <f aca="false">IF('Données projet'!$A$36&gt;35,N99+M100-V99,IF(A100&lt;'Données projet'!$A$36,$K$205^A100,IF(A100='Données projet'!$A$36,'Données projet'!$B$36,N99+M100-V99)))</f>
        <v>620</v>
      </c>
      <c r="O100" s="117" t="n">
        <f aca="false">N100*VLOOKUP('Données projet'!$B$9,Paramètres!$A$1:$I$89,3,0)*VLOOKUP('Données projet'!$B$9,Paramètres!$A$1:$I$89,5,0)</f>
        <v>290.16</v>
      </c>
      <c r="P100" s="117" t="n">
        <f aca="false">EXP(-1.0587+0.8836*LN(O100)+0.284)</f>
        <v>69.1096347170399</v>
      </c>
      <c r="Q100" s="128" t="n">
        <f aca="false">(O100+P100)*0.475*44/12</f>
        <v>625.727947132178</v>
      </c>
      <c r="R100" s="120" t="n">
        <f aca="false">Q100+(I100+J100)*44/12</f>
        <v>919.061280465511</v>
      </c>
      <c r="S100" s="120" t="n">
        <f aca="true">AVERAGE(OFFSET($R$3,0,0,'Données projet'!$E$9+1,1))-AVERAGE(OFFSET($H$3,0,0,'Données projet'!$E$9+1,1))</f>
        <v>319.229030946746</v>
      </c>
      <c r="T100" s="120" t="n">
        <f aca="false">$T$3</f>
        <v>254.586909731428</v>
      </c>
      <c r="U100" s="121" t="n">
        <f aca="false">IF(ISNA(VLOOKUP(A100,'Données projet'!$A$35:$I$55,3,0)),0,VLOOKUP(A100,'Données projet'!$A$35:$I$55,3,0))</f>
        <v>0</v>
      </c>
      <c r="V100" s="121" t="n">
        <f aca="false">IF(ISNA(VLOOKUP(A100,'Données projet'!$A$35:$I$55,4,0)),0,VLOOKUP(A100,'Données projet'!$A$35:$I$55,4,0))</f>
        <v>0</v>
      </c>
      <c r="W100" s="122" t="n">
        <f aca="false">IF(ISNA(VLOOKUP(A100,'Données projet'!$A$35:$I$55,5,0)),0%,VLOOKUP(A100,'Données projet'!$A$35:$I$55,5,0)*VLOOKUP('Données projet'!$B$9,Paramètres!$A$1:$I$89,7,0))</f>
        <v>0</v>
      </c>
      <c r="X100" s="122" t="n">
        <f aca="false">IF(ISNA(VLOOKUP(A100,'Données projet'!$A$35:$I$55,6,0)),0%,VLOOKUP(A100,'Données projet'!$A$35:$I$55,6,0)*VLOOKUP('Données projet'!$B$9,Paramètres!$A$1:$I$89,7,0))</f>
        <v>0</v>
      </c>
      <c r="Y100" s="122" t="n">
        <f aca="false">IF(ISNA(VLOOKUP(A100,'Données projet'!$A$35:$I$55,7,0)),0%,VLOOKUP(A100,'Données projet'!$A$35:$I$55,7,0))</f>
        <v>0</v>
      </c>
      <c r="Z100" s="129" t="n">
        <f aca="false">EXP(-LN(2)/35)*Z99+(1-EXP(-LN(2)/35))/(LN(2)/35)*V100*W100*VLOOKUP('Données projet'!$B$9,Paramètres!$A$1:$I$89,3,0)*0.475*44/12</f>
        <v>2.40793669140265</v>
      </c>
      <c r="AA100" s="129" t="n">
        <f aca="false">EXP(-LN(2)/25)*AA99+(1-EXP(-LN(2)/25))/(LN(2)/25)*Calculateur!V100*Calculateur!X100*VLOOKUP('Données projet'!$B$9,Paramètres!$A$1:$I$89,3,0)*0.475*44/12</f>
        <v>1.74006671088477</v>
      </c>
      <c r="AB100" s="129" t="n">
        <f aca="false">EXP(-LN(2)/2)*AB99+(1-EXP(-LN(2)/2))/(LN(2)/2)*V100*Y100*VLOOKUP('Données projet'!$B$9,Paramètres!$A$1:$I$89,3,0)*0.475*44/12</f>
        <v>9.09048964898548E-010</v>
      </c>
      <c r="AC100" s="130" t="n">
        <f aca="false">SUM(Z100:AB100)</f>
        <v>4.14800340319648</v>
      </c>
      <c r="AD100" s="117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7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8" t="e">
        <f aca="false">VLOOKUP(A100,'Données projet'!$A$61:$I$81,2,0)</f>
        <v>#N/A</v>
      </c>
      <c r="AG100" s="118" t="e">
        <f aca="false">VLOOKUP(A100,'Données projet'!$A$61:$I$81,9,0)</f>
        <v>#N/A</v>
      </c>
      <c r="AH100" s="118" t="e">
        <f aca="false" t="array" ref="AH100:AH100">INDEX(AG:AG,MIN(IF(ISNUMBER(AG100:AG296),ROW(AG100:AG296),"")))</f>
        <v>#N/A</v>
      </c>
      <c r="AI100" s="117" t="n">
        <f aca="false">IF('Données projet'!$A$62&gt;35,AI99+AH100-AQ99,IF(A100&lt;'Données projet'!$A$62,$AF$205^A100,IF(A100='Données projet'!$A$62,'Données projet'!$B$62,AI99+AH100-AQ99)))</f>
        <v>1.13686837721616E-013</v>
      </c>
      <c r="AJ100" s="117" t="n">
        <f aca="false">AI100*VLOOKUP('Données projet'!$B$10,Paramètres!$A$1:$I$89,3,0)*VLOOKUP('Données projet'!$B$10,Paramètres!$A$1:$I$89,5,0)</f>
        <v>6.35509422863834E-014</v>
      </c>
      <c r="AK100" s="117" t="n">
        <f aca="false">EXP(-1.0587+0.8836*LN(AJ100)+0.284)</f>
        <v>1.0064464192544E-012</v>
      </c>
      <c r="AL100" s="128" t="n">
        <f aca="false">(AJ100+AK100)*0.475*44/12</f>
        <v>1.86357873801686E-012</v>
      </c>
      <c r="AM100" s="120" t="n">
        <f aca="false">AL100+(AD100+AE100)*44/12</f>
        <v>293.333333333335</v>
      </c>
      <c r="AN100" s="120" t="n">
        <f aca="true">AVERAGE(OFFSET($AM$3,0,0,'Données projet'!$E$10+1,1))-AVERAGE(OFFSET($H$3,0,0,'Données projet'!$E$10+1,1))</f>
        <v>365.705101827279</v>
      </c>
      <c r="AO100" s="120" t="n">
        <f aca="false">$AO$3</f>
        <v>436.238338449625</v>
      </c>
      <c r="AP100" s="121" t="n">
        <f aca="false">IF(ISNA(VLOOKUP(A100,'Données projet'!$A$61:$I$81,3,0)),0,VLOOKUP(A100,'Données projet'!$A$61:$I$81,3,0))</f>
        <v>0</v>
      </c>
      <c r="AQ100" s="121" t="n">
        <f aca="false">IF(ISNA(VLOOKUP(A100,'Données projet'!$A$61:$I$81,4,0)),0,VLOOKUP(A100,'Données projet'!$A$61:$I$81,4,0))</f>
        <v>0</v>
      </c>
      <c r="AR100" s="122" t="n">
        <f aca="false">IF(ISNA(VLOOKUP(A100,'Données projet'!$A$61:$I$81,5,0)),0%,VLOOKUP(A100,'Données projet'!$A$61:$I$81,5,0)*VLOOKUP('Données projet'!$B$10,Paramètres!$A$1:$I$89,7,0))</f>
        <v>0</v>
      </c>
      <c r="AS100" s="122" t="n">
        <f aca="false">IF(ISNA(VLOOKUP(A100,'Données projet'!$A$61:$I$81,6,0)),0%,VLOOKUP(A100,'Données projet'!$A$61:$I$81,6,0)*VLOOKUP('Données projet'!$B$10,Paramètres!$A$1:$I$89,7,0))</f>
        <v>0</v>
      </c>
      <c r="AT100" s="122" t="n">
        <f aca="false">IF(ISNA(VLOOKUP(A100,'Données projet'!$A$61:$I$81,7,0)),0%,VLOOKUP(A100,'Données projet'!$A$61:$I$81,7,0))</f>
        <v>0</v>
      </c>
      <c r="AU100" s="129" t="n">
        <f aca="false">EXP(-LN(2)/35)*AU99+(1-EXP(-LN(2)/35))/(LN(2)/35)*AQ100*AR100*VLOOKUP('Données projet'!$B$10,Paramètres!$A$1:$I$89,3,0)*0.475*44/12</f>
        <v>0.908918032302589</v>
      </c>
      <c r="AV100" s="129" t="n">
        <f aca="false">EXP(-LN(2)/25)*AV99+(1-EXP(-LN(2)/25))/(LN(2)/25)*Calculateur!AQ100*Calculateur!AS100*VLOOKUP('Données projet'!$B$10,Paramètres!$A$1:$I$89,3,0)*0.475*44/12</f>
        <v>2.06101493385014</v>
      </c>
      <c r="AW100" s="129" t="n">
        <f aca="false">EXP(-LN(2)/2)*AW99+(1-EXP(-LN(2)/2))/(LN(2)/2)*AQ100*AT100*VLOOKUP('Données projet'!$B$10,Paramètres!$A$1:$I$89,3,0)*0.475*44/12</f>
        <v>4.89221740803357E-010</v>
      </c>
      <c r="AX100" s="129" t="n">
        <f aca="false">SUM(AU100:AW100)</f>
        <v>2.96993296664195</v>
      </c>
      <c r="AY100" s="124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8" t="e">
        <f aca="false">VLOOKUP(A100,'Données projet'!$A$87:$I$107,2,0)</f>
        <v>#N/A</v>
      </c>
      <c r="BB100" s="118" t="e">
        <f aca="false">VLOOKUP(A100,'Données projet'!$A$87:$I$107,9,0)</f>
        <v>#N/A</v>
      </c>
      <c r="BC100" s="118" t="e">
        <f aca="false" t="array" ref="BC100:BC100">INDEX(BB:BB,MIN(IF(ISNUMBER(BB100:BB296),ROW(BB100:BB296),"")))</f>
        <v>#N/A</v>
      </c>
      <c r="BD100" s="118" t="n">
        <f aca="false">IF('Données projet'!$A$88&gt;35,BD99+BC100-BL99,IF(A100&lt;'Données projet'!$A$88,$BA$205^A100,IF(A100='Données projet'!$A$88,'Données projet'!$B$88,BD99+BC100-BL99)))</f>
        <v>1.98951966012828E-013</v>
      </c>
      <c r="BE100" s="117" t="n">
        <f aca="false">BD100*VLOOKUP('Données projet'!$B$11,Paramètres!$A$1:$I$89,3,0)*VLOOKUP('Données projet'!$B$11,Paramètres!$A$1:$I$89,5,0)</f>
        <v>1.73804437508807E-013</v>
      </c>
      <c r="BF100" s="117" t="n">
        <f aca="false">EXP(-1.0587+0.8836*LN(BE100)+0.284)</f>
        <v>2.44832936339505E-012</v>
      </c>
      <c r="BG100" s="128" t="n">
        <f aca="false">(BE100+BF100)*0.475*44/12</f>
        <v>4.56688303657421E-012</v>
      </c>
      <c r="BH100" s="120" t="n">
        <f aca="false">BG100+(AY100+AZ100)*44/12</f>
        <v>293.333333333338</v>
      </c>
      <c r="BI100" s="120" t="n">
        <f aca="true">AVERAGE(OFFSET($BH$3,0,0,'Données projet'!$E$11+1,1))-AVERAGE(OFFSET($H$3,0,0,'Données projet'!$E$11+1,1))</f>
        <v>321.235999689929</v>
      </c>
      <c r="BJ100" s="120" t="n">
        <f aca="false">$BJ$3</f>
        <v>388.051958478005</v>
      </c>
      <c r="BK100" s="121" t="n">
        <f aca="false">IF(ISNA(VLOOKUP(A100,'Données projet'!$A$87:$I$107,3,0)),0,VLOOKUP(A100,'Données projet'!$A$87:$I$107,3,0))</f>
        <v>0</v>
      </c>
      <c r="BL100" s="121" t="n">
        <f aca="false">IF(ISNA(VLOOKUP(A100,'Données projet'!$A$87:$I$107,4,0)),0,VLOOKUP(A100,'Données projet'!$A$87:$I$107,4,0))</f>
        <v>0</v>
      </c>
      <c r="BM100" s="122" t="n">
        <f aca="false">IF(ISNA(VLOOKUP(A100,'Données projet'!$A$87:$I$107,5,0)),0%,VLOOKUP(A100,'Données projet'!$A$87:$I$107,5,0)*VLOOKUP('Données projet'!$B$11,Paramètres!$A$1:$I$89,7,0))</f>
        <v>0</v>
      </c>
      <c r="BN100" s="122" t="n">
        <f aca="false">IF(ISNA(VLOOKUP(A100,'Données projet'!$A$87:$I$107,6,0)),0%,VLOOKUP(A100,'Données projet'!$A$87:$I$107,6,0)*VLOOKUP('Données projet'!$B$11,Paramètres!$A$1:$I$89,7,0))</f>
        <v>0</v>
      </c>
      <c r="BO100" s="122" t="n">
        <f aca="false">IF(ISNA(VLOOKUP(A100,'Données projet'!$A$87:$I$107,7,0)),0%,VLOOKUP(A100,'Données projet'!$A$87:$I$107,7,0))</f>
        <v>0</v>
      </c>
      <c r="BP100" s="129" t="n">
        <f aca="false">EXP(-LN(2)/35)*BP99+(1-EXP(-LN(2)/35))/(LN(2)/35)*BL100*BM100*VLOOKUP('Données projet'!$B$11,Paramètres!$A$1:$I$89,3,0)*0.475*44/12</f>
        <v>2.28194901907198</v>
      </c>
      <c r="BQ100" s="129" t="n">
        <f aca="false">EXP(-LN(2)/25)*BQ99+(1-EXP(-LN(2)/25))/(LN(2)/25)*Calculateur!BL100*Calculateur!BN100*VLOOKUP('Données projet'!$B$11,Paramètres!$A$1:$I$89,3,0)*0.475*44/12</f>
        <v>2.10376162775581</v>
      </c>
      <c r="BR100" s="129" t="n">
        <f aca="false">EXP(-LN(2)/2)*BR99+(1-EXP(-LN(2)/2))/(LN(2)/2)*BL100*BO100*VLOOKUP('Données projet'!$B$11,Paramètres!$A$1:$I$89,3,0)*0.475*44/12</f>
        <v>4.97283730883677E-010</v>
      </c>
      <c r="BS100" s="130" t="n">
        <f aca="false">SUM(BP100:BR100)</f>
        <v>4.38571064732508</v>
      </c>
      <c r="BT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8" t="e">
        <f aca="false">VLOOKUP(A100,'Données projet'!$A$113:$I$133,2,0)</f>
        <v>#N/A</v>
      </c>
      <c r="BW100" s="118" t="e">
        <f aca="false">VLOOKUP(A100,'Données projet'!$A$113:$I$133,9,0)</f>
        <v>#N/A</v>
      </c>
      <c r="BX100" s="118" t="e">
        <f aca="false" t="array" ref="BX100:BX100">INDEX(BW:BW,MIN(IF(ISNUMBER(BW100:BW296),ROW(BW100:BW296),"")))</f>
        <v>#N/A</v>
      </c>
      <c r="BY100" s="118" t="n">
        <f aca="false">IF('Données projet'!$A$114&gt;35,BY99+BX100-CG99,IF(A100&lt;'Données projet'!$A$114,$BV$205^A100,IF(A100='Données projet'!$A$114,'Données projet'!$B$114,BY99+BX100-CG99)))</f>
        <v>0</v>
      </c>
      <c r="BZ100" s="117" t="n">
        <f aca="false">BY100*VLOOKUP('Données projet'!$B$12,Paramètres!$A$1:$I$89,3,0)*VLOOKUP('Données projet'!$B$12,Paramètres!$A$1:$I$89,5,0)</f>
        <v>0</v>
      </c>
      <c r="CA100" s="117" t="e">
        <f aca="false">EXP(-1.0587+0.8836*LN(BZ100)+0.284)</f>
        <v>#VALUE!</v>
      </c>
      <c r="CB100" s="128" t="e">
        <f aca="false">(BZ100+CA100)*0.475*44/12</f>
        <v>#VALUE!</v>
      </c>
      <c r="CC100" s="120" t="e">
        <f aca="false">CB100+(BT100+BU100)*44/12</f>
        <v>#VALUE!</v>
      </c>
      <c r="CD100" s="120" t="n">
        <f aca="true">AVERAGE(OFFSET($CC$3,0,0,'Données projet'!$E$12+1,1))-AVERAGE(OFFSET($H$3,0,0,'Données projet'!$E$12+1,1))</f>
        <v>240.228848647662</v>
      </c>
      <c r="CE100" s="120" t="n">
        <f aca="false">$CE$3</f>
        <v>343.237768841432</v>
      </c>
      <c r="CF100" s="121" t="n">
        <f aca="false">IF(ISNA(VLOOKUP(A100,'Données projet'!$A$113:$I$133,3,0)),0,VLOOKUP(A100,'Données projet'!$A$113:$I$133,3,0))</f>
        <v>0</v>
      </c>
      <c r="CG100" s="121" t="n">
        <f aca="false">IF(ISNA(VLOOKUP(A100,'Données projet'!$A$113:$I$133,4,0)),0,VLOOKUP(A100,'Données projet'!$A$113:$I$133,4,0))</f>
        <v>0</v>
      </c>
      <c r="CH100" s="122" t="n">
        <f aca="false">IF(ISNA(VLOOKUP(A100,'Données projet'!$A$113:$I$133,5,0)),0%,VLOOKUP(A100,'Données projet'!$A$113:$I$133,5,0)*VLOOKUP('Données projet'!$B$12,Paramètres!$A$1:$I$89,7,0))</f>
        <v>0</v>
      </c>
      <c r="CI100" s="122" t="n">
        <f aca="false">IF(ISNA(VLOOKUP(A100,'Données projet'!$A$113:$I$133,6,0)),0%,VLOOKUP(A100,'Données projet'!$A$113:$I$133,6,0)*VLOOKUP('Données projet'!$B$12,Paramètres!$A$1:$I$89,7,0))</f>
        <v>0</v>
      </c>
      <c r="CJ100" s="122" t="n">
        <f aca="false">IF(ISNA(VLOOKUP(A100,'Données projet'!$A$113:$I$133,7,0)),0%,VLOOKUP(A100,'Données projet'!$A$113:$I$133,7,0))</f>
        <v>0</v>
      </c>
      <c r="CK100" s="129" t="n">
        <f aca="false">EXP(-LN(2)/35)*CK99+(1-EXP(-LN(2)/35))/(LN(2)/35)*CG100*CH100*VLOOKUP('Données projet'!$B$12,Paramètres!$A$1:$I$89,3,0)*0.475*44/12</f>
        <v>1.39673057938858</v>
      </c>
      <c r="CL100" s="129" t="n">
        <f aca="false">EXP(-LN(2)/25)*CL99+(1-EXP(-LN(2)/25))/(LN(2)/25)*Calculateur!CG100*Calculateur!CI100*VLOOKUP('Données projet'!$B$12,Paramètres!$A$1:$I$89,3,0)*0.475*44/12</f>
        <v>3.715364821139</v>
      </c>
      <c r="CM100" s="129" t="n">
        <f aca="false">EXP(-LN(2)/2)*CM99+(1-EXP(-LN(2)/2))/(LN(2)/2)*CG100*CJ100*VLOOKUP('Données projet'!$B$12,Paramètres!$A$1:$I$89,3,0)*0.475*44/12</f>
        <v>7.93532258723684E-010</v>
      </c>
      <c r="CN100" s="130" t="n">
        <f aca="false">SUM(CK100:CM100)</f>
        <v>5.11209540132111</v>
      </c>
      <c r="CO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8" t="e">
        <f aca="false">VLOOKUP(A100,'Données projet'!$A$139:$I$159,2,0)</f>
        <v>#N/A</v>
      </c>
      <c r="CR100" s="118" t="e">
        <f aca="false">VLOOKUP(A100,'Données projet'!$A$139:$I$159,9,0)</f>
        <v>#N/A</v>
      </c>
      <c r="CS100" s="118" t="e">
        <f aca="false" t="array" ref="CS100:CS100">INDEX(CR:CR,MIN(IF(ISNUMBER(CR100:CR296),ROW(CR100:CR296),"")))</f>
        <v>#N/A</v>
      </c>
      <c r="CT100" s="118" t="n">
        <f aca="false">IF('Données projet'!$A$140&gt;35,CT99+CS100-DB99,IF(A100&lt;'Données projet'!$A$140,$CQ$205^A100,IF(A100='Données projet'!$A$140,'Données projet'!$B$140,CT99+CS100-DB99)))</f>
        <v>-5.6843418860808E-014</v>
      </c>
      <c r="CU100" s="125" t="n">
        <f aca="false">CT100*VLOOKUP('Données projet'!$B$13,Paramètres!$A$1:$I$89,3,0)*VLOOKUP('Données projet'!$B$13,Paramètres!$A$1:$I$89,5,0)</f>
        <v>-3.10365066980012E-014</v>
      </c>
      <c r="CV100" s="117" t="e">
        <f aca="false">EXP(-1.0587+0.8836*LN(CU100)+0.284)</f>
        <v>#VALUE!</v>
      </c>
      <c r="CW100" s="128" t="e">
        <f aca="false">(CU100+CV100)*0.475*44/12</f>
        <v>#VALUE!</v>
      </c>
      <c r="CX100" s="120" t="e">
        <f aca="false">CW100+(CO100+CP100)*44/12</f>
        <v>#VALUE!</v>
      </c>
      <c r="CY100" s="120" t="n">
        <f aca="true">AVERAGE(OFFSET($CX$3,0,0,'Données projet'!$E$13+1,1))-AVERAGE(OFFSET($H$3,0,0,'Données projet'!$E$13+1,1))</f>
        <v>207.023069645676</v>
      </c>
      <c r="CZ100" s="120" t="n">
        <f aca="false">$CZ$3</f>
        <v>342.068879333518</v>
      </c>
      <c r="DA100" s="121" t="n">
        <f aca="false">IF(ISNA(VLOOKUP(A100,'Données projet'!$A$139:$I$159,3,0)),0,VLOOKUP(A100,'Données projet'!$A$139:$I$159,3,0))</f>
        <v>0</v>
      </c>
      <c r="DB100" s="121" t="n">
        <f aca="false">IF(ISNA(VLOOKUP(A100,'Données projet'!$A$139:$I$159,4,0)),0,VLOOKUP(A100,'Données projet'!$A$139:$I$159,4,0))</f>
        <v>0</v>
      </c>
      <c r="DC100" s="122" t="n">
        <f aca="false">IF(ISNA(VLOOKUP(A100,'Données projet'!$A$139:$I$159,5,0)),0%,VLOOKUP(A100,'Données projet'!$A$139:$I$159,5,0)*VLOOKUP('Données projet'!$B$13,Paramètres!$A$1:$I$89,7,0))</f>
        <v>0</v>
      </c>
      <c r="DD100" s="122" t="n">
        <f aca="false">IF(ISNA(VLOOKUP(A100,'Données projet'!$A$139:$I$159,6,0)),0%,VLOOKUP(A100,'Données projet'!$A$139:$I$159,6,0)*VLOOKUP('Données projet'!$B$13,Paramètres!$A$1:$I$89,7,0))</f>
        <v>0</v>
      </c>
      <c r="DE100" s="122" t="n">
        <f aca="false">IF(ISNA(VLOOKUP(A100,'Données projet'!$A$139:$I$159,7,0)),0%,VLOOKUP(A100,'Données projet'!$A$139:$I$159,7,0))</f>
        <v>0</v>
      </c>
      <c r="DF100" s="129" t="n">
        <f aca="false">EXP(-LN(2)/35)*DF99+(1-EXP(-LN(2)/35))/(LN(2)/35)*DB100*DC100*VLOOKUP('Données projet'!$B$13,Paramètres!$A$1:$I$89,3,0)*0.475*44/12</f>
        <v>1.75250157602529</v>
      </c>
      <c r="DG100" s="129" t="n">
        <f aca="false">EXP(-LN(2)/25)*DG99+(1-EXP(-LN(2)/25))/(LN(2)/25)*Calculateur!DB100*Calculateur!DD100*VLOOKUP('Données projet'!$B$13,Paramètres!$A$1:$I$89,3,0)*0.475*44/12</f>
        <v>6.07307407462781</v>
      </c>
      <c r="DH100" s="129" t="n">
        <f aca="false">EXP(-LN(2)/2)*DH99+(1-EXP(-LN(2)/2))/(LN(2)/2)*DB100*DE100*VLOOKUP('Données projet'!$B$13,Paramètres!$A$1:$I$89,3,0)*0.475*44/12</f>
        <v>1.09269428816406E-009</v>
      </c>
      <c r="DI100" s="130" t="n">
        <f aca="false">SUM(DF100:DH100)</f>
        <v>7.82557565174579</v>
      </c>
      <c r="DJ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8" t="e">
        <f aca="false">VLOOKUP(A100,'Données projet'!$A$165:$I$185,2,0)</f>
        <v>#N/A</v>
      </c>
      <c r="DM100" s="118" t="e">
        <f aca="false">VLOOKUP(A100,'Données projet'!$A$165:$I$185,9,0)</f>
        <v>#N/A</v>
      </c>
      <c r="DN100" s="118" t="e">
        <f aca="false" t="array" ref="DN100:DN100">INDEX(DM:DM,MIN(IF(ISNUMBER(DM100:DM296),ROW(DM100:DM296),"")))</f>
        <v>#N/A</v>
      </c>
      <c r="DO100" s="118" t="n">
        <f aca="false">IF('Données projet'!$A$166&gt;35,DO99+DN100-DW99,IF(A100&lt;'Données projet'!$A$166,$DL$205^A100,IF(A100='Données projet'!$A$166,'Données projet'!$B$166,DO99+DN100-DW99)))</f>
        <v>0</v>
      </c>
      <c r="DP100" s="125" t="n">
        <f aca="false">DO100*VLOOKUP('Données projet'!$B$14,Paramètres!$A$1:$I$89,3,0)*VLOOKUP('Données projet'!$B$14,Paramètres!$A$1:$I$89,5,0)</f>
        <v>0</v>
      </c>
      <c r="DQ100" s="117" t="e">
        <f aca="false">EXP(-1.0587+0.8836*LN(DP100)+0.284)</f>
        <v>#VALUE!</v>
      </c>
      <c r="DR100" s="128" t="e">
        <f aca="false">(DP100+DQ100)*0.475*44/12</f>
        <v>#VALUE!</v>
      </c>
      <c r="DS100" s="120" t="e">
        <f aca="false">DR100+(DJ100+DK100)*44/12</f>
        <v>#VALUE!</v>
      </c>
      <c r="DT100" s="120" t="n">
        <f aca="true">AVERAGE(OFFSET($DS$3,0,0,'Données projet'!$E$14+1,1))-AVERAGE(OFFSET($H$3,0,0,'Données projet'!$E$14+1,1))</f>
        <v>549.432320957297</v>
      </c>
      <c r="DU100" s="120" t="n">
        <f aca="false">$DU$3</f>
        <v>280.26155987301</v>
      </c>
      <c r="DV100" s="121" t="n">
        <f aca="false">IF(ISNA(VLOOKUP(A100,'Données projet'!$A$165:$I$185,3,0)),0,VLOOKUP(A100,'Données projet'!$A$165:$I$185,3,0))</f>
        <v>0</v>
      </c>
      <c r="DW100" s="121" t="n">
        <f aca="false">IF(ISNA(VLOOKUP(A100,'Données projet'!$A$165:$I$185,4,0)),0,VLOOKUP(A100,'Données projet'!$A$165:$I$185,4,0))</f>
        <v>0</v>
      </c>
      <c r="DX100" s="122" t="n">
        <f aca="false">IF(ISNA(VLOOKUP(A100,'Données projet'!$A$165:$I$185,5,0)),0%,VLOOKUP(A100,'Données projet'!$A$165:$I$185,5,0)*VLOOKUP('Données projet'!$B$14,Paramètres!$A$1:$I$89,7,0))</f>
        <v>0</v>
      </c>
      <c r="DY100" s="122" t="n">
        <f aca="false">IF(ISNA(VLOOKUP(A100,'Données projet'!$A$165:$I$185,6,0)),0%,VLOOKUP(A100,'Données projet'!$A$165:$I$185,6,0)*VLOOKUP('Données projet'!$B$14,Paramètres!$A$1:$I$89,7,0))</f>
        <v>0</v>
      </c>
      <c r="DZ100" s="122" t="n">
        <f aca="false">IF(ISNA(VLOOKUP(A100,'Données projet'!$A$165:$I$185,7,0)),0%,VLOOKUP(A100,'Données projet'!$A$165:$I$185,7,0))</f>
        <v>0</v>
      </c>
      <c r="EA100" s="129" t="n">
        <f aca="false">EXP(-LN(2)/35)*EA99+(1-EXP(-LN(2)/35))/(LN(2)/35)*DW100*DX100*VLOOKUP('Données projet'!$B$14,Paramètres!$A$1:$I$89,3,0)*0.475*44/12</f>
        <v>0.637207618926747</v>
      </c>
      <c r="EB100" s="129" t="n">
        <f aca="false">EXP(-LN(2)/25)*EB99+(1-EXP(-LN(2)/25))/(LN(2)/25)*Calculateur!DW100*Calculateur!DY100*VLOOKUP('Données projet'!$B$14,Paramètres!$A$1:$I$89,3,0)*0.475*44/12</f>
        <v>1.20987617531137</v>
      </c>
      <c r="EC100" s="129" t="n">
        <f aca="false">EXP(-LN(2)/2)*EC99+(1-EXP(-LN(2)/2))/(LN(2)/2)*DW100*DZ100*VLOOKUP('Données projet'!$B$14,Paramètres!$A$1:$I$89,3,0)*0.475*44/12</f>
        <v>5.03709542903247E-010</v>
      </c>
      <c r="ED100" s="130" t="n">
        <f aca="false">SUM(EA100:EC100)</f>
        <v>1.84708379474182</v>
      </c>
      <c r="EE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8" t="e">
        <f aca="false">VLOOKUP(A100,'Données projet'!$A$191:$I$211,2,0)</f>
        <v>#N/A</v>
      </c>
      <c r="EH100" s="118" t="e">
        <f aca="false">VLOOKUP(A100,'Données projet'!$A$191:$I$211,9,0)</f>
        <v>#N/A</v>
      </c>
      <c r="EI100" s="118" t="e">
        <f aca="false" t="array" ref="EI100:EI100">INDEX(EH:EH,MIN(IF(ISNUMBER(EH100:EH296),ROW(EH100:EH296),"")))</f>
        <v>#N/A</v>
      </c>
      <c r="EJ100" s="118" t="n">
        <f aca="false">IF('Données projet'!$A$192&gt;35,EJ99+EI100-ER99,IF(A100&lt;'Données projet'!$A$192,$EG$205^A100,IF(A100='Données projet'!$A$192,'Données projet'!$B$192,EJ99+EI100-ER99)))</f>
        <v>0</v>
      </c>
      <c r="EK100" s="125" t="e">
        <f aca="false">EJ100*VLOOKUP('Données projet'!$B$15,Paramètres!$A$1:$I$89,3,0)*VLOOKUP('Données projet'!$B$15,Paramètres!$A$1:$I$89,5,0)</f>
        <v>#N/A</v>
      </c>
      <c r="EL100" s="117" t="e">
        <f aca="false">EXP(-1.0587+0.8836*LN(EK100)+0.284)</f>
        <v>#N/A</v>
      </c>
      <c r="EM100" s="128" t="e">
        <f aca="false">(EK100+EL100)*0.475*44/12</f>
        <v>#N/A</v>
      </c>
      <c r="EN100" s="120" t="e">
        <f aca="false">EM100+(EE100+EF100)*44/12</f>
        <v>#N/A</v>
      </c>
      <c r="EO100" s="120" t="e">
        <f aca="true">AVERAGE(OFFSET($EN$3,0,0,'Données projet'!$E$15+1,1))-AVERAGE(OFFSET($H$3,0,0,'Données projet'!$E$15+1,1))</f>
        <v>#N/A</v>
      </c>
      <c r="EP100" s="120" t="e">
        <f aca="false">$EP$3</f>
        <v>#N/A</v>
      </c>
      <c r="EQ100" s="121" t="n">
        <f aca="false">IF(ISNA(VLOOKUP(A100,'Données projet'!$A$191:$I$211,3,0)),0,VLOOKUP(A100,'Données projet'!$A$191:$I$211,3,0))</f>
        <v>0</v>
      </c>
      <c r="ER100" s="121" t="n">
        <f aca="false">IF(ISNA(VLOOKUP(A100,'Données projet'!$A$191:$I$211,4,0)),0,VLOOKUP(A100,'Données projet'!$A$191:$I$211,4,0))</f>
        <v>0</v>
      </c>
      <c r="ES100" s="122" t="n">
        <f aca="false">IF(ISNA(VLOOKUP(A100,'Données projet'!$A$191:$I$211,5,0)),0%,VLOOKUP(A100,'Données projet'!$A$191:$I$211,5,0)*VLOOKUP('Données projet'!$B$15,Paramètres!$A$1:$I$89,7,0))</f>
        <v>0</v>
      </c>
      <c r="ET100" s="122" t="n">
        <f aca="false">IF(ISNA(VLOOKUP(A100,'Données projet'!$A$191:$I$211,6,0)),0%,VLOOKUP(A100,'Données projet'!$A$191:$I$211,6,0)*VLOOKUP('Données projet'!$B$15,Paramètres!$A$1:$I$89,7,0))</f>
        <v>0</v>
      </c>
      <c r="EU100" s="122" t="n">
        <f aca="false">IF(ISNA(VLOOKUP(A100,'Données projet'!$A$191:$I$211,7,0)),0%,VLOOKUP(A100,'Données projet'!$A$191:$I$211,7,0))</f>
        <v>0</v>
      </c>
      <c r="EV100" s="129" t="e">
        <f aca="false">EXP(-LN(2)/35)*EV99+(1-EXP(-LN(2)/35))/(LN(2)/35)*ER100*ES100*VLOOKUP('Données projet'!$B$15,Paramètres!$A$1:$I$89,3,0)*0.475*44/12</f>
        <v>#N/A</v>
      </c>
      <c r="EW100" s="129" t="e">
        <f aca="false">EXP(-LN(2)/25)*EW99+(1-EXP(-LN(2)/25))/(LN(2)/25)*Calculateur!ER100*Calculateur!ET100*VLOOKUP('Données projet'!$B$15,Paramètres!$A$1:$I$89,3,0)*0.475*44/12</f>
        <v>#N/A</v>
      </c>
      <c r="EX100" s="129" t="e">
        <f aca="false">EXP(-LN(2)/2)*EX99+(1-EXP(-LN(2)/2))/(LN(2)/2)*ER100*EU100*VLOOKUP('Données projet'!$B$15,Paramètres!$A$1:$I$89,3,0)*0.475*44/12</f>
        <v>#N/A</v>
      </c>
      <c r="EY100" s="130" t="e">
        <f aca="false">SUM(EV100:EX100)</f>
        <v>#N/A</v>
      </c>
      <c r="EZ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8" t="e">
        <f aca="false">VLOOKUP(A100,'Données projet'!$A$217:$I$237,2,0)</f>
        <v>#N/A</v>
      </c>
      <c r="FC100" s="118" t="e">
        <f aca="false">VLOOKUP(A100,'Données projet'!$A$217:$I$237,9,0)</f>
        <v>#N/A</v>
      </c>
      <c r="FD100" s="118" t="e">
        <f aca="false" t="array" ref="FD100:FD100">INDEX(FC:FC,MIN(IF(ISNUMBER(FC100:FC296),ROW(FC100:FC296),"")))</f>
        <v>#N/A</v>
      </c>
      <c r="FE100" s="118" t="n">
        <f aca="false">IF('Données projet'!$A$218&gt;35,FE99+FD100-FM99,IF(A100&lt;'Données projet'!$A$218,$FB$205^A100,IF(A100='Données projet'!$A$218,'Données projet'!$B$218,FE99+FD100-FM99)))</f>
        <v>0</v>
      </c>
      <c r="FF100" s="125" t="e">
        <f aca="false">FE100*VLOOKUP('Données projet'!$B$16,Paramètres!$A$1:$I$89,3,0)*VLOOKUP('Données projet'!$B$16,Paramètres!$A$1:$I$89,5,0)</f>
        <v>#N/A</v>
      </c>
      <c r="FG100" s="117" t="e">
        <f aca="false">EXP(-1.0587+0.8836*LN(FF100)+0.284)</f>
        <v>#N/A</v>
      </c>
      <c r="FH100" s="128" t="e">
        <f aca="false">(FF100+FG100)*0.475*44/12</f>
        <v>#N/A</v>
      </c>
      <c r="FI100" s="120" t="e">
        <f aca="false">FH100+(EZ100+FA100)*44/12</f>
        <v>#N/A</v>
      </c>
      <c r="FJ100" s="120" t="e">
        <f aca="true">AVERAGE(OFFSET($FI$3,0,0,'Données projet'!$E$16+1,1))-AVERAGE(OFFSET($H$3,0,0,'Données projet'!$E$16+1,1))</f>
        <v>#N/A</v>
      </c>
      <c r="FK100" s="120" t="e">
        <f aca="false">$FK$3</f>
        <v>#N/A</v>
      </c>
      <c r="FL100" s="121" t="n">
        <f aca="false">IF(ISNA(VLOOKUP(A100,'Données projet'!$A$217:$I$237,3,0)),0,VLOOKUP(A100,'Données projet'!$A$217:$I$237,3,0))</f>
        <v>0</v>
      </c>
      <c r="FM100" s="121" t="n">
        <f aca="false">IF(ISNA(VLOOKUP(A100,'Données projet'!$A$217:$I$237,4,0)),0,VLOOKUP(A100,'Données projet'!$A$217:$I$237,4,0))</f>
        <v>0</v>
      </c>
      <c r="FN100" s="122" t="n">
        <f aca="false">IF(ISNA(VLOOKUP(A100,'Données projet'!$A$217:$I$237,5,0)),0%,VLOOKUP(A100,'Données projet'!$A$217:$I$237,5,0)*VLOOKUP('Données projet'!$B$16,Paramètres!$A$1:$I$89,7,0))</f>
        <v>0</v>
      </c>
      <c r="FO100" s="122" t="n">
        <f aca="false">IF(ISNA(VLOOKUP(A100,'Données projet'!$A$217:$I$237,6,0)),0%,VLOOKUP(A100,'Données projet'!$A$217:$I$237,6,0)*VLOOKUP('Données projet'!$B$16,Paramètres!$A$1:$I$89,7,0))</f>
        <v>0</v>
      </c>
      <c r="FP100" s="122" t="n">
        <f aca="false">IF(ISNA(VLOOKUP(A100,'Données projet'!$A$217:$I$237,7,0)),0%,VLOOKUP(A100,'Données projet'!$A$217:$I$237,7,0))</f>
        <v>0</v>
      </c>
      <c r="FQ100" s="129" t="e">
        <f aca="false">EXP(-LN(2)/35)*FQ99+(1-EXP(-LN(2)/35))/(LN(2)/35)*FM100*FN100*VLOOKUP('Données projet'!$B$16,Paramètres!$A$1:$I$89,3,0)*0.475*44/12</f>
        <v>#N/A</v>
      </c>
      <c r="FR100" s="129" t="e">
        <f aca="false">EXP(-LN(2)/25)*FR99+(1-EXP(-LN(2)/25))/(LN(2)/25)*Calculateur!FM100*Calculateur!FO100*VLOOKUP('Données projet'!$B$16,Paramètres!$A$1:$I$89,3,0)*0.475*44/12</f>
        <v>#N/A</v>
      </c>
      <c r="FS100" s="129" t="e">
        <f aca="false">EXP(-LN(2)/2)*FS99+(1-EXP(-LN(2)/2))/(LN(2)/2)*FM100*FP100*VLOOKUP('Données projet'!$B$16,Paramètres!$A$1:$I$89,3,0)*0.475*44/12</f>
        <v>#N/A</v>
      </c>
      <c r="FT100" s="130" t="e">
        <f aca="false">SUM(FQ100:FS100)</f>
        <v>#N/A</v>
      </c>
      <c r="FU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8" t="e">
        <f aca="false">VLOOKUP(A100,'Données projet'!$A$243:$I$263,2,0)</f>
        <v>#N/A</v>
      </c>
      <c r="FX100" s="118" t="e">
        <f aca="false">VLOOKUP(A100,'Données projet'!$A$243:$I$263,9,0)</f>
        <v>#N/A</v>
      </c>
      <c r="FY100" s="118" t="e">
        <f aca="false" t="array" ref="FY100:FY100">INDEX(FX:FX,MIN(IF(ISNUMBER(FX100:FX296),ROW(FX100:FX296),"")))</f>
        <v>#N/A</v>
      </c>
      <c r="FZ100" s="118" t="n">
        <f aca="false">IF('Données projet'!$A$244&gt;35,FZ99+FY100-GH99,IF(A100&lt;'Données projet'!$A$244,$FW$205^A100,IF(A100='Données projet'!$A$244,'Données projet'!$B$244,FZ99+FY100-GH99)))</f>
        <v>0</v>
      </c>
      <c r="GA100" s="125" t="e">
        <f aca="false">FZ100*VLOOKUP('Données projet'!$B$17,Paramètres!$A$1:$I$89,3,0)*VLOOKUP('Données projet'!$B$17,Paramètres!$A$1:$I$89,5,0)</f>
        <v>#N/A</v>
      </c>
      <c r="GB100" s="117" t="e">
        <f aca="false">EXP(-1.0587+0.8836*LN(GA100)+0.284)</f>
        <v>#N/A</v>
      </c>
      <c r="GC100" s="128" t="e">
        <f aca="false">(GA100+GB100)*0.475*44/12</f>
        <v>#N/A</v>
      </c>
      <c r="GD100" s="120" t="e">
        <f aca="false">GC100+(FU100+FV100)*44/12</f>
        <v>#N/A</v>
      </c>
      <c r="GE100" s="120" t="e">
        <f aca="true">AVERAGE(OFFSET($GD$3,0,0,'Données projet'!$E$17+1,1))-AVERAGE(OFFSET($H$3,0,0,'Données projet'!$E$17+1,1))</f>
        <v>#N/A</v>
      </c>
      <c r="GF100" s="120" t="e">
        <f aca="false">$GF$3</f>
        <v>#N/A</v>
      </c>
      <c r="GG100" s="121" t="n">
        <f aca="false">IF(ISNA(VLOOKUP(A100,'Données projet'!$A$243:$I$263,3,0)),0,VLOOKUP(A100,'Données projet'!$A$243:$I$263,3,0))</f>
        <v>0</v>
      </c>
      <c r="GH100" s="121" t="n">
        <f aca="false">IF(ISNA(VLOOKUP(A100,'Données projet'!$A$243:$I$263,4,0)),0,VLOOKUP(A100,'Données projet'!$A$243:$I$263,4,0))</f>
        <v>0</v>
      </c>
      <c r="GI100" s="122" t="n">
        <f aca="false">IF(ISNA(VLOOKUP(A100,'Données projet'!$A$243:$I$263,5,0)),0%,VLOOKUP(A100,'Données projet'!$A$243:$I$263,5,0)*VLOOKUP('Données projet'!$B$17,Paramètres!$A$1:$I$89,7,0))</f>
        <v>0</v>
      </c>
      <c r="GJ100" s="122" t="n">
        <f aca="false">IF(ISNA(VLOOKUP(A100,'Données projet'!$A$243:$I$263,6,0)),0%,VLOOKUP(A100,'Données projet'!$A$243:$I$263,6,0)*VLOOKUP('Données projet'!$B$17,Paramètres!$A$1:$I$89,7,0))</f>
        <v>0</v>
      </c>
      <c r="GK100" s="122" t="n">
        <f aca="false">IF(ISNA(VLOOKUP(A100,'Données projet'!$A$243:$I$263,7,0)),0%,VLOOKUP(A100,'Données projet'!$A$243:$I$263,7,0))</f>
        <v>0</v>
      </c>
      <c r="GL100" s="129" t="e">
        <f aca="false">EXP(-LN(2)/35)*GL99+(1-EXP(-LN(2)/35))/(LN(2)/35)*GH100*GI100*VLOOKUP('Données projet'!$B$17,Paramètres!$A$1:$I$89,3,0)*0.475*44/12</f>
        <v>#N/A</v>
      </c>
      <c r="GM100" s="129" t="e">
        <f aca="false">EXP(-LN(2)/25)*GM99+(1-EXP(-LN(2)/25))/(LN(2)/25)*Calculateur!GH100*Calculateur!GJ100*VLOOKUP('Données projet'!$B$17,Paramètres!$A$1:$I$89,3,0)*0.475*44/12</f>
        <v>#N/A</v>
      </c>
      <c r="GN100" s="129" t="e">
        <f aca="false">EXP(-LN(2)/2)*GN99+(1-EXP(-LN(2)/2))/(LN(2)/2)*GH100*GK100*VLOOKUP('Données projet'!$B$17,Paramètres!$A$1:$I$89,3,0)*0.475*44/12</f>
        <v>#N/A</v>
      </c>
      <c r="GO100" s="129" t="e">
        <f aca="false">SUM(GL100:GN100)</f>
        <v>#N/A</v>
      </c>
      <c r="GP100" s="126" t="n">
        <f aca="false"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8" t="n">
        <f aca="false"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8" t="e">
        <f aca="false">VLOOKUP(A100,'Données projet'!$A$269:$I$289,2,0)</f>
        <v>#N/A</v>
      </c>
      <c r="GS100" s="118" t="e">
        <f aca="false">VLOOKUP(A100,'Données projet'!$A$269:$I$289,9,0)</f>
        <v>#N/A</v>
      </c>
      <c r="GT100" s="118" t="e">
        <f aca="false" t="array" ref="GT100:GT100">INDEX(GS:GS,MIN(IF(ISNUMBER(GS100:GS296),ROW(GS100:GS296),"")))</f>
        <v>#N/A</v>
      </c>
      <c r="GU100" s="118" t="n">
        <f aca="false">IF('Données projet'!$A$270&gt;35,GU99+GT100-HC99,IF(A100&lt;'Données projet'!$A$270,$GR$205^A100,IF(A100='Données projet'!$A$270,'Données projet'!$B$270,GU99+GT100-HC99)))</f>
        <v>0</v>
      </c>
      <c r="GV100" s="125" t="e">
        <f aca="false">GU100*VLOOKUP('Données projet'!$B$18,Paramètres!$A$1:$I$89,3,0)*VLOOKUP('Données projet'!$B$18,Paramètres!$A$1:$I$89,5,0)</f>
        <v>#N/A</v>
      </c>
      <c r="GW100" s="117" t="e">
        <f aca="false">EXP(-1.0587+0.8836*LN(GV100)+0.284)</f>
        <v>#N/A</v>
      </c>
      <c r="GX100" s="128" t="e">
        <f aca="false">(GV100+GW100)*0.475*44/12</f>
        <v>#N/A</v>
      </c>
      <c r="GY100" s="120" t="e">
        <f aca="false">GX100+(GP100+GQ100)*44/12</f>
        <v>#N/A</v>
      </c>
      <c r="GZ100" s="120" t="e">
        <f aca="true">AVERAGE(OFFSET($GY$3,0,0,'Données projet'!$E$18+1,1))-AVERAGE(OFFSET($H$3,0,0,'Données projet'!$E$18+1,1))</f>
        <v>#N/A</v>
      </c>
      <c r="HA100" s="120" t="e">
        <f aca="false">$HA$3</f>
        <v>#N/A</v>
      </c>
      <c r="HB100" s="121" t="n">
        <f aca="false">IF(ISNA(VLOOKUP(A100,'Données projet'!$A$269:$I$289,3,0)),0,VLOOKUP(A100,'Données projet'!$A$269:$I$289,3,0))</f>
        <v>0</v>
      </c>
      <c r="HC100" s="121" t="n">
        <f aca="false">IF(ISNA(VLOOKUP(A100,'Données projet'!$A$269:$I$289,4,0)),0,VLOOKUP(A100,'Données projet'!$A$269:$I$289,4,0))</f>
        <v>0</v>
      </c>
      <c r="HD100" s="122" t="n">
        <f aca="false">IF(ISNA(VLOOKUP(A100,'Données projet'!$A$269:$I$289,5,0)),0%,VLOOKUP(A100,'Données projet'!$A$269:$I$289,5,0)*VLOOKUP('Données projet'!$B$18,Paramètres!$A$1:$I$89,7,0))</f>
        <v>0</v>
      </c>
      <c r="HE100" s="122" t="n">
        <f aca="false">IF(ISNA(VLOOKUP(A100,'Données projet'!$A$269:$I$289,6,0)),0%,VLOOKUP(A100,'Données projet'!$A$269:$I$289,6,0)*VLOOKUP('Données projet'!$B$18,Paramètres!$A$1:$I$89,7,0))</f>
        <v>0</v>
      </c>
      <c r="HF100" s="122" t="n">
        <f aca="false">IF(ISNA(VLOOKUP(A100,'Données projet'!$A$269:$I$289,7,0)),0%,VLOOKUP(A100,'Données projet'!$A$269:$I$289,7,0))</f>
        <v>0</v>
      </c>
      <c r="HG100" s="129" t="e">
        <f aca="false">EXP(-LN(2)/35)*HG99+(1-EXP(-LN(2)/35))/(LN(2)/35)*HC100*HD100*VLOOKUP('Données projet'!$B$18,Paramètres!$A$1:$I$89,3,0)*0.475*44/12</f>
        <v>#N/A</v>
      </c>
      <c r="HH100" s="129" t="e">
        <f aca="false">EXP(-LN(2)/25)*HH99+(1-EXP(-LN(2)/25))/(LN(2)/25)*Calculateur!HC100*Calculateur!HE100*VLOOKUP('Données projet'!$B$18,Paramètres!$A$1:$I$89,3,0)*0.475*44/12</f>
        <v>#N/A</v>
      </c>
      <c r="HI100" s="129" t="e">
        <f aca="false">EXP(-LN(2)/2)*HI99+(1-EXP(-LN(2)/2))/(LN(2)/2)*HC100*HF100*VLOOKUP('Données projet'!$B$18,Paramètres!$A$1:$I$89,3,0)*0.475*44/12</f>
        <v>#N/A</v>
      </c>
      <c r="HJ100" s="130" t="e">
        <f aca="false">SUM(HG100:HI100)</f>
        <v>#N/A</v>
      </c>
    </row>
    <row r="101" customFormat="false" ht="14.25" hidden="false" customHeight="false" outlineLevel="0" collapsed="false">
      <c r="A101" s="112" t="n">
        <f aca="false">A100+1</f>
        <v>98</v>
      </c>
      <c r="B101" s="113" t="n">
        <f aca="false">'Scénario référence'!$B$16*5+'Scénario référence'!$B$17*0+'Scénario référence'!$B$18*5</f>
        <v>0</v>
      </c>
      <c r="C101" s="127" t="n">
        <f aca="false"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4" t="n">
        <f aca="false">IFERROR(EXP(-1.0587+0.8836*LN(C101)+0.284),0)</f>
        <v>0</v>
      </c>
      <c r="E10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1" s="114" t="n">
        <f aca="false">IF(OR('Scénario référence'!$F$8&gt;0,'Scénario référence'!$F$9&gt;0),('Scénario référence'!$F$8+'Scénario référence'!$F$9)*10,0)</f>
        <v>0</v>
      </c>
      <c r="G101" s="114" t="n">
        <f aca="false"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15" t="n">
        <f aca="false">(B101+E101+F101)*44/12+(C101+D101)*0.475*44/12</f>
        <v>256.666666666667</v>
      </c>
      <c r="I101" s="11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7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8" t="e">
        <f aca="false">VLOOKUP(A101,'Données projet'!$A$35:$I$55,2,0)</f>
        <v>#N/A</v>
      </c>
      <c r="L101" s="118" t="e">
        <f aca="false">VLOOKUP(A101,'Données projet'!$A$35:$I$55,9,0)</f>
        <v>#N/A</v>
      </c>
      <c r="M101" s="118" t="n">
        <f aca="false" t="array" ref="M101:M101">INDEX(L:L,MIN(IF(ISNUMBER(L101:L297),ROW(L101:L297),"")))</f>
        <v>18.5</v>
      </c>
      <c r="N101" s="117" t="n">
        <f aca="false">IF('Données projet'!$A$36&gt;35,N100+M101-V100,IF(A101&lt;'Données projet'!$A$36,$K$205^A101,IF(A101='Données projet'!$A$36,'Données projet'!$B$36,N100+M101-V100)))</f>
        <v>638.5</v>
      </c>
      <c r="O101" s="117" t="n">
        <f aca="false">N101*VLOOKUP('Données projet'!$B$9,Paramètres!$A$1:$I$89,3,0)*VLOOKUP('Données projet'!$B$9,Paramètres!$A$1:$I$89,5,0)</f>
        <v>298.818</v>
      </c>
      <c r="P101" s="117" t="n">
        <f aca="false">EXP(-1.0587+0.8836*LN(O101)+0.284)</f>
        <v>70.9286139702566</v>
      </c>
      <c r="Q101" s="128" t="n">
        <f aca="false">(O101+P101)*0.475*44/12</f>
        <v>643.975352664863</v>
      </c>
      <c r="R101" s="120" t="n">
        <f aca="false">Q101+(I101+J101)*44/12</f>
        <v>937.308685998197</v>
      </c>
      <c r="S101" s="120" t="n">
        <f aca="true">AVERAGE(OFFSET($R$3,0,0,'Données projet'!$E$9+1,1))-AVERAGE(OFFSET($H$3,0,0,'Données projet'!$E$9+1,1))</f>
        <v>319.229030946746</v>
      </c>
      <c r="T101" s="120" t="n">
        <f aca="false">$T$3</f>
        <v>254.586909731428</v>
      </c>
      <c r="U101" s="121" t="n">
        <f aca="false">IF(ISNA(VLOOKUP(A101,'Données projet'!$A$35:$I$55,3,0)),0,VLOOKUP(A101,'Données projet'!$A$35:$I$55,3,0))</f>
        <v>0</v>
      </c>
      <c r="V101" s="121" t="n">
        <f aca="false">IF(ISNA(VLOOKUP(A101,'Données projet'!$A$35:$I$55,4,0)),0,VLOOKUP(A101,'Données projet'!$A$35:$I$55,4,0))</f>
        <v>0</v>
      </c>
      <c r="W101" s="122" t="n">
        <f aca="false">IF(ISNA(VLOOKUP(A101,'Données projet'!$A$35:$I$55,5,0)),0%,VLOOKUP(A101,'Données projet'!$A$35:$I$55,5,0)*VLOOKUP('Données projet'!$B$9,Paramètres!$A$1:$I$89,7,0))</f>
        <v>0</v>
      </c>
      <c r="X101" s="122" t="n">
        <f aca="false">IF(ISNA(VLOOKUP(A101,'Données projet'!$A$35:$I$55,6,0)),0%,VLOOKUP(A101,'Données projet'!$A$35:$I$55,6,0)*VLOOKUP('Données projet'!$B$9,Paramètres!$A$1:$I$89,7,0))</f>
        <v>0</v>
      </c>
      <c r="Y101" s="122" t="n">
        <f aca="false">IF(ISNA(VLOOKUP(A101,'Données projet'!$A$35:$I$55,7,0)),0%,VLOOKUP(A101,'Données projet'!$A$35:$I$55,7,0))</f>
        <v>0</v>
      </c>
      <c r="Z101" s="129" t="n">
        <f aca="false">EXP(-LN(2)/35)*Z100+(1-EXP(-LN(2)/35))/(LN(2)/35)*V101*W101*VLOOKUP('Données projet'!$B$9,Paramètres!$A$1:$I$89,3,0)*0.475*44/12</f>
        <v>2.36071852158061</v>
      </c>
      <c r="AA101" s="129" t="n">
        <f aca="false">EXP(-LN(2)/25)*AA100+(1-EXP(-LN(2)/25))/(LN(2)/25)*Calculateur!V101*Calculateur!X101*VLOOKUP('Données projet'!$B$9,Paramètres!$A$1:$I$89,3,0)*0.475*44/12</f>
        <v>1.6924844951695</v>
      </c>
      <c r="AB101" s="129" t="n">
        <f aca="false">EXP(-LN(2)/2)*AB100+(1-EXP(-LN(2)/2))/(LN(2)/2)*V101*Y101*VLOOKUP('Données projet'!$B$9,Paramètres!$A$1:$I$89,3,0)*0.475*44/12</f>
        <v>6.42794687510375E-010</v>
      </c>
      <c r="AC101" s="130" t="n">
        <f aca="false">SUM(Z101:AB101)</f>
        <v>4.0532030173929</v>
      </c>
      <c r="AD101" s="117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7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8" t="e">
        <f aca="false">VLOOKUP(A101,'Données projet'!$A$61:$I$81,2,0)</f>
        <v>#N/A</v>
      </c>
      <c r="AG101" s="118" t="e">
        <f aca="false">VLOOKUP(A101,'Données projet'!$A$61:$I$81,9,0)</f>
        <v>#N/A</v>
      </c>
      <c r="AH101" s="118" t="e">
        <f aca="false" t="array" ref="AH101:AH101">INDEX(AG:AG,MIN(IF(ISNUMBER(AG101:AG297),ROW(AG101:AG297),"")))</f>
        <v>#N/A</v>
      </c>
      <c r="AI101" s="117" t="n">
        <f aca="false">IF('Données projet'!$A$62&gt;35,AI100+AH101-AQ100,IF(A101&lt;'Données projet'!$A$62,$AF$205^A101,IF(A101='Données projet'!$A$62,'Données projet'!$B$62,AI100+AH101-AQ100)))</f>
        <v>1.13686837721616E-013</v>
      </c>
      <c r="AJ101" s="117" t="n">
        <f aca="false">AI101*VLOOKUP('Données projet'!$B$10,Paramètres!$A$1:$I$89,3,0)*VLOOKUP('Données projet'!$B$10,Paramètres!$A$1:$I$89,5,0)</f>
        <v>6.35509422863834E-014</v>
      </c>
      <c r="AK101" s="117" t="n">
        <f aca="false">EXP(-1.0587+0.8836*LN(AJ101)+0.284)</f>
        <v>1.0064464192544E-012</v>
      </c>
      <c r="AL101" s="128" t="n">
        <f aca="false">(AJ101+AK101)*0.475*44/12</f>
        <v>1.86357873801686E-012</v>
      </c>
      <c r="AM101" s="120" t="n">
        <f aca="false">AL101+(AD101+AE101)*44/12</f>
        <v>293.333333333335</v>
      </c>
      <c r="AN101" s="120" t="n">
        <f aca="true">AVERAGE(OFFSET($AM$3,0,0,'Données projet'!$E$10+1,1))-AVERAGE(OFFSET($H$3,0,0,'Données projet'!$E$10+1,1))</f>
        <v>365.705101827279</v>
      </c>
      <c r="AO101" s="120" t="n">
        <f aca="false">$AO$3</f>
        <v>436.238338449625</v>
      </c>
      <c r="AP101" s="121" t="n">
        <f aca="false">IF(ISNA(VLOOKUP(A101,'Données projet'!$A$61:$I$81,3,0)),0,VLOOKUP(A101,'Données projet'!$A$61:$I$81,3,0))</f>
        <v>0</v>
      </c>
      <c r="AQ101" s="121" t="n">
        <f aca="false">IF(ISNA(VLOOKUP(A101,'Données projet'!$A$61:$I$81,4,0)),0,VLOOKUP(A101,'Données projet'!$A$61:$I$81,4,0))</f>
        <v>0</v>
      </c>
      <c r="AR101" s="122" t="n">
        <f aca="false">IF(ISNA(VLOOKUP(A101,'Données projet'!$A$61:$I$81,5,0)),0%,VLOOKUP(A101,'Données projet'!$A$61:$I$81,5,0)*VLOOKUP('Données projet'!$B$10,Paramètres!$A$1:$I$89,7,0))</f>
        <v>0</v>
      </c>
      <c r="AS101" s="122" t="n">
        <f aca="false">IF(ISNA(VLOOKUP(A101,'Données projet'!$A$61:$I$81,6,0)),0%,VLOOKUP(A101,'Données projet'!$A$61:$I$81,6,0)*VLOOKUP('Données projet'!$B$10,Paramètres!$A$1:$I$89,7,0))</f>
        <v>0</v>
      </c>
      <c r="AT101" s="122" t="n">
        <f aca="false">IF(ISNA(VLOOKUP(A101,'Données projet'!$A$61:$I$81,7,0)),0%,VLOOKUP(A101,'Données projet'!$A$61:$I$81,7,0))</f>
        <v>0</v>
      </c>
      <c r="AU101" s="129" t="n">
        <f aca="false">EXP(-LN(2)/35)*AU100+(1-EXP(-LN(2)/35))/(LN(2)/35)*AQ101*AR101*VLOOKUP('Données projet'!$B$10,Paramètres!$A$1:$I$89,3,0)*0.475*44/12</f>
        <v>0.891094704074394</v>
      </c>
      <c r="AV101" s="129" t="n">
        <f aca="false">EXP(-LN(2)/25)*AV100+(1-EXP(-LN(2)/25))/(LN(2)/25)*Calculateur!AQ101*Calculateur!AS101*VLOOKUP('Données projet'!$B$10,Paramètres!$A$1:$I$89,3,0)*0.475*44/12</f>
        <v>2.00465637209994</v>
      </c>
      <c r="AW101" s="129" t="n">
        <f aca="false">EXP(-LN(2)/2)*AW100+(1-EXP(-LN(2)/2))/(LN(2)/2)*AQ101*AT101*VLOOKUP('Données projet'!$B$10,Paramètres!$A$1:$I$89,3,0)*0.475*44/12</f>
        <v>3.45932010425941E-010</v>
      </c>
      <c r="AX101" s="129" t="n">
        <f aca="false">SUM(AU101:AW101)</f>
        <v>2.89575107652027</v>
      </c>
      <c r="AY101" s="124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8" t="e">
        <f aca="false">VLOOKUP(A101,'Données projet'!$A$87:$I$107,2,0)</f>
        <v>#N/A</v>
      </c>
      <c r="BB101" s="118" t="e">
        <f aca="false">VLOOKUP(A101,'Données projet'!$A$87:$I$107,9,0)</f>
        <v>#N/A</v>
      </c>
      <c r="BC101" s="118" t="e">
        <f aca="false" t="array" ref="BC101:BC101">INDEX(BB:BB,MIN(IF(ISNUMBER(BB101:BB297),ROW(BB101:BB297),"")))</f>
        <v>#N/A</v>
      </c>
      <c r="BD101" s="118" t="n">
        <f aca="false">IF('Données projet'!$A$88&gt;35,BD100+BC101-BL100,IF(A101&lt;'Données projet'!$A$88,$BA$205^A101,IF(A101='Données projet'!$A$88,'Données projet'!$B$88,BD100+BC101-BL100)))</f>
        <v>1.98951966012828E-013</v>
      </c>
      <c r="BE101" s="117" t="n">
        <f aca="false">BD101*VLOOKUP('Données projet'!$B$11,Paramètres!$A$1:$I$89,3,0)*VLOOKUP('Données projet'!$B$11,Paramètres!$A$1:$I$89,5,0)</f>
        <v>1.73804437508807E-013</v>
      </c>
      <c r="BF101" s="117" t="n">
        <f aca="false">EXP(-1.0587+0.8836*LN(BE101)+0.284)</f>
        <v>2.44832936339505E-012</v>
      </c>
      <c r="BG101" s="128" t="n">
        <f aca="false">(BE101+BF101)*0.475*44/12</f>
        <v>4.56688303657421E-012</v>
      </c>
      <c r="BH101" s="120" t="n">
        <f aca="false">BG101+(AY101+AZ101)*44/12</f>
        <v>293.333333333338</v>
      </c>
      <c r="BI101" s="120" t="n">
        <f aca="true">AVERAGE(OFFSET($BH$3,0,0,'Données projet'!$E$11+1,1))-AVERAGE(OFFSET($H$3,0,0,'Données projet'!$E$11+1,1))</f>
        <v>321.235999689929</v>
      </c>
      <c r="BJ101" s="120" t="n">
        <f aca="false">$BJ$3</f>
        <v>388.051958478005</v>
      </c>
      <c r="BK101" s="121" t="n">
        <f aca="false">IF(ISNA(VLOOKUP(A101,'Données projet'!$A$87:$I$107,3,0)),0,VLOOKUP(A101,'Données projet'!$A$87:$I$107,3,0))</f>
        <v>0</v>
      </c>
      <c r="BL101" s="121" t="n">
        <f aca="false">IF(ISNA(VLOOKUP(A101,'Données projet'!$A$87:$I$107,4,0)),0,VLOOKUP(A101,'Données projet'!$A$87:$I$107,4,0))</f>
        <v>0</v>
      </c>
      <c r="BM101" s="122" t="n">
        <f aca="false">IF(ISNA(VLOOKUP(A101,'Données projet'!$A$87:$I$107,5,0)),0%,VLOOKUP(A101,'Données projet'!$A$87:$I$107,5,0)*VLOOKUP('Données projet'!$B$11,Paramètres!$A$1:$I$89,7,0))</f>
        <v>0</v>
      </c>
      <c r="BN101" s="122" t="n">
        <f aca="false">IF(ISNA(VLOOKUP(A101,'Données projet'!$A$87:$I$107,6,0)),0%,VLOOKUP(A101,'Données projet'!$A$87:$I$107,6,0)*VLOOKUP('Données projet'!$B$11,Paramètres!$A$1:$I$89,7,0))</f>
        <v>0</v>
      </c>
      <c r="BO101" s="122" t="n">
        <f aca="false">IF(ISNA(VLOOKUP(A101,'Données projet'!$A$87:$I$107,7,0)),0%,VLOOKUP(A101,'Données projet'!$A$87:$I$107,7,0))</f>
        <v>0</v>
      </c>
      <c r="BP101" s="129" t="n">
        <f aca="false">EXP(-LN(2)/35)*BP100+(1-EXP(-LN(2)/35))/(LN(2)/35)*BL101*BM101*VLOOKUP('Données projet'!$B$11,Paramètres!$A$1:$I$89,3,0)*0.475*44/12</f>
        <v>2.23720139065945</v>
      </c>
      <c r="BQ101" s="129" t="n">
        <f aca="false">EXP(-LN(2)/25)*BQ100+(1-EXP(-LN(2)/25))/(LN(2)/25)*Calculateur!BL101*Calculateur!BN101*VLOOKUP('Données projet'!$B$11,Paramètres!$A$1:$I$89,3,0)*0.475*44/12</f>
        <v>2.04623415541282</v>
      </c>
      <c r="BR101" s="129" t="n">
        <f aca="false">EXP(-LN(2)/2)*BR100+(1-EXP(-LN(2)/2))/(LN(2)/2)*BL101*BO101*VLOOKUP('Données projet'!$B$11,Paramètres!$A$1:$I$89,3,0)*0.475*44/12</f>
        <v>3.51632698281594E-010</v>
      </c>
      <c r="BS101" s="130" t="n">
        <f aca="false">SUM(BP101:BR101)</f>
        <v>4.2834355464239</v>
      </c>
      <c r="BT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8" t="e">
        <f aca="false">VLOOKUP(A101,'Données projet'!$A$113:$I$133,2,0)</f>
        <v>#N/A</v>
      </c>
      <c r="BW101" s="118" t="e">
        <f aca="false">VLOOKUP(A101,'Données projet'!$A$113:$I$133,9,0)</f>
        <v>#N/A</v>
      </c>
      <c r="BX101" s="118" t="e">
        <f aca="false" t="array" ref="BX101:BX101">INDEX(BW:BW,MIN(IF(ISNUMBER(BW101:BW297),ROW(BW101:BW297),"")))</f>
        <v>#N/A</v>
      </c>
      <c r="BY101" s="118" t="n">
        <f aca="false">IF('Données projet'!$A$114&gt;35,BY100+BX101-CG100,IF(A101&lt;'Données projet'!$A$114,$BV$205^A101,IF(A101='Données projet'!$A$114,'Données projet'!$B$114,BY100+BX101-CG100)))</f>
        <v>0</v>
      </c>
      <c r="BZ101" s="117" t="n">
        <f aca="false">BY101*VLOOKUP('Données projet'!$B$12,Paramètres!$A$1:$I$89,3,0)*VLOOKUP('Données projet'!$B$12,Paramètres!$A$1:$I$89,5,0)</f>
        <v>0</v>
      </c>
      <c r="CA101" s="117" t="e">
        <f aca="false">EXP(-1.0587+0.8836*LN(BZ101)+0.284)</f>
        <v>#VALUE!</v>
      </c>
      <c r="CB101" s="128" t="e">
        <f aca="false">(BZ101+CA101)*0.475*44/12</f>
        <v>#VALUE!</v>
      </c>
      <c r="CC101" s="120" t="e">
        <f aca="false">CB101+(BT101+BU101)*44/12</f>
        <v>#VALUE!</v>
      </c>
      <c r="CD101" s="120" t="n">
        <f aca="true">AVERAGE(OFFSET($CC$3,0,0,'Données projet'!$E$12+1,1))-AVERAGE(OFFSET($H$3,0,0,'Données projet'!$E$12+1,1))</f>
        <v>240.228848647662</v>
      </c>
      <c r="CE101" s="120" t="n">
        <f aca="false">$CE$3</f>
        <v>343.237768841432</v>
      </c>
      <c r="CF101" s="121" t="n">
        <f aca="false">IF(ISNA(VLOOKUP(A101,'Données projet'!$A$113:$I$133,3,0)),0,VLOOKUP(A101,'Données projet'!$A$113:$I$133,3,0))</f>
        <v>0</v>
      </c>
      <c r="CG101" s="121" t="n">
        <f aca="false">IF(ISNA(VLOOKUP(A101,'Données projet'!$A$113:$I$133,4,0)),0,VLOOKUP(A101,'Données projet'!$A$113:$I$133,4,0))</f>
        <v>0</v>
      </c>
      <c r="CH101" s="122" t="n">
        <f aca="false">IF(ISNA(VLOOKUP(A101,'Données projet'!$A$113:$I$133,5,0)),0%,VLOOKUP(A101,'Données projet'!$A$113:$I$133,5,0)*VLOOKUP('Données projet'!$B$12,Paramètres!$A$1:$I$89,7,0))</f>
        <v>0</v>
      </c>
      <c r="CI101" s="122" t="n">
        <f aca="false">IF(ISNA(VLOOKUP(A101,'Données projet'!$A$113:$I$133,6,0)),0%,VLOOKUP(A101,'Données projet'!$A$113:$I$133,6,0)*VLOOKUP('Données projet'!$B$12,Paramètres!$A$1:$I$89,7,0))</f>
        <v>0</v>
      </c>
      <c r="CJ101" s="122" t="n">
        <f aca="false">IF(ISNA(VLOOKUP(A101,'Données projet'!$A$113:$I$133,7,0)),0%,VLOOKUP(A101,'Données projet'!$A$113:$I$133,7,0))</f>
        <v>0</v>
      </c>
      <c r="CK101" s="129" t="n">
        <f aca="false">EXP(-LN(2)/35)*CK100+(1-EXP(-LN(2)/35))/(LN(2)/35)*CG101*CH101*VLOOKUP('Données projet'!$B$12,Paramètres!$A$1:$I$89,3,0)*0.475*44/12</f>
        <v>1.3693415446483</v>
      </c>
      <c r="CL101" s="129" t="n">
        <f aca="false">EXP(-LN(2)/25)*CL100+(1-EXP(-LN(2)/25))/(LN(2)/25)*Calculateur!CG101*Calculateur!CI101*VLOOKUP('Données projet'!$B$12,Paramètres!$A$1:$I$89,3,0)*0.475*44/12</f>
        <v>3.61376797472241</v>
      </c>
      <c r="CM101" s="129" t="n">
        <f aca="false">EXP(-LN(2)/2)*CM100+(1-EXP(-LN(2)/2))/(LN(2)/2)*CG101*CJ101*VLOOKUP('Données projet'!$B$12,Paramètres!$A$1:$I$89,3,0)*0.475*44/12</f>
        <v>5.61112041233795E-010</v>
      </c>
      <c r="CN101" s="130" t="n">
        <f aca="false">SUM(CK101:CM101)</f>
        <v>4.98310951993182</v>
      </c>
      <c r="CO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8" t="e">
        <f aca="false">VLOOKUP(A101,'Données projet'!$A$139:$I$159,2,0)</f>
        <v>#N/A</v>
      </c>
      <c r="CR101" s="118" t="e">
        <f aca="false">VLOOKUP(A101,'Données projet'!$A$139:$I$159,9,0)</f>
        <v>#N/A</v>
      </c>
      <c r="CS101" s="118" t="e">
        <f aca="false" t="array" ref="CS101:CS101">INDEX(CR:CR,MIN(IF(ISNUMBER(CR101:CR297),ROW(CR101:CR297),"")))</f>
        <v>#N/A</v>
      </c>
      <c r="CT101" s="118" t="n">
        <f aca="false">IF('Données projet'!$A$140&gt;35,CT100+CS101-DB100,IF(A101&lt;'Données projet'!$A$140,$CQ$205^A101,IF(A101='Données projet'!$A$140,'Données projet'!$B$140,CT100+CS101-DB100)))</f>
        <v>-5.6843418860808E-014</v>
      </c>
      <c r="CU101" s="125" t="n">
        <f aca="false">CT101*VLOOKUP('Données projet'!$B$13,Paramètres!$A$1:$I$89,3,0)*VLOOKUP('Données projet'!$B$13,Paramètres!$A$1:$I$89,5,0)</f>
        <v>-3.10365066980012E-014</v>
      </c>
      <c r="CV101" s="117" t="e">
        <f aca="false">EXP(-1.0587+0.8836*LN(CU101)+0.284)</f>
        <v>#VALUE!</v>
      </c>
      <c r="CW101" s="128" t="e">
        <f aca="false">(CU101+CV101)*0.475*44/12</f>
        <v>#VALUE!</v>
      </c>
      <c r="CX101" s="120" t="e">
        <f aca="false">CW101+(CO101+CP101)*44/12</f>
        <v>#VALUE!</v>
      </c>
      <c r="CY101" s="120" t="n">
        <f aca="true">AVERAGE(OFFSET($CX$3,0,0,'Données projet'!$E$13+1,1))-AVERAGE(OFFSET($H$3,0,0,'Données projet'!$E$13+1,1))</f>
        <v>207.023069645676</v>
      </c>
      <c r="CZ101" s="120" t="n">
        <f aca="false">$CZ$3</f>
        <v>342.068879333518</v>
      </c>
      <c r="DA101" s="121" t="n">
        <f aca="false">IF(ISNA(VLOOKUP(A101,'Données projet'!$A$139:$I$159,3,0)),0,VLOOKUP(A101,'Données projet'!$A$139:$I$159,3,0))</f>
        <v>0</v>
      </c>
      <c r="DB101" s="121" t="n">
        <f aca="false">IF(ISNA(VLOOKUP(A101,'Données projet'!$A$139:$I$159,4,0)),0,VLOOKUP(A101,'Données projet'!$A$139:$I$159,4,0))</f>
        <v>0</v>
      </c>
      <c r="DC101" s="122" t="n">
        <f aca="false">IF(ISNA(VLOOKUP(A101,'Données projet'!$A$139:$I$159,5,0)),0%,VLOOKUP(A101,'Données projet'!$A$139:$I$159,5,0)*VLOOKUP('Données projet'!$B$13,Paramètres!$A$1:$I$89,7,0))</f>
        <v>0</v>
      </c>
      <c r="DD101" s="122" t="n">
        <f aca="false">IF(ISNA(VLOOKUP(A101,'Données projet'!$A$139:$I$159,6,0)),0%,VLOOKUP(A101,'Données projet'!$A$139:$I$159,6,0)*VLOOKUP('Données projet'!$B$13,Paramètres!$A$1:$I$89,7,0))</f>
        <v>0</v>
      </c>
      <c r="DE101" s="122" t="n">
        <f aca="false">IF(ISNA(VLOOKUP(A101,'Données projet'!$A$139:$I$159,7,0)),0%,VLOOKUP(A101,'Données projet'!$A$139:$I$159,7,0))</f>
        <v>0</v>
      </c>
      <c r="DF101" s="129" t="n">
        <f aca="false">EXP(-LN(2)/35)*DF100+(1-EXP(-LN(2)/35))/(LN(2)/35)*DB101*DC101*VLOOKUP('Données projet'!$B$13,Paramètres!$A$1:$I$89,3,0)*0.475*44/12</f>
        <v>1.71813608903985</v>
      </c>
      <c r="DG101" s="129" t="n">
        <f aca="false">EXP(-LN(2)/25)*DG100+(1-EXP(-LN(2)/25))/(LN(2)/25)*Calculateur!DB101*Calculateur!DD101*VLOOKUP('Données projet'!$B$13,Paramètres!$A$1:$I$89,3,0)*0.475*44/12</f>
        <v>5.90700554468803</v>
      </c>
      <c r="DH101" s="129" t="n">
        <f aca="false">EXP(-LN(2)/2)*DH100+(1-EXP(-LN(2)/2))/(LN(2)/2)*DB101*DE101*VLOOKUP('Données projet'!$B$13,Paramètres!$A$1:$I$89,3,0)*0.475*44/12</f>
        <v>7.72651540924611E-010</v>
      </c>
      <c r="DI101" s="130" t="n">
        <f aca="false">SUM(DF101:DH101)</f>
        <v>7.62514163450053</v>
      </c>
      <c r="DJ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8" t="e">
        <f aca="false">VLOOKUP(A101,'Données projet'!$A$165:$I$185,2,0)</f>
        <v>#N/A</v>
      </c>
      <c r="DM101" s="118" t="e">
        <f aca="false">VLOOKUP(A101,'Données projet'!$A$165:$I$185,9,0)</f>
        <v>#N/A</v>
      </c>
      <c r="DN101" s="118" t="e">
        <f aca="false" t="array" ref="DN101:DN101">INDEX(DM:DM,MIN(IF(ISNUMBER(DM101:DM297),ROW(DM101:DM297),"")))</f>
        <v>#N/A</v>
      </c>
      <c r="DO101" s="118" t="n">
        <f aca="false">IF('Données projet'!$A$166&gt;35,DO100+DN101-DW100,IF(A101&lt;'Données projet'!$A$166,$DL$205^A101,IF(A101='Données projet'!$A$166,'Données projet'!$B$166,DO100+DN101-DW100)))</f>
        <v>0</v>
      </c>
      <c r="DP101" s="125" t="n">
        <f aca="false">DO101*VLOOKUP('Données projet'!$B$14,Paramètres!$A$1:$I$89,3,0)*VLOOKUP('Données projet'!$B$14,Paramètres!$A$1:$I$89,5,0)</f>
        <v>0</v>
      </c>
      <c r="DQ101" s="117" t="e">
        <f aca="false">EXP(-1.0587+0.8836*LN(DP101)+0.284)</f>
        <v>#VALUE!</v>
      </c>
      <c r="DR101" s="128" t="e">
        <f aca="false">(DP101+DQ101)*0.475*44/12</f>
        <v>#VALUE!</v>
      </c>
      <c r="DS101" s="120" t="e">
        <f aca="false">DR101+(DJ101+DK101)*44/12</f>
        <v>#VALUE!</v>
      </c>
      <c r="DT101" s="120" t="n">
        <f aca="true">AVERAGE(OFFSET($DS$3,0,0,'Données projet'!$E$14+1,1))-AVERAGE(OFFSET($H$3,0,0,'Données projet'!$E$14+1,1))</f>
        <v>549.432320957297</v>
      </c>
      <c r="DU101" s="120" t="n">
        <f aca="false">$DU$3</f>
        <v>280.26155987301</v>
      </c>
      <c r="DV101" s="121" t="n">
        <f aca="false">IF(ISNA(VLOOKUP(A101,'Données projet'!$A$165:$I$185,3,0)),0,VLOOKUP(A101,'Données projet'!$A$165:$I$185,3,0))</f>
        <v>0</v>
      </c>
      <c r="DW101" s="121" t="n">
        <f aca="false">IF(ISNA(VLOOKUP(A101,'Données projet'!$A$165:$I$185,4,0)),0,VLOOKUP(A101,'Données projet'!$A$165:$I$185,4,0))</f>
        <v>0</v>
      </c>
      <c r="DX101" s="122" t="n">
        <f aca="false">IF(ISNA(VLOOKUP(A101,'Données projet'!$A$165:$I$185,5,0)),0%,VLOOKUP(A101,'Données projet'!$A$165:$I$185,5,0)*VLOOKUP('Données projet'!$B$14,Paramètres!$A$1:$I$89,7,0))</f>
        <v>0</v>
      </c>
      <c r="DY101" s="122" t="n">
        <f aca="false">IF(ISNA(VLOOKUP(A101,'Données projet'!$A$165:$I$185,6,0)),0%,VLOOKUP(A101,'Données projet'!$A$165:$I$185,6,0)*VLOOKUP('Données projet'!$B$14,Paramètres!$A$1:$I$89,7,0))</f>
        <v>0</v>
      </c>
      <c r="DZ101" s="122" t="n">
        <f aca="false">IF(ISNA(VLOOKUP(A101,'Données projet'!$A$165:$I$185,7,0)),0%,VLOOKUP(A101,'Données projet'!$A$165:$I$185,7,0))</f>
        <v>0</v>
      </c>
      <c r="EA101" s="129" t="n">
        <f aca="false">EXP(-LN(2)/35)*EA100+(1-EXP(-LN(2)/35))/(LN(2)/35)*DW101*DX101*VLOOKUP('Données projet'!$B$14,Paramètres!$A$1:$I$89,3,0)*0.475*44/12</f>
        <v>0.624712366177864</v>
      </c>
      <c r="EB101" s="129" t="n">
        <f aca="false">EXP(-LN(2)/25)*EB100+(1-EXP(-LN(2)/25))/(LN(2)/25)*Calculateur!DW101*Calculateur!DY101*VLOOKUP('Données projet'!$B$14,Paramètres!$A$1:$I$89,3,0)*0.475*44/12</f>
        <v>1.17679204767286</v>
      </c>
      <c r="EC101" s="129" t="n">
        <f aca="false">EXP(-LN(2)/2)*EC100+(1-EXP(-LN(2)/2))/(LN(2)/2)*DW101*DZ101*VLOOKUP('Données projet'!$B$14,Paramètres!$A$1:$I$89,3,0)*0.475*44/12</f>
        <v>3.56176433535262E-010</v>
      </c>
      <c r="ED101" s="130" t="n">
        <f aca="false">SUM(EA101:EC101)</f>
        <v>1.8015044142069</v>
      </c>
      <c r="EE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8" t="e">
        <f aca="false">VLOOKUP(A101,'Données projet'!$A$191:$I$211,2,0)</f>
        <v>#N/A</v>
      </c>
      <c r="EH101" s="118" t="e">
        <f aca="false">VLOOKUP(A101,'Données projet'!$A$191:$I$211,9,0)</f>
        <v>#N/A</v>
      </c>
      <c r="EI101" s="118" t="e">
        <f aca="false" t="array" ref="EI101:EI101">INDEX(EH:EH,MIN(IF(ISNUMBER(EH101:EH297),ROW(EH101:EH297),"")))</f>
        <v>#N/A</v>
      </c>
      <c r="EJ101" s="118" t="n">
        <f aca="false">IF('Données projet'!$A$192&gt;35,EJ100+EI101-ER100,IF(A101&lt;'Données projet'!$A$192,$EG$205^A101,IF(A101='Données projet'!$A$192,'Données projet'!$B$192,EJ100+EI101-ER100)))</f>
        <v>0</v>
      </c>
      <c r="EK101" s="125" t="e">
        <f aca="false">EJ101*VLOOKUP('Données projet'!$B$15,Paramètres!$A$1:$I$89,3,0)*VLOOKUP('Données projet'!$B$15,Paramètres!$A$1:$I$89,5,0)</f>
        <v>#N/A</v>
      </c>
      <c r="EL101" s="117" t="e">
        <f aca="false">EXP(-1.0587+0.8836*LN(EK101)+0.284)</f>
        <v>#N/A</v>
      </c>
      <c r="EM101" s="128" t="e">
        <f aca="false">(EK101+EL101)*0.475*44/12</f>
        <v>#N/A</v>
      </c>
      <c r="EN101" s="120" t="e">
        <f aca="false">EM101+(EE101+EF101)*44/12</f>
        <v>#N/A</v>
      </c>
      <c r="EO101" s="120" t="e">
        <f aca="true">AVERAGE(OFFSET($EN$3,0,0,'Données projet'!$E$15+1,1))-AVERAGE(OFFSET($H$3,0,0,'Données projet'!$E$15+1,1))</f>
        <v>#N/A</v>
      </c>
      <c r="EP101" s="120" t="e">
        <f aca="false">$EP$3</f>
        <v>#N/A</v>
      </c>
      <c r="EQ101" s="121" t="n">
        <f aca="false">IF(ISNA(VLOOKUP(A101,'Données projet'!$A$191:$I$211,3,0)),0,VLOOKUP(A101,'Données projet'!$A$191:$I$211,3,0))</f>
        <v>0</v>
      </c>
      <c r="ER101" s="121" t="n">
        <f aca="false">IF(ISNA(VLOOKUP(A101,'Données projet'!$A$191:$I$211,4,0)),0,VLOOKUP(A101,'Données projet'!$A$191:$I$211,4,0))</f>
        <v>0</v>
      </c>
      <c r="ES101" s="122" t="n">
        <f aca="false">IF(ISNA(VLOOKUP(A101,'Données projet'!$A$191:$I$211,5,0)),0%,VLOOKUP(A101,'Données projet'!$A$191:$I$211,5,0)*VLOOKUP('Données projet'!$B$15,Paramètres!$A$1:$I$89,7,0))</f>
        <v>0</v>
      </c>
      <c r="ET101" s="122" t="n">
        <f aca="false">IF(ISNA(VLOOKUP(A101,'Données projet'!$A$191:$I$211,6,0)),0%,VLOOKUP(A101,'Données projet'!$A$191:$I$211,6,0)*VLOOKUP('Données projet'!$B$15,Paramètres!$A$1:$I$89,7,0))</f>
        <v>0</v>
      </c>
      <c r="EU101" s="122" t="n">
        <f aca="false">IF(ISNA(VLOOKUP(A101,'Données projet'!$A$191:$I$211,7,0)),0%,VLOOKUP(A101,'Données projet'!$A$191:$I$211,7,0))</f>
        <v>0</v>
      </c>
      <c r="EV101" s="129" t="e">
        <f aca="false">EXP(-LN(2)/35)*EV100+(1-EXP(-LN(2)/35))/(LN(2)/35)*ER101*ES101*VLOOKUP('Données projet'!$B$15,Paramètres!$A$1:$I$89,3,0)*0.475*44/12</f>
        <v>#N/A</v>
      </c>
      <c r="EW101" s="129" t="e">
        <f aca="false">EXP(-LN(2)/25)*EW100+(1-EXP(-LN(2)/25))/(LN(2)/25)*Calculateur!ER101*Calculateur!ET101*VLOOKUP('Données projet'!$B$15,Paramètres!$A$1:$I$89,3,0)*0.475*44/12</f>
        <v>#N/A</v>
      </c>
      <c r="EX101" s="129" t="e">
        <f aca="false">EXP(-LN(2)/2)*EX100+(1-EXP(-LN(2)/2))/(LN(2)/2)*ER101*EU101*VLOOKUP('Données projet'!$B$15,Paramètres!$A$1:$I$89,3,0)*0.475*44/12</f>
        <v>#N/A</v>
      </c>
      <c r="EY101" s="130" t="e">
        <f aca="false">SUM(EV101:EX101)</f>
        <v>#N/A</v>
      </c>
      <c r="EZ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8" t="e">
        <f aca="false">VLOOKUP(A101,'Données projet'!$A$217:$I$237,2,0)</f>
        <v>#N/A</v>
      </c>
      <c r="FC101" s="118" t="e">
        <f aca="false">VLOOKUP(A101,'Données projet'!$A$217:$I$237,9,0)</f>
        <v>#N/A</v>
      </c>
      <c r="FD101" s="118" t="e">
        <f aca="false" t="array" ref="FD101:FD101">INDEX(FC:FC,MIN(IF(ISNUMBER(FC101:FC297),ROW(FC101:FC297),"")))</f>
        <v>#N/A</v>
      </c>
      <c r="FE101" s="118" t="n">
        <f aca="false">IF('Données projet'!$A$218&gt;35,FE100+FD101-FM100,IF(A101&lt;'Données projet'!$A$218,$FB$205^A101,IF(A101='Données projet'!$A$218,'Données projet'!$B$218,FE100+FD101-FM100)))</f>
        <v>0</v>
      </c>
      <c r="FF101" s="125" t="e">
        <f aca="false">FE101*VLOOKUP('Données projet'!$B$16,Paramètres!$A$1:$I$89,3,0)*VLOOKUP('Données projet'!$B$16,Paramètres!$A$1:$I$89,5,0)</f>
        <v>#N/A</v>
      </c>
      <c r="FG101" s="117" t="e">
        <f aca="false">EXP(-1.0587+0.8836*LN(FF101)+0.284)</f>
        <v>#N/A</v>
      </c>
      <c r="FH101" s="128" t="e">
        <f aca="false">(FF101+FG101)*0.475*44/12</f>
        <v>#N/A</v>
      </c>
      <c r="FI101" s="120" t="e">
        <f aca="false">FH101+(EZ101+FA101)*44/12</f>
        <v>#N/A</v>
      </c>
      <c r="FJ101" s="120" t="e">
        <f aca="true">AVERAGE(OFFSET($FI$3,0,0,'Données projet'!$E$16+1,1))-AVERAGE(OFFSET($H$3,0,0,'Données projet'!$E$16+1,1))</f>
        <v>#N/A</v>
      </c>
      <c r="FK101" s="120" t="e">
        <f aca="false">$FK$3</f>
        <v>#N/A</v>
      </c>
      <c r="FL101" s="121" t="n">
        <f aca="false">IF(ISNA(VLOOKUP(A101,'Données projet'!$A$217:$I$237,3,0)),0,VLOOKUP(A101,'Données projet'!$A$217:$I$237,3,0))</f>
        <v>0</v>
      </c>
      <c r="FM101" s="121" t="n">
        <f aca="false">IF(ISNA(VLOOKUP(A101,'Données projet'!$A$217:$I$237,4,0)),0,VLOOKUP(A101,'Données projet'!$A$217:$I$237,4,0))</f>
        <v>0</v>
      </c>
      <c r="FN101" s="122" t="n">
        <f aca="false">IF(ISNA(VLOOKUP(A101,'Données projet'!$A$217:$I$237,5,0)),0%,VLOOKUP(A101,'Données projet'!$A$217:$I$237,5,0)*VLOOKUP('Données projet'!$B$16,Paramètres!$A$1:$I$89,7,0))</f>
        <v>0</v>
      </c>
      <c r="FO101" s="122" t="n">
        <f aca="false">IF(ISNA(VLOOKUP(A101,'Données projet'!$A$217:$I$237,6,0)),0%,VLOOKUP(A101,'Données projet'!$A$217:$I$237,6,0)*VLOOKUP('Données projet'!$B$16,Paramètres!$A$1:$I$89,7,0))</f>
        <v>0</v>
      </c>
      <c r="FP101" s="122" t="n">
        <f aca="false">IF(ISNA(VLOOKUP(A101,'Données projet'!$A$217:$I$237,7,0)),0%,VLOOKUP(A101,'Données projet'!$A$217:$I$237,7,0))</f>
        <v>0</v>
      </c>
      <c r="FQ101" s="129" t="e">
        <f aca="false">EXP(-LN(2)/35)*FQ100+(1-EXP(-LN(2)/35))/(LN(2)/35)*FM101*FN101*VLOOKUP('Données projet'!$B$16,Paramètres!$A$1:$I$89,3,0)*0.475*44/12</f>
        <v>#N/A</v>
      </c>
      <c r="FR101" s="129" t="e">
        <f aca="false">EXP(-LN(2)/25)*FR100+(1-EXP(-LN(2)/25))/(LN(2)/25)*Calculateur!FM101*Calculateur!FO101*VLOOKUP('Données projet'!$B$16,Paramètres!$A$1:$I$89,3,0)*0.475*44/12</f>
        <v>#N/A</v>
      </c>
      <c r="FS101" s="129" t="e">
        <f aca="false">EXP(-LN(2)/2)*FS100+(1-EXP(-LN(2)/2))/(LN(2)/2)*FM101*FP101*VLOOKUP('Données projet'!$B$16,Paramètres!$A$1:$I$89,3,0)*0.475*44/12</f>
        <v>#N/A</v>
      </c>
      <c r="FT101" s="130" t="e">
        <f aca="false">SUM(FQ101:FS101)</f>
        <v>#N/A</v>
      </c>
      <c r="FU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8" t="e">
        <f aca="false">VLOOKUP(A101,'Données projet'!$A$243:$I$263,2,0)</f>
        <v>#N/A</v>
      </c>
      <c r="FX101" s="118" t="e">
        <f aca="false">VLOOKUP(A101,'Données projet'!$A$243:$I$263,9,0)</f>
        <v>#N/A</v>
      </c>
      <c r="FY101" s="118" t="e">
        <f aca="false" t="array" ref="FY101:FY101">INDEX(FX:FX,MIN(IF(ISNUMBER(FX101:FX297),ROW(FX101:FX297),"")))</f>
        <v>#N/A</v>
      </c>
      <c r="FZ101" s="118" t="n">
        <f aca="false">IF('Données projet'!$A$244&gt;35,FZ100+FY101-GH100,IF(A101&lt;'Données projet'!$A$244,$FW$205^A101,IF(A101='Données projet'!$A$244,'Données projet'!$B$244,FZ100+FY101-GH100)))</f>
        <v>0</v>
      </c>
      <c r="GA101" s="125" t="e">
        <f aca="false">FZ101*VLOOKUP('Données projet'!$B$17,Paramètres!$A$1:$I$89,3,0)*VLOOKUP('Données projet'!$B$17,Paramètres!$A$1:$I$89,5,0)</f>
        <v>#N/A</v>
      </c>
      <c r="GB101" s="117" t="e">
        <f aca="false">EXP(-1.0587+0.8836*LN(GA101)+0.284)</f>
        <v>#N/A</v>
      </c>
      <c r="GC101" s="128" t="e">
        <f aca="false">(GA101+GB101)*0.475*44/12</f>
        <v>#N/A</v>
      </c>
      <c r="GD101" s="120" t="e">
        <f aca="false">GC101+(FU101+FV101)*44/12</f>
        <v>#N/A</v>
      </c>
      <c r="GE101" s="120" t="e">
        <f aca="true">AVERAGE(OFFSET($GD$3,0,0,'Données projet'!$E$17+1,1))-AVERAGE(OFFSET($H$3,0,0,'Données projet'!$E$17+1,1))</f>
        <v>#N/A</v>
      </c>
      <c r="GF101" s="120" t="e">
        <f aca="false">$GF$3</f>
        <v>#N/A</v>
      </c>
      <c r="GG101" s="121" t="n">
        <f aca="false">IF(ISNA(VLOOKUP(A101,'Données projet'!$A$243:$I$263,3,0)),0,VLOOKUP(A101,'Données projet'!$A$243:$I$263,3,0))</f>
        <v>0</v>
      </c>
      <c r="GH101" s="121" t="n">
        <f aca="false">IF(ISNA(VLOOKUP(A101,'Données projet'!$A$243:$I$263,4,0)),0,VLOOKUP(A101,'Données projet'!$A$243:$I$263,4,0))</f>
        <v>0</v>
      </c>
      <c r="GI101" s="122" t="n">
        <f aca="false">IF(ISNA(VLOOKUP(A101,'Données projet'!$A$243:$I$263,5,0)),0%,VLOOKUP(A101,'Données projet'!$A$243:$I$263,5,0)*VLOOKUP('Données projet'!$B$17,Paramètres!$A$1:$I$89,7,0))</f>
        <v>0</v>
      </c>
      <c r="GJ101" s="122" t="n">
        <f aca="false">IF(ISNA(VLOOKUP(A101,'Données projet'!$A$243:$I$263,6,0)),0%,VLOOKUP(A101,'Données projet'!$A$243:$I$263,6,0)*VLOOKUP('Données projet'!$B$17,Paramètres!$A$1:$I$89,7,0))</f>
        <v>0</v>
      </c>
      <c r="GK101" s="122" t="n">
        <f aca="false">IF(ISNA(VLOOKUP(A101,'Données projet'!$A$243:$I$263,7,0)),0%,VLOOKUP(A101,'Données projet'!$A$243:$I$263,7,0))</f>
        <v>0</v>
      </c>
      <c r="GL101" s="129" t="e">
        <f aca="false">EXP(-LN(2)/35)*GL100+(1-EXP(-LN(2)/35))/(LN(2)/35)*GH101*GI101*VLOOKUP('Données projet'!$B$17,Paramètres!$A$1:$I$89,3,0)*0.475*44/12</f>
        <v>#N/A</v>
      </c>
      <c r="GM101" s="129" t="e">
        <f aca="false">EXP(-LN(2)/25)*GM100+(1-EXP(-LN(2)/25))/(LN(2)/25)*Calculateur!GH101*Calculateur!GJ101*VLOOKUP('Données projet'!$B$17,Paramètres!$A$1:$I$89,3,0)*0.475*44/12</f>
        <v>#N/A</v>
      </c>
      <c r="GN101" s="129" t="e">
        <f aca="false">EXP(-LN(2)/2)*GN100+(1-EXP(-LN(2)/2))/(LN(2)/2)*GH101*GK101*VLOOKUP('Données projet'!$B$17,Paramètres!$A$1:$I$89,3,0)*0.475*44/12</f>
        <v>#N/A</v>
      </c>
      <c r="GO101" s="129" t="e">
        <f aca="false">SUM(GL101:GN101)</f>
        <v>#N/A</v>
      </c>
      <c r="GP101" s="126" t="n">
        <f aca="false"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8" t="n">
        <f aca="false"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8" t="e">
        <f aca="false">VLOOKUP(A101,'Données projet'!$A$269:$I$289,2,0)</f>
        <v>#N/A</v>
      </c>
      <c r="GS101" s="118" t="e">
        <f aca="false">VLOOKUP(A101,'Données projet'!$A$269:$I$289,9,0)</f>
        <v>#N/A</v>
      </c>
      <c r="GT101" s="118" t="e">
        <f aca="false" t="array" ref="GT101:GT101">INDEX(GS:GS,MIN(IF(ISNUMBER(GS101:GS297),ROW(GS101:GS297),"")))</f>
        <v>#N/A</v>
      </c>
      <c r="GU101" s="118" t="n">
        <f aca="false">IF('Données projet'!$A$270&gt;35,GU100+GT101-HC100,IF(A101&lt;'Données projet'!$A$270,$GR$205^A101,IF(A101='Données projet'!$A$270,'Données projet'!$B$270,GU100+GT101-HC100)))</f>
        <v>0</v>
      </c>
      <c r="GV101" s="125" t="e">
        <f aca="false">GU101*VLOOKUP('Données projet'!$B$18,Paramètres!$A$1:$I$89,3,0)*VLOOKUP('Données projet'!$B$18,Paramètres!$A$1:$I$89,5,0)</f>
        <v>#N/A</v>
      </c>
      <c r="GW101" s="117" t="e">
        <f aca="false">EXP(-1.0587+0.8836*LN(GV101)+0.284)</f>
        <v>#N/A</v>
      </c>
      <c r="GX101" s="128" t="e">
        <f aca="false">(GV101+GW101)*0.475*44/12</f>
        <v>#N/A</v>
      </c>
      <c r="GY101" s="120" t="e">
        <f aca="false">GX101+(GP101+GQ101)*44/12</f>
        <v>#N/A</v>
      </c>
      <c r="GZ101" s="120" t="e">
        <f aca="true">AVERAGE(OFFSET($GY$3,0,0,'Données projet'!$E$18+1,1))-AVERAGE(OFFSET($H$3,0,0,'Données projet'!$E$18+1,1))</f>
        <v>#N/A</v>
      </c>
      <c r="HA101" s="120" t="e">
        <f aca="false">$HA$3</f>
        <v>#N/A</v>
      </c>
      <c r="HB101" s="121" t="n">
        <f aca="false">IF(ISNA(VLOOKUP(A101,'Données projet'!$A$269:$I$289,3,0)),0,VLOOKUP(A101,'Données projet'!$A$269:$I$289,3,0))</f>
        <v>0</v>
      </c>
      <c r="HC101" s="121" t="n">
        <f aca="false">IF(ISNA(VLOOKUP(A101,'Données projet'!$A$269:$I$289,4,0)),0,VLOOKUP(A101,'Données projet'!$A$269:$I$289,4,0))</f>
        <v>0</v>
      </c>
      <c r="HD101" s="122" t="n">
        <f aca="false">IF(ISNA(VLOOKUP(A101,'Données projet'!$A$269:$I$289,5,0)),0%,VLOOKUP(A101,'Données projet'!$A$269:$I$289,5,0)*VLOOKUP('Données projet'!$B$18,Paramètres!$A$1:$I$89,7,0))</f>
        <v>0</v>
      </c>
      <c r="HE101" s="122" t="n">
        <f aca="false">IF(ISNA(VLOOKUP(A101,'Données projet'!$A$269:$I$289,6,0)),0%,VLOOKUP(A101,'Données projet'!$A$269:$I$289,6,0)*VLOOKUP('Données projet'!$B$18,Paramètres!$A$1:$I$89,7,0))</f>
        <v>0</v>
      </c>
      <c r="HF101" s="122" t="n">
        <f aca="false">IF(ISNA(VLOOKUP(A101,'Données projet'!$A$269:$I$289,7,0)),0%,VLOOKUP(A101,'Données projet'!$A$269:$I$289,7,0))</f>
        <v>0</v>
      </c>
      <c r="HG101" s="129" t="e">
        <f aca="false">EXP(-LN(2)/35)*HG100+(1-EXP(-LN(2)/35))/(LN(2)/35)*HC101*HD101*VLOOKUP('Données projet'!$B$18,Paramètres!$A$1:$I$89,3,0)*0.475*44/12</f>
        <v>#N/A</v>
      </c>
      <c r="HH101" s="129" t="e">
        <f aca="false">EXP(-LN(2)/25)*HH100+(1-EXP(-LN(2)/25))/(LN(2)/25)*Calculateur!HC101*Calculateur!HE101*VLOOKUP('Données projet'!$B$18,Paramètres!$A$1:$I$89,3,0)*0.475*44/12</f>
        <v>#N/A</v>
      </c>
      <c r="HI101" s="129" t="e">
        <f aca="false">EXP(-LN(2)/2)*HI100+(1-EXP(-LN(2)/2))/(LN(2)/2)*HC101*HF101*VLOOKUP('Données projet'!$B$18,Paramètres!$A$1:$I$89,3,0)*0.475*44/12</f>
        <v>#N/A</v>
      </c>
      <c r="HJ101" s="130" t="e">
        <f aca="false">SUM(HG101:HI101)</f>
        <v>#N/A</v>
      </c>
    </row>
    <row r="102" customFormat="false" ht="14.25" hidden="false" customHeight="false" outlineLevel="0" collapsed="false">
      <c r="A102" s="112" t="n">
        <f aca="false">A101+1</f>
        <v>99</v>
      </c>
      <c r="B102" s="113" t="n">
        <f aca="false">'Scénario référence'!$B$16*5+'Scénario référence'!$B$17*0+'Scénario référence'!$B$18*5</f>
        <v>0</v>
      </c>
      <c r="C102" s="127" t="n">
        <f aca="false"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4" t="n">
        <f aca="false">IFERROR(EXP(-1.0587+0.8836*LN(C102)+0.284),0)</f>
        <v>0</v>
      </c>
      <c r="E10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2" s="114" t="n">
        <f aca="false">IF(OR('Scénario référence'!$F$8&gt;0,'Scénario référence'!$F$9&gt;0),('Scénario référence'!$F$8+'Scénario référence'!$F$9)*10,0)</f>
        <v>0</v>
      </c>
      <c r="G102" s="114" t="n">
        <f aca="false"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15" t="n">
        <f aca="false">(B102+E102+F102)*44/12+(C102+D102)*0.475*44/12</f>
        <v>256.666666666667</v>
      </c>
      <c r="I102" s="11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7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8" t="e">
        <f aca="false">VLOOKUP(A102,'Données projet'!$A$35:$I$55,2,0)</f>
        <v>#N/A</v>
      </c>
      <c r="L102" s="118" t="e">
        <f aca="false">VLOOKUP(A102,'Données projet'!$A$35:$I$55,9,0)</f>
        <v>#N/A</v>
      </c>
      <c r="M102" s="118" t="n">
        <f aca="false" t="array" ref="M102:M102">INDEX(L:L,MIN(IF(ISNUMBER(L102:L298),ROW(L102:L298),"")))</f>
        <v>18.5</v>
      </c>
      <c r="N102" s="117" t="n">
        <f aca="false">IF('Données projet'!$A$36&gt;35,N101+M102-V101,IF(A102&lt;'Données projet'!$A$36,$K$205^A102,IF(A102='Données projet'!$A$36,'Données projet'!$B$36,N101+M102-V101)))</f>
        <v>657</v>
      </c>
      <c r="O102" s="117" t="n">
        <f aca="false">N102*VLOOKUP('Données projet'!$B$9,Paramètres!$A$1:$I$89,3,0)*VLOOKUP('Données projet'!$B$9,Paramètres!$A$1:$I$89,5,0)</f>
        <v>307.476</v>
      </c>
      <c r="P102" s="117" t="n">
        <f aca="false">EXP(-1.0587+0.8836*LN(O102)+0.284)</f>
        <v>72.74146797627</v>
      </c>
      <c r="Q102" s="128" t="n">
        <f aca="false">(O102+P102)*0.475*44/12</f>
        <v>662.21209005867</v>
      </c>
      <c r="R102" s="120" t="n">
        <f aca="false">Q102+(I102+J102)*44/12</f>
        <v>955.545423392003</v>
      </c>
      <c r="S102" s="120" t="n">
        <f aca="true">AVERAGE(OFFSET($R$3,0,0,'Données projet'!$E$9+1,1))-AVERAGE(OFFSET($H$3,0,0,'Données projet'!$E$9+1,1))</f>
        <v>319.229030946746</v>
      </c>
      <c r="T102" s="120" t="n">
        <f aca="false">$T$3</f>
        <v>254.586909731428</v>
      </c>
      <c r="U102" s="121" t="n">
        <f aca="false">IF(ISNA(VLOOKUP(A102,'Données projet'!$A$35:$I$55,3,0)),0,VLOOKUP(A102,'Données projet'!$A$35:$I$55,3,0))</f>
        <v>0</v>
      </c>
      <c r="V102" s="121" t="n">
        <f aca="false">IF(ISNA(VLOOKUP(A102,'Données projet'!$A$35:$I$55,4,0)),0,VLOOKUP(A102,'Données projet'!$A$35:$I$55,4,0))</f>
        <v>0</v>
      </c>
      <c r="W102" s="122" t="n">
        <f aca="false">IF(ISNA(VLOOKUP(A102,'Données projet'!$A$35:$I$55,5,0)),0%,VLOOKUP(A102,'Données projet'!$A$35:$I$55,5,0)*VLOOKUP('Données projet'!$B$9,Paramètres!$A$1:$I$89,7,0))</f>
        <v>0</v>
      </c>
      <c r="X102" s="122" t="n">
        <f aca="false">IF(ISNA(VLOOKUP(A102,'Données projet'!$A$35:$I$55,6,0)),0%,VLOOKUP(A102,'Données projet'!$A$35:$I$55,6,0)*VLOOKUP('Données projet'!$B$9,Paramètres!$A$1:$I$89,7,0))</f>
        <v>0</v>
      </c>
      <c r="Y102" s="122" t="n">
        <f aca="false">IF(ISNA(VLOOKUP(A102,'Données projet'!$A$35:$I$55,7,0)),0%,VLOOKUP(A102,'Données projet'!$A$35:$I$55,7,0))</f>
        <v>0</v>
      </c>
      <c r="Z102" s="129" t="n">
        <f aca="false">EXP(-LN(2)/35)*Z101+(1-EXP(-LN(2)/35))/(LN(2)/35)*V102*W102*VLOOKUP('Données projet'!$B$9,Paramètres!$A$1:$I$89,3,0)*0.475*44/12</f>
        <v>2.31442627126853</v>
      </c>
      <c r="AA102" s="129" t="n">
        <f aca="false">EXP(-LN(2)/25)*AA101+(1-EXP(-LN(2)/25))/(LN(2)/25)*Calculateur!V102*Calculateur!X102*VLOOKUP('Données projet'!$B$9,Paramètres!$A$1:$I$89,3,0)*0.475*44/12</f>
        <v>1.6462034176452</v>
      </c>
      <c r="AB102" s="129" t="n">
        <f aca="false">EXP(-LN(2)/2)*AB101+(1-EXP(-LN(2)/2))/(LN(2)/2)*V102*Y102*VLOOKUP('Données projet'!$B$9,Paramètres!$A$1:$I$89,3,0)*0.475*44/12</f>
        <v>4.54524482449274E-010</v>
      </c>
      <c r="AC102" s="130" t="n">
        <f aca="false">SUM(Z102:AB102)</f>
        <v>3.96062968936825</v>
      </c>
      <c r="AD102" s="117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7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8" t="e">
        <f aca="false">VLOOKUP(A102,'Données projet'!$A$61:$I$81,2,0)</f>
        <v>#N/A</v>
      </c>
      <c r="AG102" s="118" t="e">
        <f aca="false">VLOOKUP(A102,'Données projet'!$A$61:$I$81,9,0)</f>
        <v>#N/A</v>
      </c>
      <c r="AH102" s="118" t="e">
        <f aca="false" t="array" ref="AH102:AH102">INDEX(AG:AG,MIN(IF(ISNUMBER(AG102:AG298),ROW(AG102:AG298),"")))</f>
        <v>#N/A</v>
      </c>
      <c r="AI102" s="117" t="n">
        <f aca="false">IF('Données projet'!$A$62&gt;35,AI101+AH102-AQ101,IF(A102&lt;'Données projet'!$A$62,$AF$205^A102,IF(A102='Données projet'!$A$62,'Données projet'!$B$62,AI101+AH102-AQ101)))</f>
        <v>1.13686837721616E-013</v>
      </c>
      <c r="AJ102" s="117" t="n">
        <f aca="false">AI102*VLOOKUP('Données projet'!$B$10,Paramètres!$A$1:$I$89,3,0)*VLOOKUP('Données projet'!$B$10,Paramètres!$A$1:$I$89,5,0)</f>
        <v>6.35509422863834E-014</v>
      </c>
      <c r="AK102" s="117" t="n">
        <f aca="false">EXP(-1.0587+0.8836*LN(AJ102)+0.284)</f>
        <v>1.0064464192544E-012</v>
      </c>
      <c r="AL102" s="128" t="n">
        <f aca="false">(AJ102+AK102)*0.475*44/12</f>
        <v>1.86357873801686E-012</v>
      </c>
      <c r="AM102" s="120" t="n">
        <f aca="false">AL102+(AD102+AE102)*44/12</f>
        <v>293.333333333335</v>
      </c>
      <c r="AN102" s="120" t="n">
        <f aca="true">AVERAGE(OFFSET($AM$3,0,0,'Données projet'!$E$10+1,1))-AVERAGE(OFFSET($H$3,0,0,'Données projet'!$E$10+1,1))</f>
        <v>365.705101827279</v>
      </c>
      <c r="AO102" s="120" t="n">
        <f aca="false">$AO$3</f>
        <v>436.238338449625</v>
      </c>
      <c r="AP102" s="121" t="n">
        <f aca="false">IF(ISNA(VLOOKUP(A102,'Données projet'!$A$61:$I$81,3,0)),0,VLOOKUP(A102,'Données projet'!$A$61:$I$81,3,0))</f>
        <v>0</v>
      </c>
      <c r="AQ102" s="121" t="n">
        <f aca="false">IF(ISNA(VLOOKUP(A102,'Données projet'!$A$61:$I$81,4,0)),0,VLOOKUP(A102,'Données projet'!$A$61:$I$81,4,0))</f>
        <v>0</v>
      </c>
      <c r="AR102" s="122" t="n">
        <f aca="false">IF(ISNA(VLOOKUP(A102,'Données projet'!$A$61:$I$81,5,0)),0%,VLOOKUP(A102,'Données projet'!$A$61:$I$81,5,0)*VLOOKUP('Données projet'!$B$10,Paramètres!$A$1:$I$89,7,0))</f>
        <v>0</v>
      </c>
      <c r="AS102" s="122" t="n">
        <f aca="false">IF(ISNA(VLOOKUP(A102,'Données projet'!$A$61:$I$81,6,0)),0%,VLOOKUP(A102,'Données projet'!$A$61:$I$81,6,0)*VLOOKUP('Données projet'!$B$10,Paramètres!$A$1:$I$89,7,0))</f>
        <v>0</v>
      </c>
      <c r="AT102" s="122" t="n">
        <f aca="false">IF(ISNA(VLOOKUP(A102,'Données projet'!$A$61:$I$81,7,0)),0%,VLOOKUP(A102,'Données projet'!$A$61:$I$81,7,0))</f>
        <v>0</v>
      </c>
      <c r="AU102" s="129" t="n">
        <f aca="false">EXP(-LN(2)/35)*AU101+(1-EXP(-LN(2)/35))/(LN(2)/35)*AQ102*AR102*VLOOKUP('Données projet'!$B$10,Paramètres!$A$1:$I$89,3,0)*0.475*44/12</f>
        <v>0.873620880441597</v>
      </c>
      <c r="AV102" s="129" t="n">
        <f aca="false">EXP(-LN(2)/25)*AV101+(1-EXP(-LN(2)/25))/(LN(2)/25)*Calculateur!AQ102*Calculateur!AS102*VLOOKUP('Données projet'!$B$10,Paramètres!$A$1:$I$89,3,0)*0.475*44/12</f>
        <v>1.94983893818457</v>
      </c>
      <c r="AW102" s="129" t="n">
        <f aca="false">EXP(-LN(2)/2)*AW101+(1-EXP(-LN(2)/2))/(LN(2)/2)*AQ102*AT102*VLOOKUP('Données projet'!$B$10,Paramètres!$A$1:$I$89,3,0)*0.475*44/12</f>
        <v>2.44610870401678E-010</v>
      </c>
      <c r="AX102" s="129" t="n">
        <f aca="false">SUM(AU102:AW102)</f>
        <v>2.82345981887078</v>
      </c>
      <c r="AY102" s="124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8" t="e">
        <f aca="false">VLOOKUP(A102,'Données projet'!$A$87:$I$107,2,0)</f>
        <v>#N/A</v>
      </c>
      <c r="BB102" s="118" t="e">
        <f aca="false">VLOOKUP(A102,'Données projet'!$A$87:$I$107,9,0)</f>
        <v>#N/A</v>
      </c>
      <c r="BC102" s="118" t="e">
        <f aca="false" t="array" ref="BC102:BC102">INDEX(BB:BB,MIN(IF(ISNUMBER(BB102:BB298),ROW(BB102:BB298),"")))</f>
        <v>#N/A</v>
      </c>
      <c r="BD102" s="118" t="n">
        <f aca="false">IF('Données projet'!$A$88&gt;35,BD101+BC102-BL101,IF(A102&lt;'Données projet'!$A$88,$BA$205^A102,IF(A102='Données projet'!$A$88,'Données projet'!$B$88,BD101+BC102-BL101)))</f>
        <v>1.98951966012828E-013</v>
      </c>
      <c r="BE102" s="117" t="n">
        <f aca="false">BD102*VLOOKUP('Données projet'!$B$11,Paramètres!$A$1:$I$89,3,0)*VLOOKUP('Données projet'!$B$11,Paramètres!$A$1:$I$89,5,0)</f>
        <v>1.73804437508807E-013</v>
      </c>
      <c r="BF102" s="117" t="n">
        <f aca="false">EXP(-1.0587+0.8836*LN(BE102)+0.284)</f>
        <v>2.44832936339505E-012</v>
      </c>
      <c r="BG102" s="128" t="n">
        <f aca="false">(BE102+BF102)*0.475*44/12</f>
        <v>4.56688303657421E-012</v>
      </c>
      <c r="BH102" s="120" t="n">
        <f aca="false">BG102+(AY102+AZ102)*44/12</f>
        <v>293.333333333338</v>
      </c>
      <c r="BI102" s="120" t="n">
        <f aca="true">AVERAGE(OFFSET($BH$3,0,0,'Données projet'!$E$11+1,1))-AVERAGE(OFFSET($H$3,0,0,'Données projet'!$E$11+1,1))</f>
        <v>321.235999689929</v>
      </c>
      <c r="BJ102" s="120" t="n">
        <f aca="false">$BJ$3</f>
        <v>388.051958478005</v>
      </c>
      <c r="BK102" s="121" t="n">
        <f aca="false">IF(ISNA(VLOOKUP(A102,'Données projet'!$A$87:$I$107,3,0)),0,VLOOKUP(A102,'Données projet'!$A$87:$I$107,3,0))</f>
        <v>0</v>
      </c>
      <c r="BL102" s="121" t="n">
        <f aca="false">IF(ISNA(VLOOKUP(A102,'Données projet'!$A$87:$I$107,4,0)),0,VLOOKUP(A102,'Données projet'!$A$87:$I$107,4,0))</f>
        <v>0</v>
      </c>
      <c r="BM102" s="122" t="n">
        <f aca="false">IF(ISNA(VLOOKUP(A102,'Données projet'!$A$87:$I$107,5,0)),0%,VLOOKUP(A102,'Données projet'!$A$87:$I$107,5,0)*VLOOKUP('Données projet'!$B$11,Paramètres!$A$1:$I$89,7,0))</f>
        <v>0</v>
      </c>
      <c r="BN102" s="122" t="n">
        <f aca="false">IF(ISNA(VLOOKUP(A102,'Données projet'!$A$87:$I$107,6,0)),0%,VLOOKUP(A102,'Données projet'!$A$87:$I$107,6,0)*VLOOKUP('Données projet'!$B$11,Paramètres!$A$1:$I$89,7,0))</f>
        <v>0</v>
      </c>
      <c r="BO102" s="122" t="n">
        <f aca="false">IF(ISNA(VLOOKUP(A102,'Données projet'!$A$87:$I$107,7,0)),0%,VLOOKUP(A102,'Données projet'!$A$87:$I$107,7,0))</f>
        <v>0</v>
      </c>
      <c r="BP102" s="129" t="n">
        <f aca="false">EXP(-LN(2)/35)*BP101+(1-EXP(-LN(2)/35))/(LN(2)/35)*BL102*BM102*VLOOKUP('Données projet'!$B$11,Paramètres!$A$1:$I$89,3,0)*0.475*44/12</f>
        <v>2.19333123594672</v>
      </c>
      <c r="BQ102" s="129" t="n">
        <f aca="false">EXP(-LN(2)/25)*BQ101+(1-EXP(-LN(2)/25))/(LN(2)/25)*Calculateur!BL102*Calculateur!BN102*VLOOKUP('Données projet'!$B$11,Paramètres!$A$1:$I$89,3,0)*0.475*44/12</f>
        <v>1.99027977482628</v>
      </c>
      <c r="BR102" s="129" t="n">
        <f aca="false">EXP(-LN(2)/2)*BR101+(1-EXP(-LN(2)/2))/(LN(2)/2)*BL102*BO102*VLOOKUP('Données projet'!$B$11,Paramètres!$A$1:$I$89,3,0)*0.475*44/12</f>
        <v>2.48641865441839E-010</v>
      </c>
      <c r="BS102" s="130" t="n">
        <f aca="false">SUM(BP102:BR102)</f>
        <v>4.18361101102164</v>
      </c>
      <c r="BT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8" t="e">
        <f aca="false">VLOOKUP(A102,'Données projet'!$A$113:$I$133,2,0)</f>
        <v>#N/A</v>
      </c>
      <c r="BW102" s="118" t="e">
        <f aca="false">VLOOKUP(A102,'Données projet'!$A$113:$I$133,9,0)</f>
        <v>#N/A</v>
      </c>
      <c r="BX102" s="118" t="e">
        <f aca="false" t="array" ref="BX102:BX102">INDEX(BW:BW,MIN(IF(ISNUMBER(BW102:BW298),ROW(BW102:BW298),"")))</f>
        <v>#N/A</v>
      </c>
      <c r="BY102" s="118" t="n">
        <f aca="false">IF('Données projet'!$A$114&gt;35,BY101+BX102-CG101,IF(A102&lt;'Données projet'!$A$114,$BV$205^A102,IF(A102='Données projet'!$A$114,'Données projet'!$B$114,BY101+BX102-CG101)))</f>
        <v>0</v>
      </c>
      <c r="BZ102" s="117" t="n">
        <f aca="false">BY102*VLOOKUP('Données projet'!$B$12,Paramètres!$A$1:$I$89,3,0)*VLOOKUP('Données projet'!$B$12,Paramètres!$A$1:$I$89,5,0)</f>
        <v>0</v>
      </c>
      <c r="CA102" s="117" t="e">
        <f aca="false">EXP(-1.0587+0.8836*LN(BZ102)+0.284)</f>
        <v>#VALUE!</v>
      </c>
      <c r="CB102" s="128" t="e">
        <f aca="false">(BZ102+CA102)*0.475*44/12</f>
        <v>#VALUE!</v>
      </c>
      <c r="CC102" s="120" t="e">
        <f aca="false">CB102+(BT102+BU102)*44/12</f>
        <v>#VALUE!</v>
      </c>
      <c r="CD102" s="120" t="n">
        <f aca="true">AVERAGE(OFFSET($CC$3,0,0,'Données projet'!$E$12+1,1))-AVERAGE(OFFSET($H$3,0,0,'Données projet'!$E$12+1,1))</f>
        <v>240.228848647662</v>
      </c>
      <c r="CE102" s="120" t="n">
        <f aca="false">$CE$3</f>
        <v>343.237768841432</v>
      </c>
      <c r="CF102" s="121" t="n">
        <f aca="false">IF(ISNA(VLOOKUP(A102,'Données projet'!$A$113:$I$133,3,0)),0,VLOOKUP(A102,'Données projet'!$A$113:$I$133,3,0))</f>
        <v>0</v>
      </c>
      <c r="CG102" s="121" t="n">
        <f aca="false">IF(ISNA(VLOOKUP(A102,'Données projet'!$A$113:$I$133,4,0)),0,VLOOKUP(A102,'Données projet'!$A$113:$I$133,4,0))</f>
        <v>0</v>
      </c>
      <c r="CH102" s="122" t="n">
        <f aca="false">IF(ISNA(VLOOKUP(A102,'Données projet'!$A$113:$I$133,5,0)),0%,VLOOKUP(A102,'Données projet'!$A$113:$I$133,5,0)*VLOOKUP('Données projet'!$B$12,Paramètres!$A$1:$I$89,7,0))</f>
        <v>0</v>
      </c>
      <c r="CI102" s="122" t="n">
        <f aca="false">IF(ISNA(VLOOKUP(A102,'Données projet'!$A$113:$I$133,6,0)),0%,VLOOKUP(A102,'Données projet'!$A$113:$I$133,6,0)*VLOOKUP('Données projet'!$B$12,Paramètres!$A$1:$I$89,7,0))</f>
        <v>0</v>
      </c>
      <c r="CJ102" s="122" t="n">
        <f aca="false">IF(ISNA(VLOOKUP(A102,'Données projet'!$A$113:$I$133,7,0)),0%,VLOOKUP(A102,'Données projet'!$A$113:$I$133,7,0))</f>
        <v>0</v>
      </c>
      <c r="CK102" s="129" t="n">
        <f aca="false">EXP(-LN(2)/35)*CK101+(1-EXP(-LN(2)/35))/(LN(2)/35)*CG102*CH102*VLOOKUP('Données projet'!$B$12,Paramètres!$A$1:$I$89,3,0)*0.475*44/12</f>
        <v>1.34248959217362</v>
      </c>
      <c r="CL102" s="129" t="n">
        <f aca="false">EXP(-LN(2)/25)*CL101+(1-EXP(-LN(2)/25))/(LN(2)/25)*Calculateur!CG102*Calculateur!CI102*VLOOKUP('Données projet'!$B$12,Paramètres!$A$1:$I$89,3,0)*0.475*44/12</f>
        <v>3.51494929941383</v>
      </c>
      <c r="CM102" s="129" t="n">
        <f aca="false">EXP(-LN(2)/2)*CM101+(1-EXP(-LN(2)/2))/(LN(2)/2)*CG102*CJ102*VLOOKUP('Données projet'!$B$12,Paramètres!$A$1:$I$89,3,0)*0.475*44/12</f>
        <v>3.96766129361842E-010</v>
      </c>
      <c r="CN102" s="130" t="n">
        <f aca="false">SUM(CK102:CM102)</f>
        <v>4.85743889198421</v>
      </c>
      <c r="CO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8" t="e">
        <f aca="false">VLOOKUP(A102,'Données projet'!$A$139:$I$159,2,0)</f>
        <v>#N/A</v>
      </c>
      <c r="CR102" s="118" t="e">
        <f aca="false">VLOOKUP(A102,'Données projet'!$A$139:$I$159,9,0)</f>
        <v>#N/A</v>
      </c>
      <c r="CS102" s="118" t="e">
        <f aca="false" t="array" ref="CS102:CS102">INDEX(CR:CR,MIN(IF(ISNUMBER(CR102:CR298),ROW(CR102:CR298),"")))</f>
        <v>#N/A</v>
      </c>
      <c r="CT102" s="118" t="n">
        <f aca="false">IF('Données projet'!$A$140&gt;35,CT101+CS102-DB101,IF(A102&lt;'Données projet'!$A$140,$CQ$205^A102,IF(A102='Données projet'!$A$140,'Données projet'!$B$140,CT101+CS102-DB101)))</f>
        <v>-5.6843418860808E-014</v>
      </c>
      <c r="CU102" s="125" t="n">
        <f aca="false">CT102*VLOOKUP('Données projet'!$B$13,Paramètres!$A$1:$I$89,3,0)*VLOOKUP('Données projet'!$B$13,Paramètres!$A$1:$I$89,5,0)</f>
        <v>-3.10365066980012E-014</v>
      </c>
      <c r="CV102" s="117" t="e">
        <f aca="false">EXP(-1.0587+0.8836*LN(CU102)+0.284)</f>
        <v>#VALUE!</v>
      </c>
      <c r="CW102" s="128" t="e">
        <f aca="false">(CU102+CV102)*0.475*44/12</f>
        <v>#VALUE!</v>
      </c>
      <c r="CX102" s="120" t="e">
        <f aca="false">CW102+(CO102+CP102)*44/12</f>
        <v>#VALUE!</v>
      </c>
      <c r="CY102" s="120" t="n">
        <f aca="true">AVERAGE(OFFSET($CX$3,0,0,'Données projet'!$E$13+1,1))-AVERAGE(OFFSET($H$3,0,0,'Données projet'!$E$13+1,1))</f>
        <v>207.023069645676</v>
      </c>
      <c r="CZ102" s="120" t="n">
        <f aca="false">$CZ$3</f>
        <v>342.068879333518</v>
      </c>
      <c r="DA102" s="121" t="n">
        <f aca="false">IF(ISNA(VLOOKUP(A102,'Données projet'!$A$139:$I$159,3,0)),0,VLOOKUP(A102,'Données projet'!$A$139:$I$159,3,0))</f>
        <v>0</v>
      </c>
      <c r="DB102" s="121" t="n">
        <f aca="false">IF(ISNA(VLOOKUP(A102,'Données projet'!$A$139:$I$159,4,0)),0,VLOOKUP(A102,'Données projet'!$A$139:$I$159,4,0))</f>
        <v>0</v>
      </c>
      <c r="DC102" s="122" t="n">
        <f aca="false">IF(ISNA(VLOOKUP(A102,'Données projet'!$A$139:$I$159,5,0)),0%,VLOOKUP(A102,'Données projet'!$A$139:$I$159,5,0)*VLOOKUP('Données projet'!$B$13,Paramètres!$A$1:$I$89,7,0))</f>
        <v>0</v>
      </c>
      <c r="DD102" s="122" t="n">
        <f aca="false">IF(ISNA(VLOOKUP(A102,'Données projet'!$A$139:$I$159,6,0)),0%,VLOOKUP(A102,'Données projet'!$A$139:$I$159,6,0)*VLOOKUP('Données projet'!$B$13,Paramètres!$A$1:$I$89,7,0))</f>
        <v>0</v>
      </c>
      <c r="DE102" s="122" t="n">
        <f aca="false">IF(ISNA(VLOOKUP(A102,'Données projet'!$A$139:$I$159,7,0)),0%,VLOOKUP(A102,'Données projet'!$A$139:$I$159,7,0))</f>
        <v>0</v>
      </c>
      <c r="DF102" s="129" t="n">
        <f aca="false">EXP(-LN(2)/35)*DF101+(1-EXP(-LN(2)/35))/(LN(2)/35)*DB102*DC102*VLOOKUP('Données projet'!$B$13,Paramètres!$A$1:$I$89,3,0)*0.475*44/12</f>
        <v>1.68444448829331</v>
      </c>
      <c r="DG102" s="129" t="n">
        <f aca="false">EXP(-LN(2)/25)*DG101+(1-EXP(-LN(2)/25))/(LN(2)/25)*Calculateur!DB102*Calculateur!DD102*VLOOKUP('Données projet'!$B$13,Paramètres!$A$1:$I$89,3,0)*0.475*44/12</f>
        <v>5.74547816743261</v>
      </c>
      <c r="DH102" s="129" t="n">
        <f aca="false">EXP(-LN(2)/2)*DH101+(1-EXP(-LN(2)/2))/(LN(2)/2)*DB102*DE102*VLOOKUP('Données projet'!$B$13,Paramètres!$A$1:$I$89,3,0)*0.475*44/12</f>
        <v>5.46347144082028E-010</v>
      </c>
      <c r="DI102" s="130" t="n">
        <f aca="false">SUM(DF102:DH102)</f>
        <v>7.42992265627227</v>
      </c>
      <c r="DJ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8" t="e">
        <f aca="false">VLOOKUP(A102,'Données projet'!$A$165:$I$185,2,0)</f>
        <v>#N/A</v>
      </c>
      <c r="DM102" s="118" t="e">
        <f aca="false">VLOOKUP(A102,'Données projet'!$A$165:$I$185,9,0)</f>
        <v>#N/A</v>
      </c>
      <c r="DN102" s="118" t="e">
        <f aca="false" t="array" ref="DN102:DN102">INDEX(DM:DM,MIN(IF(ISNUMBER(DM102:DM298),ROW(DM102:DM298),"")))</f>
        <v>#N/A</v>
      </c>
      <c r="DO102" s="118" t="n">
        <f aca="false">IF('Données projet'!$A$166&gt;35,DO101+DN102-DW101,IF(A102&lt;'Données projet'!$A$166,$DL$205^A102,IF(A102='Données projet'!$A$166,'Données projet'!$B$166,DO101+DN102-DW101)))</f>
        <v>0</v>
      </c>
      <c r="DP102" s="125" t="n">
        <f aca="false">DO102*VLOOKUP('Données projet'!$B$14,Paramètres!$A$1:$I$89,3,0)*VLOOKUP('Données projet'!$B$14,Paramètres!$A$1:$I$89,5,0)</f>
        <v>0</v>
      </c>
      <c r="DQ102" s="117" t="e">
        <f aca="false">EXP(-1.0587+0.8836*LN(DP102)+0.284)</f>
        <v>#VALUE!</v>
      </c>
      <c r="DR102" s="128" t="e">
        <f aca="false">(DP102+DQ102)*0.475*44/12</f>
        <v>#VALUE!</v>
      </c>
      <c r="DS102" s="120" t="e">
        <f aca="false">DR102+(DJ102+DK102)*44/12</f>
        <v>#VALUE!</v>
      </c>
      <c r="DT102" s="120" t="n">
        <f aca="true">AVERAGE(OFFSET($DS$3,0,0,'Données projet'!$E$14+1,1))-AVERAGE(OFFSET($H$3,0,0,'Données projet'!$E$14+1,1))</f>
        <v>549.432320957297</v>
      </c>
      <c r="DU102" s="120" t="n">
        <f aca="false">$DU$3</f>
        <v>280.26155987301</v>
      </c>
      <c r="DV102" s="121" t="n">
        <f aca="false">IF(ISNA(VLOOKUP(A102,'Données projet'!$A$165:$I$185,3,0)),0,VLOOKUP(A102,'Données projet'!$A$165:$I$185,3,0))</f>
        <v>0</v>
      </c>
      <c r="DW102" s="121" t="n">
        <f aca="false">IF(ISNA(VLOOKUP(A102,'Données projet'!$A$165:$I$185,4,0)),0,VLOOKUP(A102,'Données projet'!$A$165:$I$185,4,0))</f>
        <v>0</v>
      </c>
      <c r="DX102" s="122" t="n">
        <f aca="false">IF(ISNA(VLOOKUP(A102,'Données projet'!$A$165:$I$185,5,0)),0%,VLOOKUP(A102,'Données projet'!$A$165:$I$185,5,0)*VLOOKUP('Données projet'!$B$14,Paramètres!$A$1:$I$89,7,0))</f>
        <v>0</v>
      </c>
      <c r="DY102" s="122" t="n">
        <f aca="false">IF(ISNA(VLOOKUP(A102,'Données projet'!$A$165:$I$185,6,0)),0%,VLOOKUP(A102,'Données projet'!$A$165:$I$185,6,0)*VLOOKUP('Données projet'!$B$14,Paramètres!$A$1:$I$89,7,0))</f>
        <v>0</v>
      </c>
      <c r="DZ102" s="122" t="n">
        <f aca="false">IF(ISNA(VLOOKUP(A102,'Données projet'!$A$165:$I$185,7,0)),0%,VLOOKUP(A102,'Données projet'!$A$165:$I$185,7,0))</f>
        <v>0</v>
      </c>
      <c r="EA102" s="129" t="n">
        <f aca="false">EXP(-LN(2)/35)*EA101+(1-EXP(-LN(2)/35))/(LN(2)/35)*DW102*DX102*VLOOKUP('Données projet'!$B$14,Paramètres!$A$1:$I$89,3,0)*0.475*44/12</f>
        <v>0.612462137714035</v>
      </c>
      <c r="EB102" s="129" t="n">
        <f aca="false">EXP(-LN(2)/25)*EB101+(1-EXP(-LN(2)/25))/(LN(2)/25)*Calculateur!DW102*Calculateur!DY102*VLOOKUP('Données projet'!$B$14,Paramètres!$A$1:$I$89,3,0)*0.475*44/12</f>
        <v>1.14461260724444</v>
      </c>
      <c r="EC102" s="129" t="n">
        <f aca="false">EXP(-LN(2)/2)*EC101+(1-EXP(-LN(2)/2))/(LN(2)/2)*DW102*DZ102*VLOOKUP('Données projet'!$B$14,Paramètres!$A$1:$I$89,3,0)*0.475*44/12</f>
        <v>2.51854771451623E-010</v>
      </c>
      <c r="ED102" s="130" t="n">
        <f aca="false">SUM(EA102:EC102)</f>
        <v>1.75707474521033</v>
      </c>
      <c r="EE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8" t="e">
        <f aca="false">VLOOKUP(A102,'Données projet'!$A$191:$I$211,2,0)</f>
        <v>#N/A</v>
      </c>
      <c r="EH102" s="118" t="e">
        <f aca="false">VLOOKUP(A102,'Données projet'!$A$191:$I$211,9,0)</f>
        <v>#N/A</v>
      </c>
      <c r="EI102" s="118" t="e">
        <f aca="false" t="array" ref="EI102:EI102">INDEX(EH:EH,MIN(IF(ISNUMBER(EH102:EH298),ROW(EH102:EH298),"")))</f>
        <v>#N/A</v>
      </c>
      <c r="EJ102" s="118" t="n">
        <f aca="false">IF('Données projet'!$A$192&gt;35,EJ101+EI102-ER101,IF(A102&lt;'Données projet'!$A$192,$EG$205^A102,IF(A102='Données projet'!$A$192,'Données projet'!$B$192,EJ101+EI102-ER101)))</f>
        <v>0</v>
      </c>
      <c r="EK102" s="125" t="e">
        <f aca="false">EJ102*VLOOKUP('Données projet'!$B$15,Paramètres!$A$1:$I$89,3,0)*VLOOKUP('Données projet'!$B$15,Paramètres!$A$1:$I$89,5,0)</f>
        <v>#N/A</v>
      </c>
      <c r="EL102" s="117" t="e">
        <f aca="false">EXP(-1.0587+0.8836*LN(EK102)+0.284)</f>
        <v>#N/A</v>
      </c>
      <c r="EM102" s="128" t="e">
        <f aca="false">(EK102+EL102)*0.475*44/12</f>
        <v>#N/A</v>
      </c>
      <c r="EN102" s="120" t="e">
        <f aca="false">EM102+(EE102+EF102)*44/12</f>
        <v>#N/A</v>
      </c>
      <c r="EO102" s="120" t="e">
        <f aca="true">AVERAGE(OFFSET($EN$3,0,0,'Données projet'!$E$15+1,1))-AVERAGE(OFFSET($H$3,0,0,'Données projet'!$E$15+1,1))</f>
        <v>#N/A</v>
      </c>
      <c r="EP102" s="120" t="e">
        <f aca="false">$EP$3</f>
        <v>#N/A</v>
      </c>
      <c r="EQ102" s="121" t="n">
        <f aca="false">IF(ISNA(VLOOKUP(A102,'Données projet'!$A$191:$I$211,3,0)),0,VLOOKUP(A102,'Données projet'!$A$191:$I$211,3,0))</f>
        <v>0</v>
      </c>
      <c r="ER102" s="121" t="n">
        <f aca="false">IF(ISNA(VLOOKUP(A102,'Données projet'!$A$191:$I$211,4,0)),0,VLOOKUP(A102,'Données projet'!$A$191:$I$211,4,0))</f>
        <v>0</v>
      </c>
      <c r="ES102" s="122" t="n">
        <f aca="false">IF(ISNA(VLOOKUP(A102,'Données projet'!$A$191:$I$211,5,0)),0%,VLOOKUP(A102,'Données projet'!$A$191:$I$211,5,0)*VLOOKUP('Données projet'!$B$15,Paramètres!$A$1:$I$89,7,0))</f>
        <v>0</v>
      </c>
      <c r="ET102" s="122" t="n">
        <f aca="false">IF(ISNA(VLOOKUP(A102,'Données projet'!$A$191:$I$211,6,0)),0%,VLOOKUP(A102,'Données projet'!$A$191:$I$211,6,0)*VLOOKUP('Données projet'!$B$15,Paramètres!$A$1:$I$89,7,0))</f>
        <v>0</v>
      </c>
      <c r="EU102" s="122" t="n">
        <f aca="false">IF(ISNA(VLOOKUP(A102,'Données projet'!$A$191:$I$211,7,0)),0%,VLOOKUP(A102,'Données projet'!$A$191:$I$211,7,0))</f>
        <v>0</v>
      </c>
      <c r="EV102" s="129" t="e">
        <f aca="false">EXP(-LN(2)/35)*EV101+(1-EXP(-LN(2)/35))/(LN(2)/35)*ER102*ES102*VLOOKUP('Données projet'!$B$15,Paramètres!$A$1:$I$89,3,0)*0.475*44/12</f>
        <v>#N/A</v>
      </c>
      <c r="EW102" s="129" t="e">
        <f aca="false">EXP(-LN(2)/25)*EW101+(1-EXP(-LN(2)/25))/(LN(2)/25)*Calculateur!ER102*Calculateur!ET102*VLOOKUP('Données projet'!$B$15,Paramètres!$A$1:$I$89,3,0)*0.475*44/12</f>
        <v>#N/A</v>
      </c>
      <c r="EX102" s="129" t="e">
        <f aca="false">EXP(-LN(2)/2)*EX101+(1-EXP(-LN(2)/2))/(LN(2)/2)*ER102*EU102*VLOOKUP('Données projet'!$B$15,Paramètres!$A$1:$I$89,3,0)*0.475*44/12</f>
        <v>#N/A</v>
      </c>
      <c r="EY102" s="130" t="e">
        <f aca="false">SUM(EV102:EX102)</f>
        <v>#N/A</v>
      </c>
      <c r="EZ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8" t="e">
        <f aca="false">VLOOKUP(A102,'Données projet'!$A$217:$I$237,2,0)</f>
        <v>#N/A</v>
      </c>
      <c r="FC102" s="118" t="e">
        <f aca="false">VLOOKUP(A102,'Données projet'!$A$217:$I$237,9,0)</f>
        <v>#N/A</v>
      </c>
      <c r="FD102" s="118" t="e">
        <f aca="false" t="array" ref="FD102:FD102">INDEX(FC:FC,MIN(IF(ISNUMBER(FC102:FC298),ROW(FC102:FC298),"")))</f>
        <v>#N/A</v>
      </c>
      <c r="FE102" s="118" t="n">
        <f aca="false">IF('Données projet'!$A$218&gt;35,FE101+FD102-FM101,IF(A102&lt;'Données projet'!$A$218,$FB$205^A102,IF(A102='Données projet'!$A$218,'Données projet'!$B$218,FE101+FD102-FM101)))</f>
        <v>0</v>
      </c>
      <c r="FF102" s="125" t="e">
        <f aca="false">FE102*VLOOKUP('Données projet'!$B$16,Paramètres!$A$1:$I$89,3,0)*VLOOKUP('Données projet'!$B$16,Paramètres!$A$1:$I$89,5,0)</f>
        <v>#N/A</v>
      </c>
      <c r="FG102" s="117" t="e">
        <f aca="false">EXP(-1.0587+0.8836*LN(FF102)+0.284)</f>
        <v>#N/A</v>
      </c>
      <c r="FH102" s="128" t="e">
        <f aca="false">(FF102+FG102)*0.475*44/12</f>
        <v>#N/A</v>
      </c>
      <c r="FI102" s="120" t="e">
        <f aca="false">FH102+(EZ102+FA102)*44/12</f>
        <v>#N/A</v>
      </c>
      <c r="FJ102" s="120" t="e">
        <f aca="true">AVERAGE(OFFSET($FI$3,0,0,'Données projet'!$E$16+1,1))-AVERAGE(OFFSET($H$3,0,0,'Données projet'!$E$16+1,1))</f>
        <v>#N/A</v>
      </c>
      <c r="FK102" s="120" t="e">
        <f aca="false">$FK$3</f>
        <v>#N/A</v>
      </c>
      <c r="FL102" s="121" t="n">
        <f aca="false">IF(ISNA(VLOOKUP(A102,'Données projet'!$A$217:$I$237,3,0)),0,VLOOKUP(A102,'Données projet'!$A$217:$I$237,3,0))</f>
        <v>0</v>
      </c>
      <c r="FM102" s="121" t="n">
        <f aca="false">IF(ISNA(VLOOKUP(A102,'Données projet'!$A$217:$I$237,4,0)),0,VLOOKUP(A102,'Données projet'!$A$217:$I$237,4,0))</f>
        <v>0</v>
      </c>
      <c r="FN102" s="122" t="n">
        <f aca="false">IF(ISNA(VLOOKUP(A102,'Données projet'!$A$217:$I$237,5,0)),0%,VLOOKUP(A102,'Données projet'!$A$217:$I$237,5,0)*VLOOKUP('Données projet'!$B$16,Paramètres!$A$1:$I$89,7,0))</f>
        <v>0</v>
      </c>
      <c r="FO102" s="122" t="n">
        <f aca="false">IF(ISNA(VLOOKUP(A102,'Données projet'!$A$217:$I$237,6,0)),0%,VLOOKUP(A102,'Données projet'!$A$217:$I$237,6,0)*VLOOKUP('Données projet'!$B$16,Paramètres!$A$1:$I$89,7,0))</f>
        <v>0</v>
      </c>
      <c r="FP102" s="122" t="n">
        <f aca="false">IF(ISNA(VLOOKUP(A102,'Données projet'!$A$217:$I$237,7,0)),0%,VLOOKUP(A102,'Données projet'!$A$217:$I$237,7,0))</f>
        <v>0</v>
      </c>
      <c r="FQ102" s="129" t="e">
        <f aca="false">EXP(-LN(2)/35)*FQ101+(1-EXP(-LN(2)/35))/(LN(2)/35)*FM102*FN102*VLOOKUP('Données projet'!$B$16,Paramètres!$A$1:$I$89,3,0)*0.475*44/12</f>
        <v>#N/A</v>
      </c>
      <c r="FR102" s="129" t="e">
        <f aca="false">EXP(-LN(2)/25)*FR101+(1-EXP(-LN(2)/25))/(LN(2)/25)*Calculateur!FM102*Calculateur!FO102*VLOOKUP('Données projet'!$B$16,Paramètres!$A$1:$I$89,3,0)*0.475*44/12</f>
        <v>#N/A</v>
      </c>
      <c r="FS102" s="129" t="e">
        <f aca="false">EXP(-LN(2)/2)*FS101+(1-EXP(-LN(2)/2))/(LN(2)/2)*FM102*FP102*VLOOKUP('Données projet'!$B$16,Paramètres!$A$1:$I$89,3,0)*0.475*44/12</f>
        <v>#N/A</v>
      </c>
      <c r="FT102" s="130" t="e">
        <f aca="false">SUM(FQ102:FS102)</f>
        <v>#N/A</v>
      </c>
      <c r="FU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8" t="e">
        <f aca="false">VLOOKUP(A102,'Données projet'!$A$243:$I$263,2,0)</f>
        <v>#N/A</v>
      </c>
      <c r="FX102" s="118" t="e">
        <f aca="false">VLOOKUP(A102,'Données projet'!$A$243:$I$263,9,0)</f>
        <v>#N/A</v>
      </c>
      <c r="FY102" s="118" t="e">
        <f aca="false" t="array" ref="FY102:FY102">INDEX(FX:FX,MIN(IF(ISNUMBER(FX102:FX298),ROW(FX102:FX298),"")))</f>
        <v>#N/A</v>
      </c>
      <c r="FZ102" s="118" t="n">
        <f aca="false">IF('Données projet'!$A$244&gt;35,FZ101+FY102-GH101,IF(A102&lt;'Données projet'!$A$244,$FW$205^A102,IF(A102='Données projet'!$A$244,'Données projet'!$B$244,FZ101+FY102-GH101)))</f>
        <v>0</v>
      </c>
      <c r="GA102" s="125" t="e">
        <f aca="false">FZ102*VLOOKUP('Données projet'!$B$17,Paramètres!$A$1:$I$89,3,0)*VLOOKUP('Données projet'!$B$17,Paramètres!$A$1:$I$89,5,0)</f>
        <v>#N/A</v>
      </c>
      <c r="GB102" s="117" t="e">
        <f aca="false">EXP(-1.0587+0.8836*LN(GA102)+0.284)</f>
        <v>#N/A</v>
      </c>
      <c r="GC102" s="128" t="e">
        <f aca="false">(GA102+GB102)*0.475*44/12</f>
        <v>#N/A</v>
      </c>
      <c r="GD102" s="120" t="e">
        <f aca="false">GC102+(FU102+FV102)*44/12</f>
        <v>#N/A</v>
      </c>
      <c r="GE102" s="120" t="e">
        <f aca="true">AVERAGE(OFFSET($GD$3,0,0,'Données projet'!$E$17+1,1))-AVERAGE(OFFSET($H$3,0,0,'Données projet'!$E$17+1,1))</f>
        <v>#N/A</v>
      </c>
      <c r="GF102" s="120" t="e">
        <f aca="false">$GF$3</f>
        <v>#N/A</v>
      </c>
      <c r="GG102" s="121" t="n">
        <f aca="false">IF(ISNA(VLOOKUP(A102,'Données projet'!$A$243:$I$263,3,0)),0,VLOOKUP(A102,'Données projet'!$A$243:$I$263,3,0))</f>
        <v>0</v>
      </c>
      <c r="GH102" s="121" t="n">
        <f aca="false">IF(ISNA(VLOOKUP(A102,'Données projet'!$A$243:$I$263,4,0)),0,VLOOKUP(A102,'Données projet'!$A$243:$I$263,4,0))</f>
        <v>0</v>
      </c>
      <c r="GI102" s="122" t="n">
        <f aca="false">IF(ISNA(VLOOKUP(A102,'Données projet'!$A$243:$I$263,5,0)),0%,VLOOKUP(A102,'Données projet'!$A$243:$I$263,5,0)*VLOOKUP('Données projet'!$B$17,Paramètres!$A$1:$I$89,7,0))</f>
        <v>0</v>
      </c>
      <c r="GJ102" s="122" t="n">
        <f aca="false">IF(ISNA(VLOOKUP(A102,'Données projet'!$A$243:$I$263,6,0)),0%,VLOOKUP(A102,'Données projet'!$A$243:$I$263,6,0)*VLOOKUP('Données projet'!$B$17,Paramètres!$A$1:$I$89,7,0))</f>
        <v>0</v>
      </c>
      <c r="GK102" s="122" t="n">
        <f aca="false">IF(ISNA(VLOOKUP(A102,'Données projet'!$A$243:$I$263,7,0)),0%,VLOOKUP(A102,'Données projet'!$A$243:$I$263,7,0))</f>
        <v>0</v>
      </c>
      <c r="GL102" s="129" t="e">
        <f aca="false">EXP(-LN(2)/35)*GL101+(1-EXP(-LN(2)/35))/(LN(2)/35)*GH102*GI102*VLOOKUP('Données projet'!$B$17,Paramètres!$A$1:$I$89,3,0)*0.475*44/12</f>
        <v>#N/A</v>
      </c>
      <c r="GM102" s="129" t="e">
        <f aca="false">EXP(-LN(2)/25)*GM101+(1-EXP(-LN(2)/25))/(LN(2)/25)*Calculateur!GH102*Calculateur!GJ102*VLOOKUP('Données projet'!$B$17,Paramètres!$A$1:$I$89,3,0)*0.475*44/12</f>
        <v>#N/A</v>
      </c>
      <c r="GN102" s="129" t="e">
        <f aca="false">EXP(-LN(2)/2)*GN101+(1-EXP(-LN(2)/2))/(LN(2)/2)*GH102*GK102*VLOOKUP('Données projet'!$B$17,Paramètres!$A$1:$I$89,3,0)*0.475*44/12</f>
        <v>#N/A</v>
      </c>
      <c r="GO102" s="129" t="e">
        <f aca="false">SUM(GL102:GN102)</f>
        <v>#N/A</v>
      </c>
      <c r="GP102" s="126" t="n">
        <f aca="false"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8" t="n">
        <f aca="false"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8" t="e">
        <f aca="false">VLOOKUP(A102,'Données projet'!$A$269:$I$289,2,0)</f>
        <v>#N/A</v>
      </c>
      <c r="GS102" s="118" t="e">
        <f aca="false">VLOOKUP(A102,'Données projet'!$A$269:$I$289,9,0)</f>
        <v>#N/A</v>
      </c>
      <c r="GT102" s="118" t="e">
        <f aca="false" t="array" ref="GT102:GT102">INDEX(GS:GS,MIN(IF(ISNUMBER(GS102:GS298),ROW(GS102:GS298),"")))</f>
        <v>#N/A</v>
      </c>
      <c r="GU102" s="118" t="n">
        <f aca="false">IF('Données projet'!$A$270&gt;35,GU101+GT102-HC101,IF(A102&lt;'Données projet'!$A$270,$GR$205^A102,IF(A102='Données projet'!$A$270,'Données projet'!$B$270,GU101+GT102-HC101)))</f>
        <v>0</v>
      </c>
      <c r="GV102" s="125" t="e">
        <f aca="false">GU102*VLOOKUP('Données projet'!$B$18,Paramètres!$A$1:$I$89,3,0)*VLOOKUP('Données projet'!$B$18,Paramètres!$A$1:$I$89,5,0)</f>
        <v>#N/A</v>
      </c>
      <c r="GW102" s="117" t="e">
        <f aca="false">EXP(-1.0587+0.8836*LN(GV102)+0.284)</f>
        <v>#N/A</v>
      </c>
      <c r="GX102" s="128" t="e">
        <f aca="false">(GV102+GW102)*0.475*44/12</f>
        <v>#N/A</v>
      </c>
      <c r="GY102" s="120" t="e">
        <f aca="false">GX102+(GP102+GQ102)*44/12</f>
        <v>#N/A</v>
      </c>
      <c r="GZ102" s="120" t="e">
        <f aca="true">AVERAGE(OFFSET($GY$3,0,0,'Données projet'!$E$18+1,1))-AVERAGE(OFFSET($H$3,0,0,'Données projet'!$E$18+1,1))</f>
        <v>#N/A</v>
      </c>
      <c r="HA102" s="120" t="e">
        <f aca="false">$HA$3</f>
        <v>#N/A</v>
      </c>
      <c r="HB102" s="121" t="n">
        <f aca="false">IF(ISNA(VLOOKUP(A102,'Données projet'!$A$269:$I$289,3,0)),0,VLOOKUP(A102,'Données projet'!$A$269:$I$289,3,0))</f>
        <v>0</v>
      </c>
      <c r="HC102" s="121" t="n">
        <f aca="false">IF(ISNA(VLOOKUP(A102,'Données projet'!$A$269:$I$289,4,0)),0,VLOOKUP(A102,'Données projet'!$A$269:$I$289,4,0))</f>
        <v>0</v>
      </c>
      <c r="HD102" s="122" t="n">
        <f aca="false">IF(ISNA(VLOOKUP(A102,'Données projet'!$A$269:$I$289,5,0)),0%,VLOOKUP(A102,'Données projet'!$A$269:$I$289,5,0)*VLOOKUP('Données projet'!$B$18,Paramètres!$A$1:$I$89,7,0))</f>
        <v>0</v>
      </c>
      <c r="HE102" s="122" t="n">
        <f aca="false">IF(ISNA(VLOOKUP(A102,'Données projet'!$A$269:$I$289,6,0)),0%,VLOOKUP(A102,'Données projet'!$A$269:$I$289,6,0)*VLOOKUP('Données projet'!$B$18,Paramètres!$A$1:$I$89,7,0))</f>
        <v>0</v>
      </c>
      <c r="HF102" s="122" t="n">
        <f aca="false">IF(ISNA(VLOOKUP(A102,'Données projet'!$A$269:$I$289,7,0)),0%,VLOOKUP(A102,'Données projet'!$A$269:$I$289,7,0))</f>
        <v>0</v>
      </c>
      <c r="HG102" s="129" t="e">
        <f aca="false">EXP(-LN(2)/35)*HG101+(1-EXP(-LN(2)/35))/(LN(2)/35)*HC102*HD102*VLOOKUP('Données projet'!$B$18,Paramètres!$A$1:$I$89,3,0)*0.475*44/12</f>
        <v>#N/A</v>
      </c>
      <c r="HH102" s="129" t="e">
        <f aca="false">EXP(-LN(2)/25)*HH101+(1-EXP(-LN(2)/25))/(LN(2)/25)*Calculateur!HC102*Calculateur!HE102*VLOOKUP('Données projet'!$B$18,Paramètres!$A$1:$I$89,3,0)*0.475*44/12</f>
        <v>#N/A</v>
      </c>
      <c r="HI102" s="129" t="e">
        <f aca="false">EXP(-LN(2)/2)*HI101+(1-EXP(-LN(2)/2))/(LN(2)/2)*HC102*HF102*VLOOKUP('Données projet'!$B$18,Paramètres!$A$1:$I$89,3,0)*0.475*44/12</f>
        <v>#N/A</v>
      </c>
      <c r="HJ102" s="130" t="e">
        <f aca="false">SUM(HG102:HI102)</f>
        <v>#N/A</v>
      </c>
    </row>
    <row r="103" customFormat="false" ht="14.25" hidden="false" customHeight="false" outlineLevel="0" collapsed="false">
      <c r="A103" s="112" t="n">
        <f aca="false">A102+1</f>
        <v>100</v>
      </c>
      <c r="B103" s="113" t="n">
        <f aca="false">'Scénario référence'!$B$16*5+'Scénario référence'!$B$17*0+'Scénario référence'!$B$18*5</f>
        <v>0</v>
      </c>
      <c r="C103" s="127" t="n">
        <f aca="false"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4" t="n">
        <f aca="false">IFERROR(EXP(-1.0587+0.8836*LN(C103)+0.284),0)</f>
        <v>0</v>
      </c>
      <c r="E10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3" s="114" t="n">
        <f aca="false">IF(OR('Scénario référence'!$F$8&gt;0,'Scénario référence'!$F$9&gt;0),('Scénario référence'!$F$8+'Scénario référence'!$F$9)*10,0)</f>
        <v>0</v>
      </c>
      <c r="G103" s="114" t="n">
        <f aca="false"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15" t="n">
        <f aca="false">(B103+E103+F103)*44/12+(C103+D103)*0.475*44/12</f>
        <v>256.666666666667</v>
      </c>
      <c r="I103" s="11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7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8" t="n">
        <f aca="false">VLOOKUP(A103,'Données projet'!$A$35:$I$55,2,0)</f>
        <v>675.5</v>
      </c>
      <c r="L103" s="118" t="n">
        <f aca="false">VLOOKUP(A103,'Données projet'!$A$35:$I$55,9,0)</f>
        <v>18.5</v>
      </c>
      <c r="M103" s="118" t="n">
        <f aca="false" t="array" ref="M103:M103">INDEX(L:L,MIN(IF(ISNUMBER(L103:L299),ROW(L103:L299),"")))</f>
        <v>18.5</v>
      </c>
      <c r="N103" s="117" t="n">
        <f aca="false">IF('Données projet'!$A$36&gt;35,N102+M103-V102,IF(A103&lt;'Données projet'!$A$36,$K$205^A103,IF(A103='Données projet'!$A$36,'Données projet'!$B$36,N102+M103-V102)))</f>
        <v>675.5</v>
      </c>
      <c r="O103" s="117" t="n">
        <f aca="false">N103*VLOOKUP('Données projet'!$B$9,Paramètres!$A$1:$I$89,3,0)*VLOOKUP('Données projet'!$B$9,Paramètres!$A$1:$I$89,5,0)</f>
        <v>316.134</v>
      </c>
      <c r="P103" s="117" t="n">
        <f aca="false">EXP(-1.0587+0.8836*LN(O103)+0.284)</f>
        <v>74.5483890241368</v>
      </c>
      <c r="Q103" s="128" t="n">
        <f aca="false">(O103+P103)*0.475*44/12</f>
        <v>680.438494217038</v>
      </c>
      <c r="R103" s="120" t="n">
        <f aca="false">Q103+(I103+J103)*44/12</f>
        <v>973.771827550372</v>
      </c>
      <c r="S103" s="120" t="n">
        <f aca="true">AVERAGE(OFFSET($R$3,0,0,'Données projet'!$E$9+1,1))-AVERAGE(OFFSET($H$3,0,0,'Données projet'!$E$9+1,1))</f>
        <v>319.229030946746</v>
      </c>
      <c r="T103" s="120" t="n">
        <f aca="false">$T$3</f>
        <v>254.586909731428</v>
      </c>
      <c r="U103" s="121" t="n">
        <f aca="false">IF(ISNA(VLOOKUP(A103,'Données projet'!$A$35:$I$55,3,0)),0,VLOOKUP(A103,'Données projet'!$A$35:$I$55,3,0))</f>
        <v>9</v>
      </c>
      <c r="V103" s="121" t="n">
        <f aca="false">IF(ISNA(VLOOKUP(A103,'Données projet'!$A$35:$I$55,4,0)),0,VLOOKUP(A103,'Données projet'!$A$35:$I$55,4,0))</f>
        <v>675.5</v>
      </c>
      <c r="W103" s="122" t="n">
        <f aca="false">IF(ISNA(VLOOKUP(A103,'Données projet'!$A$35:$I$55,5,0)),0%,VLOOKUP(A103,'Données projet'!$A$35:$I$55,5,0)*VLOOKUP('Données projet'!$B$9,Paramètres!$A$1:$I$89,7,0))</f>
        <v>0</v>
      </c>
      <c r="X103" s="122" t="n">
        <f aca="false">IF(ISNA(VLOOKUP(A103,'Données projet'!$A$35:$I$55,6,0)),0%,VLOOKUP(A103,'Données projet'!$A$35:$I$55,6,0)*VLOOKUP('Données projet'!$B$9,Paramètres!$A$1:$I$89,7,0))</f>
        <v>0</v>
      </c>
      <c r="Y103" s="122" t="n">
        <f aca="false">IF(ISNA(VLOOKUP(A103,'Données projet'!$A$35:$I$55,7,0)),0%,VLOOKUP(A103,'Données projet'!$A$35:$I$55,7,0))</f>
        <v>0</v>
      </c>
      <c r="Z103" s="129" t="n">
        <f aca="false">EXP(-LN(2)/35)*Z102+(1-EXP(-LN(2)/35))/(LN(2)/35)*V103*W103*VLOOKUP('Données projet'!$B$9,Paramètres!$A$1:$I$89,3,0)*0.475*44/12</f>
        <v>2.26904178374959</v>
      </c>
      <c r="AA103" s="129" t="n">
        <f aca="false">EXP(-LN(2)/25)*AA102+(1-EXP(-LN(2)/25))/(LN(2)/25)*Calculateur!V103*Calculateur!X103*VLOOKUP('Données projet'!$B$9,Paramètres!$A$1:$I$89,3,0)*0.475*44/12</f>
        <v>1.60118789861961</v>
      </c>
      <c r="AB103" s="129" t="n">
        <f aca="false">EXP(-LN(2)/2)*AB102+(1-EXP(-LN(2)/2))/(LN(2)/2)*V103*Y103*VLOOKUP('Données projet'!$B$9,Paramètres!$A$1:$I$89,3,0)*0.475*44/12</f>
        <v>3.21397343755188E-010</v>
      </c>
      <c r="AC103" s="130" t="n">
        <f aca="false">SUM(Z103:AB103)</f>
        <v>3.8702296826906</v>
      </c>
      <c r="AD103" s="117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7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8" t="e">
        <f aca="false">VLOOKUP(A103,'Données projet'!$A$61:$I$81,2,0)</f>
        <v>#N/A</v>
      </c>
      <c r="AG103" s="118" t="e">
        <f aca="false">VLOOKUP(A103,'Données projet'!$A$61:$I$81,9,0)</f>
        <v>#N/A</v>
      </c>
      <c r="AH103" s="118" t="e">
        <f aca="false" t="array" ref="AH103:AH103">INDEX(AG:AG,MIN(IF(ISNUMBER(AG103:AG299),ROW(AG103:AG299),"")))</f>
        <v>#N/A</v>
      </c>
      <c r="AI103" s="117" t="n">
        <f aca="false">IF('Données projet'!$A$62&gt;35,AI102+AH103-AQ102,IF(A103&lt;'Données projet'!$A$62,$AF$205^A103,IF(A103='Données projet'!$A$62,'Données projet'!$B$62,AI102+AH103-AQ102)))</f>
        <v>1.13686837721616E-013</v>
      </c>
      <c r="AJ103" s="117" t="n">
        <f aca="false">AI103*VLOOKUP('Données projet'!$B$10,Paramètres!$A$1:$I$89,3,0)*VLOOKUP('Données projet'!$B$10,Paramètres!$A$1:$I$89,5,0)</f>
        <v>6.35509422863834E-014</v>
      </c>
      <c r="AK103" s="117" t="n">
        <f aca="false">EXP(-1.0587+0.8836*LN(AJ103)+0.284)</f>
        <v>1.0064464192544E-012</v>
      </c>
      <c r="AL103" s="128" t="n">
        <f aca="false">(AJ103+AK103)*0.475*44/12</f>
        <v>1.86357873801686E-012</v>
      </c>
      <c r="AM103" s="120" t="n">
        <f aca="false">AL103+(AD103+AE103)*44/12</f>
        <v>293.333333333335</v>
      </c>
      <c r="AN103" s="120" t="n">
        <f aca="true">AVERAGE(OFFSET($AM$3,0,0,'Données projet'!$E$10+1,1))-AVERAGE(OFFSET($H$3,0,0,'Données projet'!$E$10+1,1))</f>
        <v>365.705101827279</v>
      </c>
      <c r="AO103" s="120" t="n">
        <f aca="false">$AO$3</f>
        <v>436.238338449625</v>
      </c>
      <c r="AP103" s="121" t="n">
        <f aca="false">IF(ISNA(VLOOKUP(A103,'Données projet'!$A$61:$I$81,3,0)),0,VLOOKUP(A103,'Données projet'!$A$61:$I$81,3,0))</f>
        <v>0</v>
      </c>
      <c r="AQ103" s="121" t="n">
        <f aca="false">IF(ISNA(VLOOKUP(A103,'Données projet'!$A$61:$I$81,4,0)),0,VLOOKUP(A103,'Données projet'!$A$61:$I$81,4,0))</f>
        <v>0</v>
      </c>
      <c r="AR103" s="122" t="n">
        <f aca="false">IF(ISNA(VLOOKUP(A103,'Données projet'!$A$61:$I$81,5,0)),0%,VLOOKUP(A103,'Données projet'!$A$61:$I$81,5,0)*VLOOKUP('Données projet'!$B$10,Paramètres!$A$1:$I$89,7,0))</f>
        <v>0</v>
      </c>
      <c r="AS103" s="122" t="n">
        <f aca="false">IF(ISNA(VLOOKUP(A103,'Données projet'!$A$61:$I$81,6,0)),0%,VLOOKUP(A103,'Données projet'!$A$61:$I$81,6,0)*VLOOKUP('Données projet'!$B$10,Paramètres!$A$1:$I$89,7,0))</f>
        <v>0</v>
      </c>
      <c r="AT103" s="122" t="n">
        <f aca="false">IF(ISNA(VLOOKUP(A103,'Données projet'!$A$61:$I$81,7,0)),0%,VLOOKUP(A103,'Données projet'!$A$61:$I$81,7,0))</f>
        <v>0</v>
      </c>
      <c r="AU103" s="129" t="n">
        <f aca="false">EXP(-LN(2)/35)*AU102+(1-EXP(-LN(2)/35))/(LN(2)/35)*AQ103*AR103*VLOOKUP('Données projet'!$B$10,Paramètres!$A$1:$I$89,3,0)*0.475*44/12</f>
        <v>0.856489707832259</v>
      </c>
      <c r="AV103" s="129" t="n">
        <f aca="false">EXP(-LN(2)/25)*AV102+(1-EXP(-LN(2)/25))/(LN(2)/25)*Calculateur!AQ103*Calculateur!AS103*VLOOKUP('Données projet'!$B$10,Paramètres!$A$1:$I$89,3,0)*0.475*44/12</f>
        <v>1.89652048988234</v>
      </c>
      <c r="AW103" s="129" t="n">
        <f aca="false">EXP(-LN(2)/2)*AW102+(1-EXP(-LN(2)/2))/(LN(2)/2)*AQ103*AT103*VLOOKUP('Données projet'!$B$10,Paramètres!$A$1:$I$89,3,0)*0.475*44/12</f>
        <v>1.72966005212971E-010</v>
      </c>
      <c r="AX103" s="129" t="n">
        <f aca="false">SUM(AU103:AW103)</f>
        <v>2.75301019788757</v>
      </c>
      <c r="AY103" s="124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8" t="e">
        <f aca="false">VLOOKUP(A103,'Données projet'!$A$87:$I$107,2,0)</f>
        <v>#N/A</v>
      </c>
      <c r="BB103" s="118" t="e">
        <f aca="false">VLOOKUP(A103,'Données projet'!$A$87:$I$107,9,0)</f>
        <v>#N/A</v>
      </c>
      <c r="BC103" s="118" t="e">
        <f aca="false" t="array" ref="BC103:BC103">INDEX(BB:BB,MIN(IF(ISNUMBER(BB103:BB299),ROW(BB103:BB299),"")))</f>
        <v>#N/A</v>
      </c>
      <c r="BD103" s="118" t="n">
        <f aca="false">IF('Données projet'!$A$88&gt;35,BD102+BC103-BL102,IF(A103&lt;'Données projet'!$A$88,$BA$205^A103,IF(A103='Données projet'!$A$88,'Données projet'!$B$88,BD102+BC103-BL102)))</f>
        <v>1.98951966012828E-013</v>
      </c>
      <c r="BE103" s="117" t="n">
        <f aca="false">BD103*VLOOKUP('Données projet'!$B$11,Paramètres!$A$1:$I$89,3,0)*VLOOKUP('Données projet'!$B$11,Paramètres!$A$1:$I$89,5,0)</f>
        <v>1.73804437508807E-013</v>
      </c>
      <c r="BF103" s="117" t="n">
        <f aca="false">EXP(-1.0587+0.8836*LN(BE103)+0.284)</f>
        <v>2.44832936339505E-012</v>
      </c>
      <c r="BG103" s="128" t="n">
        <f aca="false">(BE103+BF103)*0.475*44/12</f>
        <v>4.56688303657421E-012</v>
      </c>
      <c r="BH103" s="120" t="n">
        <f aca="false">BG103+(AY103+AZ103)*44/12</f>
        <v>293.333333333338</v>
      </c>
      <c r="BI103" s="120" t="n">
        <f aca="true">AVERAGE(OFFSET($BH$3,0,0,'Données projet'!$E$11+1,1))-AVERAGE(OFFSET($H$3,0,0,'Données projet'!$E$11+1,1))</f>
        <v>321.235999689929</v>
      </c>
      <c r="BJ103" s="120" t="n">
        <f aca="false">$BJ$3</f>
        <v>388.051958478005</v>
      </c>
      <c r="BK103" s="121" t="n">
        <f aca="false">IF(ISNA(VLOOKUP(A103,'Données projet'!$A$87:$I$107,3,0)),0,VLOOKUP(A103,'Données projet'!$A$87:$I$107,3,0))</f>
        <v>0</v>
      </c>
      <c r="BL103" s="121" t="n">
        <f aca="false">IF(ISNA(VLOOKUP(A103,'Données projet'!$A$87:$I$107,4,0)),0,VLOOKUP(A103,'Données projet'!$A$87:$I$107,4,0))</f>
        <v>0</v>
      </c>
      <c r="BM103" s="122" t="n">
        <f aca="false">IF(ISNA(VLOOKUP(A103,'Données projet'!$A$87:$I$107,5,0)),0%,VLOOKUP(A103,'Données projet'!$A$87:$I$107,5,0)*VLOOKUP('Données projet'!$B$11,Paramètres!$A$1:$I$89,7,0))</f>
        <v>0</v>
      </c>
      <c r="BN103" s="122" t="n">
        <f aca="false">IF(ISNA(VLOOKUP(A103,'Données projet'!$A$87:$I$107,6,0)),0%,VLOOKUP(A103,'Données projet'!$A$87:$I$107,6,0)*VLOOKUP('Données projet'!$B$11,Paramètres!$A$1:$I$89,7,0))</f>
        <v>0</v>
      </c>
      <c r="BO103" s="122" t="n">
        <f aca="false">IF(ISNA(VLOOKUP(A103,'Données projet'!$A$87:$I$107,7,0)),0%,VLOOKUP(A103,'Données projet'!$A$87:$I$107,7,0))</f>
        <v>0</v>
      </c>
      <c r="BP103" s="129" t="n">
        <f aca="false">EXP(-LN(2)/35)*BP102+(1-EXP(-LN(2)/35))/(LN(2)/35)*BL103*BM103*VLOOKUP('Données projet'!$B$11,Paramètres!$A$1:$I$89,3,0)*0.475*44/12</f>
        <v>2.15032134820977</v>
      </c>
      <c r="BQ103" s="129" t="n">
        <f aca="false">EXP(-LN(2)/25)*BQ102+(1-EXP(-LN(2)/25))/(LN(2)/25)*Calculateur!BL103*Calculateur!BN103*VLOOKUP('Données projet'!$B$11,Paramètres!$A$1:$I$89,3,0)*0.475*44/12</f>
        <v>1.93585546971939</v>
      </c>
      <c r="BR103" s="129" t="n">
        <f aca="false">EXP(-LN(2)/2)*BR102+(1-EXP(-LN(2)/2))/(LN(2)/2)*BL103*BO103*VLOOKUP('Données projet'!$B$11,Paramètres!$A$1:$I$89,3,0)*0.475*44/12</f>
        <v>1.75816349140797E-010</v>
      </c>
      <c r="BS103" s="130" t="n">
        <f aca="false">SUM(BP103:BR103)</f>
        <v>4.08617681810497</v>
      </c>
      <c r="BT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8" t="e">
        <f aca="false">VLOOKUP(A103,'Données projet'!$A$113:$I$133,2,0)</f>
        <v>#N/A</v>
      </c>
      <c r="BW103" s="118" t="e">
        <f aca="false">VLOOKUP(A103,'Données projet'!$A$113:$I$133,9,0)</f>
        <v>#N/A</v>
      </c>
      <c r="BX103" s="118" t="e">
        <f aca="false" t="array" ref="BX103:BX103">INDEX(BW:BW,MIN(IF(ISNUMBER(BW103:BW299),ROW(BW103:BW299),"")))</f>
        <v>#N/A</v>
      </c>
      <c r="BY103" s="118" t="n">
        <f aca="false">IF('Données projet'!$A$114&gt;35,BY102+BX103-CG102,IF(A103&lt;'Données projet'!$A$114,$BV$205^A103,IF(A103='Données projet'!$A$114,'Données projet'!$B$114,BY102+BX103-CG102)))</f>
        <v>0</v>
      </c>
      <c r="BZ103" s="117" t="n">
        <f aca="false">BY103*VLOOKUP('Données projet'!$B$12,Paramètres!$A$1:$I$89,3,0)*VLOOKUP('Données projet'!$B$12,Paramètres!$A$1:$I$89,5,0)</f>
        <v>0</v>
      </c>
      <c r="CA103" s="117" t="e">
        <f aca="false">EXP(-1.0587+0.8836*LN(BZ103)+0.284)</f>
        <v>#VALUE!</v>
      </c>
      <c r="CB103" s="128" t="e">
        <f aca="false">(BZ103+CA103)*0.475*44/12</f>
        <v>#VALUE!</v>
      </c>
      <c r="CC103" s="120" t="e">
        <f aca="false">CB103+(BT103+BU103)*44/12</f>
        <v>#VALUE!</v>
      </c>
      <c r="CD103" s="120" t="n">
        <f aca="true">AVERAGE(OFFSET($CC$3,0,0,'Données projet'!$E$12+1,1))-AVERAGE(OFFSET($H$3,0,0,'Données projet'!$E$12+1,1))</f>
        <v>240.228848647662</v>
      </c>
      <c r="CE103" s="120" t="n">
        <f aca="false">$CE$3</f>
        <v>343.237768841432</v>
      </c>
      <c r="CF103" s="121" t="n">
        <f aca="false">IF(ISNA(VLOOKUP(A103,'Données projet'!$A$113:$I$133,3,0)),0,VLOOKUP(A103,'Données projet'!$A$113:$I$133,3,0))</f>
        <v>0</v>
      </c>
      <c r="CG103" s="121" t="n">
        <f aca="false">IF(ISNA(VLOOKUP(A103,'Données projet'!$A$113:$I$133,4,0)),0,VLOOKUP(A103,'Données projet'!$A$113:$I$133,4,0))</f>
        <v>0</v>
      </c>
      <c r="CH103" s="122" t="n">
        <f aca="false">IF(ISNA(VLOOKUP(A103,'Données projet'!$A$113:$I$133,5,0)),0%,VLOOKUP(A103,'Données projet'!$A$113:$I$133,5,0)*VLOOKUP('Données projet'!$B$12,Paramètres!$A$1:$I$89,7,0))</f>
        <v>0</v>
      </c>
      <c r="CI103" s="122" t="n">
        <f aca="false">IF(ISNA(VLOOKUP(A103,'Données projet'!$A$113:$I$133,6,0)),0%,VLOOKUP(A103,'Données projet'!$A$113:$I$133,6,0)*VLOOKUP('Données projet'!$B$12,Paramètres!$A$1:$I$89,7,0))</f>
        <v>0</v>
      </c>
      <c r="CJ103" s="122" t="n">
        <f aca="false">IF(ISNA(VLOOKUP(A103,'Données projet'!$A$113:$I$133,7,0)),0%,VLOOKUP(A103,'Données projet'!$A$113:$I$133,7,0))</f>
        <v>0</v>
      </c>
      <c r="CK103" s="129" t="n">
        <f aca="false">EXP(-LN(2)/35)*CK102+(1-EXP(-LN(2)/35))/(LN(2)/35)*CG103*CH103*VLOOKUP('Données projet'!$B$12,Paramètres!$A$1:$I$89,3,0)*0.475*44/12</f>
        <v>1.31616419010889</v>
      </c>
      <c r="CL103" s="129" t="n">
        <f aca="false">EXP(-LN(2)/25)*CL102+(1-EXP(-LN(2)/25))/(LN(2)/25)*Calculateur!CG103*Calculateur!CI103*VLOOKUP('Données projet'!$B$12,Paramètres!$A$1:$I$89,3,0)*0.475*44/12</f>
        <v>3.41883282597821</v>
      </c>
      <c r="CM103" s="129" t="n">
        <f aca="false">EXP(-LN(2)/2)*CM102+(1-EXP(-LN(2)/2))/(LN(2)/2)*CG103*CJ103*VLOOKUP('Données projet'!$B$12,Paramètres!$A$1:$I$89,3,0)*0.475*44/12</f>
        <v>2.80556020616897E-010</v>
      </c>
      <c r="CN103" s="130" t="n">
        <f aca="false">SUM(CK103:CM103)</f>
        <v>4.73499701636766</v>
      </c>
      <c r="CO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8" t="e">
        <f aca="false">VLOOKUP(A103,'Données projet'!$A$139:$I$159,2,0)</f>
        <v>#N/A</v>
      </c>
      <c r="CR103" s="118" t="e">
        <f aca="false">VLOOKUP(A103,'Données projet'!$A$139:$I$159,9,0)</f>
        <v>#N/A</v>
      </c>
      <c r="CS103" s="118" t="e">
        <f aca="false" t="array" ref="CS103:CS103">INDEX(CR:CR,MIN(IF(ISNUMBER(CR103:CR299),ROW(CR103:CR299),"")))</f>
        <v>#N/A</v>
      </c>
      <c r="CT103" s="118" t="n">
        <f aca="false">IF('Données projet'!$A$140&gt;35,CT102+CS103-DB102,IF(A103&lt;'Données projet'!$A$140,$CQ$205^A103,IF(A103='Données projet'!$A$140,'Données projet'!$B$140,CT102+CS103-DB102)))</f>
        <v>-5.6843418860808E-014</v>
      </c>
      <c r="CU103" s="125" t="n">
        <f aca="false">CT103*VLOOKUP('Données projet'!$B$13,Paramètres!$A$1:$I$89,3,0)*VLOOKUP('Données projet'!$B$13,Paramètres!$A$1:$I$89,5,0)</f>
        <v>-3.10365066980012E-014</v>
      </c>
      <c r="CV103" s="117" t="e">
        <f aca="false">EXP(-1.0587+0.8836*LN(CU103)+0.284)</f>
        <v>#VALUE!</v>
      </c>
      <c r="CW103" s="128" t="e">
        <f aca="false">(CU103+CV103)*0.475*44/12</f>
        <v>#VALUE!</v>
      </c>
      <c r="CX103" s="120" t="e">
        <f aca="false">CW103+(CO103+CP103)*44/12</f>
        <v>#VALUE!</v>
      </c>
      <c r="CY103" s="120" t="n">
        <f aca="true">AVERAGE(OFFSET($CX$3,0,0,'Données projet'!$E$13+1,1))-AVERAGE(OFFSET($H$3,0,0,'Données projet'!$E$13+1,1))</f>
        <v>207.023069645676</v>
      </c>
      <c r="CZ103" s="120" t="n">
        <f aca="false">$CZ$3</f>
        <v>342.068879333518</v>
      </c>
      <c r="DA103" s="121" t="n">
        <f aca="false">IF(ISNA(VLOOKUP(A103,'Données projet'!$A$139:$I$159,3,0)),0,VLOOKUP(A103,'Données projet'!$A$139:$I$159,3,0))</f>
        <v>0</v>
      </c>
      <c r="DB103" s="121" t="n">
        <f aca="false">IF(ISNA(VLOOKUP(A103,'Données projet'!$A$139:$I$159,4,0)),0,VLOOKUP(A103,'Données projet'!$A$139:$I$159,4,0))</f>
        <v>0</v>
      </c>
      <c r="DC103" s="122" t="n">
        <f aca="false">IF(ISNA(VLOOKUP(A103,'Données projet'!$A$139:$I$159,5,0)),0%,VLOOKUP(A103,'Données projet'!$A$139:$I$159,5,0)*VLOOKUP('Données projet'!$B$13,Paramètres!$A$1:$I$89,7,0))</f>
        <v>0</v>
      </c>
      <c r="DD103" s="122" t="n">
        <f aca="false">IF(ISNA(VLOOKUP(A103,'Données projet'!$A$139:$I$159,6,0)),0%,VLOOKUP(A103,'Données projet'!$A$139:$I$159,6,0)*VLOOKUP('Données projet'!$B$13,Paramètres!$A$1:$I$89,7,0))</f>
        <v>0</v>
      </c>
      <c r="DE103" s="122" t="n">
        <f aca="false">IF(ISNA(VLOOKUP(A103,'Données projet'!$A$139:$I$159,7,0)),0%,VLOOKUP(A103,'Données projet'!$A$139:$I$159,7,0))</f>
        <v>0</v>
      </c>
      <c r="DF103" s="129" t="n">
        <f aca="false">EXP(-LN(2)/35)*DF102+(1-EXP(-LN(2)/35))/(LN(2)/35)*DB103*DC103*VLOOKUP('Données projet'!$B$13,Paramètres!$A$1:$I$89,3,0)*0.475*44/12</f>
        <v>1.65141355928757</v>
      </c>
      <c r="DG103" s="129" t="n">
        <f aca="false">EXP(-LN(2)/25)*DG102+(1-EXP(-LN(2)/25))/(LN(2)/25)*Calculateur!DB103*Calculateur!DD103*VLOOKUP('Données projet'!$B$13,Paramètres!$A$1:$I$89,3,0)*0.475*44/12</f>
        <v>5.5883677648026</v>
      </c>
      <c r="DH103" s="129" t="n">
        <f aca="false">EXP(-LN(2)/2)*DH102+(1-EXP(-LN(2)/2))/(LN(2)/2)*DB103*DE103*VLOOKUP('Données projet'!$B$13,Paramètres!$A$1:$I$89,3,0)*0.475*44/12</f>
        <v>3.86325770462305E-010</v>
      </c>
      <c r="DI103" s="130" t="n">
        <f aca="false">SUM(DF103:DH103)</f>
        <v>7.2397813244765</v>
      </c>
      <c r="DJ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8" t="e">
        <f aca="false">VLOOKUP(A103,'Données projet'!$A$165:$I$185,2,0)</f>
        <v>#N/A</v>
      </c>
      <c r="DM103" s="118" t="e">
        <f aca="false">VLOOKUP(A103,'Données projet'!$A$165:$I$185,9,0)</f>
        <v>#N/A</v>
      </c>
      <c r="DN103" s="118" t="e">
        <f aca="false" t="array" ref="DN103:DN103">INDEX(DM:DM,MIN(IF(ISNUMBER(DM103:DM299),ROW(DM103:DM299),"")))</f>
        <v>#N/A</v>
      </c>
      <c r="DO103" s="118" t="n">
        <f aca="false">IF('Données projet'!$A$166&gt;35,DO102+DN103-DW102,IF(A103&lt;'Données projet'!$A$166,$DL$205^A103,IF(A103='Données projet'!$A$166,'Données projet'!$B$166,DO102+DN103-DW102)))</f>
        <v>0</v>
      </c>
      <c r="DP103" s="125" t="n">
        <f aca="false">DO103*VLOOKUP('Données projet'!$B$14,Paramètres!$A$1:$I$89,3,0)*VLOOKUP('Données projet'!$B$14,Paramètres!$A$1:$I$89,5,0)</f>
        <v>0</v>
      </c>
      <c r="DQ103" s="117" t="e">
        <f aca="false">EXP(-1.0587+0.8836*LN(DP103)+0.284)</f>
        <v>#VALUE!</v>
      </c>
      <c r="DR103" s="128" t="e">
        <f aca="false">(DP103+DQ103)*0.475*44/12</f>
        <v>#VALUE!</v>
      </c>
      <c r="DS103" s="120" t="e">
        <f aca="false">DR103+(DJ103+DK103)*44/12</f>
        <v>#VALUE!</v>
      </c>
      <c r="DT103" s="120" t="n">
        <f aca="true">AVERAGE(OFFSET($DS$3,0,0,'Données projet'!$E$14+1,1))-AVERAGE(OFFSET($H$3,0,0,'Données projet'!$E$14+1,1))</f>
        <v>549.432320957297</v>
      </c>
      <c r="DU103" s="120" t="n">
        <f aca="false">$DU$3</f>
        <v>280.26155987301</v>
      </c>
      <c r="DV103" s="121" t="n">
        <f aca="false">IF(ISNA(VLOOKUP(A103,'Données projet'!$A$165:$I$185,3,0)),0,VLOOKUP(A103,'Données projet'!$A$165:$I$185,3,0))</f>
        <v>0</v>
      </c>
      <c r="DW103" s="121" t="n">
        <f aca="false">IF(ISNA(VLOOKUP(A103,'Données projet'!$A$165:$I$185,4,0)),0,VLOOKUP(A103,'Données projet'!$A$165:$I$185,4,0))</f>
        <v>0</v>
      </c>
      <c r="DX103" s="122" t="n">
        <f aca="false">IF(ISNA(VLOOKUP(A103,'Données projet'!$A$165:$I$185,5,0)),0%,VLOOKUP(A103,'Données projet'!$A$165:$I$185,5,0)*VLOOKUP('Données projet'!$B$14,Paramètres!$A$1:$I$89,7,0))</f>
        <v>0</v>
      </c>
      <c r="DY103" s="122" t="n">
        <f aca="false">IF(ISNA(VLOOKUP(A103,'Données projet'!$A$165:$I$185,6,0)),0%,VLOOKUP(A103,'Données projet'!$A$165:$I$185,6,0)*VLOOKUP('Données projet'!$B$14,Paramètres!$A$1:$I$89,7,0))</f>
        <v>0</v>
      </c>
      <c r="DZ103" s="122" t="n">
        <f aca="false">IF(ISNA(VLOOKUP(A103,'Données projet'!$A$165:$I$185,7,0)),0%,VLOOKUP(A103,'Données projet'!$A$165:$I$185,7,0))</f>
        <v>0</v>
      </c>
      <c r="EA103" s="129" t="n">
        <f aca="false">EXP(-LN(2)/35)*EA102+(1-EXP(-LN(2)/35))/(LN(2)/35)*DW103*DX103*VLOOKUP('Données projet'!$B$14,Paramètres!$A$1:$I$89,3,0)*0.475*44/12</f>
        <v>0.60045212875848</v>
      </c>
      <c r="EB103" s="129" t="n">
        <f aca="false">EXP(-LN(2)/25)*EB102+(1-EXP(-LN(2)/25))/(LN(2)/25)*Calculateur!DW103*Calculateur!DY103*VLOOKUP('Données projet'!$B$14,Paramètres!$A$1:$I$89,3,0)*0.475*44/12</f>
        <v>1.11331311530678</v>
      </c>
      <c r="EC103" s="129" t="n">
        <f aca="false">EXP(-LN(2)/2)*EC102+(1-EXP(-LN(2)/2))/(LN(2)/2)*DW103*DZ103*VLOOKUP('Données projet'!$B$14,Paramètres!$A$1:$I$89,3,0)*0.475*44/12</f>
        <v>1.78088216767631E-010</v>
      </c>
      <c r="ED103" s="130" t="n">
        <f aca="false">SUM(EA103:EC103)</f>
        <v>1.71376524424335</v>
      </c>
      <c r="EE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8" t="e">
        <f aca="false">VLOOKUP(A103,'Données projet'!$A$191:$I$211,2,0)</f>
        <v>#N/A</v>
      </c>
      <c r="EH103" s="118" t="e">
        <f aca="false">VLOOKUP(A103,'Données projet'!$A$191:$I$211,9,0)</f>
        <v>#N/A</v>
      </c>
      <c r="EI103" s="118" t="e">
        <f aca="false" t="array" ref="EI103:EI103">INDEX(EH:EH,MIN(IF(ISNUMBER(EH103:EH299),ROW(EH103:EH299),"")))</f>
        <v>#N/A</v>
      </c>
      <c r="EJ103" s="118" t="n">
        <f aca="false">IF('Données projet'!$A$192&gt;35,EJ102+EI103-ER102,IF(A103&lt;'Données projet'!$A$192,$EG$205^A103,IF(A103='Données projet'!$A$192,'Données projet'!$B$192,EJ102+EI103-ER102)))</f>
        <v>0</v>
      </c>
      <c r="EK103" s="125" t="e">
        <f aca="false">EJ103*VLOOKUP('Données projet'!$B$15,Paramètres!$A$1:$I$89,3,0)*VLOOKUP('Données projet'!$B$15,Paramètres!$A$1:$I$89,5,0)</f>
        <v>#N/A</v>
      </c>
      <c r="EL103" s="117" t="e">
        <f aca="false">EXP(-1.0587+0.8836*LN(EK103)+0.284)</f>
        <v>#N/A</v>
      </c>
      <c r="EM103" s="128" t="e">
        <f aca="false">(EK103+EL103)*0.475*44/12</f>
        <v>#N/A</v>
      </c>
      <c r="EN103" s="120" t="e">
        <f aca="false">EM103+(EE103+EF103)*44/12</f>
        <v>#N/A</v>
      </c>
      <c r="EO103" s="120" t="e">
        <f aca="true">AVERAGE(OFFSET($EN$3,0,0,'Données projet'!$E$15+1,1))-AVERAGE(OFFSET($H$3,0,0,'Données projet'!$E$15+1,1))</f>
        <v>#N/A</v>
      </c>
      <c r="EP103" s="120" t="e">
        <f aca="false">$EP$3</f>
        <v>#N/A</v>
      </c>
      <c r="EQ103" s="121" t="n">
        <f aca="false">IF(ISNA(VLOOKUP(A103,'Données projet'!$A$191:$I$211,3,0)),0,VLOOKUP(A103,'Données projet'!$A$191:$I$211,3,0))</f>
        <v>0</v>
      </c>
      <c r="ER103" s="121" t="n">
        <f aca="false">IF(ISNA(VLOOKUP(A103,'Données projet'!$A$191:$I$211,4,0)),0,VLOOKUP(A103,'Données projet'!$A$191:$I$211,4,0))</f>
        <v>0</v>
      </c>
      <c r="ES103" s="122" t="n">
        <f aca="false">IF(ISNA(VLOOKUP(A103,'Données projet'!$A$191:$I$211,5,0)),0%,VLOOKUP(A103,'Données projet'!$A$191:$I$211,5,0)*VLOOKUP('Données projet'!$B$15,Paramètres!$A$1:$I$89,7,0))</f>
        <v>0</v>
      </c>
      <c r="ET103" s="122" t="n">
        <f aca="false">IF(ISNA(VLOOKUP(A103,'Données projet'!$A$191:$I$211,6,0)),0%,VLOOKUP(A103,'Données projet'!$A$191:$I$211,6,0)*VLOOKUP('Données projet'!$B$15,Paramètres!$A$1:$I$89,7,0))</f>
        <v>0</v>
      </c>
      <c r="EU103" s="122" t="n">
        <f aca="false">IF(ISNA(VLOOKUP(A103,'Données projet'!$A$191:$I$211,7,0)),0%,VLOOKUP(A103,'Données projet'!$A$191:$I$211,7,0))</f>
        <v>0</v>
      </c>
      <c r="EV103" s="129" t="e">
        <f aca="false">EXP(-LN(2)/35)*EV102+(1-EXP(-LN(2)/35))/(LN(2)/35)*ER103*ES103*VLOOKUP('Données projet'!$B$15,Paramètres!$A$1:$I$89,3,0)*0.475*44/12</f>
        <v>#N/A</v>
      </c>
      <c r="EW103" s="129" t="e">
        <f aca="false">EXP(-LN(2)/25)*EW102+(1-EXP(-LN(2)/25))/(LN(2)/25)*Calculateur!ER103*Calculateur!ET103*VLOOKUP('Données projet'!$B$15,Paramètres!$A$1:$I$89,3,0)*0.475*44/12</f>
        <v>#N/A</v>
      </c>
      <c r="EX103" s="129" t="e">
        <f aca="false">EXP(-LN(2)/2)*EX102+(1-EXP(-LN(2)/2))/(LN(2)/2)*ER103*EU103*VLOOKUP('Données projet'!$B$15,Paramètres!$A$1:$I$89,3,0)*0.475*44/12</f>
        <v>#N/A</v>
      </c>
      <c r="EY103" s="130" t="e">
        <f aca="false">SUM(EV103:EX103)</f>
        <v>#N/A</v>
      </c>
      <c r="EZ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8" t="e">
        <f aca="false">VLOOKUP(A103,'Données projet'!$A$217:$I$237,2,0)</f>
        <v>#N/A</v>
      </c>
      <c r="FC103" s="118" t="e">
        <f aca="false">VLOOKUP(A103,'Données projet'!$A$217:$I$237,9,0)</f>
        <v>#N/A</v>
      </c>
      <c r="FD103" s="118" t="e">
        <f aca="false" t="array" ref="FD103:FD103">INDEX(FC:FC,MIN(IF(ISNUMBER(FC103:FC299),ROW(FC103:FC299),"")))</f>
        <v>#N/A</v>
      </c>
      <c r="FE103" s="118" t="n">
        <f aca="false">IF('Données projet'!$A$218&gt;35,FE102+FD103-FM102,IF(A103&lt;'Données projet'!$A$218,$FB$205^A103,IF(A103='Données projet'!$A$218,'Données projet'!$B$218,FE102+FD103-FM102)))</f>
        <v>0</v>
      </c>
      <c r="FF103" s="125" t="e">
        <f aca="false">FE103*VLOOKUP('Données projet'!$B$16,Paramètres!$A$1:$I$89,3,0)*VLOOKUP('Données projet'!$B$16,Paramètres!$A$1:$I$89,5,0)</f>
        <v>#N/A</v>
      </c>
      <c r="FG103" s="117" t="e">
        <f aca="false">EXP(-1.0587+0.8836*LN(FF103)+0.284)</f>
        <v>#N/A</v>
      </c>
      <c r="FH103" s="128" t="e">
        <f aca="false">(FF103+FG103)*0.475*44/12</f>
        <v>#N/A</v>
      </c>
      <c r="FI103" s="120" t="e">
        <f aca="false">FH103+(EZ103+FA103)*44/12</f>
        <v>#N/A</v>
      </c>
      <c r="FJ103" s="120" t="e">
        <f aca="true">AVERAGE(OFFSET($FI$3,0,0,'Données projet'!$E$16+1,1))-AVERAGE(OFFSET($H$3,0,0,'Données projet'!$E$16+1,1))</f>
        <v>#N/A</v>
      </c>
      <c r="FK103" s="120" t="e">
        <f aca="false">$FK$3</f>
        <v>#N/A</v>
      </c>
      <c r="FL103" s="121" t="n">
        <f aca="false">IF(ISNA(VLOOKUP(A103,'Données projet'!$A$217:$I$237,3,0)),0,VLOOKUP(A103,'Données projet'!$A$217:$I$237,3,0))</f>
        <v>0</v>
      </c>
      <c r="FM103" s="121" t="n">
        <f aca="false">IF(ISNA(VLOOKUP(A103,'Données projet'!$A$217:$I$237,4,0)),0,VLOOKUP(A103,'Données projet'!$A$217:$I$237,4,0))</f>
        <v>0</v>
      </c>
      <c r="FN103" s="122" t="n">
        <f aca="false">IF(ISNA(VLOOKUP(A103,'Données projet'!$A$217:$I$237,5,0)),0%,VLOOKUP(A103,'Données projet'!$A$217:$I$237,5,0)*VLOOKUP('Données projet'!$B$16,Paramètres!$A$1:$I$89,7,0))</f>
        <v>0</v>
      </c>
      <c r="FO103" s="122" t="n">
        <f aca="false">IF(ISNA(VLOOKUP(A103,'Données projet'!$A$217:$I$237,6,0)),0%,VLOOKUP(A103,'Données projet'!$A$217:$I$237,6,0)*VLOOKUP('Données projet'!$B$16,Paramètres!$A$1:$I$89,7,0))</f>
        <v>0</v>
      </c>
      <c r="FP103" s="122" t="n">
        <f aca="false">IF(ISNA(VLOOKUP(A103,'Données projet'!$A$217:$I$237,7,0)),0%,VLOOKUP(A103,'Données projet'!$A$217:$I$237,7,0))</f>
        <v>0</v>
      </c>
      <c r="FQ103" s="129" t="e">
        <f aca="false">EXP(-LN(2)/35)*FQ102+(1-EXP(-LN(2)/35))/(LN(2)/35)*FM103*FN103*VLOOKUP('Données projet'!$B$16,Paramètres!$A$1:$I$89,3,0)*0.475*44/12</f>
        <v>#N/A</v>
      </c>
      <c r="FR103" s="129" t="e">
        <f aca="false">EXP(-LN(2)/25)*FR102+(1-EXP(-LN(2)/25))/(LN(2)/25)*Calculateur!FM103*Calculateur!FO103*VLOOKUP('Données projet'!$B$16,Paramètres!$A$1:$I$89,3,0)*0.475*44/12</f>
        <v>#N/A</v>
      </c>
      <c r="FS103" s="129" t="e">
        <f aca="false">EXP(-LN(2)/2)*FS102+(1-EXP(-LN(2)/2))/(LN(2)/2)*FM103*FP103*VLOOKUP('Données projet'!$B$16,Paramètres!$A$1:$I$89,3,0)*0.475*44/12</f>
        <v>#N/A</v>
      </c>
      <c r="FT103" s="130" t="e">
        <f aca="false">SUM(FQ103:FS103)</f>
        <v>#N/A</v>
      </c>
      <c r="FU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8" t="e">
        <f aca="false">VLOOKUP(A103,'Données projet'!$A$243:$I$263,2,0)</f>
        <v>#N/A</v>
      </c>
      <c r="FX103" s="118" t="e">
        <f aca="false">VLOOKUP(A103,'Données projet'!$A$243:$I$263,9,0)</f>
        <v>#N/A</v>
      </c>
      <c r="FY103" s="118" t="e">
        <f aca="false" t="array" ref="FY103:FY103">INDEX(FX:FX,MIN(IF(ISNUMBER(FX103:FX299),ROW(FX103:FX299),"")))</f>
        <v>#N/A</v>
      </c>
      <c r="FZ103" s="118" t="n">
        <f aca="false">IF('Données projet'!$A$244&gt;35,FZ102+FY103-GH102,IF(A103&lt;'Données projet'!$A$244,$FW$205^A103,IF(A103='Données projet'!$A$244,'Données projet'!$B$244,FZ102+FY103-GH102)))</f>
        <v>0</v>
      </c>
      <c r="GA103" s="125" t="e">
        <f aca="false">FZ103*VLOOKUP('Données projet'!$B$17,Paramètres!$A$1:$I$89,3,0)*VLOOKUP('Données projet'!$B$17,Paramètres!$A$1:$I$89,5,0)</f>
        <v>#N/A</v>
      </c>
      <c r="GB103" s="117" t="e">
        <f aca="false">EXP(-1.0587+0.8836*LN(GA103)+0.284)</f>
        <v>#N/A</v>
      </c>
      <c r="GC103" s="128" t="e">
        <f aca="false">(GA103+GB103)*0.475*44/12</f>
        <v>#N/A</v>
      </c>
      <c r="GD103" s="120" t="e">
        <f aca="false">GC103+(FU103+FV103)*44/12</f>
        <v>#N/A</v>
      </c>
      <c r="GE103" s="120" t="e">
        <f aca="true">AVERAGE(OFFSET($GD$3,0,0,'Données projet'!$E$17+1,1))-AVERAGE(OFFSET($H$3,0,0,'Données projet'!$E$17+1,1))</f>
        <v>#N/A</v>
      </c>
      <c r="GF103" s="120" t="e">
        <f aca="false">$GF$3</f>
        <v>#N/A</v>
      </c>
      <c r="GG103" s="121" t="n">
        <f aca="false">IF(ISNA(VLOOKUP(A103,'Données projet'!$A$243:$I$263,3,0)),0,VLOOKUP(A103,'Données projet'!$A$243:$I$263,3,0))</f>
        <v>0</v>
      </c>
      <c r="GH103" s="121" t="n">
        <f aca="false">IF(ISNA(VLOOKUP(A103,'Données projet'!$A$243:$I$263,4,0)),0,VLOOKUP(A103,'Données projet'!$A$243:$I$263,4,0))</f>
        <v>0</v>
      </c>
      <c r="GI103" s="122" t="n">
        <f aca="false">IF(ISNA(VLOOKUP(A103,'Données projet'!$A$243:$I$263,5,0)),0%,VLOOKUP(A103,'Données projet'!$A$243:$I$263,5,0)*VLOOKUP('Données projet'!$B$17,Paramètres!$A$1:$I$89,7,0))</f>
        <v>0</v>
      </c>
      <c r="GJ103" s="122" t="n">
        <f aca="false">IF(ISNA(VLOOKUP(A103,'Données projet'!$A$243:$I$263,6,0)),0%,VLOOKUP(A103,'Données projet'!$A$243:$I$263,6,0)*VLOOKUP('Données projet'!$B$17,Paramètres!$A$1:$I$89,7,0))</f>
        <v>0</v>
      </c>
      <c r="GK103" s="122" t="n">
        <f aca="false">IF(ISNA(VLOOKUP(A103,'Données projet'!$A$243:$I$263,7,0)),0%,VLOOKUP(A103,'Données projet'!$A$243:$I$263,7,0))</f>
        <v>0</v>
      </c>
      <c r="GL103" s="129" t="e">
        <f aca="false">EXP(-LN(2)/35)*GL102+(1-EXP(-LN(2)/35))/(LN(2)/35)*GH103*GI103*VLOOKUP('Données projet'!$B$17,Paramètres!$A$1:$I$89,3,0)*0.475*44/12</f>
        <v>#N/A</v>
      </c>
      <c r="GM103" s="129" t="e">
        <f aca="false">EXP(-LN(2)/25)*GM102+(1-EXP(-LN(2)/25))/(LN(2)/25)*Calculateur!GH103*Calculateur!GJ103*VLOOKUP('Données projet'!$B$17,Paramètres!$A$1:$I$89,3,0)*0.475*44/12</f>
        <v>#N/A</v>
      </c>
      <c r="GN103" s="129" t="e">
        <f aca="false">EXP(-LN(2)/2)*GN102+(1-EXP(-LN(2)/2))/(LN(2)/2)*GH103*GK103*VLOOKUP('Données projet'!$B$17,Paramètres!$A$1:$I$89,3,0)*0.475*44/12</f>
        <v>#N/A</v>
      </c>
      <c r="GO103" s="129" t="e">
        <f aca="false">SUM(GL103:GN103)</f>
        <v>#N/A</v>
      </c>
      <c r="GP103" s="126" t="n">
        <f aca="false"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8" t="n">
        <f aca="false"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8" t="e">
        <f aca="false">VLOOKUP(A103,'Données projet'!$A$269:$I$289,2,0)</f>
        <v>#N/A</v>
      </c>
      <c r="GS103" s="118" t="e">
        <f aca="false">VLOOKUP(A103,'Données projet'!$A$269:$I$289,9,0)</f>
        <v>#N/A</v>
      </c>
      <c r="GT103" s="118" t="e">
        <f aca="false" t="array" ref="GT103:GT103">INDEX(GS:GS,MIN(IF(ISNUMBER(GS103:GS299),ROW(GS103:GS299),"")))</f>
        <v>#N/A</v>
      </c>
      <c r="GU103" s="118" t="n">
        <f aca="false">IF('Données projet'!$A$270&gt;35,GU102+GT103-HC102,IF(A103&lt;'Données projet'!$A$270,$GR$205^A103,IF(A103='Données projet'!$A$270,'Données projet'!$B$270,GU102+GT103-HC102)))</f>
        <v>0</v>
      </c>
      <c r="GV103" s="125" t="e">
        <f aca="false">GU103*VLOOKUP('Données projet'!$B$18,Paramètres!$A$1:$I$89,3,0)*VLOOKUP('Données projet'!$B$18,Paramètres!$A$1:$I$89,5,0)</f>
        <v>#N/A</v>
      </c>
      <c r="GW103" s="117" t="e">
        <f aca="false">EXP(-1.0587+0.8836*LN(GV103)+0.284)</f>
        <v>#N/A</v>
      </c>
      <c r="GX103" s="128" t="e">
        <f aca="false">(GV103+GW103)*0.475*44/12</f>
        <v>#N/A</v>
      </c>
      <c r="GY103" s="120" t="e">
        <f aca="false">GX103+(GP103+GQ103)*44/12</f>
        <v>#N/A</v>
      </c>
      <c r="GZ103" s="120" t="e">
        <f aca="true">AVERAGE(OFFSET($GY$3,0,0,'Données projet'!$E$18+1,1))-AVERAGE(OFFSET($H$3,0,0,'Données projet'!$E$18+1,1))</f>
        <v>#N/A</v>
      </c>
      <c r="HA103" s="120" t="e">
        <f aca="false">$HA$3</f>
        <v>#N/A</v>
      </c>
      <c r="HB103" s="121" t="n">
        <f aca="false">IF(ISNA(VLOOKUP(A103,'Données projet'!$A$269:$I$289,3,0)),0,VLOOKUP(A103,'Données projet'!$A$269:$I$289,3,0))</f>
        <v>0</v>
      </c>
      <c r="HC103" s="121" t="n">
        <f aca="false">IF(ISNA(VLOOKUP(A103,'Données projet'!$A$269:$I$289,4,0)),0,VLOOKUP(A103,'Données projet'!$A$269:$I$289,4,0))</f>
        <v>0</v>
      </c>
      <c r="HD103" s="122" t="n">
        <f aca="false">IF(ISNA(VLOOKUP(A103,'Données projet'!$A$269:$I$289,5,0)),0%,VLOOKUP(A103,'Données projet'!$A$269:$I$289,5,0)*VLOOKUP('Données projet'!$B$18,Paramètres!$A$1:$I$89,7,0))</f>
        <v>0</v>
      </c>
      <c r="HE103" s="122" t="n">
        <f aca="false">IF(ISNA(VLOOKUP(A103,'Données projet'!$A$269:$I$289,6,0)),0%,VLOOKUP(A103,'Données projet'!$A$269:$I$289,6,0)*VLOOKUP('Données projet'!$B$18,Paramètres!$A$1:$I$89,7,0))</f>
        <v>0</v>
      </c>
      <c r="HF103" s="122" t="n">
        <f aca="false">IF(ISNA(VLOOKUP(A103,'Données projet'!$A$269:$I$289,7,0)),0%,VLOOKUP(A103,'Données projet'!$A$269:$I$289,7,0))</f>
        <v>0</v>
      </c>
      <c r="HG103" s="129" t="e">
        <f aca="false">EXP(-LN(2)/35)*HG102+(1-EXP(-LN(2)/35))/(LN(2)/35)*HC103*HD103*VLOOKUP('Données projet'!$B$18,Paramètres!$A$1:$I$89,3,0)*0.475*44/12</f>
        <v>#N/A</v>
      </c>
      <c r="HH103" s="129" t="e">
        <f aca="false">EXP(-LN(2)/25)*HH102+(1-EXP(-LN(2)/25))/(LN(2)/25)*Calculateur!HC103*Calculateur!HE103*VLOOKUP('Données projet'!$B$18,Paramètres!$A$1:$I$89,3,0)*0.475*44/12</f>
        <v>#N/A</v>
      </c>
      <c r="HI103" s="129" t="e">
        <f aca="false">EXP(-LN(2)/2)*HI102+(1-EXP(-LN(2)/2))/(LN(2)/2)*HC103*HF103*VLOOKUP('Données projet'!$B$18,Paramètres!$A$1:$I$89,3,0)*0.475*44/12</f>
        <v>#N/A</v>
      </c>
      <c r="HJ103" s="130" t="e">
        <f aca="false">SUM(HG103:HI103)</f>
        <v>#N/A</v>
      </c>
    </row>
    <row r="104" customFormat="false" ht="14.25" hidden="false" customHeight="false" outlineLevel="0" collapsed="false">
      <c r="A104" s="112" t="n">
        <f aca="false">A103+1</f>
        <v>101</v>
      </c>
      <c r="B104" s="113" t="n">
        <f aca="false">'Scénario référence'!$B$16*5+'Scénario référence'!$B$17*0+'Scénario référence'!$B$18*5</f>
        <v>0</v>
      </c>
      <c r="C104" s="127" t="n">
        <f aca="false"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4" t="n">
        <f aca="false">IFERROR(EXP(-1.0587+0.8836*LN(C104)+0.284),0)</f>
        <v>0</v>
      </c>
      <c r="E10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4" s="114" t="n">
        <f aca="false">IF(OR('Scénario référence'!$F$8&gt;0,'Scénario référence'!$F$9&gt;0),('Scénario référence'!$F$8+'Scénario référence'!$F$9)*10,0)</f>
        <v>0</v>
      </c>
      <c r="G104" s="114" t="n">
        <f aca="false"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15" t="n">
        <f aca="false">(B104+E104+F104)*44/12+(C104+D104)*0.475*44/12</f>
        <v>256.666666666667</v>
      </c>
      <c r="I104" s="11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7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8" t="e">
        <f aca="false">VLOOKUP(A104,'Données projet'!$A$35:$I$55,2,0)</f>
        <v>#N/A</v>
      </c>
      <c r="L104" s="118" t="e">
        <f aca="false">VLOOKUP(A104,'Données projet'!$A$35:$I$55,9,0)</f>
        <v>#N/A</v>
      </c>
      <c r="M104" s="118" t="e">
        <f aca="false" t="array" ref="M104:M104">INDEX(L:L,MIN(IF(ISNUMBER(L104:L300),ROW(L104:L300),"")))</f>
        <v>#N/A</v>
      </c>
      <c r="N104" s="117" t="n">
        <f aca="false">IF('Données projet'!$A$36&gt;35,N103+M104-V103,IF(A104&lt;'Données projet'!$A$36,$K$205^A104,IF(A104='Données projet'!$A$36,'Données projet'!$B$36,N103+M104-V103)))</f>
        <v>-1.13686837721616E-013</v>
      </c>
      <c r="O104" s="117" t="n">
        <f aca="false">N104*VLOOKUP('Données projet'!$B$9,Paramètres!$A$1:$I$89,3,0)*VLOOKUP('Données projet'!$B$9,Paramètres!$A$1:$I$89,5,0)</f>
        <v>-5.32054400537163E-014</v>
      </c>
      <c r="P104" s="117" t="e">
        <f aca="false">EXP(-1.0587+0.8836*LN(O104)+0.284)</f>
        <v>#VALUE!</v>
      </c>
      <c r="Q104" s="128" t="e">
        <f aca="false">(O104+P104)*0.475*44/12</f>
        <v>#VALUE!</v>
      </c>
      <c r="R104" s="120" t="e">
        <f aca="false">Q104+(I104+J104)*44/12</f>
        <v>#VALUE!</v>
      </c>
      <c r="S104" s="120" t="n">
        <f aca="true">AVERAGE(OFFSET($R$3,0,0,'Données projet'!$E$9+1,1))-AVERAGE(OFFSET($H$3,0,0,'Données projet'!$E$9+1,1))</f>
        <v>319.229030946746</v>
      </c>
      <c r="T104" s="120" t="n">
        <f aca="false">$T$3</f>
        <v>254.586909731428</v>
      </c>
      <c r="U104" s="121" t="n">
        <f aca="false">IF(ISNA(VLOOKUP(A104,'Données projet'!$A$35:$I$55,3,0)),0,VLOOKUP(A104,'Données projet'!$A$35:$I$55,3,0))</f>
        <v>0</v>
      </c>
      <c r="V104" s="121" t="n">
        <f aca="false">IF(ISNA(VLOOKUP(A104,'Données projet'!$A$35:$I$55,4,0)),0,VLOOKUP(A104,'Données projet'!$A$35:$I$55,4,0))</f>
        <v>0</v>
      </c>
      <c r="W104" s="122" t="n">
        <f aca="false">IF(ISNA(VLOOKUP(A104,'Données projet'!$A$35:$I$55,5,0)),0%,VLOOKUP(A104,'Données projet'!$A$35:$I$55,5,0)*VLOOKUP('Données projet'!$B$9,Paramètres!$A$1:$I$89,7,0))</f>
        <v>0</v>
      </c>
      <c r="X104" s="122" t="n">
        <f aca="false">IF(ISNA(VLOOKUP(A104,'Données projet'!$A$35:$I$55,6,0)),0%,VLOOKUP(A104,'Données projet'!$A$35:$I$55,6,0)*VLOOKUP('Données projet'!$B$9,Paramètres!$A$1:$I$89,7,0))</f>
        <v>0</v>
      </c>
      <c r="Y104" s="122" t="n">
        <f aca="false">IF(ISNA(VLOOKUP(A104,'Données projet'!$A$35:$I$55,7,0)),0%,VLOOKUP(A104,'Données projet'!$A$35:$I$55,7,0))</f>
        <v>0</v>
      </c>
      <c r="Z104" s="129" t="n">
        <f aca="false">EXP(-LN(2)/35)*Z103+(1-EXP(-LN(2)/35))/(LN(2)/35)*V104*W104*VLOOKUP('Données projet'!$B$9,Paramètres!$A$1:$I$89,3,0)*0.475*44/12</f>
        <v>2.22454725834909</v>
      </c>
      <c r="AA104" s="129" t="n">
        <f aca="false">EXP(-LN(2)/25)*AA103+(1-EXP(-LN(2)/25))/(LN(2)/25)*Calculateur!V104*Calculateur!X104*VLOOKUP('Données projet'!$B$9,Paramètres!$A$1:$I$89,3,0)*0.475*44/12</f>
        <v>1.55740333132905</v>
      </c>
      <c r="AB104" s="129" t="n">
        <f aca="false">EXP(-LN(2)/2)*AB103+(1-EXP(-LN(2)/2))/(LN(2)/2)*V104*Y104*VLOOKUP('Données projet'!$B$9,Paramètres!$A$1:$I$89,3,0)*0.475*44/12</f>
        <v>2.27262241224637E-010</v>
      </c>
      <c r="AC104" s="130" t="n">
        <f aca="false">SUM(Z104:AB104)</f>
        <v>3.78195058990541</v>
      </c>
      <c r="AD104" s="117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7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8" t="e">
        <f aca="false">VLOOKUP(A104,'Données projet'!$A$61:$I$81,2,0)</f>
        <v>#N/A</v>
      </c>
      <c r="AG104" s="118" t="e">
        <f aca="false">VLOOKUP(A104,'Données projet'!$A$61:$I$81,9,0)</f>
        <v>#N/A</v>
      </c>
      <c r="AH104" s="118" t="e">
        <f aca="false" t="array" ref="AH104:AH104">INDEX(AG:AG,MIN(IF(ISNUMBER(AG104:AG300),ROW(AG104:AG300),"")))</f>
        <v>#N/A</v>
      </c>
      <c r="AI104" s="117" t="n">
        <f aca="false">IF('Données projet'!$A$62&gt;35,AI103+AH104-AQ103,IF(A104&lt;'Données projet'!$A$62,$AF$205^A104,IF(A104='Données projet'!$A$62,'Données projet'!$B$62,AI103+AH104-AQ103)))</f>
        <v>1.13686837721616E-013</v>
      </c>
      <c r="AJ104" s="117" t="n">
        <f aca="false">AI104*VLOOKUP('Données projet'!$B$10,Paramètres!$A$1:$I$89,3,0)*VLOOKUP('Données projet'!$B$10,Paramètres!$A$1:$I$89,5,0)</f>
        <v>6.35509422863834E-014</v>
      </c>
      <c r="AK104" s="117" t="n">
        <f aca="false">EXP(-1.0587+0.8836*LN(AJ104)+0.284)</f>
        <v>1.0064464192544E-012</v>
      </c>
      <c r="AL104" s="128" t="n">
        <f aca="false">(AJ104+AK104)*0.475*44/12</f>
        <v>1.86357873801686E-012</v>
      </c>
      <c r="AM104" s="120" t="n">
        <f aca="false">AL104+(AD104+AE104)*44/12</f>
        <v>293.333333333335</v>
      </c>
      <c r="AN104" s="120" t="n">
        <f aca="true">AVERAGE(OFFSET($AM$3,0,0,'Données projet'!$E$10+1,1))-AVERAGE(OFFSET($H$3,0,0,'Données projet'!$E$10+1,1))</f>
        <v>365.705101827279</v>
      </c>
      <c r="AO104" s="120" t="n">
        <f aca="false">$AO$3</f>
        <v>436.238338449625</v>
      </c>
      <c r="AP104" s="121" t="n">
        <f aca="false">IF(ISNA(VLOOKUP(A104,'Données projet'!$A$61:$I$81,3,0)),0,VLOOKUP(A104,'Données projet'!$A$61:$I$81,3,0))</f>
        <v>0</v>
      </c>
      <c r="AQ104" s="121" t="n">
        <f aca="false">IF(ISNA(VLOOKUP(A104,'Données projet'!$A$61:$I$81,4,0)),0,VLOOKUP(A104,'Données projet'!$A$61:$I$81,4,0))</f>
        <v>0</v>
      </c>
      <c r="AR104" s="122" t="n">
        <f aca="false">IF(ISNA(VLOOKUP(A104,'Données projet'!$A$61:$I$81,5,0)),0%,VLOOKUP(A104,'Données projet'!$A$61:$I$81,5,0)*VLOOKUP('Données projet'!$B$10,Paramètres!$A$1:$I$89,7,0))</f>
        <v>0</v>
      </c>
      <c r="AS104" s="122" t="n">
        <f aca="false">IF(ISNA(VLOOKUP(A104,'Données projet'!$A$61:$I$81,6,0)),0%,VLOOKUP(A104,'Données projet'!$A$61:$I$81,6,0)*VLOOKUP('Données projet'!$B$10,Paramètres!$A$1:$I$89,7,0))</f>
        <v>0</v>
      </c>
      <c r="AT104" s="122" t="n">
        <f aca="false">IF(ISNA(VLOOKUP(A104,'Données projet'!$A$61:$I$81,7,0)),0%,VLOOKUP(A104,'Données projet'!$A$61:$I$81,7,0))</f>
        <v>0</v>
      </c>
      <c r="AU104" s="129" t="n">
        <f aca="false">EXP(-LN(2)/35)*AU103+(1-EXP(-LN(2)/35))/(LN(2)/35)*AQ104*AR104*VLOOKUP('Données projet'!$B$10,Paramètres!$A$1:$I$89,3,0)*0.475*44/12</f>
        <v>0.839694467068807</v>
      </c>
      <c r="AV104" s="129" t="n">
        <f aca="false">EXP(-LN(2)/25)*AV103+(1-EXP(-LN(2)/25))/(LN(2)/25)*Calculateur!AQ104*Calculateur!AS104*VLOOKUP('Données projet'!$B$10,Paramètres!$A$1:$I$89,3,0)*0.475*44/12</f>
        <v>1.84466003735283</v>
      </c>
      <c r="AW104" s="129" t="n">
        <f aca="false">EXP(-LN(2)/2)*AW103+(1-EXP(-LN(2)/2))/(LN(2)/2)*AQ104*AT104*VLOOKUP('Données projet'!$B$10,Paramètres!$A$1:$I$89,3,0)*0.475*44/12</f>
        <v>1.22305435200839E-010</v>
      </c>
      <c r="AX104" s="129" t="n">
        <f aca="false">SUM(AU104:AW104)</f>
        <v>2.68435450454394</v>
      </c>
      <c r="AY104" s="124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8" t="e">
        <f aca="false">VLOOKUP(A104,'Données projet'!$A$87:$I$107,2,0)</f>
        <v>#N/A</v>
      </c>
      <c r="BB104" s="118" t="e">
        <f aca="false">VLOOKUP(A104,'Données projet'!$A$87:$I$107,9,0)</f>
        <v>#N/A</v>
      </c>
      <c r="BC104" s="118" t="e">
        <f aca="false" t="array" ref="BC104:BC104">INDEX(BB:BB,MIN(IF(ISNUMBER(BB104:BB300),ROW(BB104:BB300),"")))</f>
        <v>#N/A</v>
      </c>
      <c r="BD104" s="118" t="n">
        <f aca="false">IF('Données projet'!$A$88&gt;35,BD103+BC104-BL103,IF(A104&lt;'Données projet'!$A$88,$BA$205^A104,IF(A104='Données projet'!$A$88,'Données projet'!$B$88,BD103+BC104-BL103)))</f>
        <v>1.98951966012828E-013</v>
      </c>
      <c r="BE104" s="117" t="n">
        <f aca="false">BD104*VLOOKUP('Données projet'!$B$11,Paramètres!$A$1:$I$89,3,0)*VLOOKUP('Données projet'!$B$11,Paramètres!$A$1:$I$89,5,0)</f>
        <v>1.73804437508807E-013</v>
      </c>
      <c r="BF104" s="117" t="n">
        <f aca="false">EXP(-1.0587+0.8836*LN(BE104)+0.284)</f>
        <v>2.44832936339505E-012</v>
      </c>
      <c r="BG104" s="128" t="n">
        <f aca="false">(BE104+BF104)*0.475*44/12</f>
        <v>4.56688303657421E-012</v>
      </c>
      <c r="BH104" s="120" t="n">
        <f aca="false">BG104+(AY104+AZ104)*44/12</f>
        <v>293.333333333338</v>
      </c>
      <c r="BI104" s="120" t="n">
        <f aca="true">AVERAGE(OFFSET($BH$3,0,0,'Données projet'!$E$11+1,1))-AVERAGE(OFFSET($H$3,0,0,'Données projet'!$E$11+1,1))</f>
        <v>321.235999689929</v>
      </c>
      <c r="BJ104" s="120" t="n">
        <f aca="false">$BJ$3</f>
        <v>388.051958478005</v>
      </c>
      <c r="BK104" s="121" t="n">
        <f aca="false">IF(ISNA(VLOOKUP(A104,'Données projet'!$A$87:$I$107,3,0)),0,VLOOKUP(A104,'Données projet'!$A$87:$I$107,3,0))</f>
        <v>0</v>
      </c>
      <c r="BL104" s="121" t="n">
        <f aca="false">IF(ISNA(VLOOKUP(A104,'Données projet'!$A$87:$I$107,4,0)),0,VLOOKUP(A104,'Données projet'!$A$87:$I$107,4,0))</f>
        <v>0</v>
      </c>
      <c r="BM104" s="122" t="n">
        <f aca="false">IF(ISNA(VLOOKUP(A104,'Données projet'!$A$87:$I$107,5,0)),0%,VLOOKUP(A104,'Données projet'!$A$87:$I$107,5,0)*VLOOKUP('Données projet'!$B$11,Paramètres!$A$1:$I$89,7,0))</f>
        <v>0</v>
      </c>
      <c r="BN104" s="122" t="n">
        <f aca="false">IF(ISNA(VLOOKUP(A104,'Données projet'!$A$87:$I$107,6,0)),0%,VLOOKUP(A104,'Données projet'!$A$87:$I$107,6,0)*VLOOKUP('Données projet'!$B$11,Paramètres!$A$1:$I$89,7,0))</f>
        <v>0</v>
      </c>
      <c r="BO104" s="122" t="n">
        <f aca="false">IF(ISNA(VLOOKUP(A104,'Données projet'!$A$87:$I$107,7,0)),0%,VLOOKUP(A104,'Données projet'!$A$87:$I$107,7,0))</f>
        <v>0</v>
      </c>
      <c r="BP104" s="129" t="n">
        <f aca="false">EXP(-LN(2)/35)*BP103+(1-EXP(-LN(2)/35))/(LN(2)/35)*BL104*BM104*VLOOKUP('Données projet'!$B$11,Paramètres!$A$1:$I$89,3,0)*0.475*44/12</f>
        <v>2.10815485813789</v>
      </c>
      <c r="BQ104" s="129" t="n">
        <f aca="false">EXP(-LN(2)/25)*BQ103+(1-EXP(-LN(2)/25))/(LN(2)/25)*Calculateur!BL104*Calculateur!BN104*VLOOKUP('Données projet'!$B$11,Paramètres!$A$1:$I$89,3,0)*0.475*44/12</f>
        <v>1.88291940009769</v>
      </c>
      <c r="BR104" s="129" t="n">
        <f aca="false">EXP(-LN(2)/2)*BR103+(1-EXP(-LN(2)/2))/(LN(2)/2)*BL104*BO104*VLOOKUP('Données projet'!$B$11,Paramètres!$A$1:$I$89,3,0)*0.475*44/12</f>
        <v>1.24320932720919E-010</v>
      </c>
      <c r="BS104" s="130" t="n">
        <f aca="false">SUM(BP104:BR104)</f>
        <v>3.9910742583599</v>
      </c>
      <c r="BT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8" t="e">
        <f aca="false">VLOOKUP(A104,'Données projet'!$A$113:$I$133,2,0)</f>
        <v>#N/A</v>
      </c>
      <c r="BW104" s="118" t="e">
        <f aca="false">VLOOKUP(A104,'Données projet'!$A$113:$I$133,9,0)</f>
        <v>#N/A</v>
      </c>
      <c r="BX104" s="118" t="e">
        <f aca="false" t="array" ref="BX104:BX104">INDEX(BW:BW,MIN(IF(ISNUMBER(BW104:BW300),ROW(BW104:BW300),"")))</f>
        <v>#N/A</v>
      </c>
      <c r="BY104" s="118" t="n">
        <f aca="false">IF('Données projet'!$A$114&gt;35,BY103+BX104-CG103,IF(A104&lt;'Données projet'!$A$114,$BV$205^A104,IF(A104='Données projet'!$A$114,'Données projet'!$B$114,BY103+BX104-CG103)))</f>
        <v>0</v>
      </c>
      <c r="BZ104" s="117" t="n">
        <f aca="false">BY104*VLOOKUP('Données projet'!$B$12,Paramètres!$A$1:$I$89,3,0)*VLOOKUP('Données projet'!$B$12,Paramètres!$A$1:$I$89,5,0)</f>
        <v>0</v>
      </c>
      <c r="CA104" s="117" t="e">
        <f aca="false">EXP(-1.0587+0.8836*LN(BZ104)+0.284)</f>
        <v>#VALUE!</v>
      </c>
      <c r="CB104" s="128" t="e">
        <f aca="false">(BZ104+CA104)*0.475*44/12</f>
        <v>#VALUE!</v>
      </c>
      <c r="CC104" s="120" t="e">
        <f aca="false">CB104+(BT104+BU104)*44/12</f>
        <v>#VALUE!</v>
      </c>
      <c r="CD104" s="120" t="n">
        <f aca="true">AVERAGE(OFFSET($CC$3,0,0,'Données projet'!$E$12+1,1))-AVERAGE(OFFSET($H$3,0,0,'Données projet'!$E$12+1,1))</f>
        <v>240.228848647662</v>
      </c>
      <c r="CE104" s="120" t="n">
        <f aca="false">$CE$3</f>
        <v>343.237768841432</v>
      </c>
      <c r="CF104" s="121" t="n">
        <f aca="false">IF(ISNA(VLOOKUP(A104,'Données projet'!$A$113:$I$133,3,0)),0,VLOOKUP(A104,'Données projet'!$A$113:$I$133,3,0))</f>
        <v>0</v>
      </c>
      <c r="CG104" s="121" t="n">
        <f aca="false">IF(ISNA(VLOOKUP(A104,'Données projet'!$A$113:$I$133,4,0)),0,VLOOKUP(A104,'Données projet'!$A$113:$I$133,4,0))</f>
        <v>0</v>
      </c>
      <c r="CH104" s="122" t="n">
        <f aca="false">IF(ISNA(VLOOKUP(A104,'Données projet'!$A$113:$I$133,5,0)),0%,VLOOKUP(A104,'Données projet'!$A$113:$I$133,5,0)*VLOOKUP('Données projet'!$B$12,Paramètres!$A$1:$I$89,7,0))</f>
        <v>0</v>
      </c>
      <c r="CI104" s="122" t="n">
        <f aca="false">IF(ISNA(VLOOKUP(A104,'Données projet'!$A$113:$I$133,6,0)),0%,VLOOKUP(A104,'Données projet'!$A$113:$I$133,6,0)*VLOOKUP('Données projet'!$B$12,Paramètres!$A$1:$I$89,7,0))</f>
        <v>0</v>
      </c>
      <c r="CJ104" s="122" t="n">
        <f aca="false">IF(ISNA(VLOOKUP(A104,'Données projet'!$A$113:$I$133,7,0)),0%,VLOOKUP(A104,'Données projet'!$A$113:$I$133,7,0))</f>
        <v>0</v>
      </c>
      <c r="CK104" s="129" t="n">
        <f aca="false">EXP(-LN(2)/35)*CK103+(1-EXP(-LN(2)/35))/(LN(2)/35)*CG104*CH104*VLOOKUP('Données projet'!$B$12,Paramètres!$A$1:$I$89,3,0)*0.475*44/12</f>
        <v>1.29035501312174</v>
      </c>
      <c r="CL104" s="129" t="n">
        <f aca="false">EXP(-LN(2)/25)*CL103+(1-EXP(-LN(2)/25))/(LN(2)/25)*Calculateur!CG104*Calculateur!CI104*VLOOKUP('Données projet'!$B$12,Paramètres!$A$1:$I$89,3,0)*0.475*44/12</f>
        <v>3.32534466256323</v>
      </c>
      <c r="CM104" s="129" t="n">
        <f aca="false">EXP(-LN(2)/2)*CM103+(1-EXP(-LN(2)/2))/(LN(2)/2)*CG104*CJ104*VLOOKUP('Données projet'!$B$12,Paramètres!$A$1:$I$89,3,0)*0.475*44/12</f>
        <v>1.98383064680921E-010</v>
      </c>
      <c r="CN104" s="130" t="n">
        <f aca="false">SUM(CK104:CM104)</f>
        <v>4.61569967588336</v>
      </c>
      <c r="CO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8" t="e">
        <f aca="false">VLOOKUP(A104,'Données projet'!$A$139:$I$159,2,0)</f>
        <v>#N/A</v>
      </c>
      <c r="CR104" s="118" t="e">
        <f aca="false">VLOOKUP(A104,'Données projet'!$A$139:$I$159,9,0)</f>
        <v>#N/A</v>
      </c>
      <c r="CS104" s="118" t="e">
        <f aca="false" t="array" ref="CS104:CS104">INDEX(CR:CR,MIN(IF(ISNUMBER(CR104:CR300),ROW(CR104:CR300),"")))</f>
        <v>#N/A</v>
      </c>
      <c r="CT104" s="118" t="n">
        <f aca="false">IF('Données projet'!$A$140&gt;35,CT103+CS104-DB103,IF(A104&lt;'Données projet'!$A$140,$CQ$205^A104,IF(A104='Données projet'!$A$140,'Données projet'!$B$140,CT103+CS104-DB103)))</f>
        <v>-5.6843418860808E-014</v>
      </c>
      <c r="CU104" s="125" t="n">
        <f aca="false">CT104*VLOOKUP('Données projet'!$B$13,Paramètres!$A$1:$I$89,3,0)*VLOOKUP('Données projet'!$B$13,Paramètres!$A$1:$I$89,5,0)</f>
        <v>-3.10365066980012E-014</v>
      </c>
      <c r="CV104" s="117" t="e">
        <f aca="false">EXP(-1.0587+0.8836*LN(CU104)+0.284)</f>
        <v>#VALUE!</v>
      </c>
      <c r="CW104" s="128" t="e">
        <f aca="false">(CU104+CV104)*0.475*44/12</f>
        <v>#VALUE!</v>
      </c>
      <c r="CX104" s="120" t="e">
        <f aca="false">CW104+(CO104+CP104)*44/12</f>
        <v>#VALUE!</v>
      </c>
      <c r="CY104" s="120" t="n">
        <f aca="true">AVERAGE(OFFSET($CX$3,0,0,'Données projet'!$E$13+1,1))-AVERAGE(OFFSET($H$3,0,0,'Données projet'!$E$13+1,1))</f>
        <v>207.023069645676</v>
      </c>
      <c r="CZ104" s="120" t="n">
        <f aca="false">$CZ$3</f>
        <v>342.068879333518</v>
      </c>
      <c r="DA104" s="121" t="n">
        <f aca="false">IF(ISNA(VLOOKUP(A104,'Données projet'!$A$139:$I$159,3,0)),0,VLOOKUP(A104,'Données projet'!$A$139:$I$159,3,0))</f>
        <v>0</v>
      </c>
      <c r="DB104" s="121" t="n">
        <f aca="false">IF(ISNA(VLOOKUP(A104,'Données projet'!$A$139:$I$159,4,0)),0,VLOOKUP(A104,'Données projet'!$A$139:$I$159,4,0))</f>
        <v>0</v>
      </c>
      <c r="DC104" s="122" t="n">
        <f aca="false">IF(ISNA(VLOOKUP(A104,'Données projet'!$A$139:$I$159,5,0)),0%,VLOOKUP(A104,'Données projet'!$A$139:$I$159,5,0)*VLOOKUP('Données projet'!$B$13,Paramètres!$A$1:$I$89,7,0))</f>
        <v>0</v>
      </c>
      <c r="DD104" s="122" t="n">
        <f aca="false">IF(ISNA(VLOOKUP(A104,'Données projet'!$A$139:$I$159,6,0)),0%,VLOOKUP(A104,'Données projet'!$A$139:$I$159,6,0)*VLOOKUP('Données projet'!$B$13,Paramètres!$A$1:$I$89,7,0))</f>
        <v>0</v>
      </c>
      <c r="DE104" s="122" t="n">
        <f aca="false">IF(ISNA(VLOOKUP(A104,'Données projet'!$A$139:$I$159,7,0)),0%,VLOOKUP(A104,'Données projet'!$A$139:$I$159,7,0))</f>
        <v>0</v>
      </c>
      <c r="DF104" s="129" t="n">
        <f aca="false">EXP(-LN(2)/35)*DF103+(1-EXP(-LN(2)/35))/(LN(2)/35)*DB104*DC104*VLOOKUP('Données projet'!$B$13,Paramètres!$A$1:$I$89,3,0)*0.475*44/12</f>
        <v>1.61903034665275</v>
      </c>
      <c r="DG104" s="129" t="n">
        <f aca="false">EXP(-LN(2)/25)*DG103+(1-EXP(-LN(2)/25))/(LN(2)/25)*Calculateur!DB104*Calculateur!DD104*VLOOKUP('Données projet'!$B$13,Paramètres!$A$1:$I$89,3,0)*0.475*44/12</f>
        <v>5.43555355439459</v>
      </c>
      <c r="DH104" s="129" t="n">
        <f aca="false">EXP(-LN(2)/2)*DH103+(1-EXP(-LN(2)/2))/(LN(2)/2)*DB104*DE104*VLOOKUP('Données projet'!$B$13,Paramètres!$A$1:$I$89,3,0)*0.475*44/12</f>
        <v>2.73173572041014E-010</v>
      </c>
      <c r="DI104" s="130" t="n">
        <f aca="false">SUM(DF104:DH104)</f>
        <v>7.05458390132051</v>
      </c>
      <c r="DJ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8" t="e">
        <f aca="false">VLOOKUP(A104,'Données projet'!$A$165:$I$185,2,0)</f>
        <v>#N/A</v>
      </c>
      <c r="DM104" s="118" t="e">
        <f aca="false">VLOOKUP(A104,'Données projet'!$A$165:$I$185,9,0)</f>
        <v>#N/A</v>
      </c>
      <c r="DN104" s="118" t="e">
        <f aca="false" t="array" ref="DN104:DN104">INDEX(DM:DM,MIN(IF(ISNUMBER(DM104:DM300),ROW(DM104:DM300),"")))</f>
        <v>#N/A</v>
      </c>
      <c r="DO104" s="118" t="n">
        <f aca="false">IF('Données projet'!$A$166&gt;35,DO103+DN104-DW103,IF(A104&lt;'Données projet'!$A$166,$DL$205^A104,IF(A104='Données projet'!$A$166,'Données projet'!$B$166,DO103+DN104-DW103)))</f>
        <v>0</v>
      </c>
      <c r="DP104" s="125" t="n">
        <f aca="false">DO104*VLOOKUP('Données projet'!$B$14,Paramètres!$A$1:$I$89,3,0)*VLOOKUP('Données projet'!$B$14,Paramètres!$A$1:$I$89,5,0)</f>
        <v>0</v>
      </c>
      <c r="DQ104" s="117" t="e">
        <f aca="false">EXP(-1.0587+0.8836*LN(DP104)+0.284)</f>
        <v>#VALUE!</v>
      </c>
      <c r="DR104" s="128" t="e">
        <f aca="false">(DP104+DQ104)*0.475*44/12</f>
        <v>#VALUE!</v>
      </c>
      <c r="DS104" s="120" t="e">
        <f aca="false">DR104+(DJ104+DK104)*44/12</f>
        <v>#VALUE!</v>
      </c>
      <c r="DT104" s="120" t="n">
        <f aca="true">AVERAGE(OFFSET($DS$3,0,0,'Données projet'!$E$14+1,1))-AVERAGE(OFFSET($H$3,0,0,'Données projet'!$E$14+1,1))</f>
        <v>549.432320957297</v>
      </c>
      <c r="DU104" s="120" t="n">
        <f aca="false">$DU$3</f>
        <v>280.26155987301</v>
      </c>
      <c r="DV104" s="121" t="n">
        <f aca="false">IF(ISNA(VLOOKUP(A104,'Données projet'!$A$165:$I$185,3,0)),0,VLOOKUP(A104,'Données projet'!$A$165:$I$185,3,0))</f>
        <v>0</v>
      </c>
      <c r="DW104" s="121" t="n">
        <f aca="false">IF(ISNA(VLOOKUP(A104,'Données projet'!$A$165:$I$185,4,0)),0,VLOOKUP(A104,'Données projet'!$A$165:$I$185,4,0))</f>
        <v>0</v>
      </c>
      <c r="DX104" s="122" t="n">
        <f aca="false">IF(ISNA(VLOOKUP(A104,'Données projet'!$A$165:$I$185,5,0)),0%,VLOOKUP(A104,'Données projet'!$A$165:$I$185,5,0)*VLOOKUP('Données projet'!$B$14,Paramètres!$A$1:$I$89,7,0))</f>
        <v>0</v>
      </c>
      <c r="DY104" s="122" t="n">
        <f aca="false">IF(ISNA(VLOOKUP(A104,'Données projet'!$A$165:$I$185,6,0)),0%,VLOOKUP(A104,'Données projet'!$A$165:$I$185,6,0)*VLOOKUP('Données projet'!$B$14,Paramètres!$A$1:$I$89,7,0))</f>
        <v>0</v>
      </c>
      <c r="DZ104" s="122" t="n">
        <f aca="false">IF(ISNA(VLOOKUP(A104,'Données projet'!$A$165:$I$185,7,0)),0%,VLOOKUP(A104,'Données projet'!$A$165:$I$185,7,0))</f>
        <v>0</v>
      </c>
      <c r="EA104" s="129" t="n">
        <f aca="false">EXP(-LN(2)/35)*EA103+(1-EXP(-LN(2)/35))/(LN(2)/35)*DW104*DX104*VLOOKUP('Données projet'!$B$14,Paramètres!$A$1:$I$89,3,0)*0.475*44/12</f>
        <v>0.588677628753162</v>
      </c>
      <c r="EB104" s="129" t="n">
        <f aca="false">EXP(-LN(2)/25)*EB103+(1-EXP(-LN(2)/25))/(LN(2)/25)*Calculateur!DW104*Calculateur!DY104*VLOOKUP('Données projet'!$B$14,Paramètres!$A$1:$I$89,3,0)*0.475*44/12</f>
        <v>1.08286950962212</v>
      </c>
      <c r="EC104" s="129" t="n">
        <f aca="false">EXP(-LN(2)/2)*EC103+(1-EXP(-LN(2)/2))/(LN(2)/2)*DW104*DZ104*VLOOKUP('Données projet'!$B$14,Paramètres!$A$1:$I$89,3,0)*0.475*44/12</f>
        <v>1.25927385725812E-010</v>
      </c>
      <c r="ED104" s="130" t="n">
        <f aca="false">SUM(EA104:EC104)</f>
        <v>1.67154713850121</v>
      </c>
      <c r="EE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8" t="e">
        <f aca="false">VLOOKUP(A104,'Données projet'!$A$191:$I$211,2,0)</f>
        <v>#N/A</v>
      </c>
      <c r="EH104" s="118" t="e">
        <f aca="false">VLOOKUP(A104,'Données projet'!$A$191:$I$211,9,0)</f>
        <v>#N/A</v>
      </c>
      <c r="EI104" s="118" t="e">
        <f aca="false" t="array" ref="EI104:EI104">INDEX(EH:EH,MIN(IF(ISNUMBER(EH104:EH300),ROW(EH104:EH300),"")))</f>
        <v>#N/A</v>
      </c>
      <c r="EJ104" s="118" t="n">
        <f aca="false">IF('Données projet'!$A$192&gt;35,EJ103+EI104-ER103,IF(A104&lt;'Données projet'!$A$192,$EG$205^A104,IF(A104='Données projet'!$A$192,'Données projet'!$B$192,EJ103+EI104-ER103)))</f>
        <v>0</v>
      </c>
      <c r="EK104" s="125" t="e">
        <f aca="false">EJ104*VLOOKUP('Données projet'!$B$15,Paramètres!$A$1:$I$89,3,0)*VLOOKUP('Données projet'!$B$15,Paramètres!$A$1:$I$89,5,0)</f>
        <v>#N/A</v>
      </c>
      <c r="EL104" s="117" t="e">
        <f aca="false">EXP(-1.0587+0.8836*LN(EK104)+0.284)</f>
        <v>#N/A</v>
      </c>
      <c r="EM104" s="128" t="e">
        <f aca="false">(EK104+EL104)*0.475*44/12</f>
        <v>#N/A</v>
      </c>
      <c r="EN104" s="120" t="e">
        <f aca="false">EM104+(EE104+EF104)*44/12</f>
        <v>#N/A</v>
      </c>
      <c r="EO104" s="120" t="e">
        <f aca="true">AVERAGE(OFFSET($EN$3,0,0,'Données projet'!$E$15+1,1))-AVERAGE(OFFSET($H$3,0,0,'Données projet'!$E$15+1,1))</f>
        <v>#N/A</v>
      </c>
      <c r="EP104" s="120" t="e">
        <f aca="false">$EP$3</f>
        <v>#N/A</v>
      </c>
      <c r="EQ104" s="121" t="n">
        <f aca="false">IF(ISNA(VLOOKUP(A104,'Données projet'!$A$191:$I$211,3,0)),0,VLOOKUP(A104,'Données projet'!$A$191:$I$211,3,0))</f>
        <v>0</v>
      </c>
      <c r="ER104" s="121" t="n">
        <f aca="false">IF(ISNA(VLOOKUP(A104,'Données projet'!$A$191:$I$211,4,0)),0,VLOOKUP(A104,'Données projet'!$A$191:$I$211,4,0))</f>
        <v>0</v>
      </c>
      <c r="ES104" s="122" t="n">
        <f aca="false">IF(ISNA(VLOOKUP(A104,'Données projet'!$A$191:$I$211,5,0)),0%,VLOOKUP(A104,'Données projet'!$A$191:$I$211,5,0)*VLOOKUP('Données projet'!$B$15,Paramètres!$A$1:$I$89,7,0))</f>
        <v>0</v>
      </c>
      <c r="ET104" s="122" t="n">
        <f aca="false">IF(ISNA(VLOOKUP(A104,'Données projet'!$A$191:$I$211,6,0)),0%,VLOOKUP(A104,'Données projet'!$A$191:$I$211,6,0)*VLOOKUP('Données projet'!$B$15,Paramètres!$A$1:$I$89,7,0))</f>
        <v>0</v>
      </c>
      <c r="EU104" s="122" t="n">
        <f aca="false">IF(ISNA(VLOOKUP(A104,'Données projet'!$A$191:$I$211,7,0)),0%,VLOOKUP(A104,'Données projet'!$A$191:$I$211,7,0))</f>
        <v>0</v>
      </c>
      <c r="EV104" s="129" t="e">
        <f aca="false">EXP(-LN(2)/35)*EV103+(1-EXP(-LN(2)/35))/(LN(2)/35)*ER104*ES104*VLOOKUP('Données projet'!$B$15,Paramètres!$A$1:$I$89,3,0)*0.475*44/12</f>
        <v>#N/A</v>
      </c>
      <c r="EW104" s="129" t="e">
        <f aca="false">EXP(-LN(2)/25)*EW103+(1-EXP(-LN(2)/25))/(LN(2)/25)*Calculateur!ER104*Calculateur!ET104*VLOOKUP('Données projet'!$B$15,Paramètres!$A$1:$I$89,3,0)*0.475*44/12</f>
        <v>#N/A</v>
      </c>
      <c r="EX104" s="129" t="e">
        <f aca="false">EXP(-LN(2)/2)*EX103+(1-EXP(-LN(2)/2))/(LN(2)/2)*ER104*EU104*VLOOKUP('Données projet'!$B$15,Paramètres!$A$1:$I$89,3,0)*0.475*44/12</f>
        <v>#N/A</v>
      </c>
      <c r="EY104" s="130" t="e">
        <f aca="false">SUM(EV104:EX104)</f>
        <v>#N/A</v>
      </c>
      <c r="EZ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8" t="e">
        <f aca="false">VLOOKUP(A104,'Données projet'!$A$217:$I$237,2,0)</f>
        <v>#N/A</v>
      </c>
      <c r="FC104" s="118" t="e">
        <f aca="false">VLOOKUP(A104,'Données projet'!$A$217:$I$237,9,0)</f>
        <v>#N/A</v>
      </c>
      <c r="FD104" s="118" t="e">
        <f aca="false" t="array" ref="FD104:FD104">INDEX(FC:FC,MIN(IF(ISNUMBER(FC104:FC300),ROW(FC104:FC300),"")))</f>
        <v>#N/A</v>
      </c>
      <c r="FE104" s="118" t="n">
        <f aca="false">IF('Données projet'!$A$218&gt;35,FE103+FD104-FM103,IF(A104&lt;'Données projet'!$A$218,$FB$205^A104,IF(A104='Données projet'!$A$218,'Données projet'!$B$218,FE103+FD104-FM103)))</f>
        <v>0</v>
      </c>
      <c r="FF104" s="125" t="e">
        <f aca="false">FE104*VLOOKUP('Données projet'!$B$16,Paramètres!$A$1:$I$89,3,0)*VLOOKUP('Données projet'!$B$16,Paramètres!$A$1:$I$89,5,0)</f>
        <v>#N/A</v>
      </c>
      <c r="FG104" s="117" t="e">
        <f aca="false">EXP(-1.0587+0.8836*LN(FF104)+0.284)</f>
        <v>#N/A</v>
      </c>
      <c r="FH104" s="128" t="e">
        <f aca="false">(FF104+FG104)*0.475*44/12</f>
        <v>#N/A</v>
      </c>
      <c r="FI104" s="120" t="e">
        <f aca="false">FH104+(EZ104+FA104)*44/12</f>
        <v>#N/A</v>
      </c>
      <c r="FJ104" s="120" t="e">
        <f aca="true">AVERAGE(OFFSET($FI$3,0,0,'Données projet'!$E$16+1,1))-AVERAGE(OFFSET($H$3,0,0,'Données projet'!$E$16+1,1))</f>
        <v>#N/A</v>
      </c>
      <c r="FK104" s="120" t="e">
        <f aca="false">$FK$3</f>
        <v>#N/A</v>
      </c>
      <c r="FL104" s="121" t="n">
        <f aca="false">IF(ISNA(VLOOKUP(A104,'Données projet'!$A$217:$I$237,3,0)),0,VLOOKUP(A104,'Données projet'!$A$217:$I$237,3,0))</f>
        <v>0</v>
      </c>
      <c r="FM104" s="121" t="n">
        <f aca="false">IF(ISNA(VLOOKUP(A104,'Données projet'!$A$217:$I$237,4,0)),0,VLOOKUP(A104,'Données projet'!$A$217:$I$237,4,0))</f>
        <v>0</v>
      </c>
      <c r="FN104" s="122" t="n">
        <f aca="false">IF(ISNA(VLOOKUP(A104,'Données projet'!$A$217:$I$237,5,0)),0%,VLOOKUP(A104,'Données projet'!$A$217:$I$237,5,0)*VLOOKUP('Données projet'!$B$16,Paramètres!$A$1:$I$89,7,0))</f>
        <v>0</v>
      </c>
      <c r="FO104" s="122" t="n">
        <f aca="false">IF(ISNA(VLOOKUP(A104,'Données projet'!$A$217:$I$237,6,0)),0%,VLOOKUP(A104,'Données projet'!$A$217:$I$237,6,0)*VLOOKUP('Données projet'!$B$16,Paramètres!$A$1:$I$89,7,0))</f>
        <v>0</v>
      </c>
      <c r="FP104" s="122" t="n">
        <f aca="false">IF(ISNA(VLOOKUP(A104,'Données projet'!$A$217:$I$237,7,0)),0%,VLOOKUP(A104,'Données projet'!$A$217:$I$237,7,0))</f>
        <v>0</v>
      </c>
      <c r="FQ104" s="129" t="e">
        <f aca="false">EXP(-LN(2)/35)*FQ103+(1-EXP(-LN(2)/35))/(LN(2)/35)*FM104*FN104*VLOOKUP('Données projet'!$B$16,Paramètres!$A$1:$I$89,3,0)*0.475*44/12</f>
        <v>#N/A</v>
      </c>
      <c r="FR104" s="129" t="e">
        <f aca="false">EXP(-LN(2)/25)*FR103+(1-EXP(-LN(2)/25))/(LN(2)/25)*Calculateur!FM104*Calculateur!FO104*VLOOKUP('Données projet'!$B$16,Paramètres!$A$1:$I$89,3,0)*0.475*44/12</f>
        <v>#N/A</v>
      </c>
      <c r="FS104" s="129" t="e">
        <f aca="false">EXP(-LN(2)/2)*FS103+(1-EXP(-LN(2)/2))/(LN(2)/2)*FM104*FP104*VLOOKUP('Données projet'!$B$16,Paramètres!$A$1:$I$89,3,0)*0.475*44/12</f>
        <v>#N/A</v>
      </c>
      <c r="FT104" s="130" t="e">
        <f aca="false">SUM(FQ104:FS104)</f>
        <v>#N/A</v>
      </c>
      <c r="FU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8" t="e">
        <f aca="false">VLOOKUP(A104,'Données projet'!$A$243:$I$263,2,0)</f>
        <v>#N/A</v>
      </c>
      <c r="FX104" s="118" t="e">
        <f aca="false">VLOOKUP(A104,'Données projet'!$A$243:$I$263,9,0)</f>
        <v>#N/A</v>
      </c>
      <c r="FY104" s="118" t="e">
        <f aca="false" t="array" ref="FY104:FY104">INDEX(FX:FX,MIN(IF(ISNUMBER(FX104:FX300),ROW(FX104:FX300),"")))</f>
        <v>#N/A</v>
      </c>
      <c r="FZ104" s="118" t="n">
        <f aca="false">IF('Données projet'!$A$244&gt;35,FZ103+FY104-GH103,IF(A104&lt;'Données projet'!$A$244,$FW$205^A104,IF(A104='Données projet'!$A$244,'Données projet'!$B$244,FZ103+FY104-GH103)))</f>
        <v>0</v>
      </c>
      <c r="GA104" s="125" t="e">
        <f aca="false">FZ104*VLOOKUP('Données projet'!$B$17,Paramètres!$A$1:$I$89,3,0)*VLOOKUP('Données projet'!$B$17,Paramètres!$A$1:$I$89,5,0)</f>
        <v>#N/A</v>
      </c>
      <c r="GB104" s="117" t="e">
        <f aca="false">EXP(-1.0587+0.8836*LN(GA104)+0.284)</f>
        <v>#N/A</v>
      </c>
      <c r="GC104" s="128" t="e">
        <f aca="false">(GA104+GB104)*0.475*44/12</f>
        <v>#N/A</v>
      </c>
      <c r="GD104" s="120" t="e">
        <f aca="false">GC104+(FU104+FV104)*44/12</f>
        <v>#N/A</v>
      </c>
      <c r="GE104" s="120" t="e">
        <f aca="true">AVERAGE(OFFSET($GD$3,0,0,'Données projet'!$E$17+1,1))-AVERAGE(OFFSET($H$3,0,0,'Données projet'!$E$17+1,1))</f>
        <v>#N/A</v>
      </c>
      <c r="GF104" s="120" t="e">
        <f aca="false">$GF$3</f>
        <v>#N/A</v>
      </c>
      <c r="GG104" s="121" t="n">
        <f aca="false">IF(ISNA(VLOOKUP(A104,'Données projet'!$A$243:$I$263,3,0)),0,VLOOKUP(A104,'Données projet'!$A$243:$I$263,3,0))</f>
        <v>0</v>
      </c>
      <c r="GH104" s="121" t="n">
        <f aca="false">IF(ISNA(VLOOKUP(A104,'Données projet'!$A$243:$I$263,4,0)),0,VLOOKUP(A104,'Données projet'!$A$243:$I$263,4,0))</f>
        <v>0</v>
      </c>
      <c r="GI104" s="122" t="n">
        <f aca="false">IF(ISNA(VLOOKUP(A104,'Données projet'!$A$243:$I$263,5,0)),0%,VLOOKUP(A104,'Données projet'!$A$243:$I$263,5,0)*VLOOKUP('Données projet'!$B$17,Paramètres!$A$1:$I$89,7,0))</f>
        <v>0</v>
      </c>
      <c r="GJ104" s="122" t="n">
        <f aca="false">IF(ISNA(VLOOKUP(A104,'Données projet'!$A$243:$I$263,6,0)),0%,VLOOKUP(A104,'Données projet'!$A$243:$I$263,6,0)*VLOOKUP('Données projet'!$B$17,Paramètres!$A$1:$I$89,7,0))</f>
        <v>0</v>
      </c>
      <c r="GK104" s="122" t="n">
        <f aca="false">IF(ISNA(VLOOKUP(A104,'Données projet'!$A$243:$I$263,7,0)),0%,VLOOKUP(A104,'Données projet'!$A$243:$I$263,7,0))</f>
        <v>0</v>
      </c>
      <c r="GL104" s="129" t="e">
        <f aca="false">EXP(-LN(2)/35)*GL103+(1-EXP(-LN(2)/35))/(LN(2)/35)*GH104*GI104*VLOOKUP('Données projet'!$B$17,Paramètres!$A$1:$I$89,3,0)*0.475*44/12</f>
        <v>#N/A</v>
      </c>
      <c r="GM104" s="129" t="e">
        <f aca="false">EXP(-LN(2)/25)*GM103+(1-EXP(-LN(2)/25))/(LN(2)/25)*Calculateur!GH104*Calculateur!GJ104*VLOOKUP('Données projet'!$B$17,Paramètres!$A$1:$I$89,3,0)*0.475*44/12</f>
        <v>#N/A</v>
      </c>
      <c r="GN104" s="129" t="e">
        <f aca="false">EXP(-LN(2)/2)*GN103+(1-EXP(-LN(2)/2))/(LN(2)/2)*GH104*GK104*VLOOKUP('Données projet'!$B$17,Paramètres!$A$1:$I$89,3,0)*0.475*44/12</f>
        <v>#N/A</v>
      </c>
      <c r="GO104" s="129" t="e">
        <f aca="false">SUM(GL104:GN104)</f>
        <v>#N/A</v>
      </c>
      <c r="GP104" s="126" t="n">
        <f aca="false"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8" t="n">
        <f aca="false"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8" t="e">
        <f aca="false">VLOOKUP(A104,'Données projet'!$A$269:$I$289,2,0)</f>
        <v>#N/A</v>
      </c>
      <c r="GS104" s="118" t="e">
        <f aca="false">VLOOKUP(A104,'Données projet'!$A$269:$I$289,9,0)</f>
        <v>#N/A</v>
      </c>
      <c r="GT104" s="118" t="e">
        <f aca="false" t="array" ref="GT104:GT104">INDEX(GS:GS,MIN(IF(ISNUMBER(GS104:GS300),ROW(GS104:GS300),"")))</f>
        <v>#N/A</v>
      </c>
      <c r="GU104" s="118" t="n">
        <f aca="false">IF('Données projet'!$A$270&gt;35,GU103+GT104-HC103,IF(A104&lt;'Données projet'!$A$270,$GR$205^A104,IF(A104='Données projet'!$A$270,'Données projet'!$B$270,GU103+GT104-HC103)))</f>
        <v>0</v>
      </c>
      <c r="GV104" s="125" t="e">
        <f aca="false">GU104*VLOOKUP('Données projet'!$B$18,Paramètres!$A$1:$I$89,3,0)*VLOOKUP('Données projet'!$B$18,Paramètres!$A$1:$I$89,5,0)</f>
        <v>#N/A</v>
      </c>
      <c r="GW104" s="117" t="e">
        <f aca="false">EXP(-1.0587+0.8836*LN(GV104)+0.284)</f>
        <v>#N/A</v>
      </c>
      <c r="GX104" s="128" t="e">
        <f aca="false">(GV104+GW104)*0.475*44/12</f>
        <v>#N/A</v>
      </c>
      <c r="GY104" s="120" t="e">
        <f aca="false">GX104+(GP104+GQ104)*44/12</f>
        <v>#N/A</v>
      </c>
      <c r="GZ104" s="120" t="e">
        <f aca="true">AVERAGE(OFFSET($GY$3,0,0,'Données projet'!$E$18+1,1))-AVERAGE(OFFSET($H$3,0,0,'Données projet'!$E$18+1,1))</f>
        <v>#N/A</v>
      </c>
      <c r="HA104" s="120" t="e">
        <f aca="false">$HA$3</f>
        <v>#N/A</v>
      </c>
      <c r="HB104" s="121" t="n">
        <f aca="false">IF(ISNA(VLOOKUP(A104,'Données projet'!$A$269:$I$289,3,0)),0,VLOOKUP(A104,'Données projet'!$A$269:$I$289,3,0))</f>
        <v>0</v>
      </c>
      <c r="HC104" s="121" t="n">
        <f aca="false">IF(ISNA(VLOOKUP(A104,'Données projet'!$A$269:$I$289,4,0)),0,VLOOKUP(A104,'Données projet'!$A$269:$I$289,4,0))</f>
        <v>0</v>
      </c>
      <c r="HD104" s="122" t="n">
        <f aca="false">IF(ISNA(VLOOKUP(A104,'Données projet'!$A$269:$I$289,5,0)),0%,VLOOKUP(A104,'Données projet'!$A$269:$I$289,5,0)*VLOOKUP('Données projet'!$B$18,Paramètres!$A$1:$I$89,7,0))</f>
        <v>0</v>
      </c>
      <c r="HE104" s="122" t="n">
        <f aca="false">IF(ISNA(VLOOKUP(A104,'Données projet'!$A$269:$I$289,6,0)),0%,VLOOKUP(A104,'Données projet'!$A$269:$I$289,6,0)*VLOOKUP('Données projet'!$B$18,Paramètres!$A$1:$I$89,7,0))</f>
        <v>0</v>
      </c>
      <c r="HF104" s="122" t="n">
        <f aca="false">IF(ISNA(VLOOKUP(A104,'Données projet'!$A$269:$I$289,7,0)),0%,VLOOKUP(A104,'Données projet'!$A$269:$I$289,7,0))</f>
        <v>0</v>
      </c>
      <c r="HG104" s="129" t="e">
        <f aca="false">EXP(-LN(2)/35)*HG103+(1-EXP(-LN(2)/35))/(LN(2)/35)*HC104*HD104*VLOOKUP('Données projet'!$B$18,Paramètres!$A$1:$I$89,3,0)*0.475*44/12</f>
        <v>#N/A</v>
      </c>
      <c r="HH104" s="129" t="e">
        <f aca="false">EXP(-LN(2)/25)*HH103+(1-EXP(-LN(2)/25))/(LN(2)/25)*Calculateur!HC104*Calculateur!HE104*VLOOKUP('Données projet'!$B$18,Paramètres!$A$1:$I$89,3,0)*0.475*44/12</f>
        <v>#N/A</v>
      </c>
      <c r="HI104" s="129" t="e">
        <f aca="false">EXP(-LN(2)/2)*HI103+(1-EXP(-LN(2)/2))/(LN(2)/2)*HC104*HF104*VLOOKUP('Données projet'!$B$18,Paramètres!$A$1:$I$89,3,0)*0.475*44/12</f>
        <v>#N/A</v>
      </c>
      <c r="HJ104" s="130" t="e">
        <f aca="false">SUM(HG104:HI104)</f>
        <v>#N/A</v>
      </c>
    </row>
    <row r="105" customFormat="false" ht="14.25" hidden="false" customHeight="false" outlineLevel="0" collapsed="false">
      <c r="A105" s="112" t="n">
        <f aca="false">A104+1</f>
        <v>102</v>
      </c>
      <c r="B105" s="113" t="n">
        <f aca="false">'Scénario référence'!$B$16*5+'Scénario référence'!$B$17*0+'Scénario référence'!$B$18*5</f>
        <v>0</v>
      </c>
      <c r="C105" s="127" t="n">
        <f aca="false"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4" t="n">
        <f aca="false">IFERROR(EXP(-1.0587+0.8836*LN(C105)+0.284),0)</f>
        <v>0</v>
      </c>
      <c r="E10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5" s="114" t="n">
        <f aca="false">IF(OR('Scénario référence'!$F$8&gt;0,'Scénario référence'!$F$9&gt;0),('Scénario référence'!$F$8+'Scénario référence'!$F$9)*10,0)</f>
        <v>0</v>
      </c>
      <c r="G105" s="114" t="n">
        <f aca="false"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15" t="n">
        <f aca="false">(B105+E105+F105)*44/12+(C105+D105)*0.475*44/12</f>
        <v>256.666666666667</v>
      </c>
      <c r="I105" s="11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7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8" t="e">
        <f aca="false">VLOOKUP(A105,'Données projet'!$A$35:$I$55,2,0)</f>
        <v>#N/A</v>
      </c>
      <c r="L105" s="118" t="e">
        <f aca="false">VLOOKUP(A105,'Données projet'!$A$35:$I$55,9,0)</f>
        <v>#N/A</v>
      </c>
      <c r="M105" s="118" t="e">
        <f aca="false" t="array" ref="M105:M105">INDEX(L:L,MIN(IF(ISNUMBER(L105:L301),ROW(L105:L301),"")))</f>
        <v>#N/A</v>
      </c>
      <c r="N105" s="117" t="n">
        <f aca="false">IF('Données projet'!$A$36&gt;35,N104+M105-V104,IF(A105&lt;'Données projet'!$A$36,$K$205^A105,IF(A105='Données projet'!$A$36,'Données projet'!$B$36,N104+M105-V104)))</f>
        <v>-1.13686837721616E-013</v>
      </c>
      <c r="O105" s="117" t="n">
        <f aca="false">N105*VLOOKUP('Données projet'!$B$9,Paramètres!$A$1:$I$89,3,0)*VLOOKUP('Données projet'!$B$9,Paramètres!$A$1:$I$89,5,0)</f>
        <v>-5.32054400537163E-014</v>
      </c>
      <c r="P105" s="117" t="e">
        <f aca="false">EXP(-1.0587+0.8836*LN(O105)+0.284)</f>
        <v>#VALUE!</v>
      </c>
      <c r="Q105" s="128" t="e">
        <f aca="false">(O105+P105)*0.475*44/12</f>
        <v>#VALUE!</v>
      </c>
      <c r="R105" s="120" t="e">
        <f aca="false">Q105+(I105+J105)*44/12</f>
        <v>#VALUE!</v>
      </c>
      <c r="S105" s="120" t="n">
        <f aca="true">AVERAGE(OFFSET($R$3,0,0,'Données projet'!$E$9+1,1))-AVERAGE(OFFSET($H$3,0,0,'Données projet'!$E$9+1,1))</f>
        <v>319.229030946746</v>
      </c>
      <c r="T105" s="120" t="n">
        <f aca="false">$T$3</f>
        <v>254.586909731428</v>
      </c>
      <c r="U105" s="121" t="n">
        <f aca="false">IF(ISNA(VLOOKUP(A105,'Données projet'!$A$35:$I$55,3,0)),0,VLOOKUP(A105,'Données projet'!$A$35:$I$55,3,0))</f>
        <v>0</v>
      </c>
      <c r="V105" s="121" t="n">
        <f aca="false">IF(ISNA(VLOOKUP(A105,'Données projet'!$A$35:$I$55,4,0)),0,VLOOKUP(A105,'Données projet'!$A$35:$I$55,4,0))</f>
        <v>0</v>
      </c>
      <c r="W105" s="122" t="n">
        <f aca="false">IF(ISNA(VLOOKUP(A105,'Données projet'!$A$35:$I$55,5,0)),0%,VLOOKUP(A105,'Données projet'!$A$35:$I$55,5,0)*VLOOKUP('Données projet'!$B$9,Paramètres!$A$1:$I$89,7,0))</f>
        <v>0</v>
      </c>
      <c r="X105" s="122" t="n">
        <f aca="false">IF(ISNA(VLOOKUP(A105,'Données projet'!$A$35:$I$55,6,0)),0%,VLOOKUP(A105,'Données projet'!$A$35:$I$55,6,0)*VLOOKUP('Données projet'!$B$9,Paramètres!$A$1:$I$89,7,0))</f>
        <v>0</v>
      </c>
      <c r="Y105" s="122" t="n">
        <f aca="false">IF(ISNA(VLOOKUP(A105,'Données projet'!$A$35:$I$55,7,0)),0%,VLOOKUP(A105,'Données projet'!$A$35:$I$55,7,0))</f>
        <v>0</v>
      </c>
      <c r="Z105" s="129" t="n">
        <f aca="false">EXP(-LN(2)/35)*Z104+(1-EXP(-LN(2)/35))/(LN(2)/35)*V105*W105*VLOOKUP('Données projet'!$B$9,Paramètres!$A$1:$I$89,3,0)*0.475*44/12</f>
        <v>2.18092524345272</v>
      </c>
      <c r="AA105" s="129" t="n">
        <f aca="false">EXP(-LN(2)/25)*AA104+(1-EXP(-LN(2)/25))/(LN(2)/25)*Calculateur!V105*Calculateur!X105*VLOOKUP('Données projet'!$B$9,Paramètres!$A$1:$I$89,3,0)*0.475*44/12</f>
        <v>1.51481605533357</v>
      </c>
      <c r="AB105" s="129" t="n">
        <f aca="false">EXP(-LN(2)/2)*AB104+(1-EXP(-LN(2)/2))/(LN(2)/2)*V105*Y105*VLOOKUP('Données projet'!$B$9,Paramètres!$A$1:$I$89,3,0)*0.475*44/12</f>
        <v>1.60698671877594E-010</v>
      </c>
      <c r="AC105" s="130" t="n">
        <f aca="false">SUM(Z105:AB105)</f>
        <v>3.69574129894699</v>
      </c>
      <c r="AD105" s="117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7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8" t="e">
        <f aca="false">VLOOKUP(A105,'Données projet'!$A$61:$I$81,2,0)</f>
        <v>#N/A</v>
      </c>
      <c r="AG105" s="118" t="e">
        <f aca="false">VLOOKUP(A105,'Données projet'!$A$61:$I$81,9,0)</f>
        <v>#N/A</v>
      </c>
      <c r="AH105" s="118" t="e">
        <f aca="false" t="array" ref="AH105:AH105">INDEX(AG:AG,MIN(IF(ISNUMBER(AG105:AG301),ROW(AG105:AG301),"")))</f>
        <v>#N/A</v>
      </c>
      <c r="AI105" s="117" t="n">
        <f aca="false">IF('Données projet'!$A$62&gt;35,AI104+AH105-AQ104,IF(A105&lt;'Données projet'!$A$62,$AF$205^A105,IF(A105='Données projet'!$A$62,'Données projet'!$B$62,AI104+AH105-AQ104)))</f>
        <v>1.13686837721616E-013</v>
      </c>
      <c r="AJ105" s="117" t="n">
        <f aca="false">AI105*VLOOKUP('Données projet'!$B$10,Paramètres!$A$1:$I$89,3,0)*VLOOKUP('Données projet'!$B$10,Paramètres!$A$1:$I$89,5,0)</f>
        <v>6.35509422863834E-014</v>
      </c>
      <c r="AK105" s="117" t="n">
        <f aca="false">EXP(-1.0587+0.8836*LN(AJ105)+0.284)</f>
        <v>1.0064464192544E-012</v>
      </c>
      <c r="AL105" s="128" t="n">
        <f aca="false">(AJ105+AK105)*0.475*44/12</f>
        <v>1.86357873801686E-012</v>
      </c>
      <c r="AM105" s="120" t="n">
        <f aca="false">AL105+(AD105+AE105)*44/12</f>
        <v>293.333333333335</v>
      </c>
      <c r="AN105" s="120" t="n">
        <f aca="true">AVERAGE(OFFSET($AM$3,0,0,'Données projet'!$E$10+1,1))-AVERAGE(OFFSET($H$3,0,0,'Données projet'!$E$10+1,1))</f>
        <v>365.705101827279</v>
      </c>
      <c r="AO105" s="120" t="n">
        <f aca="false">$AO$3</f>
        <v>436.238338449625</v>
      </c>
      <c r="AP105" s="121" t="n">
        <f aca="false">IF(ISNA(VLOOKUP(A105,'Données projet'!$A$61:$I$81,3,0)),0,VLOOKUP(A105,'Données projet'!$A$61:$I$81,3,0))</f>
        <v>0</v>
      </c>
      <c r="AQ105" s="121" t="n">
        <f aca="false">IF(ISNA(VLOOKUP(A105,'Données projet'!$A$61:$I$81,4,0)),0,VLOOKUP(A105,'Données projet'!$A$61:$I$81,4,0))</f>
        <v>0</v>
      </c>
      <c r="AR105" s="122" t="n">
        <f aca="false">IF(ISNA(VLOOKUP(A105,'Données projet'!$A$61:$I$81,5,0)),0%,VLOOKUP(A105,'Données projet'!$A$61:$I$81,5,0)*VLOOKUP('Données projet'!$B$10,Paramètres!$A$1:$I$89,7,0))</f>
        <v>0</v>
      </c>
      <c r="AS105" s="122" t="n">
        <f aca="false">IF(ISNA(VLOOKUP(A105,'Données projet'!$A$61:$I$81,6,0)),0%,VLOOKUP(A105,'Données projet'!$A$61:$I$81,6,0)*VLOOKUP('Données projet'!$B$10,Paramètres!$A$1:$I$89,7,0))</f>
        <v>0</v>
      </c>
      <c r="AT105" s="122" t="n">
        <f aca="false">IF(ISNA(VLOOKUP(A105,'Données projet'!$A$61:$I$81,7,0)),0%,VLOOKUP(A105,'Données projet'!$A$61:$I$81,7,0))</f>
        <v>0</v>
      </c>
      <c r="AU105" s="129" t="n">
        <f aca="false">EXP(-LN(2)/35)*AU104+(1-EXP(-LN(2)/35))/(LN(2)/35)*AQ105*AR105*VLOOKUP('Données projet'!$B$10,Paramètres!$A$1:$I$89,3,0)*0.475*44/12</f>
        <v>0.823228570732641</v>
      </c>
      <c r="AV105" s="129" t="n">
        <f aca="false">EXP(-LN(2)/25)*AV104+(1-EXP(-LN(2)/25))/(LN(2)/25)*Calculateur!AQ105*Calculateur!AS105*VLOOKUP('Données projet'!$B$10,Paramètres!$A$1:$I$89,3,0)*0.475*44/12</f>
        <v>1.79421771162496</v>
      </c>
      <c r="AW105" s="129" t="n">
        <f aca="false">EXP(-LN(2)/2)*AW104+(1-EXP(-LN(2)/2))/(LN(2)/2)*AQ105*AT105*VLOOKUP('Données projet'!$B$10,Paramètres!$A$1:$I$89,3,0)*0.475*44/12</f>
        <v>8.64830026064853E-011</v>
      </c>
      <c r="AX105" s="129" t="n">
        <f aca="false">SUM(AU105:AW105)</f>
        <v>2.61744628244408</v>
      </c>
      <c r="AY105" s="124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8" t="e">
        <f aca="false">VLOOKUP(A105,'Données projet'!$A$87:$I$107,2,0)</f>
        <v>#N/A</v>
      </c>
      <c r="BB105" s="118" t="e">
        <f aca="false">VLOOKUP(A105,'Données projet'!$A$87:$I$107,9,0)</f>
        <v>#N/A</v>
      </c>
      <c r="BC105" s="118" t="e">
        <f aca="false" t="array" ref="BC105:BC105">INDEX(BB:BB,MIN(IF(ISNUMBER(BB105:BB301),ROW(BB105:BB301),"")))</f>
        <v>#N/A</v>
      </c>
      <c r="BD105" s="118" t="n">
        <f aca="false">IF('Données projet'!$A$88&gt;35,BD104+BC105-BL104,IF(A105&lt;'Données projet'!$A$88,$BA$205^A105,IF(A105='Données projet'!$A$88,'Données projet'!$B$88,BD104+BC105-BL104)))</f>
        <v>1.98951966012828E-013</v>
      </c>
      <c r="BE105" s="117" t="n">
        <f aca="false">BD105*VLOOKUP('Données projet'!$B$11,Paramètres!$A$1:$I$89,3,0)*VLOOKUP('Données projet'!$B$11,Paramètres!$A$1:$I$89,5,0)</f>
        <v>1.73804437508807E-013</v>
      </c>
      <c r="BF105" s="117" t="n">
        <f aca="false">EXP(-1.0587+0.8836*LN(BE105)+0.284)</f>
        <v>2.44832936339505E-012</v>
      </c>
      <c r="BG105" s="128" t="n">
        <f aca="false">(BE105+BF105)*0.475*44/12</f>
        <v>4.56688303657421E-012</v>
      </c>
      <c r="BH105" s="120" t="n">
        <f aca="false">BG105+(AY105+AZ105)*44/12</f>
        <v>293.333333333338</v>
      </c>
      <c r="BI105" s="120" t="n">
        <f aca="true">AVERAGE(OFFSET($BH$3,0,0,'Données projet'!$E$11+1,1))-AVERAGE(OFFSET($H$3,0,0,'Données projet'!$E$11+1,1))</f>
        <v>321.235999689929</v>
      </c>
      <c r="BJ105" s="120" t="n">
        <f aca="false">$BJ$3</f>
        <v>388.051958478005</v>
      </c>
      <c r="BK105" s="121" t="n">
        <f aca="false">IF(ISNA(VLOOKUP(A105,'Données projet'!$A$87:$I$107,3,0)),0,VLOOKUP(A105,'Données projet'!$A$87:$I$107,3,0))</f>
        <v>0</v>
      </c>
      <c r="BL105" s="121" t="n">
        <f aca="false">IF(ISNA(VLOOKUP(A105,'Données projet'!$A$87:$I$107,4,0)),0,VLOOKUP(A105,'Données projet'!$A$87:$I$107,4,0))</f>
        <v>0</v>
      </c>
      <c r="BM105" s="122" t="n">
        <f aca="false">IF(ISNA(VLOOKUP(A105,'Données projet'!$A$87:$I$107,5,0)),0%,VLOOKUP(A105,'Données projet'!$A$87:$I$107,5,0)*VLOOKUP('Données projet'!$B$11,Paramètres!$A$1:$I$89,7,0))</f>
        <v>0</v>
      </c>
      <c r="BN105" s="122" t="n">
        <f aca="false">IF(ISNA(VLOOKUP(A105,'Données projet'!$A$87:$I$107,6,0)),0%,VLOOKUP(A105,'Données projet'!$A$87:$I$107,6,0)*VLOOKUP('Données projet'!$B$11,Paramètres!$A$1:$I$89,7,0))</f>
        <v>0</v>
      </c>
      <c r="BO105" s="122" t="n">
        <f aca="false">IF(ISNA(VLOOKUP(A105,'Données projet'!$A$87:$I$107,7,0)),0%,VLOOKUP(A105,'Données projet'!$A$87:$I$107,7,0))</f>
        <v>0</v>
      </c>
      <c r="BP105" s="129" t="n">
        <f aca="false">EXP(-LN(2)/35)*BP104+(1-EXP(-LN(2)/35))/(LN(2)/35)*BL105*BM105*VLOOKUP('Données projet'!$B$11,Paramètres!$A$1:$I$89,3,0)*0.475*44/12</f>
        <v>2.0668152272173</v>
      </c>
      <c r="BQ105" s="129" t="n">
        <f aca="false">EXP(-LN(2)/25)*BQ104+(1-EXP(-LN(2)/25))/(LN(2)/25)*Calculateur!BL105*Calculateur!BN105*VLOOKUP('Données projet'!$B$11,Paramètres!$A$1:$I$89,3,0)*0.475*44/12</f>
        <v>1.8314308700836</v>
      </c>
      <c r="BR105" s="129" t="n">
        <f aca="false">EXP(-LN(2)/2)*BR104+(1-EXP(-LN(2)/2))/(LN(2)/2)*BL105*BO105*VLOOKUP('Données projet'!$B$11,Paramètres!$A$1:$I$89,3,0)*0.475*44/12</f>
        <v>8.79081745703986E-011</v>
      </c>
      <c r="BS105" s="130" t="n">
        <f aca="false">SUM(BP105:BR105)</f>
        <v>3.89824609738881</v>
      </c>
      <c r="BT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8" t="e">
        <f aca="false">VLOOKUP(A105,'Données projet'!$A$113:$I$133,2,0)</f>
        <v>#N/A</v>
      </c>
      <c r="BW105" s="118" t="e">
        <f aca="false">VLOOKUP(A105,'Données projet'!$A$113:$I$133,9,0)</f>
        <v>#N/A</v>
      </c>
      <c r="BX105" s="118" t="e">
        <f aca="false" t="array" ref="BX105:BX105">INDEX(BW:BW,MIN(IF(ISNUMBER(BW105:BW301),ROW(BW105:BW301),"")))</f>
        <v>#N/A</v>
      </c>
      <c r="BY105" s="118" t="n">
        <f aca="false">IF('Données projet'!$A$114&gt;35,BY104+BX105-CG104,IF(A105&lt;'Données projet'!$A$114,$BV$205^A105,IF(A105='Données projet'!$A$114,'Données projet'!$B$114,BY104+BX105-CG104)))</f>
        <v>0</v>
      </c>
      <c r="BZ105" s="117" t="n">
        <f aca="false">BY105*VLOOKUP('Données projet'!$B$12,Paramètres!$A$1:$I$89,3,0)*VLOOKUP('Données projet'!$B$12,Paramètres!$A$1:$I$89,5,0)</f>
        <v>0</v>
      </c>
      <c r="CA105" s="117" t="e">
        <f aca="false">EXP(-1.0587+0.8836*LN(BZ105)+0.284)</f>
        <v>#VALUE!</v>
      </c>
      <c r="CB105" s="128" t="e">
        <f aca="false">(BZ105+CA105)*0.475*44/12</f>
        <v>#VALUE!</v>
      </c>
      <c r="CC105" s="120" t="e">
        <f aca="false">CB105+(BT105+BU105)*44/12</f>
        <v>#VALUE!</v>
      </c>
      <c r="CD105" s="120" t="n">
        <f aca="true">AVERAGE(OFFSET($CC$3,0,0,'Données projet'!$E$12+1,1))-AVERAGE(OFFSET($H$3,0,0,'Données projet'!$E$12+1,1))</f>
        <v>240.228848647662</v>
      </c>
      <c r="CE105" s="120" t="n">
        <f aca="false">$CE$3</f>
        <v>343.237768841432</v>
      </c>
      <c r="CF105" s="121" t="n">
        <f aca="false">IF(ISNA(VLOOKUP(A105,'Données projet'!$A$113:$I$133,3,0)),0,VLOOKUP(A105,'Données projet'!$A$113:$I$133,3,0))</f>
        <v>0</v>
      </c>
      <c r="CG105" s="121" t="n">
        <f aca="false">IF(ISNA(VLOOKUP(A105,'Données projet'!$A$113:$I$133,4,0)),0,VLOOKUP(A105,'Données projet'!$A$113:$I$133,4,0))</f>
        <v>0</v>
      </c>
      <c r="CH105" s="122" t="n">
        <f aca="false">IF(ISNA(VLOOKUP(A105,'Données projet'!$A$113:$I$133,5,0)),0%,VLOOKUP(A105,'Données projet'!$A$113:$I$133,5,0)*VLOOKUP('Données projet'!$B$12,Paramètres!$A$1:$I$89,7,0))</f>
        <v>0</v>
      </c>
      <c r="CI105" s="122" t="n">
        <f aca="false">IF(ISNA(VLOOKUP(A105,'Données projet'!$A$113:$I$133,6,0)),0%,VLOOKUP(A105,'Données projet'!$A$113:$I$133,6,0)*VLOOKUP('Données projet'!$B$12,Paramètres!$A$1:$I$89,7,0))</f>
        <v>0</v>
      </c>
      <c r="CJ105" s="122" t="n">
        <f aca="false">IF(ISNA(VLOOKUP(A105,'Données projet'!$A$113:$I$133,7,0)),0%,VLOOKUP(A105,'Données projet'!$A$113:$I$133,7,0))</f>
        <v>0</v>
      </c>
      <c r="CK105" s="129" t="n">
        <f aca="false">EXP(-LN(2)/35)*CK104+(1-EXP(-LN(2)/35))/(LN(2)/35)*CG105*CH105*VLOOKUP('Données projet'!$B$12,Paramètres!$A$1:$I$89,3,0)*0.475*44/12</f>
        <v>1.26505193835327</v>
      </c>
      <c r="CL105" s="129" t="n">
        <f aca="false">EXP(-LN(2)/25)*CL104+(1-EXP(-LN(2)/25))/(LN(2)/25)*Calculateur!CG105*Calculateur!CI105*VLOOKUP('Données projet'!$B$12,Paramètres!$A$1:$I$89,3,0)*0.475*44/12</f>
        <v>3.23441293789316</v>
      </c>
      <c r="CM105" s="129" t="n">
        <f aca="false">EXP(-LN(2)/2)*CM104+(1-EXP(-LN(2)/2))/(LN(2)/2)*CG105*CJ105*VLOOKUP('Données projet'!$B$12,Paramètres!$A$1:$I$89,3,0)*0.475*44/12</f>
        <v>1.40278010308449E-010</v>
      </c>
      <c r="CN105" s="130" t="n">
        <f aca="false">SUM(CK105:CM105)</f>
        <v>4.49946487638671</v>
      </c>
      <c r="CO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8" t="e">
        <f aca="false">VLOOKUP(A105,'Données projet'!$A$139:$I$159,2,0)</f>
        <v>#N/A</v>
      </c>
      <c r="CR105" s="118" t="e">
        <f aca="false">VLOOKUP(A105,'Données projet'!$A$139:$I$159,9,0)</f>
        <v>#N/A</v>
      </c>
      <c r="CS105" s="118" t="e">
        <f aca="false" t="array" ref="CS105:CS105">INDEX(CR:CR,MIN(IF(ISNUMBER(CR105:CR301),ROW(CR105:CR301),"")))</f>
        <v>#N/A</v>
      </c>
      <c r="CT105" s="118" t="n">
        <f aca="false">IF('Données projet'!$A$140&gt;35,CT104+CS105-DB104,IF(A105&lt;'Données projet'!$A$140,$CQ$205^A105,IF(A105='Données projet'!$A$140,'Données projet'!$B$140,CT104+CS105-DB104)))</f>
        <v>-5.6843418860808E-014</v>
      </c>
      <c r="CU105" s="125" t="n">
        <f aca="false">CT105*VLOOKUP('Données projet'!$B$13,Paramètres!$A$1:$I$89,3,0)*VLOOKUP('Données projet'!$B$13,Paramètres!$A$1:$I$89,5,0)</f>
        <v>-3.10365066980012E-014</v>
      </c>
      <c r="CV105" s="117" t="e">
        <f aca="false">EXP(-1.0587+0.8836*LN(CU105)+0.284)</f>
        <v>#VALUE!</v>
      </c>
      <c r="CW105" s="128" t="e">
        <f aca="false">(CU105+CV105)*0.475*44/12</f>
        <v>#VALUE!</v>
      </c>
      <c r="CX105" s="120" t="e">
        <f aca="false">CW105+(CO105+CP105)*44/12</f>
        <v>#VALUE!</v>
      </c>
      <c r="CY105" s="120" t="n">
        <f aca="true">AVERAGE(OFFSET($CX$3,0,0,'Données projet'!$E$13+1,1))-AVERAGE(OFFSET($H$3,0,0,'Données projet'!$E$13+1,1))</f>
        <v>207.023069645676</v>
      </c>
      <c r="CZ105" s="120" t="n">
        <f aca="false">$CZ$3</f>
        <v>342.068879333518</v>
      </c>
      <c r="DA105" s="121" t="n">
        <f aca="false">IF(ISNA(VLOOKUP(A105,'Données projet'!$A$139:$I$159,3,0)),0,VLOOKUP(A105,'Données projet'!$A$139:$I$159,3,0))</f>
        <v>0</v>
      </c>
      <c r="DB105" s="121" t="n">
        <f aca="false">IF(ISNA(VLOOKUP(A105,'Données projet'!$A$139:$I$159,4,0)),0,VLOOKUP(A105,'Données projet'!$A$139:$I$159,4,0))</f>
        <v>0</v>
      </c>
      <c r="DC105" s="122" t="n">
        <f aca="false">IF(ISNA(VLOOKUP(A105,'Données projet'!$A$139:$I$159,5,0)),0%,VLOOKUP(A105,'Données projet'!$A$139:$I$159,5,0)*VLOOKUP('Données projet'!$B$13,Paramètres!$A$1:$I$89,7,0))</f>
        <v>0</v>
      </c>
      <c r="DD105" s="122" t="n">
        <f aca="false">IF(ISNA(VLOOKUP(A105,'Données projet'!$A$139:$I$159,6,0)),0%,VLOOKUP(A105,'Données projet'!$A$139:$I$159,6,0)*VLOOKUP('Données projet'!$B$13,Paramètres!$A$1:$I$89,7,0))</f>
        <v>0</v>
      </c>
      <c r="DE105" s="122" t="n">
        <f aca="false">IF(ISNA(VLOOKUP(A105,'Données projet'!$A$139:$I$159,7,0)),0%,VLOOKUP(A105,'Données projet'!$A$139:$I$159,7,0))</f>
        <v>0</v>
      </c>
      <c r="DF105" s="129" t="n">
        <f aca="false">EXP(-LN(2)/35)*DF104+(1-EXP(-LN(2)/35))/(LN(2)/35)*DB105*DC105*VLOOKUP('Données projet'!$B$13,Paramètres!$A$1:$I$89,3,0)*0.475*44/12</f>
        <v>1.5872821490659</v>
      </c>
      <c r="DG105" s="129" t="n">
        <f aca="false">EXP(-LN(2)/25)*DG104+(1-EXP(-LN(2)/25))/(LN(2)/25)*Calculateur!DB105*Calculateur!DD105*VLOOKUP('Données projet'!$B$13,Paramètres!$A$1:$I$89,3,0)*0.475*44/12</f>
        <v>5.28691805660633</v>
      </c>
      <c r="DH105" s="129" t="n">
        <f aca="false">EXP(-LN(2)/2)*DH104+(1-EXP(-LN(2)/2))/(LN(2)/2)*DB105*DE105*VLOOKUP('Données projet'!$B$13,Paramètres!$A$1:$I$89,3,0)*0.475*44/12</f>
        <v>1.93162885231153E-010</v>
      </c>
      <c r="DI105" s="130" t="n">
        <f aca="false">SUM(DF105:DH105)</f>
        <v>6.87420020586539</v>
      </c>
      <c r="DJ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8" t="e">
        <f aca="false">VLOOKUP(A105,'Données projet'!$A$165:$I$185,2,0)</f>
        <v>#N/A</v>
      </c>
      <c r="DM105" s="118" t="e">
        <f aca="false">VLOOKUP(A105,'Données projet'!$A$165:$I$185,9,0)</f>
        <v>#N/A</v>
      </c>
      <c r="DN105" s="118" t="e">
        <f aca="false" t="array" ref="DN105:DN105">INDEX(DM:DM,MIN(IF(ISNUMBER(DM105:DM301),ROW(DM105:DM301),"")))</f>
        <v>#N/A</v>
      </c>
      <c r="DO105" s="118" t="n">
        <f aca="false">IF('Données projet'!$A$166&gt;35,DO104+DN105-DW104,IF(A105&lt;'Données projet'!$A$166,$DL$205^A105,IF(A105='Données projet'!$A$166,'Données projet'!$B$166,DO104+DN105-DW104)))</f>
        <v>0</v>
      </c>
      <c r="DP105" s="125" t="n">
        <f aca="false">DO105*VLOOKUP('Données projet'!$B$14,Paramètres!$A$1:$I$89,3,0)*VLOOKUP('Données projet'!$B$14,Paramètres!$A$1:$I$89,5,0)</f>
        <v>0</v>
      </c>
      <c r="DQ105" s="117" t="e">
        <f aca="false">EXP(-1.0587+0.8836*LN(DP105)+0.284)</f>
        <v>#VALUE!</v>
      </c>
      <c r="DR105" s="128" t="e">
        <f aca="false">(DP105+DQ105)*0.475*44/12</f>
        <v>#VALUE!</v>
      </c>
      <c r="DS105" s="120" t="e">
        <f aca="false">DR105+(DJ105+DK105)*44/12</f>
        <v>#VALUE!</v>
      </c>
      <c r="DT105" s="120" t="n">
        <f aca="true">AVERAGE(OFFSET($DS$3,0,0,'Données projet'!$E$14+1,1))-AVERAGE(OFFSET($H$3,0,0,'Données projet'!$E$14+1,1))</f>
        <v>549.432320957297</v>
      </c>
      <c r="DU105" s="120" t="n">
        <f aca="false">$DU$3</f>
        <v>280.26155987301</v>
      </c>
      <c r="DV105" s="121" t="n">
        <f aca="false">IF(ISNA(VLOOKUP(A105,'Données projet'!$A$165:$I$185,3,0)),0,VLOOKUP(A105,'Données projet'!$A$165:$I$185,3,0))</f>
        <v>0</v>
      </c>
      <c r="DW105" s="121" t="n">
        <f aca="false">IF(ISNA(VLOOKUP(A105,'Données projet'!$A$165:$I$185,4,0)),0,VLOOKUP(A105,'Données projet'!$A$165:$I$185,4,0))</f>
        <v>0</v>
      </c>
      <c r="DX105" s="122" t="n">
        <f aca="false">IF(ISNA(VLOOKUP(A105,'Données projet'!$A$165:$I$185,5,0)),0%,VLOOKUP(A105,'Données projet'!$A$165:$I$185,5,0)*VLOOKUP('Données projet'!$B$14,Paramètres!$A$1:$I$89,7,0))</f>
        <v>0</v>
      </c>
      <c r="DY105" s="122" t="n">
        <f aca="false">IF(ISNA(VLOOKUP(A105,'Données projet'!$A$165:$I$185,6,0)),0%,VLOOKUP(A105,'Données projet'!$A$165:$I$185,6,0)*VLOOKUP('Données projet'!$B$14,Paramètres!$A$1:$I$89,7,0))</f>
        <v>0</v>
      </c>
      <c r="DZ105" s="122" t="n">
        <f aca="false">IF(ISNA(VLOOKUP(A105,'Données projet'!$A$165:$I$185,7,0)),0%,VLOOKUP(A105,'Données projet'!$A$165:$I$185,7,0))</f>
        <v>0</v>
      </c>
      <c r="EA105" s="129" t="n">
        <f aca="false">EXP(-LN(2)/35)*EA104+(1-EXP(-LN(2)/35))/(LN(2)/35)*DW105*DX105*VLOOKUP('Données projet'!$B$14,Paramètres!$A$1:$I$89,3,0)*0.475*44/12</f>
        <v>0.577134019511212</v>
      </c>
      <c r="EB105" s="129" t="n">
        <f aca="false">EXP(-LN(2)/25)*EB104+(1-EXP(-LN(2)/25))/(LN(2)/25)*Calculateur!DW105*Calculateur!DY105*VLOOKUP('Données projet'!$B$14,Paramètres!$A$1:$I$89,3,0)*0.475*44/12</f>
        <v>1.05325838593587</v>
      </c>
      <c r="EC105" s="129" t="n">
        <f aca="false">EXP(-LN(2)/2)*EC104+(1-EXP(-LN(2)/2))/(LN(2)/2)*DW105*DZ105*VLOOKUP('Données projet'!$B$14,Paramètres!$A$1:$I$89,3,0)*0.475*44/12</f>
        <v>8.90441083838156E-011</v>
      </c>
      <c r="ED105" s="130" t="n">
        <f aca="false">SUM(EA105:EC105)</f>
        <v>1.63039240553613</v>
      </c>
      <c r="EE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8" t="e">
        <f aca="false">VLOOKUP(A105,'Données projet'!$A$191:$I$211,2,0)</f>
        <v>#N/A</v>
      </c>
      <c r="EH105" s="118" t="e">
        <f aca="false">VLOOKUP(A105,'Données projet'!$A$191:$I$211,9,0)</f>
        <v>#N/A</v>
      </c>
      <c r="EI105" s="118" t="e">
        <f aca="false" t="array" ref="EI105:EI105">INDEX(EH:EH,MIN(IF(ISNUMBER(EH105:EH301),ROW(EH105:EH301),"")))</f>
        <v>#N/A</v>
      </c>
      <c r="EJ105" s="118" t="n">
        <f aca="false">IF('Données projet'!$A$192&gt;35,EJ104+EI105-ER104,IF(A105&lt;'Données projet'!$A$192,$EG$205^A105,IF(A105='Données projet'!$A$192,'Données projet'!$B$192,EJ104+EI105-ER104)))</f>
        <v>0</v>
      </c>
      <c r="EK105" s="125" t="e">
        <f aca="false">EJ105*VLOOKUP('Données projet'!$B$15,Paramètres!$A$1:$I$89,3,0)*VLOOKUP('Données projet'!$B$15,Paramètres!$A$1:$I$89,5,0)</f>
        <v>#N/A</v>
      </c>
      <c r="EL105" s="117" t="e">
        <f aca="false">EXP(-1.0587+0.8836*LN(EK105)+0.284)</f>
        <v>#N/A</v>
      </c>
      <c r="EM105" s="128" t="e">
        <f aca="false">(EK105+EL105)*0.475*44/12</f>
        <v>#N/A</v>
      </c>
      <c r="EN105" s="120" t="e">
        <f aca="false">EM105+(EE105+EF105)*44/12</f>
        <v>#N/A</v>
      </c>
      <c r="EO105" s="120" t="e">
        <f aca="true">AVERAGE(OFFSET($EN$3,0,0,'Données projet'!$E$15+1,1))-AVERAGE(OFFSET($H$3,0,0,'Données projet'!$E$15+1,1))</f>
        <v>#N/A</v>
      </c>
      <c r="EP105" s="120" t="e">
        <f aca="false">$EP$3</f>
        <v>#N/A</v>
      </c>
      <c r="EQ105" s="121" t="n">
        <f aca="false">IF(ISNA(VLOOKUP(A105,'Données projet'!$A$191:$I$211,3,0)),0,VLOOKUP(A105,'Données projet'!$A$191:$I$211,3,0))</f>
        <v>0</v>
      </c>
      <c r="ER105" s="121" t="n">
        <f aca="false">IF(ISNA(VLOOKUP(A105,'Données projet'!$A$191:$I$211,4,0)),0,VLOOKUP(A105,'Données projet'!$A$191:$I$211,4,0))</f>
        <v>0</v>
      </c>
      <c r="ES105" s="122" t="n">
        <f aca="false">IF(ISNA(VLOOKUP(A105,'Données projet'!$A$191:$I$211,5,0)),0%,VLOOKUP(A105,'Données projet'!$A$191:$I$211,5,0)*VLOOKUP('Données projet'!$B$15,Paramètres!$A$1:$I$89,7,0))</f>
        <v>0</v>
      </c>
      <c r="ET105" s="122" t="n">
        <f aca="false">IF(ISNA(VLOOKUP(A105,'Données projet'!$A$191:$I$211,6,0)),0%,VLOOKUP(A105,'Données projet'!$A$191:$I$211,6,0)*VLOOKUP('Données projet'!$B$15,Paramètres!$A$1:$I$89,7,0))</f>
        <v>0</v>
      </c>
      <c r="EU105" s="122" t="n">
        <f aca="false">IF(ISNA(VLOOKUP(A105,'Données projet'!$A$191:$I$211,7,0)),0%,VLOOKUP(A105,'Données projet'!$A$191:$I$211,7,0))</f>
        <v>0</v>
      </c>
      <c r="EV105" s="129" t="e">
        <f aca="false">EXP(-LN(2)/35)*EV104+(1-EXP(-LN(2)/35))/(LN(2)/35)*ER105*ES105*VLOOKUP('Données projet'!$B$15,Paramètres!$A$1:$I$89,3,0)*0.475*44/12</f>
        <v>#N/A</v>
      </c>
      <c r="EW105" s="129" t="e">
        <f aca="false">EXP(-LN(2)/25)*EW104+(1-EXP(-LN(2)/25))/(LN(2)/25)*Calculateur!ER105*Calculateur!ET105*VLOOKUP('Données projet'!$B$15,Paramètres!$A$1:$I$89,3,0)*0.475*44/12</f>
        <v>#N/A</v>
      </c>
      <c r="EX105" s="129" t="e">
        <f aca="false">EXP(-LN(2)/2)*EX104+(1-EXP(-LN(2)/2))/(LN(2)/2)*ER105*EU105*VLOOKUP('Données projet'!$B$15,Paramètres!$A$1:$I$89,3,0)*0.475*44/12</f>
        <v>#N/A</v>
      </c>
      <c r="EY105" s="130" t="e">
        <f aca="false">SUM(EV105:EX105)</f>
        <v>#N/A</v>
      </c>
      <c r="EZ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8" t="e">
        <f aca="false">VLOOKUP(A105,'Données projet'!$A$217:$I$237,2,0)</f>
        <v>#N/A</v>
      </c>
      <c r="FC105" s="118" t="e">
        <f aca="false">VLOOKUP(A105,'Données projet'!$A$217:$I$237,9,0)</f>
        <v>#N/A</v>
      </c>
      <c r="FD105" s="118" t="e">
        <f aca="false" t="array" ref="FD105:FD105">INDEX(FC:FC,MIN(IF(ISNUMBER(FC105:FC301),ROW(FC105:FC301),"")))</f>
        <v>#N/A</v>
      </c>
      <c r="FE105" s="118" t="n">
        <f aca="false">IF('Données projet'!$A$218&gt;35,FE104+FD105-FM104,IF(A105&lt;'Données projet'!$A$218,$FB$205^A105,IF(A105='Données projet'!$A$218,'Données projet'!$B$218,FE104+FD105-FM104)))</f>
        <v>0</v>
      </c>
      <c r="FF105" s="125" t="e">
        <f aca="false">FE105*VLOOKUP('Données projet'!$B$16,Paramètres!$A$1:$I$89,3,0)*VLOOKUP('Données projet'!$B$16,Paramètres!$A$1:$I$89,5,0)</f>
        <v>#N/A</v>
      </c>
      <c r="FG105" s="117" t="e">
        <f aca="false">EXP(-1.0587+0.8836*LN(FF105)+0.284)</f>
        <v>#N/A</v>
      </c>
      <c r="FH105" s="128" t="e">
        <f aca="false">(FF105+FG105)*0.475*44/12</f>
        <v>#N/A</v>
      </c>
      <c r="FI105" s="120" t="e">
        <f aca="false">FH105+(EZ105+FA105)*44/12</f>
        <v>#N/A</v>
      </c>
      <c r="FJ105" s="120" t="e">
        <f aca="true">AVERAGE(OFFSET($FI$3,0,0,'Données projet'!$E$16+1,1))-AVERAGE(OFFSET($H$3,0,0,'Données projet'!$E$16+1,1))</f>
        <v>#N/A</v>
      </c>
      <c r="FK105" s="120" t="e">
        <f aca="false">$FK$3</f>
        <v>#N/A</v>
      </c>
      <c r="FL105" s="121" t="n">
        <f aca="false">IF(ISNA(VLOOKUP(A105,'Données projet'!$A$217:$I$237,3,0)),0,VLOOKUP(A105,'Données projet'!$A$217:$I$237,3,0))</f>
        <v>0</v>
      </c>
      <c r="FM105" s="121" t="n">
        <f aca="false">IF(ISNA(VLOOKUP(A105,'Données projet'!$A$217:$I$237,4,0)),0,VLOOKUP(A105,'Données projet'!$A$217:$I$237,4,0))</f>
        <v>0</v>
      </c>
      <c r="FN105" s="122" t="n">
        <f aca="false">IF(ISNA(VLOOKUP(A105,'Données projet'!$A$217:$I$237,5,0)),0%,VLOOKUP(A105,'Données projet'!$A$217:$I$237,5,0)*VLOOKUP('Données projet'!$B$16,Paramètres!$A$1:$I$89,7,0))</f>
        <v>0</v>
      </c>
      <c r="FO105" s="122" t="n">
        <f aca="false">IF(ISNA(VLOOKUP(A105,'Données projet'!$A$217:$I$237,6,0)),0%,VLOOKUP(A105,'Données projet'!$A$217:$I$237,6,0)*VLOOKUP('Données projet'!$B$16,Paramètres!$A$1:$I$89,7,0))</f>
        <v>0</v>
      </c>
      <c r="FP105" s="122" t="n">
        <f aca="false">IF(ISNA(VLOOKUP(A105,'Données projet'!$A$217:$I$237,7,0)),0%,VLOOKUP(A105,'Données projet'!$A$217:$I$237,7,0))</f>
        <v>0</v>
      </c>
      <c r="FQ105" s="129" t="e">
        <f aca="false">EXP(-LN(2)/35)*FQ104+(1-EXP(-LN(2)/35))/(LN(2)/35)*FM105*FN105*VLOOKUP('Données projet'!$B$16,Paramètres!$A$1:$I$89,3,0)*0.475*44/12</f>
        <v>#N/A</v>
      </c>
      <c r="FR105" s="129" t="e">
        <f aca="false">EXP(-LN(2)/25)*FR104+(1-EXP(-LN(2)/25))/(LN(2)/25)*Calculateur!FM105*Calculateur!FO105*VLOOKUP('Données projet'!$B$16,Paramètres!$A$1:$I$89,3,0)*0.475*44/12</f>
        <v>#N/A</v>
      </c>
      <c r="FS105" s="129" t="e">
        <f aca="false">EXP(-LN(2)/2)*FS104+(1-EXP(-LN(2)/2))/(LN(2)/2)*FM105*FP105*VLOOKUP('Données projet'!$B$16,Paramètres!$A$1:$I$89,3,0)*0.475*44/12</f>
        <v>#N/A</v>
      </c>
      <c r="FT105" s="130" t="e">
        <f aca="false">SUM(FQ105:FS105)</f>
        <v>#N/A</v>
      </c>
      <c r="FU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8" t="e">
        <f aca="false">VLOOKUP(A105,'Données projet'!$A$243:$I$263,2,0)</f>
        <v>#N/A</v>
      </c>
      <c r="FX105" s="118" t="e">
        <f aca="false">VLOOKUP(A105,'Données projet'!$A$243:$I$263,9,0)</f>
        <v>#N/A</v>
      </c>
      <c r="FY105" s="118" t="e">
        <f aca="false" t="array" ref="FY105:FY105">INDEX(FX:FX,MIN(IF(ISNUMBER(FX105:FX301),ROW(FX105:FX301),"")))</f>
        <v>#N/A</v>
      </c>
      <c r="FZ105" s="118" t="n">
        <f aca="false">IF('Données projet'!$A$244&gt;35,FZ104+FY105-GH104,IF(A105&lt;'Données projet'!$A$244,$FW$205^A105,IF(A105='Données projet'!$A$244,'Données projet'!$B$244,FZ104+FY105-GH104)))</f>
        <v>0</v>
      </c>
      <c r="GA105" s="125" t="e">
        <f aca="false">FZ105*VLOOKUP('Données projet'!$B$17,Paramètres!$A$1:$I$89,3,0)*VLOOKUP('Données projet'!$B$17,Paramètres!$A$1:$I$89,5,0)</f>
        <v>#N/A</v>
      </c>
      <c r="GB105" s="117" t="e">
        <f aca="false">EXP(-1.0587+0.8836*LN(GA105)+0.284)</f>
        <v>#N/A</v>
      </c>
      <c r="GC105" s="128" t="e">
        <f aca="false">(GA105+GB105)*0.475*44/12</f>
        <v>#N/A</v>
      </c>
      <c r="GD105" s="120" t="e">
        <f aca="false">GC105+(FU105+FV105)*44/12</f>
        <v>#N/A</v>
      </c>
      <c r="GE105" s="120" t="e">
        <f aca="true">AVERAGE(OFFSET($GD$3,0,0,'Données projet'!$E$17+1,1))-AVERAGE(OFFSET($H$3,0,0,'Données projet'!$E$17+1,1))</f>
        <v>#N/A</v>
      </c>
      <c r="GF105" s="120" t="e">
        <f aca="false">$GF$3</f>
        <v>#N/A</v>
      </c>
      <c r="GG105" s="121" t="n">
        <f aca="false">IF(ISNA(VLOOKUP(A105,'Données projet'!$A$243:$I$263,3,0)),0,VLOOKUP(A105,'Données projet'!$A$243:$I$263,3,0))</f>
        <v>0</v>
      </c>
      <c r="GH105" s="121" t="n">
        <f aca="false">IF(ISNA(VLOOKUP(A105,'Données projet'!$A$243:$I$263,4,0)),0,VLOOKUP(A105,'Données projet'!$A$243:$I$263,4,0))</f>
        <v>0</v>
      </c>
      <c r="GI105" s="122" t="n">
        <f aca="false">IF(ISNA(VLOOKUP(A105,'Données projet'!$A$243:$I$263,5,0)),0%,VLOOKUP(A105,'Données projet'!$A$243:$I$263,5,0)*VLOOKUP('Données projet'!$B$17,Paramètres!$A$1:$I$89,7,0))</f>
        <v>0</v>
      </c>
      <c r="GJ105" s="122" t="n">
        <f aca="false">IF(ISNA(VLOOKUP(A105,'Données projet'!$A$243:$I$263,6,0)),0%,VLOOKUP(A105,'Données projet'!$A$243:$I$263,6,0)*VLOOKUP('Données projet'!$B$17,Paramètres!$A$1:$I$89,7,0))</f>
        <v>0</v>
      </c>
      <c r="GK105" s="122" t="n">
        <f aca="false">IF(ISNA(VLOOKUP(A105,'Données projet'!$A$243:$I$263,7,0)),0%,VLOOKUP(A105,'Données projet'!$A$243:$I$263,7,0))</f>
        <v>0</v>
      </c>
      <c r="GL105" s="129" t="e">
        <f aca="false">EXP(-LN(2)/35)*GL104+(1-EXP(-LN(2)/35))/(LN(2)/35)*GH105*GI105*VLOOKUP('Données projet'!$B$17,Paramètres!$A$1:$I$89,3,0)*0.475*44/12</f>
        <v>#N/A</v>
      </c>
      <c r="GM105" s="129" t="e">
        <f aca="false">EXP(-LN(2)/25)*GM104+(1-EXP(-LN(2)/25))/(LN(2)/25)*Calculateur!GH105*Calculateur!GJ105*VLOOKUP('Données projet'!$B$17,Paramètres!$A$1:$I$89,3,0)*0.475*44/12</f>
        <v>#N/A</v>
      </c>
      <c r="GN105" s="129" t="e">
        <f aca="false">EXP(-LN(2)/2)*GN104+(1-EXP(-LN(2)/2))/(LN(2)/2)*GH105*GK105*VLOOKUP('Données projet'!$B$17,Paramètres!$A$1:$I$89,3,0)*0.475*44/12</f>
        <v>#N/A</v>
      </c>
      <c r="GO105" s="129" t="e">
        <f aca="false">SUM(GL105:GN105)</f>
        <v>#N/A</v>
      </c>
      <c r="GP105" s="126" t="n">
        <f aca="false"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8" t="n">
        <f aca="false"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8" t="e">
        <f aca="false">VLOOKUP(A105,'Données projet'!$A$269:$I$289,2,0)</f>
        <v>#N/A</v>
      </c>
      <c r="GS105" s="118" t="e">
        <f aca="false">VLOOKUP(A105,'Données projet'!$A$269:$I$289,9,0)</f>
        <v>#N/A</v>
      </c>
      <c r="GT105" s="118" t="e">
        <f aca="false" t="array" ref="GT105:GT105">INDEX(GS:GS,MIN(IF(ISNUMBER(GS105:GS301),ROW(GS105:GS301),"")))</f>
        <v>#N/A</v>
      </c>
      <c r="GU105" s="118" t="n">
        <f aca="false">IF('Données projet'!$A$270&gt;35,GU104+GT105-HC104,IF(A105&lt;'Données projet'!$A$270,$GR$205^A105,IF(A105='Données projet'!$A$270,'Données projet'!$B$270,GU104+GT105-HC104)))</f>
        <v>0</v>
      </c>
      <c r="GV105" s="125" t="e">
        <f aca="false">GU105*VLOOKUP('Données projet'!$B$18,Paramètres!$A$1:$I$89,3,0)*VLOOKUP('Données projet'!$B$18,Paramètres!$A$1:$I$89,5,0)</f>
        <v>#N/A</v>
      </c>
      <c r="GW105" s="117" t="e">
        <f aca="false">EXP(-1.0587+0.8836*LN(GV105)+0.284)</f>
        <v>#N/A</v>
      </c>
      <c r="GX105" s="128" t="e">
        <f aca="false">(GV105+GW105)*0.475*44/12</f>
        <v>#N/A</v>
      </c>
      <c r="GY105" s="120" t="e">
        <f aca="false">GX105+(GP105+GQ105)*44/12</f>
        <v>#N/A</v>
      </c>
      <c r="GZ105" s="120" t="e">
        <f aca="true">AVERAGE(OFFSET($GY$3,0,0,'Données projet'!$E$18+1,1))-AVERAGE(OFFSET($H$3,0,0,'Données projet'!$E$18+1,1))</f>
        <v>#N/A</v>
      </c>
      <c r="HA105" s="120" t="e">
        <f aca="false">$HA$3</f>
        <v>#N/A</v>
      </c>
      <c r="HB105" s="121" t="n">
        <f aca="false">IF(ISNA(VLOOKUP(A105,'Données projet'!$A$269:$I$289,3,0)),0,VLOOKUP(A105,'Données projet'!$A$269:$I$289,3,0))</f>
        <v>0</v>
      </c>
      <c r="HC105" s="121" t="n">
        <f aca="false">IF(ISNA(VLOOKUP(A105,'Données projet'!$A$269:$I$289,4,0)),0,VLOOKUP(A105,'Données projet'!$A$269:$I$289,4,0))</f>
        <v>0</v>
      </c>
      <c r="HD105" s="122" t="n">
        <f aca="false">IF(ISNA(VLOOKUP(A105,'Données projet'!$A$269:$I$289,5,0)),0%,VLOOKUP(A105,'Données projet'!$A$269:$I$289,5,0)*VLOOKUP('Données projet'!$B$18,Paramètres!$A$1:$I$89,7,0))</f>
        <v>0</v>
      </c>
      <c r="HE105" s="122" t="n">
        <f aca="false">IF(ISNA(VLOOKUP(A105,'Données projet'!$A$269:$I$289,6,0)),0%,VLOOKUP(A105,'Données projet'!$A$269:$I$289,6,0)*VLOOKUP('Données projet'!$B$18,Paramètres!$A$1:$I$89,7,0))</f>
        <v>0</v>
      </c>
      <c r="HF105" s="122" t="n">
        <f aca="false">IF(ISNA(VLOOKUP(A105,'Données projet'!$A$269:$I$289,7,0)),0%,VLOOKUP(A105,'Données projet'!$A$269:$I$289,7,0))</f>
        <v>0</v>
      </c>
      <c r="HG105" s="129" t="e">
        <f aca="false">EXP(-LN(2)/35)*HG104+(1-EXP(-LN(2)/35))/(LN(2)/35)*HC105*HD105*VLOOKUP('Données projet'!$B$18,Paramètres!$A$1:$I$89,3,0)*0.475*44/12</f>
        <v>#N/A</v>
      </c>
      <c r="HH105" s="129" t="e">
        <f aca="false">EXP(-LN(2)/25)*HH104+(1-EXP(-LN(2)/25))/(LN(2)/25)*Calculateur!HC105*Calculateur!HE105*VLOOKUP('Données projet'!$B$18,Paramètres!$A$1:$I$89,3,0)*0.475*44/12</f>
        <v>#N/A</v>
      </c>
      <c r="HI105" s="129" t="e">
        <f aca="false">EXP(-LN(2)/2)*HI104+(1-EXP(-LN(2)/2))/(LN(2)/2)*HC105*HF105*VLOOKUP('Données projet'!$B$18,Paramètres!$A$1:$I$89,3,0)*0.475*44/12</f>
        <v>#N/A</v>
      </c>
      <c r="HJ105" s="130" t="e">
        <f aca="false">SUM(HG105:HI105)</f>
        <v>#N/A</v>
      </c>
    </row>
    <row r="106" customFormat="false" ht="14.25" hidden="false" customHeight="false" outlineLevel="0" collapsed="false">
      <c r="A106" s="112" t="n">
        <f aca="false">A105+1</f>
        <v>103</v>
      </c>
      <c r="B106" s="113" t="n">
        <f aca="false">'Scénario référence'!$B$16*5+'Scénario référence'!$B$17*0+'Scénario référence'!$B$18*5</f>
        <v>0</v>
      </c>
      <c r="C106" s="127" t="n">
        <f aca="false"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4" t="n">
        <f aca="false">IFERROR(EXP(-1.0587+0.8836*LN(C106)+0.284),0)</f>
        <v>0</v>
      </c>
      <c r="E10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6" s="114" t="n">
        <f aca="false">IF(OR('Scénario référence'!$F$8&gt;0,'Scénario référence'!$F$9&gt;0),('Scénario référence'!$F$8+'Scénario référence'!$F$9)*10,0)</f>
        <v>0</v>
      </c>
      <c r="G106" s="114" t="n">
        <f aca="false"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15" t="n">
        <f aca="false">(B106+E106+F106)*44/12+(C106+D106)*0.475*44/12</f>
        <v>256.666666666667</v>
      </c>
      <c r="I106" s="11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7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8" t="e">
        <f aca="false">VLOOKUP(A106,'Données projet'!$A$35:$I$55,2,0)</f>
        <v>#N/A</v>
      </c>
      <c r="L106" s="118" t="e">
        <f aca="false">VLOOKUP(A106,'Données projet'!$A$35:$I$55,9,0)</f>
        <v>#N/A</v>
      </c>
      <c r="M106" s="118" t="e">
        <f aca="false" t="array" ref="M106:M106">INDEX(L:L,MIN(IF(ISNUMBER(L106:L302),ROW(L106:L302),"")))</f>
        <v>#N/A</v>
      </c>
      <c r="N106" s="117" t="n">
        <f aca="false">IF('Données projet'!$A$36&gt;35,N105+M106-V105,IF(A106&lt;'Données projet'!$A$36,$K$205^A106,IF(A106='Données projet'!$A$36,'Données projet'!$B$36,N105+M106-V105)))</f>
        <v>-1.13686837721616E-013</v>
      </c>
      <c r="O106" s="117" t="n">
        <f aca="false">N106*VLOOKUP('Données projet'!$B$9,Paramètres!$A$1:$I$89,3,0)*VLOOKUP('Données projet'!$B$9,Paramètres!$A$1:$I$89,5,0)</f>
        <v>-5.32054400537163E-014</v>
      </c>
      <c r="P106" s="117" t="e">
        <f aca="false">EXP(-1.0587+0.8836*LN(O106)+0.284)</f>
        <v>#VALUE!</v>
      </c>
      <c r="Q106" s="128" t="e">
        <f aca="false">(O106+P106)*0.475*44/12</f>
        <v>#VALUE!</v>
      </c>
      <c r="R106" s="120" t="e">
        <f aca="false">Q106+(I106+J106)*44/12</f>
        <v>#VALUE!</v>
      </c>
      <c r="S106" s="120" t="n">
        <f aca="true">AVERAGE(OFFSET($R$3,0,0,'Données projet'!$E$9+1,1))-AVERAGE(OFFSET($H$3,0,0,'Données projet'!$E$9+1,1))</f>
        <v>319.229030946746</v>
      </c>
      <c r="T106" s="120" t="n">
        <f aca="false">$T$3</f>
        <v>254.586909731428</v>
      </c>
      <c r="U106" s="121" t="n">
        <f aca="false">IF(ISNA(VLOOKUP(A106,'Données projet'!$A$35:$I$55,3,0)),0,VLOOKUP(A106,'Données projet'!$A$35:$I$55,3,0))</f>
        <v>0</v>
      </c>
      <c r="V106" s="121" t="n">
        <f aca="false">IF(ISNA(VLOOKUP(A106,'Données projet'!$A$35:$I$55,4,0)),0,VLOOKUP(A106,'Données projet'!$A$35:$I$55,4,0))</f>
        <v>0</v>
      </c>
      <c r="W106" s="122" t="n">
        <f aca="false">IF(ISNA(VLOOKUP(A106,'Données projet'!$A$35:$I$55,5,0)),0%,VLOOKUP(A106,'Données projet'!$A$35:$I$55,5,0)*VLOOKUP('Données projet'!$B$9,Paramètres!$A$1:$I$89,7,0))</f>
        <v>0</v>
      </c>
      <c r="X106" s="122" t="n">
        <f aca="false">IF(ISNA(VLOOKUP(A106,'Données projet'!$A$35:$I$55,6,0)),0%,VLOOKUP(A106,'Données projet'!$A$35:$I$55,6,0)*VLOOKUP('Données projet'!$B$9,Paramètres!$A$1:$I$89,7,0))</f>
        <v>0</v>
      </c>
      <c r="Y106" s="122" t="n">
        <f aca="false">IF(ISNA(VLOOKUP(A106,'Données projet'!$A$35:$I$55,7,0)),0%,VLOOKUP(A106,'Données projet'!$A$35:$I$55,7,0))</f>
        <v>0</v>
      </c>
      <c r="Z106" s="129" t="n">
        <f aca="false">EXP(-LN(2)/35)*Z105+(1-EXP(-LN(2)/35))/(LN(2)/35)*V106*W106*VLOOKUP('Données projet'!$B$9,Paramètres!$A$1:$I$89,3,0)*0.475*44/12</f>
        <v>2.13815862966166</v>
      </c>
      <c r="AA106" s="129" t="n">
        <f aca="false">EXP(-LN(2)/25)*AA105+(1-EXP(-LN(2)/25))/(LN(2)/25)*Calculateur!V106*Calculateur!X106*VLOOKUP('Données projet'!$B$9,Paramètres!$A$1:$I$89,3,0)*0.475*44/12</f>
        <v>1.47339333063976</v>
      </c>
      <c r="AB106" s="129" t="n">
        <f aca="false">EXP(-LN(2)/2)*AB105+(1-EXP(-LN(2)/2))/(LN(2)/2)*V106*Y106*VLOOKUP('Données projet'!$B$9,Paramètres!$A$1:$I$89,3,0)*0.475*44/12</f>
        <v>1.13631120612319E-010</v>
      </c>
      <c r="AC106" s="130" t="n">
        <f aca="false">SUM(Z106:AB106)</f>
        <v>3.61155196041506</v>
      </c>
      <c r="AD106" s="117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7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8" t="e">
        <f aca="false">VLOOKUP(A106,'Données projet'!$A$61:$I$81,2,0)</f>
        <v>#N/A</v>
      </c>
      <c r="AG106" s="118" t="e">
        <f aca="false">VLOOKUP(A106,'Données projet'!$A$61:$I$81,9,0)</f>
        <v>#N/A</v>
      </c>
      <c r="AH106" s="118" t="e">
        <f aca="false" t="array" ref="AH106:AH106">INDEX(AG:AG,MIN(IF(ISNUMBER(AG106:AG302),ROW(AG106:AG302),"")))</f>
        <v>#N/A</v>
      </c>
      <c r="AI106" s="117" t="n">
        <f aca="false">IF('Données projet'!$A$62&gt;35,AI105+AH106-AQ105,IF(A106&lt;'Données projet'!$A$62,$AF$205^A106,IF(A106='Données projet'!$A$62,'Données projet'!$B$62,AI105+AH106-AQ105)))</f>
        <v>1.13686837721616E-013</v>
      </c>
      <c r="AJ106" s="117" t="n">
        <f aca="false">AI106*VLOOKUP('Données projet'!$B$10,Paramètres!$A$1:$I$89,3,0)*VLOOKUP('Données projet'!$B$10,Paramètres!$A$1:$I$89,5,0)</f>
        <v>6.35509422863834E-014</v>
      </c>
      <c r="AK106" s="117" t="n">
        <f aca="false">EXP(-1.0587+0.8836*LN(AJ106)+0.284)</f>
        <v>1.0064464192544E-012</v>
      </c>
      <c r="AL106" s="128" t="n">
        <f aca="false">(AJ106+AK106)*0.475*44/12</f>
        <v>1.86357873801686E-012</v>
      </c>
      <c r="AM106" s="120" t="n">
        <f aca="false">AL106+(AD106+AE106)*44/12</f>
        <v>293.333333333335</v>
      </c>
      <c r="AN106" s="120" t="n">
        <f aca="true">AVERAGE(OFFSET($AM$3,0,0,'Données projet'!$E$10+1,1))-AVERAGE(OFFSET($H$3,0,0,'Données projet'!$E$10+1,1))</f>
        <v>365.705101827279</v>
      </c>
      <c r="AO106" s="120" t="n">
        <f aca="false">$AO$3</f>
        <v>436.238338449625</v>
      </c>
      <c r="AP106" s="121" t="n">
        <f aca="false">IF(ISNA(VLOOKUP(A106,'Données projet'!$A$61:$I$81,3,0)),0,VLOOKUP(A106,'Données projet'!$A$61:$I$81,3,0))</f>
        <v>0</v>
      </c>
      <c r="AQ106" s="121" t="n">
        <f aca="false">IF(ISNA(VLOOKUP(A106,'Données projet'!$A$61:$I$81,4,0)),0,VLOOKUP(A106,'Données projet'!$A$61:$I$81,4,0))</f>
        <v>0</v>
      </c>
      <c r="AR106" s="122" t="n">
        <f aca="false">IF(ISNA(VLOOKUP(A106,'Données projet'!$A$61:$I$81,5,0)),0%,VLOOKUP(A106,'Données projet'!$A$61:$I$81,5,0)*VLOOKUP('Données projet'!$B$10,Paramètres!$A$1:$I$89,7,0))</f>
        <v>0</v>
      </c>
      <c r="AS106" s="122" t="n">
        <f aca="false">IF(ISNA(VLOOKUP(A106,'Données projet'!$A$61:$I$81,6,0)),0%,VLOOKUP(A106,'Données projet'!$A$61:$I$81,6,0)*VLOOKUP('Données projet'!$B$10,Paramètres!$A$1:$I$89,7,0))</f>
        <v>0</v>
      </c>
      <c r="AT106" s="122" t="n">
        <f aca="false">IF(ISNA(VLOOKUP(A106,'Données projet'!$A$61:$I$81,7,0)),0%,VLOOKUP(A106,'Données projet'!$A$61:$I$81,7,0))</f>
        <v>0</v>
      </c>
      <c r="AU106" s="129" t="n">
        <f aca="false">EXP(-LN(2)/35)*AU105+(1-EXP(-LN(2)/35))/(LN(2)/35)*AQ106*AR106*VLOOKUP('Données projet'!$B$10,Paramètres!$A$1:$I$89,3,0)*0.475*44/12</f>
        <v>0.807085560580422</v>
      </c>
      <c r="AV106" s="129" t="n">
        <f aca="false">EXP(-LN(2)/25)*AV105+(1-EXP(-LN(2)/25))/(LN(2)/25)*Calculateur!AQ106*Calculateur!AS106*VLOOKUP('Données projet'!$B$10,Paramètres!$A$1:$I$89,3,0)*0.475*44/12</f>
        <v>1.74515473394677</v>
      </c>
      <c r="AW106" s="129" t="n">
        <f aca="false">EXP(-LN(2)/2)*AW105+(1-EXP(-LN(2)/2))/(LN(2)/2)*AQ106*AT106*VLOOKUP('Données projet'!$B$10,Paramètres!$A$1:$I$89,3,0)*0.475*44/12</f>
        <v>6.11527176004196E-011</v>
      </c>
      <c r="AX106" s="129" t="n">
        <f aca="false">SUM(AU106:AW106)</f>
        <v>2.55224029458834</v>
      </c>
      <c r="AY106" s="124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8" t="e">
        <f aca="false">VLOOKUP(A106,'Données projet'!$A$87:$I$107,2,0)</f>
        <v>#N/A</v>
      </c>
      <c r="BB106" s="118" t="e">
        <f aca="false">VLOOKUP(A106,'Données projet'!$A$87:$I$107,9,0)</f>
        <v>#N/A</v>
      </c>
      <c r="BC106" s="118" t="e">
        <f aca="false" t="array" ref="BC106:BC106">INDEX(BB:BB,MIN(IF(ISNUMBER(BB106:BB302),ROW(BB106:BB302),"")))</f>
        <v>#N/A</v>
      </c>
      <c r="BD106" s="118" t="n">
        <f aca="false">IF('Données projet'!$A$88&gt;35,BD105+BC106-BL105,IF(A106&lt;'Données projet'!$A$88,$BA$205^A106,IF(A106='Données projet'!$A$88,'Données projet'!$B$88,BD105+BC106-BL105)))</f>
        <v>1.98951966012828E-013</v>
      </c>
      <c r="BE106" s="117" t="n">
        <f aca="false">BD106*VLOOKUP('Données projet'!$B$11,Paramètres!$A$1:$I$89,3,0)*VLOOKUP('Données projet'!$B$11,Paramètres!$A$1:$I$89,5,0)</f>
        <v>1.73804437508807E-013</v>
      </c>
      <c r="BF106" s="117" t="n">
        <f aca="false">EXP(-1.0587+0.8836*LN(BE106)+0.284)</f>
        <v>2.44832936339505E-012</v>
      </c>
      <c r="BG106" s="128" t="n">
        <f aca="false">(BE106+BF106)*0.475*44/12</f>
        <v>4.56688303657421E-012</v>
      </c>
      <c r="BH106" s="120" t="n">
        <f aca="false">BG106+(AY106+AZ106)*44/12</f>
        <v>293.333333333338</v>
      </c>
      <c r="BI106" s="120" t="n">
        <f aca="true">AVERAGE(OFFSET($BH$3,0,0,'Données projet'!$E$11+1,1))-AVERAGE(OFFSET($H$3,0,0,'Données projet'!$E$11+1,1))</f>
        <v>321.235999689929</v>
      </c>
      <c r="BJ106" s="120" t="n">
        <f aca="false">$BJ$3</f>
        <v>388.051958478005</v>
      </c>
      <c r="BK106" s="121" t="n">
        <f aca="false">IF(ISNA(VLOOKUP(A106,'Données projet'!$A$87:$I$107,3,0)),0,VLOOKUP(A106,'Données projet'!$A$87:$I$107,3,0))</f>
        <v>0</v>
      </c>
      <c r="BL106" s="121" t="n">
        <f aca="false">IF(ISNA(VLOOKUP(A106,'Données projet'!$A$87:$I$107,4,0)),0,VLOOKUP(A106,'Données projet'!$A$87:$I$107,4,0))</f>
        <v>0</v>
      </c>
      <c r="BM106" s="122" t="n">
        <f aca="false">IF(ISNA(VLOOKUP(A106,'Données projet'!$A$87:$I$107,5,0)),0%,VLOOKUP(A106,'Données projet'!$A$87:$I$107,5,0)*VLOOKUP('Données projet'!$B$11,Paramètres!$A$1:$I$89,7,0))</f>
        <v>0</v>
      </c>
      <c r="BN106" s="122" t="n">
        <f aca="false">IF(ISNA(VLOOKUP(A106,'Données projet'!$A$87:$I$107,6,0)),0%,VLOOKUP(A106,'Données projet'!$A$87:$I$107,6,0)*VLOOKUP('Données projet'!$B$11,Paramètres!$A$1:$I$89,7,0))</f>
        <v>0</v>
      </c>
      <c r="BO106" s="122" t="n">
        <f aca="false">IF(ISNA(VLOOKUP(A106,'Données projet'!$A$87:$I$107,7,0)),0%,VLOOKUP(A106,'Données projet'!$A$87:$I$107,7,0))</f>
        <v>0</v>
      </c>
      <c r="BP106" s="129" t="n">
        <f aca="false">EXP(-LN(2)/35)*BP105+(1-EXP(-LN(2)/35))/(LN(2)/35)*BL106*BM106*VLOOKUP('Données projet'!$B$11,Paramètres!$A$1:$I$89,3,0)*0.475*44/12</f>
        <v>2.02628624124438</v>
      </c>
      <c r="BQ106" s="129" t="n">
        <f aca="false">EXP(-LN(2)/25)*BQ105+(1-EXP(-LN(2)/25))/(LN(2)/25)*Calculateur!BL106*Calculateur!BN106*VLOOKUP('Données projet'!$B$11,Paramètres!$A$1:$I$89,3,0)*0.475*44/12</f>
        <v>1.7813502966304</v>
      </c>
      <c r="BR106" s="129" t="n">
        <f aca="false">EXP(-LN(2)/2)*BR105+(1-EXP(-LN(2)/2))/(LN(2)/2)*BL106*BO106*VLOOKUP('Données projet'!$B$11,Paramètres!$A$1:$I$89,3,0)*0.475*44/12</f>
        <v>6.21604663604597E-011</v>
      </c>
      <c r="BS106" s="130" t="n">
        <f aca="false">SUM(BP106:BR106)</f>
        <v>3.80763653793694</v>
      </c>
      <c r="BT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8" t="e">
        <f aca="false">VLOOKUP(A106,'Données projet'!$A$113:$I$133,2,0)</f>
        <v>#N/A</v>
      </c>
      <c r="BW106" s="118" t="e">
        <f aca="false">VLOOKUP(A106,'Données projet'!$A$113:$I$133,9,0)</f>
        <v>#N/A</v>
      </c>
      <c r="BX106" s="118" t="e">
        <f aca="false" t="array" ref="BX106:BX106">INDEX(BW:BW,MIN(IF(ISNUMBER(BW106:BW302),ROW(BW106:BW302),"")))</f>
        <v>#N/A</v>
      </c>
      <c r="BY106" s="118" t="n">
        <f aca="false">IF('Données projet'!$A$114&gt;35,BY105+BX106-CG105,IF(A106&lt;'Données projet'!$A$114,$BV$205^A106,IF(A106='Données projet'!$A$114,'Données projet'!$B$114,BY105+BX106-CG105)))</f>
        <v>0</v>
      </c>
      <c r="BZ106" s="117" t="n">
        <f aca="false">BY106*VLOOKUP('Données projet'!$B$12,Paramètres!$A$1:$I$89,3,0)*VLOOKUP('Données projet'!$B$12,Paramètres!$A$1:$I$89,5,0)</f>
        <v>0</v>
      </c>
      <c r="CA106" s="117" t="e">
        <f aca="false">EXP(-1.0587+0.8836*LN(BZ106)+0.284)</f>
        <v>#VALUE!</v>
      </c>
      <c r="CB106" s="128" t="e">
        <f aca="false">(BZ106+CA106)*0.475*44/12</f>
        <v>#VALUE!</v>
      </c>
      <c r="CC106" s="120" t="e">
        <f aca="false">CB106+(BT106+BU106)*44/12</f>
        <v>#VALUE!</v>
      </c>
      <c r="CD106" s="120" t="n">
        <f aca="true">AVERAGE(OFFSET($CC$3,0,0,'Données projet'!$E$12+1,1))-AVERAGE(OFFSET($H$3,0,0,'Données projet'!$E$12+1,1))</f>
        <v>240.228848647662</v>
      </c>
      <c r="CE106" s="120" t="n">
        <f aca="false">$CE$3</f>
        <v>343.237768841432</v>
      </c>
      <c r="CF106" s="121" t="n">
        <f aca="false">IF(ISNA(VLOOKUP(A106,'Données projet'!$A$113:$I$133,3,0)),0,VLOOKUP(A106,'Données projet'!$A$113:$I$133,3,0))</f>
        <v>0</v>
      </c>
      <c r="CG106" s="121" t="n">
        <f aca="false">IF(ISNA(VLOOKUP(A106,'Données projet'!$A$113:$I$133,4,0)),0,VLOOKUP(A106,'Données projet'!$A$113:$I$133,4,0))</f>
        <v>0</v>
      </c>
      <c r="CH106" s="122" t="n">
        <f aca="false">IF(ISNA(VLOOKUP(A106,'Données projet'!$A$113:$I$133,5,0)),0%,VLOOKUP(A106,'Données projet'!$A$113:$I$133,5,0)*VLOOKUP('Données projet'!$B$12,Paramètres!$A$1:$I$89,7,0))</f>
        <v>0</v>
      </c>
      <c r="CI106" s="122" t="n">
        <f aca="false">IF(ISNA(VLOOKUP(A106,'Données projet'!$A$113:$I$133,6,0)),0%,VLOOKUP(A106,'Données projet'!$A$113:$I$133,6,0)*VLOOKUP('Données projet'!$B$12,Paramètres!$A$1:$I$89,7,0))</f>
        <v>0</v>
      </c>
      <c r="CJ106" s="122" t="n">
        <f aca="false">IF(ISNA(VLOOKUP(A106,'Données projet'!$A$113:$I$133,7,0)),0%,VLOOKUP(A106,'Données projet'!$A$113:$I$133,7,0))</f>
        <v>0</v>
      </c>
      <c r="CK106" s="129" t="n">
        <f aca="false">EXP(-LN(2)/35)*CK105+(1-EXP(-LN(2)/35))/(LN(2)/35)*CG106*CH106*VLOOKUP('Données projet'!$B$12,Paramètres!$A$1:$I$89,3,0)*0.475*44/12</f>
        <v>1.24024504144766</v>
      </c>
      <c r="CL106" s="129" t="n">
        <f aca="false">EXP(-LN(2)/25)*CL105+(1-EXP(-LN(2)/25))/(LN(2)/25)*Calculateur!CG106*Calculateur!CI106*VLOOKUP('Données projet'!$B$12,Paramètres!$A$1:$I$89,3,0)*0.475*44/12</f>
        <v>3.14596774601609</v>
      </c>
      <c r="CM106" s="129" t="n">
        <f aca="false">EXP(-LN(2)/2)*CM105+(1-EXP(-LN(2)/2))/(LN(2)/2)*CG106*CJ106*VLOOKUP('Données projet'!$B$12,Paramètres!$A$1:$I$89,3,0)*0.475*44/12</f>
        <v>9.91915323404605E-011</v>
      </c>
      <c r="CN106" s="130" t="n">
        <f aca="false">SUM(CK106:CM106)</f>
        <v>4.38621278756294</v>
      </c>
      <c r="CO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8" t="e">
        <f aca="false">VLOOKUP(A106,'Données projet'!$A$139:$I$159,2,0)</f>
        <v>#N/A</v>
      </c>
      <c r="CR106" s="118" t="e">
        <f aca="false">VLOOKUP(A106,'Données projet'!$A$139:$I$159,9,0)</f>
        <v>#N/A</v>
      </c>
      <c r="CS106" s="118" t="e">
        <f aca="false" t="array" ref="CS106:CS106">INDEX(CR:CR,MIN(IF(ISNUMBER(CR106:CR302),ROW(CR106:CR302),"")))</f>
        <v>#N/A</v>
      </c>
      <c r="CT106" s="118" t="n">
        <f aca="false">IF('Données projet'!$A$140&gt;35,CT105+CS106-DB105,IF(A106&lt;'Données projet'!$A$140,$CQ$205^A106,IF(A106='Données projet'!$A$140,'Données projet'!$B$140,CT105+CS106-DB105)))</f>
        <v>-5.6843418860808E-014</v>
      </c>
      <c r="CU106" s="125" t="n">
        <f aca="false">CT106*VLOOKUP('Données projet'!$B$13,Paramètres!$A$1:$I$89,3,0)*VLOOKUP('Données projet'!$B$13,Paramètres!$A$1:$I$89,5,0)</f>
        <v>-3.10365066980012E-014</v>
      </c>
      <c r="CV106" s="117" t="e">
        <f aca="false">EXP(-1.0587+0.8836*LN(CU106)+0.284)</f>
        <v>#VALUE!</v>
      </c>
      <c r="CW106" s="128" t="e">
        <f aca="false">(CU106+CV106)*0.475*44/12</f>
        <v>#VALUE!</v>
      </c>
      <c r="CX106" s="120" t="e">
        <f aca="false">CW106+(CO106+CP106)*44/12</f>
        <v>#VALUE!</v>
      </c>
      <c r="CY106" s="120" t="n">
        <f aca="true">AVERAGE(OFFSET($CX$3,0,0,'Données projet'!$E$13+1,1))-AVERAGE(OFFSET($H$3,0,0,'Données projet'!$E$13+1,1))</f>
        <v>207.023069645676</v>
      </c>
      <c r="CZ106" s="120" t="n">
        <f aca="false">$CZ$3</f>
        <v>342.068879333518</v>
      </c>
      <c r="DA106" s="121" t="n">
        <f aca="false">IF(ISNA(VLOOKUP(A106,'Données projet'!$A$139:$I$159,3,0)),0,VLOOKUP(A106,'Données projet'!$A$139:$I$159,3,0))</f>
        <v>0</v>
      </c>
      <c r="DB106" s="121" t="n">
        <f aca="false">IF(ISNA(VLOOKUP(A106,'Données projet'!$A$139:$I$159,4,0)),0,VLOOKUP(A106,'Données projet'!$A$139:$I$159,4,0))</f>
        <v>0</v>
      </c>
      <c r="DC106" s="122" t="n">
        <f aca="false">IF(ISNA(VLOOKUP(A106,'Données projet'!$A$139:$I$159,5,0)),0%,VLOOKUP(A106,'Données projet'!$A$139:$I$159,5,0)*VLOOKUP('Données projet'!$B$13,Paramètres!$A$1:$I$89,7,0))</f>
        <v>0</v>
      </c>
      <c r="DD106" s="122" t="n">
        <f aca="false">IF(ISNA(VLOOKUP(A106,'Données projet'!$A$139:$I$159,6,0)),0%,VLOOKUP(A106,'Données projet'!$A$139:$I$159,6,0)*VLOOKUP('Données projet'!$B$13,Paramètres!$A$1:$I$89,7,0))</f>
        <v>0</v>
      </c>
      <c r="DE106" s="122" t="n">
        <f aca="false">IF(ISNA(VLOOKUP(A106,'Données projet'!$A$139:$I$159,7,0)),0%,VLOOKUP(A106,'Données projet'!$A$139:$I$159,7,0))</f>
        <v>0</v>
      </c>
      <c r="DF106" s="129" t="n">
        <f aca="false">EXP(-LN(2)/35)*DF105+(1-EXP(-LN(2)/35))/(LN(2)/35)*DB106*DC106*VLOOKUP('Données projet'!$B$13,Paramètres!$A$1:$I$89,3,0)*0.475*44/12</f>
        <v>1.55615651426923</v>
      </c>
      <c r="DG106" s="129" t="n">
        <f aca="false">EXP(-LN(2)/25)*DG105+(1-EXP(-LN(2)/25))/(LN(2)/25)*Calculateur!DB106*Calculateur!DD106*VLOOKUP('Données projet'!$B$13,Paramètres!$A$1:$I$89,3,0)*0.475*44/12</f>
        <v>5.14234700432149</v>
      </c>
      <c r="DH106" s="129" t="n">
        <f aca="false">EXP(-LN(2)/2)*DH105+(1-EXP(-LN(2)/2))/(LN(2)/2)*DB106*DE106*VLOOKUP('Données projet'!$B$13,Paramètres!$A$1:$I$89,3,0)*0.475*44/12</f>
        <v>1.36586786020507E-010</v>
      </c>
      <c r="DI106" s="130" t="n">
        <f aca="false">SUM(DF106:DH106)</f>
        <v>6.69850351872731</v>
      </c>
      <c r="DJ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8" t="e">
        <f aca="false">VLOOKUP(A106,'Données projet'!$A$165:$I$185,2,0)</f>
        <v>#N/A</v>
      </c>
      <c r="DM106" s="118" t="e">
        <f aca="false">VLOOKUP(A106,'Données projet'!$A$165:$I$185,9,0)</f>
        <v>#N/A</v>
      </c>
      <c r="DN106" s="118" t="e">
        <f aca="false" t="array" ref="DN106:DN106">INDEX(DM:DM,MIN(IF(ISNUMBER(DM106:DM302),ROW(DM106:DM302),"")))</f>
        <v>#N/A</v>
      </c>
      <c r="DO106" s="118" t="n">
        <f aca="false">IF('Données projet'!$A$166&gt;35,DO105+DN106-DW105,IF(A106&lt;'Données projet'!$A$166,$DL$205^A106,IF(A106='Données projet'!$A$166,'Données projet'!$B$166,DO105+DN106-DW105)))</f>
        <v>0</v>
      </c>
      <c r="DP106" s="125" t="n">
        <f aca="false">DO106*VLOOKUP('Données projet'!$B$14,Paramètres!$A$1:$I$89,3,0)*VLOOKUP('Données projet'!$B$14,Paramètres!$A$1:$I$89,5,0)</f>
        <v>0</v>
      </c>
      <c r="DQ106" s="117" t="e">
        <f aca="false">EXP(-1.0587+0.8836*LN(DP106)+0.284)</f>
        <v>#VALUE!</v>
      </c>
      <c r="DR106" s="128" t="e">
        <f aca="false">(DP106+DQ106)*0.475*44/12</f>
        <v>#VALUE!</v>
      </c>
      <c r="DS106" s="120" t="e">
        <f aca="false">DR106+(DJ106+DK106)*44/12</f>
        <v>#VALUE!</v>
      </c>
      <c r="DT106" s="120" t="n">
        <f aca="true">AVERAGE(OFFSET($DS$3,0,0,'Données projet'!$E$14+1,1))-AVERAGE(OFFSET($H$3,0,0,'Données projet'!$E$14+1,1))</f>
        <v>549.432320957297</v>
      </c>
      <c r="DU106" s="120" t="n">
        <f aca="false">$DU$3</f>
        <v>280.26155987301</v>
      </c>
      <c r="DV106" s="121" t="n">
        <f aca="false">IF(ISNA(VLOOKUP(A106,'Données projet'!$A$165:$I$185,3,0)),0,VLOOKUP(A106,'Données projet'!$A$165:$I$185,3,0))</f>
        <v>0</v>
      </c>
      <c r="DW106" s="121" t="n">
        <f aca="false">IF(ISNA(VLOOKUP(A106,'Données projet'!$A$165:$I$185,4,0)),0,VLOOKUP(A106,'Données projet'!$A$165:$I$185,4,0))</f>
        <v>0</v>
      </c>
      <c r="DX106" s="122" t="n">
        <f aca="false">IF(ISNA(VLOOKUP(A106,'Données projet'!$A$165:$I$185,5,0)),0%,VLOOKUP(A106,'Données projet'!$A$165:$I$185,5,0)*VLOOKUP('Données projet'!$B$14,Paramètres!$A$1:$I$89,7,0))</f>
        <v>0</v>
      </c>
      <c r="DY106" s="122" t="n">
        <f aca="false">IF(ISNA(VLOOKUP(A106,'Données projet'!$A$165:$I$185,6,0)),0%,VLOOKUP(A106,'Données projet'!$A$165:$I$185,6,0)*VLOOKUP('Données projet'!$B$14,Paramètres!$A$1:$I$89,7,0))</f>
        <v>0</v>
      </c>
      <c r="DZ106" s="122" t="n">
        <f aca="false">IF(ISNA(VLOOKUP(A106,'Données projet'!$A$165:$I$185,7,0)),0%,VLOOKUP(A106,'Données projet'!$A$165:$I$185,7,0))</f>
        <v>0</v>
      </c>
      <c r="EA106" s="129" t="n">
        <f aca="false">EXP(-LN(2)/35)*EA105+(1-EXP(-LN(2)/35))/(LN(2)/35)*DW106*DX106*VLOOKUP('Données projet'!$B$14,Paramètres!$A$1:$I$89,3,0)*0.475*44/12</f>
        <v>0.56581677340559</v>
      </c>
      <c r="EB106" s="129" t="n">
        <f aca="false">EXP(-LN(2)/25)*EB105+(1-EXP(-LN(2)/25))/(LN(2)/25)*Calculateur!DW106*Calculateur!DY106*VLOOKUP('Données projet'!$B$14,Paramètres!$A$1:$I$89,3,0)*0.475*44/12</f>
        <v>1.024456979984</v>
      </c>
      <c r="EC106" s="129" t="n">
        <f aca="false">EXP(-LN(2)/2)*EC105+(1-EXP(-LN(2)/2))/(LN(2)/2)*DW106*DZ106*VLOOKUP('Données projet'!$B$14,Paramètres!$A$1:$I$89,3,0)*0.475*44/12</f>
        <v>6.29636928629059E-011</v>
      </c>
      <c r="ED106" s="130" t="n">
        <f aca="false">SUM(EA106:EC106)</f>
        <v>1.59027375345256</v>
      </c>
      <c r="EE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8" t="e">
        <f aca="false">VLOOKUP(A106,'Données projet'!$A$191:$I$211,2,0)</f>
        <v>#N/A</v>
      </c>
      <c r="EH106" s="118" t="e">
        <f aca="false">VLOOKUP(A106,'Données projet'!$A$191:$I$211,9,0)</f>
        <v>#N/A</v>
      </c>
      <c r="EI106" s="118" t="e">
        <f aca="false" t="array" ref="EI106:EI106">INDEX(EH:EH,MIN(IF(ISNUMBER(EH106:EH302),ROW(EH106:EH302),"")))</f>
        <v>#N/A</v>
      </c>
      <c r="EJ106" s="118" t="n">
        <f aca="false">IF('Données projet'!$A$192&gt;35,EJ105+EI106-ER105,IF(A106&lt;'Données projet'!$A$192,$EG$205^A106,IF(A106='Données projet'!$A$192,'Données projet'!$B$192,EJ105+EI106-ER105)))</f>
        <v>0</v>
      </c>
      <c r="EK106" s="125" t="e">
        <f aca="false">EJ106*VLOOKUP('Données projet'!$B$15,Paramètres!$A$1:$I$89,3,0)*VLOOKUP('Données projet'!$B$15,Paramètres!$A$1:$I$89,5,0)</f>
        <v>#N/A</v>
      </c>
      <c r="EL106" s="117" t="e">
        <f aca="false">EXP(-1.0587+0.8836*LN(EK106)+0.284)</f>
        <v>#N/A</v>
      </c>
      <c r="EM106" s="128" t="e">
        <f aca="false">(EK106+EL106)*0.475*44/12</f>
        <v>#N/A</v>
      </c>
      <c r="EN106" s="120" t="e">
        <f aca="false">EM106+(EE106+EF106)*44/12</f>
        <v>#N/A</v>
      </c>
      <c r="EO106" s="120" t="e">
        <f aca="true">AVERAGE(OFFSET($EN$3,0,0,'Données projet'!$E$15+1,1))-AVERAGE(OFFSET($H$3,0,0,'Données projet'!$E$15+1,1))</f>
        <v>#N/A</v>
      </c>
      <c r="EP106" s="120" t="e">
        <f aca="false">$EP$3</f>
        <v>#N/A</v>
      </c>
      <c r="EQ106" s="121" t="n">
        <f aca="false">IF(ISNA(VLOOKUP(A106,'Données projet'!$A$191:$I$211,3,0)),0,VLOOKUP(A106,'Données projet'!$A$191:$I$211,3,0))</f>
        <v>0</v>
      </c>
      <c r="ER106" s="121" t="n">
        <f aca="false">IF(ISNA(VLOOKUP(A106,'Données projet'!$A$191:$I$211,4,0)),0,VLOOKUP(A106,'Données projet'!$A$191:$I$211,4,0))</f>
        <v>0</v>
      </c>
      <c r="ES106" s="122" t="n">
        <f aca="false">IF(ISNA(VLOOKUP(A106,'Données projet'!$A$191:$I$211,5,0)),0%,VLOOKUP(A106,'Données projet'!$A$191:$I$211,5,0)*VLOOKUP('Données projet'!$B$15,Paramètres!$A$1:$I$89,7,0))</f>
        <v>0</v>
      </c>
      <c r="ET106" s="122" t="n">
        <f aca="false">IF(ISNA(VLOOKUP(A106,'Données projet'!$A$191:$I$211,6,0)),0%,VLOOKUP(A106,'Données projet'!$A$191:$I$211,6,0)*VLOOKUP('Données projet'!$B$15,Paramètres!$A$1:$I$89,7,0))</f>
        <v>0</v>
      </c>
      <c r="EU106" s="122" t="n">
        <f aca="false">IF(ISNA(VLOOKUP(A106,'Données projet'!$A$191:$I$211,7,0)),0%,VLOOKUP(A106,'Données projet'!$A$191:$I$211,7,0))</f>
        <v>0</v>
      </c>
      <c r="EV106" s="129" t="e">
        <f aca="false">EXP(-LN(2)/35)*EV105+(1-EXP(-LN(2)/35))/(LN(2)/35)*ER106*ES106*VLOOKUP('Données projet'!$B$15,Paramètres!$A$1:$I$89,3,0)*0.475*44/12</f>
        <v>#N/A</v>
      </c>
      <c r="EW106" s="129" t="e">
        <f aca="false">EXP(-LN(2)/25)*EW105+(1-EXP(-LN(2)/25))/(LN(2)/25)*Calculateur!ER106*Calculateur!ET106*VLOOKUP('Données projet'!$B$15,Paramètres!$A$1:$I$89,3,0)*0.475*44/12</f>
        <v>#N/A</v>
      </c>
      <c r="EX106" s="129" t="e">
        <f aca="false">EXP(-LN(2)/2)*EX105+(1-EXP(-LN(2)/2))/(LN(2)/2)*ER106*EU106*VLOOKUP('Données projet'!$B$15,Paramètres!$A$1:$I$89,3,0)*0.475*44/12</f>
        <v>#N/A</v>
      </c>
      <c r="EY106" s="130" t="e">
        <f aca="false">SUM(EV106:EX106)</f>
        <v>#N/A</v>
      </c>
      <c r="EZ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8" t="e">
        <f aca="false">VLOOKUP(A106,'Données projet'!$A$217:$I$237,2,0)</f>
        <v>#N/A</v>
      </c>
      <c r="FC106" s="118" t="e">
        <f aca="false">VLOOKUP(A106,'Données projet'!$A$217:$I$237,9,0)</f>
        <v>#N/A</v>
      </c>
      <c r="FD106" s="118" t="e">
        <f aca="false" t="array" ref="FD106:FD106">INDEX(FC:FC,MIN(IF(ISNUMBER(FC106:FC302),ROW(FC106:FC302),"")))</f>
        <v>#N/A</v>
      </c>
      <c r="FE106" s="118" t="n">
        <f aca="false">IF('Données projet'!$A$218&gt;35,FE105+FD106-FM105,IF(A106&lt;'Données projet'!$A$218,$FB$205^A106,IF(A106='Données projet'!$A$218,'Données projet'!$B$218,FE105+FD106-FM105)))</f>
        <v>0</v>
      </c>
      <c r="FF106" s="125" t="e">
        <f aca="false">FE106*VLOOKUP('Données projet'!$B$16,Paramètres!$A$1:$I$89,3,0)*VLOOKUP('Données projet'!$B$16,Paramètres!$A$1:$I$89,5,0)</f>
        <v>#N/A</v>
      </c>
      <c r="FG106" s="117" t="e">
        <f aca="false">EXP(-1.0587+0.8836*LN(FF106)+0.284)</f>
        <v>#N/A</v>
      </c>
      <c r="FH106" s="128" t="e">
        <f aca="false">(FF106+FG106)*0.475*44/12</f>
        <v>#N/A</v>
      </c>
      <c r="FI106" s="120" t="e">
        <f aca="false">FH106+(EZ106+FA106)*44/12</f>
        <v>#N/A</v>
      </c>
      <c r="FJ106" s="120" t="e">
        <f aca="true">AVERAGE(OFFSET($FI$3,0,0,'Données projet'!$E$16+1,1))-AVERAGE(OFFSET($H$3,0,0,'Données projet'!$E$16+1,1))</f>
        <v>#N/A</v>
      </c>
      <c r="FK106" s="120" t="e">
        <f aca="false">$FK$3</f>
        <v>#N/A</v>
      </c>
      <c r="FL106" s="121" t="n">
        <f aca="false">IF(ISNA(VLOOKUP(A106,'Données projet'!$A$217:$I$237,3,0)),0,VLOOKUP(A106,'Données projet'!$A$217:$I$237,3,0))</f>
        <v>0</v>
      </c>
      <c r="FM106" s="121" t="n">
        <f aca="false">IF(ISNA(VLOOKUP(A106,'Données projet'!$A$217:$I$237,4,0)),0,VLOOKUP(A106,'Données projet'!$A$217:$I$237,4,0))</f>
        <v>0</v>
      </c>
      <c r="FN106" s="122" t="n">
        <f aca="false">IF(ISNA(VLOOKUP(A106,'Données projet'!$A$217:$I$237,5,0)),0%,VLOOKUP(A106,'Données projet'!$A$217:$I$237,5,0)*VLOOKUP('Données projet'!$B$16,Paramètres!$A$1:$I$89,7,0))</f>
        <v>0</v>
      </c>
      <c r="FO106" s="122" t="n">
        <f aca="false">IF(ISNA(VLOOKUP(A106,'Données projet'!$A$217:$I$237,6,0)),0%,VLOOKUP(A106,'Données projet'!$A$217:$I$237,6,0)*VLOOKUP('Données projet'!$B$16,Paramètres!$A$1:$I$89,7,0))</f>
        <v>0</v>
      </c>
      <c r="FP106" s="122" t="n">
        <f aca="false">IF(ISNA(VLOOKUP(A106,'Données projet'!$A$217:$I$237,7,0)),0%,VLOOKUP(A106,'Données projet'!$A$217:$I$237,7,0))</f>
        <v>0</v>
      </c>
      <c r="FQ106" s="129" t="e">
        <f aca="false">EXP(-LN(2)/35)*FQ105+(1-EXP(-LN(2)/35))/(LN(2)/35)*FM106*FN106*VLOOKUP('Données projet'!$B$16,Paramètres!$A$1:$I$89,3,0)*0.475*44/12</f>
        <v>#N/A</v>
      </c>
      <c r="FR106" s="129" t="e">
        <f aca="false">EXP(-LN(2)/25)*FR105+(1-EXP(-LN(2)/25))/(LN(2)/25)*Calculateur!FM106*Calculateur!FO106*VLOOKUP('Données projet'!$B$16,Paramètres!$A$1:$I$89,3,0)*0.475*44/12</f>
        <v>#N/A</v>
      </c>
      <c r="FS106" s="129" t="e">
        <f aca="false">EXP(-LN(2)/2)*FS105+(1-EXP(-LN(2)/2))/(LN(2)/2)*FM106*FP106*VLOOKUP('Données projet'!$B$16,Paramètres!$A$1:$I$89,3,0)*0.475*44/12</f>
        <v>#N/A</v>
      </c>
      <c r="FT106" s="130" t="e">
        <f aca="false">SUM(FQ106:FS106)</f>
        <v>#N/A</v>
      </c>
      <c r="FU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8" t="e">
        <f aca="false">VLOOKUP(A106,'Données projet'!$A$243:$I$263,2,0)</f>
        <v>#N/A</v>
      </c>
      <c r="FX106" s="118" t="e">
        <f aca="false">VLOOKUP(A106,'Données projet'!$A$243:$I$263,9,0)</f>
        <v>#N/A</v>
      </c>
      <c r="FY106" s="118" t="e">
        <f aca="false" t="array" ref="FY106:FY106">INDEX(FX:FX,MIN(IF(ISNUMBER(FX106:FX302),ROW(FX106:FX302),"")))</f>
        <v>#N/A</v>
      </c>
      <c r="FZ106" s="118" t="n">
        <f aca="false">IF('Données projet'!$A$244&gt;35,FZ105+FY106-GH105,IF(A106&lt;'Données projet'!$A$244,$FW$205^A106,IF(A106='Données projet'!$A$244,'Données projet'!$B$244,FZ105+FY106-GH105)))</f>
        <v>0</v>
      </c>
      <c r="GA106" s="125" t="e">
        <f aca="false">FZ106*VLOOKUP('Données projet'!$B$17,Paramètres!$A$1:$I$89,3,0)*VLOOKUP('Données projet'!$B$17,Paramètres!$A$1:$I$89,5,0)</f>
        <v>#N/A</v>
      </c>
      <c r="GB106" s="117" t="e">
        <f aca="false">EXP(-1.0587+0.8836*LN(GA106)+0.284)</f>
        <v>#N/A</v>
      </c>
      <c r="GC106" s="128" t="e">
        <f aca="false">(GA106+GB106)*0.475*44/12</f>
        <v>#N/A</v>
      </c>
      <c r="GD106" s="120" t="e">
        <f aca="false">GC106+(FU106+FV106)*44/12</f>
        <v>#N/A</v>
      </c>
      <c r="GE106" s="120" t="e">
        <f aca="true">AVERAGE(OFFSET($GD$3,0,0,'Données projet'!$E$17+1,1))-AVERAGE(OFFSET($H$3,0,0,'Données projet'!$E$17+1,1))</f>
        <v>#N/A</v>
      </c>
      <c r="GF106" s="120" t="e">
        <f aca="false">$GF$3</f>
        <v>#N/A</v>
      </c>
      <c r="GG106" s="121" t="n">
        <f aca="false">IF(ISNA(VLOOKUP(A106,'Données projet'!$A$243:$I$263,3,0)),0,VLOOKUP(A106,'Données projet'!$A$243:$I$263,3,0))</f>
        <v>0</v>
      </c>
      <c r="GH106" s="121" t="n">
        <f aca="false">IF(ISNA(VLOOKUP(A106,'Données projet'!$A$243:$I$263,4,0)),0,VLOOKUP(A106,'Données projet'!$A$243:$I$263,4,0))</f>
        <v>0</v>
      </c>
      <c r="GI106" s="122" t="n">
        <f aca="false">IF(ISNA(VLOOKUP(A106,'Données projet'!$A$243:$I$263,5,0)),0%,VLOOKUP(A106,'Données projet'!$A$243:$I$263,5,0)*VLOOKUP('Données projet'!$B$17,Paramètres!$A$1:$I$89,7,0))</f>
        <v>0</v>
      </c>
      <c r="GJ106" s="122" t="n">
        <f aca="false">IF(ISNA(VLOOKUP(A106,'Données projet'!$A$243:$I$263,6,0)),0%,VLOOKUP(A106,'Données projet'!$A$243:$I$263,6,0)*VLOOKUP('Données projet'!$B$17,Paramètres!$A$1:$I$89,7,0))</f>
        <v>0</v>
      </c>
      <c r="GK106" s="122" t="n">
        <f aca="false">IF(ISNA(VLOOKUP(A106,'Données projet'!$A$243:$I$263,7,0)),0%,VLOOKUP(A106,'Données projet'!$A$243:$I$263,7,0))</f>
        <v>0</v>
      </c>
      <c r="GL106" s="129" t="e">
        <f aca="false">EXP(-LN(2)/35)*GL105+(1-EXP(-LN(2)/35))/(LN(2)/35)*GH106*GI106*VLOOKUP('Données projet'!$B$17,Paramètres!$A$1:$I$89,3,0)*0.475*44/12</f>
        <v>#N/A</v>
      </c>
      <c r="GM106" s="129" t="e">
        <f aca="false">EXP(-LN(2)/25)*GM105+(1-EXP(-LN(2)/25))/(LN(2)/25)*Calculateur!GH106*Calculateur!GJ106*VLOOKUP('Données projet'!$B$17,Paramètres!$A$1:$I$89,3,0)*0.475*44/12</f>
        <v>#N/A</v>
      </c>
      <c r="GN106" s="129" t="e">
        <f aca="false">EXP(-LN(2)/2)*GN105+(1-EXP(-LN(2)/2))/(LN(2)/2)*GH106*GK106*VLOOKUP('Données projet'!$B$17,Paramètres!$A$1:$I$89,3,0)*0.475*44/12</f>
        <v>#N/A</v>
      </c>
      <c r="GO106" s="129" t="e">
        <f aca="false">SUM(GL106:GN106)</f>
        <v>#N/A</v>
      </c>
      <c r="GP106" s="126" t="n">
        <f aca="false"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8" t="n">
        <f aca="false"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8" t="e">
        <f aca="false">VLOOKUP(A106,'Données projet'!$A$269:$I$289,2,0)</f>
        <v>#N/A</v>
      </c>
      <c r="GS106" s="118" t="e">
        <f aca="false">VLOOKUP(A106,'Données projet'!$A$269:$I$289,9,0)</f>
        <v>#N/A</v>
      </c>
      <c r="GT106" s="118" t="e">
        <f aca="false" t="array" ref="GT106:GT106">INDEX(GS:GS,MIN(IF(ISNUMBER(GS106:GS302),ROW(GS106:GS302),"")))</f>
        <v>#N/A</v>
      </c>
      <c r="GU106" s="118" t="n">
        <f aca="false">IF('Données projet'!$A$270&gt;35,GU105+GT106-HC105,IF(A106&lt;'Données projet'!$A$270,$GR$205^A106,IF(A106='Données projet'!$A$270,'Données projet'!$B$270,GU105+GT106-HC105)))</f>
        <v>0</v>
      </c>
      <c r="GV106" s="125" t="e">
        <f aca="false">GU106*VLOOKUP('Données projet'!$B$18,Paramètres!$A$1:$I$89,3,0)*VLOOKUP('Données projet'!$B$18,Paramètres!$A$1:$I$89,5,0)</f>
        <v>#N/A</v>
      </c>
      <c r="GW106" s="117" t="e">
        <f aca="false">EXP(-1.0587+0.8836*LN(GV106)+0.284)</f>
        <v>#N/A</v>
      </c>
      <c r="GX106" s="128" t="e">
        <f aca="false">(GV106+GW106)*0.475*44/12</f>
        <v>#N/A</v>
      </c>
      <c r="GY106" s="120" t="e">
        <f aca="false">GX106+(GP106+GQ106)*44/12</f>
        <v>#N/A</v>
      </c>
      <c r="GZ106" s="120" t="e">
        <f aca="true">AVERAGE(OFFSET($GY$3,0,0,'Données projet'!$E$18+1,1))-AVERAGE(OFFSET($H$3,0,0,'Données projet'!$E$18+1,1))</f>
        <v>#N/A</v>
      </c>
      <c r="HA106" s="120" t="e">
        <f aca="false">$HA$3</f>
        <v>#N/A</v>
      </c>
      <c r="HB106" s="121" t="n">
        <f aca="false">IF(ISNA(VLOOKUP(A106,'Données projet'!$A$269:$I$289,3,0)),0,VLOOKUP(A106,'Données projet'!$A$269:$I$289,3,0))</f>
        <v>0</v>
      </c>
      <c r="HC106" s="121" t="n">
        <f aca="false">IF(ISNA(VLOOKUP(A106,'Données projet'!$A$269:$I$289,4,0)),0,VLOOKUP(A106,'Données projet'!$A$269:$I$289,4,0))</f>
        <v>0</v>
      </c>
      <c r="HD106" s="122" t="n">
        <f aca="false">IF(ISNA(VLOOKUP(A106,'Données projet'!$A$269:$I$289,5,0)),0%,VLOOKUP(A106,'Données projet'!$A$269:$I$289,5,0)*VLOOKUP('Données projet'!$B$18,Paramètres!$A$1:$I$89,7,0))</f>
        <v>0</v>
      </c>
      <c r="HE106" s="122" t="n">
        <f aca="false">IF(ISNA(VLOOKUP(A106,'Données projet'!$A$269:$I$289,6,0)),0%,VLOOKUP(A106,'Données projet'!$A$269:$I$289,6,0)*VLOOKUP('Données projet'!$B$18,Paramètres!$A$1:$I$89,7,0))</f>
        <v>0</v>
      </c>
      <c r="HF106" s="122" t="n">
        <f aca="false">IF(ISNA(VLOOKUP(A106,'Données projet'!$A$269:$I$289,7,0)),0%,VLOOKUP(A106,'Données projet'!$A$269:$I$289,7,0))</f>
        <v>0</v>
      </c>
      <c r="HG106" s="129" t="e">
        <f aca="false">EXP(-LN(2)/35)*HG105+(1-EXP(-LN(2)/35))/(LN(2)/35)*HC106*HD106*VLOOKUP('Données projet'!$B$18,Paramètres!$A$1:$I$89,3,0)*0.475*44/12</f>
        <v>#N/A</v>
      </c>
      <c r="HH106" s="129" t="e">
        <f aca="false">EXP(-LN(2)/25)*HH105+(1-EXP(-LN(2)/25))/(LN(2)/25)*Calculateur!HC106*Calculateur!HE106*VLOOKUP('Données projet'!$B$18,Paramètres!$A$1:$I$89,3,0)*0.475*44/12</f>
        <v>#N/A</v>
      </c>
      <c r="HI106" s="129" t="e">
        <f aca="false">EXP(-LN(2)/2)*HI105+(1-EXP(-LN(2)/2))/(LN(2)/2)*HC106*HF106*VLOOKUP('Données projet'!$B$18,Paramètres!$A$1:$I$89,3,0)*0.475*44/12</f>
        <v>#N/A</v>
      </c>
      <c r="HJ106" s="130" t="e">
        <f aca="false">SUM(HG106:HI106)</f>
        <v>#N/A</v>
      </c>
    </row>
    <row r="107" customFormat="false" ht="14.25" hidden="false" customHeight="false" outlineLevel="0" collapsed="false">
      <c r="A107" s="112" t="n">
        <f aca="false">A106+1</f>
        <v>104</v>
      </c>
      <c r="B107" s="113" t="n">
        <f aca="false">'Scénario référence'!$B$16*5+'Scénario référence'!$B$17*0+'Scénario référence'!$B$18*5</f>
        <v>0</v>
      </c>
      <c r="C107" s="127" t="n">
        <f aca="false"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4" t="n">
        <f aca="false">IFERROR(EXP(-1.0587+0.8836*LN(C107)+0.284),0)</f>
        <v>0</v>
      </c>
      <c r="E10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7" s="114" t="n">
        <f aca="false">IF(OR('Scénario référence'!$F$8&gt;0,'Scénario référence'!$F$9&gt;0),('Scénario référence'!$F$8+'Scénario référence'!$F$9)*10,0)</f>
        <v>0</v>
      </c>
      <c r="G107" s="114" t="n">
        <f aca="false"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15" t="n">
        <f aca="false">(B107+E107+F107)*44/12+(C107+D107)*0.475*44/12</f>
        <v>256.666666666667</v>
      </c>
      <c r="I107" s="11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7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8" t="e">
        <f aca="false">VLOOKUP(A107,'Données projet'!$A$35:$I$55,2,0)</f>
        <v>#N/A</v>
      </c>
      <c r="L107" s="118" t="e">
        <f aca="false">VLOOKUP(A107,'Données projet'!$A$35:$I$55,9,0)</f>
        <v>#N/A</v>
      </c>
      <c r="M107" s="118" t="e">
        <f aca="false" t="array" ref="M107:M107">INDEX(L:L,MIN(IF(ISNUMBER(L107:L303),ROW(L107:L303),"")))</f>
        <v>#N/A</v>
      </c>
      <c r="N107" s="117" t="n">
        <f aca="false">IF('Données projet'!$A$36&gt;35,N106+M107-V106,IF(A107&lt;'Données projet'!$A$36,$K$205^A107,IF(A107='Données projet'!$A$36,'Données projet'!$B$36,N106+M107-V106)))</f>
        <v>-1.13686837721616E-013</v>
      </c>
      <c r="O107" s="117" t="n">
        <f aca="false">N107*VLOOKUP('Données projet'!$B$9,Paramètres!$A$1:$I$89,3,0)*VLOOKUP('Données projet'!$B$9,Paramètres!$A$1:$I$89,5,0)</f>
        <v>-5.32054400537163E-014</v>
      </c>
      <c r="P107" s="117" t="e">
        <f aca="false">EXP(-1.0587+0.8836*LN(O107)+0.284)</f>
        <v>#VALUE!</v>
      </c>
      <c r="Q107" s="128" t="e">
        <f aca="false">(O107+P107)*0.475*44/12</f>
        <v>#VALUE!</v>
      </c>
      <c r="R107" s="120" t="e">
        <f aca="false">Q107+(I107+J107)*44/12</f>
        <v>#VALUE!</v>
      </c>
      <c r="S107" s="120" t="n">
        <f aca="true">AVERAGE(OFFSET($R$3,0,0,'Données projet'!$E$9+1,1))-AVERAGE(OFFSET($H$3,0,0,'Données projet'!$E$9+1,1))</f>
        <v>319.229030946746</v>
      </c>
      <c r="T107" s="120" t="n">
        <f aca="false">$T$3</f>
        <v>254.586909731428</v>
      </c>
      <c r="U107" s="121" t="n">
        <f aca="false">IF(ISNA(VLOOKUP(A107,'Données projet'!$A$35:$I$55,3,0)),0,VLOOKUP(A107,'Données projet'!$A$35:$I$55,3,0))</f>
        <v>0</v>
      </c>
      <c r="V107" s="121" t="n">
        <f aca="false">IF(ISNA(VLOOKUP(A107,'Données projet'!$A$35:$I$55,4,0)),0,VLOOKUP(A107,'Données projet'!$A$35:$I$55,4,0))</f>
        <v>0</v>
      </c>
      <c r="W107" s="122" t="n">
        <f aca="false">IF(ISNA(VLOOKUP(A107,'Données projet'!$A$35:$I$55,5,0)),0%,VLOOKUP(A107,'Données projet'!$A$35:$I$55,5,0)*VLOOKUP('Données projet'!$B$9,Paramètres!$A$1:$I$89,7,0))</f>
        <v>0</v>
      </c>
      <c r="X107" s="122" t="n">
        <f aca="false">IF(ISNA(VLOOKUP(A107,'Données projet'!$A$35:$I$55,6,0)),0%,VLOOKUP(A107,'Données projet'!$A$35:$I$55,6,0)*VLOOKUP('Données projet'!$B$9,Paramètres!$A$1:$I$89,7,0))</f>
        <v>0</v>
      </c>
      <c r="Y107" s="122" t="n">
        <f aca="false">IF(ISNA(VLOOKUP(A107,'Données projet'!$A$35:$I$55,7,0)),0%,VLOOKUP(A107,'Données projet'!$A$35:$I$55,7,0))</f>
        <v>0</v>
      </c>
      <c r="Z107" s="129" t="n">
        <f aca="false">EXP(-LN(2)/35)*Z106+(1-EXP(-LN(2)/35))/(LN(2)/35)*V107*W107*VLOOKUP('Données projet'!$B$9,Paramètres!$A$1:$I$89,3,0)*0.475*44/12</f>
        <v>2.09623064308199</v>
      </c>
      <c r="AA107" s="129" t="n">
        <f aca="false">EXP(-LN(2)/25)*AA106+(1-EXP(-LN(2)/25))/(LN(2)/25)*Calculateur!V107*Calculateur!X107*VLOOKUP('Données projet'!$B$9,Paramètres!$A$1:$I$89,3,0)*0.475*44/12</f>
        <v>1.43310331253103</v>
      </c>
      <c r="AB107" s="129" t="n">
        <f aca="false">EXP(-LN(2)/2)*AB106+(1-EXP(-LN(2)/2))/(LN(2)/2)*V107*Y107*VLOOKUP('Données projet'!$B$9,Paramètres!$A$1:$I$89,3,0)*0.475*44/12</f>
        <v>8.0349335938797E-011</v>
      </c>
      <c r="AC107" s="130" t="n">
        <f aca="false">SUM(Z107:AB107)</f>
        <v>3.52933395569337</v>
      </c>
      <c r="AD107" s="117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7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8" t="e">
        <f aca="false">VLOOKUP(A107,'Données projet'!$A$61:$I$81,2,0)</f>
        <v>#N/A</v>
      </c>
      <c r="AG107" s="118" t="e">
        <f aca="false">VLOOKUP(A107,'Données projet'!$A$61:$I$81,9,0)</f>
        <v>#N/A</v>
      </c>
      <c r="AH107" s="118" t="e">
        <f aca="false" t="array" ref="AH107:AH107">INDEX(AG:AG,MIN(IF(ISNUMBER(AG107:AG303),ROW(AG107:AG303),"")))</f>
        <v>#N/A</v>
      </c>
      <c r="AI107" s="117" t="n">
        <f aca="false">IF('Données projet'!$A$62&gt;35,AI106+AH107-AQ106,IF(A107&lt;'Données projet'!$A$62,$AF$205^A107,IF(A107='Données projet'!$A$62,'Données projet'!$B$62,AI106+AH107-AQ106)))</f>
        <v>1.13686837721616E-013</v>
      </c>
      <c r="AJ107" s="117" t="n">
        <f aca="false">AI107*VLOOKUP('Données projet'!$B$10,Paramètres!$A$1:$I$89,3,0)*VLOOKUP('Données projet'!$B$10,Paramètres!$A$1:$I$89,5,0)</f>
        <v>6.35509422863834E-014</v>
      </c>
      <c r="AK107" s="117" t="n">
        <f aca="false">EXP(-1.0587+0.8836*LN(AJ107)+0.284)</f>
        <v>1.0064464192544E-012</v>
      </c>
      <c r="AL107" s="128" t="n">
        <f aca="false">(AJ107+AK107)*0.475*44/12</f>
        <v>1.86357873801686E-012</v>
      </c>
      <c r="AM107" s="120" t="n">
        <f aca="false">AL107+(AD107+AE107)*44/12</f>
        <v>293.333333333335</v>
      </c>
      <c r="AN107" s="120" t="n">
        <f aca="true">AVERAGE(OFFSET($AM$3,0,0,'Données projet'!$E$10+1,1))-AVERAGE(OFFSET($H$3,0,0,'Données projet'!$E$10+1,1))</f>
        <v>365.705101827279</v>
      </c>
      <c r="AO107" s="120" t="n">
        <f aca="false">$AO$3</f>
        <v>436.238338449625</v>
      </c>
      <c r="AP107" s="121" t="n">
        <f aca="false">IF(ISNA(VLOOKUP(A107,'Données projet'!$A$61:$I$81,3,0)),0,VLOOKUP(A107,'Données projet'!$A$61:$I$81,3,0))</f>
        <v>0</v>
      </c>
      <c r="AQ107" s="121" t="n">
        <f aca="false">IF(ISNA(VLOOKUP(A107,'Données projet'!$A$61:$I$81,4,0)),0,VLOOKUP(A107,'Données projet'!$A$61:$I$81,4,0))</f>
        <v>0</v>
      </c>
      <c r="AR107" s="122" t="n">
        <f aca="false">IF(ISNA(VLOOKUP(A107,'Données projet'!$A$61:$I$81,5,0)),0%,VLOOKUP(A107,'Données projet'!$A$61:$I$81,5,0)*VLOOKUP('Données projet'!$B$10,Paramètres!$A$1:$I$89,7,0))</f>
        <v>0</v>
      </c>
      <c r="AS107" s="122" t="n">
        <f aca="false">IF(ISNA(VLOOKUP(A107,'Données projet'!$A$61:$I$81,6,0)),0%,VLOOKUP(A107,'Données projet'!$A$61:$I$81,6,0)*VLOOKUP('Données projet'!$B$10,Paramètres!$A$1:$I$89,7,0))</f>
        <v>0</v>
      </c>
      <c r="AT107" s="122" t="n">
        <f aca="false">IF(ISNA(VLOOKUP(A107,'Données projet'!$A$61:$I$81,7,0)),0%,VLOOKUP(A107,'Données projet'!$A$61:$I$81,7,0))</f>
        <v>0</v>
      </c>
      <c r="AU107" s="129" t="n">
        <f aca="false">EXP(-LN(2)/35)*AU106+(1-EXP(-LN(2)/35))/(LN(2)/35)*AQ107*AR107*VLOOKUP('Données projet'!$B$10,Paramètres!$A$1:$I$89,3,0)*0.475*44/12</f>
        <v>0.791259105011023</v>
      </c>
      <c r="AV107" s="129" t="n">
        <f aca="false">EXP(-LN(2)/25)*AV106+(1-EXP(-LN(2)/25))/(LN(2)/25)*Calculateur!AQ107*Calculateur!AS107*VLOOKUP('Données projet'!$B$10,Paramètres!$A$1:$I$89,3,0)*0.475*44/12</f>
        <v>1.69743338597329</v>
      </c>
      <c r="AW107" s="129" t="n">
        <f aca="false">EXP(-LN(2)/2)*AW106+(1-EXP(-LN(2)/2))/(LN(2)/2)*AQ107*AT107*VLOOKUP('Données projet'!$B$10,Paramètres!$A$1:$I$89,3,0)*0.475*44/12</f>
        <v>4.32415013032426E-011</v>
      </c>
      <c r="AX107" s="129" t="n">
        <f aca="false">SUM(AU107:AW107)</f>
        <v>2.48869249102756</v>
      </c>
      <c r="AY107" s="124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8" t="e">
        <f aca="false">VLOOKUP(A107,'Données projet'!$A$87:$I$107,2,0)</f>
        <v>#N/A</v>
      </c>
      <c r="BB107" s="118" t="e">
        <f aca="false">VLOOKUP(A107,'Données projet'!$A$87:$I$107,9,0)</f>
        <v>#N/A</v>
      </c>
      <c r="BC107" s="118" t="e">
        <f aca="false" t="array" ref="BC107:BC107">INDEX(BB:BB,MIN(IF(ISNUMBER(BB107:BB303),ROW(BB107:BB303),"")))</f>
        <v>#N/A</v>
      </c>
      <c r="BD107" s="118" t="n">
        <f aca="false">IF('Données projet'!$A$88&gt;35,BD106+BC107-BL106,IF(A107&lt;'Données projet'!$A$88,$BA$205^A107,IF(A107='Données projet'!$A$88,'Données projet'!$B$88,BD106+BC107-BL106)))</f>
        <v>1.98951966012828E-013</v>
      </c>
      <c r="BE107" s="117" t="n">
        <f aca="false">BD107*VLOOKUP('Données projet'!$B$11,Paramètres!$A$1:$I$89,3,0)*VLOOKUP('Données projet'!$B$11,Paramètres!$A$1:$I$89,5,0)</f>
        <v>1.73804437508807E-013</v>
      </c>
      <c r="BF107" s="117" t="n">
        <f aca="false">EXP(-1.0587+0.8836*LN(BE107)+0.284)</f>
        <v>2.44832936339505E-012</v>
      </c>
      <c r="BG107" s="128" t="n">
        <f aca="false">(BE107+BF107)*0.475*44/12</f>
        <v>4.56688303657421E-012</v>
      </c>
      <c r="BH107" s="120" t="n">
        <f aca="false">BG107+(AY107+AZ107)*44/12</f>
        <v>293.333333333338</v>
      </c>
      <c r="BI107" s="120" t="n">
        <f aca="true">AVERAGE(OFFSET($BH$3,0,0,'Données projet'!$E$11+1,1))-AVERAGE(OFFSET($H$3,0,0,'Données projet'!$E$11+1,1))</f>
        <v>321.235999689929</v>
      </c>
      <c r="BJ107" s="120" t="n">
        <f aca="false">$BJ$3</f>
        <v>388.051958478005</v>
      </c>
      <c r="BK107" s="121" t="n">
        <f aca="false">IF(ISNA(VLOOKUP(A107,'Données projet'!$A$87:$I$107,3,0)),0,VLOOKUP(A107,'Données projet'!$A$87:$I$107,3,0))</f>
        <v>0</v>
      </c>
      <c r="BL107" s="121" t="n">
        <f aca="false">IF(ISNA(VLOOKUP(A107,'Données projet'!$A$87:$I$107,4,0)),0,VLOOKUP(A107,'Données projet'!$A$87:$I$107,4,0))</f>
        <v>0</v>
      </c>
      <c r="BM107" s="122" t="n">
        <f aca="false">IF(ISNA(VLOOKUP(A107,'Données projet'!$A$87:$I$107,5,0)),0%,VLOOKUP(A107,'Données projet'!$A$87:$I$107,5,0)*VLOOKUP('Données projet'!$B$11,Paramètres!$A$1:$I$89,7,0))</f>
        <v>0</v>
      </c>
      <c r="BN107" s="122" t="n">
        <f aca="false">IF(ISNA(VLOOKUP(A107,'Données projet'!$A$87:$I$107,6,0)),0%,VLOOKUP(A107,'Données projet'!$A$87:$I$107,6,0)*VLOOKUP('Données projet'!$B$11,Paramètres!$A$1:$I$89,7,0))</f>
        <v>0</v>
      </c>
      <c r="BO107" s="122" t="n">
        <f aca="false">IF(ISNA(VLOOKUP(A107,'Données projet'!$A$87:$I$107,7,0)),0%,VLOOKUP(A107,'Données projet'!$A$87:$I$107,7,0))</f>
        <v>0</v>
      </c>
      <c r="BP107" s="129" t="n">
        <f aca="false">EXP(-LN(2)/35)*BP106+(1-EXP(-LN(2)/35))/(LN(2)/35)*BL107*BM107*VLOOKUP('Données projet'!$B$11,Paramètres!$A$1:$I$89,3,0)*0.475*44/12</f>
        <v>1.98655200396615</v>
      </c>
      <c r="BQ107" s="129" t="n">
        <f aca="false">EXP(-LN(2)/25)*BQ106+(1-EXP(-LN(2)/25))/(LN(2)/25)*Calculateur!BL107*Calculateur!BN107*VLOOKUP('Données projet'!$B$11,Paramètres!$A$1:$I$89,3,0)*0.475*44/12</f>
        <v>1.7326391790919</v>
      </c>
      <c r="BR107" s="129" t="n">
        <f aca="false">EXP(-LN(2)/2)*BR106+(1-EXP(-LN(2)/2))/(LN(2)/2)*BL107*BO107*VLOOKUP('Données projet'!$B$11,Paramètres!$A$1:$I$89,3,0)*0.475*44/12</f>
        <v>4.39540872851993E-011</v>
      </c>
      <c r="BS107" s="130" t="n">
        <f aca="false">SUM(BP107:BR107)</f>
        <v>3.719191183102</v>
      </c>
      <c r="BT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8" t="e">
        <f aca="false">VLOOKUP(A107,'Données projet'!$A$113:$I$133,2,0)</f>
        <v>#N/A</v>
      </c>
      <c r="BW107" s="118" t="e">
        <f aca="false">VLOOKUP(A107,'Données projet'!$A$113:$I$133,9,0)</f>
        <v>#N/A</v>
      </c>
      <c r="BX107" s="118" t="e">
        <f aca="false" t="array" ref="BX107:BX107">INDEX(BW:BW,MIN(IF(ISNUMBER(BW107:BW303),ROW(BW107:BW303),"")))</f>
        <v>#N/A</v>
      </c>
      <c r="BY107" s="118" t="n">
        <f aca="false">IF('Données projet'!$A$114&gt;35,BY106+BX107-CG106,IF(A107&lt;'Données projet'!$A$114,$BV$205^A107,IF(A107='Données projet'!$A$114,'Données projet'!$B$114,BY106+BX107-CG106)))</f>
        <v>0</v>
      </c>
      <c r="BZ107" s="117" t="n">
        <f aca="false">BY107*VLOOKUP('Données projet'!$B$12,Paramètres!$A$1:$I$89,3,0)*VLOOKUP('Données projet'!$B$12,Paramètres!$A$1:$I$89,5,0)</f>
        <v>0</v>
      </c>
      <c r="CA107" s="117" t="e">
        <f aca="false">EXP(-1.0587+0.8836*LN(BZ107)+0.284)</f>
        <v>#VALUE!</v>
      </c>
      <c r="CB107" s="128" t="e">
        <f aca="false">(BZ107+CA107)*0.475*44/12</f>
        <v>#VALUE!</v>
      </c>
      <c r="CC107" s="120" t="e">
        <f aca="false">CB107+(BT107+BU107)*44/12</f>
        <v>#VALUE!</v>
      </c>
      <c r="CD107" s="120" t="n">
        <f aca="true">AVERAGE(OFFSET($CC$3,0,0,'Données projet'!$E$12+1,1))-AVERAGE(OFFSET($H$3,0,0,'Données projet'!$E$12+1,1))</f>
        <v>240.228848647662</v>
      </c>
      <c r="CE107" s="120" t="n">
        <f aca="false">$CE$3</f>
        <v>343.237768841432</v>
      </c>
      <c r="CF107" s="121" t="n">
        <f aca="false">IF(ISNA(VLOOKUP(A107,'Données projet'!$A$113:$I$133,3,0)),0,VLOOKUP(A107,'Données projet'!$A$113:$I$133,3,0))</f>
        <v>0</v>
      </c>
      <c r="CG107" s="121" t="n">
        <f aca="false">IF(ISNA(VLOOKUP(A107,'Données projet'!$A$113:$I$133,4,0)),0,VLOOKUP(A107,'Données projet'!$A$113:$I$133,4,0))</f>
        <v>0</v>
      </c>
      <c r="CH107" s="122" t="n">
        <f aca="false">IF(ISNA(VLOOKUP(A107,'Données projet'!$A$113:$I$133,5,0)),0%,VLOOKUP(A107,'Données projet'!$A$113:$I$133,5,0)*VLOOKUP('Données projet'!$B$12,Paramètres!$A$1:$I$89,7,0))</f>
        <v>0</v>
      </c>
      <c r="CI107" s="122" t="n">
        <f aca="false">IF(ISNA(VLOOKUP(A107,'Données projet'!$A$113:$I$133,6,0)),0%,VLOOKUP(A107,'Données projet'!$A$113:$I$133,6,0)*VLOOKUP('Données projet'!$B$12,Paramètres!$A$1:$I$89,7,0))</f>
        <v>0</v>
      </c>
      <c r="CJ107" s="122" t="n">
        <f aca="false">IF(ISNA(VLOOKUP(A107,'Données projet'!$A$113:$I$133,7,0)),0%,VLOOKUP(A107,'Données projet'!$A$113:$I$133,7,0))</f>
        <v>0</v>
      </c>
      <c r="CK107" s="129" t="n">
        <f aca="false">EXP(-LN(2)/35)*CK106+(1-EXP(-LN(2)/35))/(LN(2)/35)*CG107*CH107*VLOOKUP('Données projet'!$B$12,Paramètres!$A$1:$I$89,3,0)*0.475*44/12</f>
        <v>1.21592459265965</v>
      </c>
      <c r="CL107" s="129" t="n">
        <f aca="false">EXP(-LN(2)/25)*CL106+(1-EXP(-LN(2)/25))/(LN(2)/25)*Calculateur!CG107*Calculateur!CI107*VLOOKUP('Données projet'!$B$12,Paramètres!$A$1:$I$89,3,0)*0.475*44/12</f>
        <v>3.05994109256203</v>
      </c>
      <c r="CM107" s="129" t="n">
        <f aca="false">EXP(-LN(2)/2)*CM106+(1-EXP(-LN(2)/2))/(LN(2)/2)*CG107*CJ107*VLOOKUP('Données projet'!$B$12,Paramètres!$A$1:$I$89,3,0)*0.475*44/12</f>
        <v>7.01390051542244E-011</v>
      </c>
      <c r="CN107" s="130" t="n">
        <f aca="false">SUM(CK107:CM107)</f>
        <v>4.27586568529181</v>
      </c>
      <c r="CO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8" t="e">
        <f aca="false">VLOOKUP(A107,'Données projet'!$A$139:$I$159,2,0)</f>
        <v>#N/A</v>
      </c>
      <c r="CR107" s="118" t="e">
        <f aca="false">VLOOKUP(A107,'Données projet'!$A$139:$I$159,9,0)</f>
        <v>#N/A</v>
      </c>
      <c r="CS107" s="118" t="e">
        <f aca="false" t="array" ref="CS107:CS107">INDEX(CR:CR,MIN(IF(ISNUMBER(CR107:CR303),ROW(CR107:CR303),"")))</f>
        <v>#N/A</v>
      </c>
      <c r="CT107" s="118" t="n">
        <f aca="false">IF('Données projet'!$A$140&gt;35,CT106+CS107-DB106,IF(A107&lt;'Données projet'!$A$140,$CQ$205^A107,IF(A107='Données projet'!$A$140,'Données projet'!$B$140,CT106+CS107-DB106)))</f>
        <v>-5.6843418860808E-014</v>
      </c>
      <c r="CU107" s="125" t="n">
        <f aca="false">CT107*VLOOKUP('Données projet'!$B$13,Paramètres!$A$1:$I$89,3,0)*VLOOKUP('Données projet'!$B$13,Paramètres!$A$1:$I$89,5,0)</f>
        <v>-3.10365066980012E-014</v>
      </c>
      <c r="CV107" s="117" t="e">
        <f aca="false">EXP(-1.0587+0.8836*LN(CU107)+0.284)</f>
        <v>#VALUE!</v>
      </c>
      <c r="CW107" s="128" t="e">
        <f aca="false">(CU107+CV107)*0.475*44/12</f>
        <v>#VALUE!</v>
      </c>
      <c r="CX107" s="120" t="e">
        <f aca="false">CW107+(CO107+CP107)*44/12</f>
        <v>#VALUE!</v>
      </c>
      <c r="CY107" s="120" t="n">
        <f aca="true">AVERAGE(OFFSET($CX$3,0,0,'Données projet'!$E$13+1,1))-AVERAGE(OFFSET($H$3,0,0,'Données projet'!$E$13+1,1))</f>
        <v>207.023069645676</v>
      </c>
      <c r="CZ107" s="120" t="n">
        <f aca="false">$CZ$3</f>
        <v>342.068879333518</v>
      </c>
      <c r="DA107" s="121" t="n">
        <f aca="false">IF(ISNA(VLOOKUP(A107,'Données projet'!$A$139:$I$159,3,0)),0,VLOOKUP(A107,'Données projet'!$A$139:$I$159,3,0))</f>
        <v>0</v>
      </c>
      <c r="DB107" s="121" t="n">
        <f aca="false">IF(ISNA(VLOOKUP(A107,'Données projet'!$A$139:$I$159,4,0)),0,VLOOKUP(A107,'Données projet'!$A$139:$I$159,4,0))</f>
        <v>0</v>
      </c>
      <c r="DC107" s="122" t="n">
        <f aca="false">IF(ISNA(VLOOKUP(A107,'Données projet'!$A$139:$I$159,5,0)),0%,VLOOKUP(A107,'Données projet'!$A$139:$I$159,5,0)*VLOOKUP('Données projet'!$B$13,Paramètres!$A$1:$I$89,7,0))</f>
        <v>0</v>
      </c>
      <c r="DD107" s="122" t="n">
        <f aca="false">IF(ISNA(VLOOKUP(A107,'Données projet'!$A$139:$I$159,6,0)),0%,VLOOKUP(A107,'Données projet'!$A$139:$I$159,6,0)*VLOOKUP('Données projet'!$B$13,Paramètres!$A$1:$I$89,7,0))</f>
        <v>0</v>
      </c>
      <c r="DE107" s="122" t="n">
        <f aca="false">IF(ISNA(VLOOKUP(A107,'Données projet'!$A$139:$I$159,7,0)),0%,VLOOKUP(A107,'Données projet'!$A$139:$I$159,7,0))</f>
        <v>0</v>
      </c>
      <c r="DF107" s="129" t="n">
        <f aca="false">EXP(-LN(2)/35)*DF106+(1-EXP(-LN(2)/35))/(LN(2)/35)*DB107*DC107*VLOOKUP('Données projet'!$B$13,Paramètres!$A$1:$I$89,3,0)*0.475*44/12</f>
        <v>1.52564123418616</v>
      </c>
      <c r="DG107" s="129" t="n">
        <f aca="false">EXP(-LN(2)/25)*DG106+(1-EXP(-LN(2)/25))/(LN(2)/25)*Calculateur!DB107*Calculateur!DD107*VLOOKUP('Données projet'!$B$13,Paramètres!$A$1:$I$89,3,0)*0.475*44/12</f>
        <v>5.00172925506404</v>
      </c>
      <c r="DH107" s="129" t="n">
        <f aca="false">EXP(-LN(2)/2)*DH106+(1-EXP(-LN(2)/2))/(LN(2)/2)*DB107*DE107*VLOOKUP('Données projet'!$B$13,Paramètres!$A$1:$I$89,3,0)*0.475*44/12</f>
        <v>9.65814426155764E-011</v>
      </c>
      <c r="DI107" s="130" t="n">
        <f aca="false">SUM(DF107:DH107)</f>
        <v>6.52737048934679</v>
      </c>
      <c r="DJ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8" t="e">
        <f aca="false">VLOOKUP(A107,'Données projet'!$A$165:$I$185,2,0)</f>
        <v>#N/A</v>
      </c>
      <c r="DM107" s="118" t="e">
        <f aca="false">VLOOKUP(A107,'Données projet'!$A$165:$I$185,9,0)</f>
        <v>#N/A</v>
      </c>
      <c r="DN107" s="118" t="e">
        <f aca="false" t="array" ref="DN107:DN107">INDEX(DM:DM,MIN(IF(ISNUMBER(DM107:DM303),ROW(DM107:DM303),"")))</f>
        <v>#N/A</v>
      </c>
      <c r="DO107" s="118" t="n">
        <f aca="false">IF('Données projet'!$A$166&gt;35,DO106+DN107-DW106,IF(A107&lt;'Données projet'!$A$166,$DL$205^A107,IF(A107='Données projet'!$A$166,'Données projet'!$B$166,DO106+DN107-DW106)))</f>
        <v>0</v>
      </c>
      <c r="DP107" s="125" t="n">
        <f aca="false">DO107*VLOOKUP('Données projet'!$B$14,Paramètres!$A$1:$I$89,3,0)*VLOOKUP('Données projet'!$B$14,Paramètres!$A$1:$I$89,5,0)</f>
        <v>0</v>
      </c>
      <c r="DQ107" s="117" t="e">
        <f aca="false">EXP(-1.0587+0.8836*LN(DP107)+0.284)</f>
        <v>#VALUE!</v>
      </c>
      <c r="DR107" s="128" t="e">
        <f aca="false">(DP107+DQ107)*0.475*44/12</f>
        <v>#VALUE!</v>
      </c>
      <c r="DS107" s="120" t="e">
        <f aca="false">DR107+(DJ107+DK107)*44/12</f>
        <v>#VALUE!</v>
      </c>
      <c r="DT107" s="120" t="n">
        <f aca="true">AVERAGE(OFFSET($DS$3,0,0,'Données projet'!$E$14+1,1))-AVERAGE(OFFSET($H$3,0,0,'Données projet'!$E$14+1,1))</f>
        <v>549.432320957297</v>
      </c>
      <c r="DU107" s="120" t="n">
        <f aca="false">$DU$3</f>
        <v>280.26155987301</v>
      </c>
      <c r="DV107" s="121" t="n">
        <f aca="false">IF(ISNA(VLOOKUP(A107,'Données projet'!$A$165:$I$185,3,0)),0,VLOOKUP(A107,'Données projet'!$A$165:$I$185,3,0))</f>
        <v>0</v>
      </c>
      <c r="DW107" s="121" t="n">
        <f aca="false">IF(ISNA(VLOOKUP(A107,'Données projet'!$A$165:$I$185,4,0)),0,VLOOKUP(A107,'Données projet'!$A$165:$I$185,4,0))</f>
        <v>0</v>
      </c>
      <c r="DX107" s="122" t="n">
        <f aca="false">IF(ISNA(VLOOKUP(A107,'Données projet'!$A$165:$I$185,5,0)),0%,VLOOKUP(A107,'Données projet'!$A$165:$I$185,5,0)*VLOOKUP('Données projet'!$B$14,Paramètres!$A$1:$I$89,7,0))</f>
        <v>0</v>
      </c>
      <c r="DY107" s="122" t="n">
        <f aca="false">IF(ISNA(VLOOKUP(A107,'Données projet'!$A$165:$I$185,6,0)),0%,VLOOKUP(A107,'Données projet'!$A$165:$I$185,6,0)*VLOOKUP('Données projet'!$B$14,Paramètres!$A$1:$I$89,7,0))</f>
        <v>0</v>
      </c>
      <c r="DZ107" s="122" t="n">
        <f aca="false">IF(ISNA(VLOOKUP(A107,'Données projet'!$A$165:$I$185,7,0)),0%,VLOOKUP(A107,'Données projet'!$A$165:$I$185,7,0))</f>
        <v>0</v>
      </c>
      <c r="EA107" s="129" t="n">
        <f aca="false">EXP(-LN(2)/35)*EA106+(1-EXP(-LN(2)/35))/(LN(2)/35)*DW107*DX107*VLOOKUP('Données projet'!$B$14,Paramètres!$A$1:$I$89,3,0)*0.475*44/12</f>
        <v>0.554721451593261</v>
      </c>
      <c r="EB107" s="129" t="n">
        <f aca="false">EXP(-LN(2)/25)*EB106+(1-EXP(-LN(2)/25))/(LN(2)/25)*Calculateur!DW107*Calculateur!DY107*VLOOKUP('Données projet'!$B$14,Paramètres!$A$1:$I$89,3,0)*0.475*44/12</f>
        <v>0.99644314999249</v>
      </c>
      <c r="EC107" s="129" t="n">
        <f aca="false">EXP(-LN(2)/2)*EC106+(1-EXP(-LN(2)/2))/(LN(2)/2)*DW107*DZ107*VLOOKUP('Données projet'!$B$14,Paramètres!$A$1:$I$89,3,0)*0.475*44/12</f>
        <v>4.45220541919078E-011</v>
      </c>
      <c r="ED107" s="130" t="n">
        <f aca="false">SUM(EA107:EC107)</f>
        <v>1.55116460163027</v>
      </c>
      <c r="EE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8" t="e">
        <f aca="false">VLOOKUP(A107,'Données projet'!$A$191:$I$211,2,0)</f>
        <v>#N/A</v>
      </c>
      <c r="EH107" s="118" t="e">
        <f aca="false">VLOOKUP(A107,'Données projet'!$A$191:$I$211,9,0)</f>
        <v>#N/A</v>
      </c>
      <c r="EI107" s="118" t="e">
        <f aca="false" t="array" ref="EI107:EI107">INDEX(EH:EH,MIN(IF(ISNUMBER(EH107:EH303),ROW(EH107:EH303),"")))</f>
        <v>#N/A</v>
      </c>
      <c r="EJ107" s="118" t="n">
        <f aca="false">IF('Données projet'!$A$192&gt;35,EJ106+EI107-ER106,IF(A107&lt;'Données projet'!$A$192,$EG$205^A107,IF(A107='Données projet'!$A$192,'Données projet'!$B$192,EJ106+EI107-ER106)))</f>
        <v>0</v>
      </c>
      <c r="EK107" s="125" t="e">
        <f aca="false">EJ107*VLOOKUP('Données projet'!$B$15,Paramètres!$A$1:$I$89,3,0)*VLOOKUP('Données projet'!$B$15,Paramètres!$A$1:$I$89,5,0)</f>
        <v>#N/A</v>
      </c>
      <c r="EL107" s="117" t="e">
        <f aca="false">EXP(-1.0587+0.8836*LN(EK107)+0.284)</f>
        <v>#N/A</v>
      </c>
      <c r="EM107" s="128" t="e">
        <f aca="false">(EK107+EL107)*0.475*44/12</f>
        <v>#N/A</v>
      </c>
      <c r="EN107" s="120" t="e">
        <f aca="false">EM107+(EE107+EF107)*44/12</f>
        <v>#N/A</v>
      </c>
      <c r="EO107" s="120" t="e">
        <f aca="true">AVERAGE(OFFSET($EN$3,0,0,'Données projet'!$E$15+1,1))-AVERAGE(OFFSET($H$3,0,0,'Données projet'!$E$15+1,1))</f>
        <v>#N/A</v>
      </c>
      <c r="EP107" s="120" t="e">
        <f aca="false">$EP$3</f>
        <v>#N/A</v>
      </c>
      <c r="EQ107" s="121" t="n">
        <f aca="false">IF(ISNA(VLOOKUP(A107,'Données projet'!$A$191:$I$211,3,0)),0,VLOOKUP(A107,'Données projet'!$A$191:$I$211,3,0))</f>
        <v>0</v>
      </c>
      <c r="ER107" s="121" t="n">
        <f aca="false">IF(ISNA(VLOOKUP(A107,'Données projet'!$A$191:$I$211,4,0)),0,VLOOKUP(A107,'Données projet'!$A$191:$I$211,4,0))</f>
        <v>0</v>
      </c>
      <c r="ES107" s="122" t="n">
        <f aca="false">IF(ISNA(VLOOKUP(A107,'Données projet'!$A$191:$I$211,5,0)),0%,VLOOKUP(A107,'Données projet'!$A$191:$I$211,5,0)*VLOOKUP('Données projet'!$B$15,Paramètres!$A$1:$I$89,7,0))</f>
        <v>0</v>
      </c>
      <c r="ET107" s="122" t="n">
        <f aca="false">IF(ISNA(VLOOKUP(A107,'Données projet'!$A$191:$I$211,6,0)),0%,VLOOKUP(A107,'Données projet'!$A$191:$I$211,6,0)*VLOOKUP('Données projet'!$B$15,Paramètres!$A$1:$I$89,7,0))</f>
        <v>0</v>
      </c>
      <c r="EU107" s="122" t="n">
        <f aca="false">IF(ISNA(VLOOKUP(A107,'Données projet'!$A$191:$I$211,7,0)),0%,VLOOKUP(A107,'Données projet'!$A$191:$I$211,7,0))</f>
        <v>0</v>
      </c>
      <c r="EV107" s="129" t="e">
        <f aca="false">EXP(-LN(2)/35)*EV106+(1-EXP(-LN(2)/35))/(LN(2)/35)*ER107*ES107*VLOOKUP('Données projet'!$B$15,Paramètres!$A$1:$I$89,3,0)*0.475*44/12</f>
        <v>#N/A</v>
      </c>
      <c r="EW107" s="129" t="e">
        <f aca="false">EXP(-LN(2)/25)*EW106+(1-EXP(-LN(2)/25))/(LN(2)/25)*Calculateur!ER107*Calculateur!ET107*VLOOKUP('Données projet'!$B$15,Paramètres!$A$1:$I$89,3,0)*0.475*44/12</f>
        <v>#N/A</v>
      </c>
      <c r="EX107" s="129" t="e">
        <f aca="false">EXP(-LN(2)/2)*EX106+(1-EXP(-LN(2)/2))/(LN(2)/2)*ER107*EU107*VLOOKUP('Données projet'!$B$15,Paramètres!$A$1:$I$89,3,0)*0.475*44/12</f>
        <v>#N/A</v>
      </c>
      <c r="EY107" s="130" t="e">
        <f aca="false">SUM(EV107:EX107)</f>
        <v>#N/A</v>
      </c>
      <c r="EZ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8" t="e">
        <f aca="false">VLOOKUP(A107,'Données projet'!$A$217:$I$237,2,0)</f>
        <v>#N/A</v>
      </c>
      <c r="FC107" s="118" t="e">
        <f aca="false">VLOOKUP(A107,'Données projet'!$A$217:$I$237,9,0)</f>
        <v>#N/A</v>
      </c>
      <c r="FD107" s="118" t="e">
        <f aca="false" t="array" ref="FD107:FD107">INDEX(FC:FC,MIN(IF(ISNUMBER(FC107:FC303),ROW(FC107:FC303),"")))</f>
        <v>#N/A</v>
      </c>
      <c r="FE107" s="118" t="n">
        <f aca="false">IF('Données projet'!$A$218&gt;35,FE106+FD107-FM106,IF(A107&lt;'Données projet'!$A$218,$FB$205^A107,IF(A107='Données projet'!$A$218,'Données projet'!$B$218,FE106+FD107-FM106)))</f>
        <v>0</v>
      </c>
      <c r="FF107" s="125" t="e">
        <f aca="false">FE107*VLOOKUP('Données projet'!$B$16,Paramètres!$A$1:$I$89,3,0)*VLOOKUP('Données projet'!$B$16,Paramètres!$A$1:$I$89,5,0)</f>
        <v>#N/A</v>
      </c>
      <c r="FG107" s="117" t="e">
        <f aca="false">EXP(-1.0587+0.8836*LN(FF107)+0.284)</f>
        <v>#N/A</v>
      </c>
      <c r="FH107" s="128" t="e">
        <f aca="false">(FF107+FG107)*0.475*44/12</f>
        <v>#N/A</v>
      </c>
      <c r="FI107" s="120" t="e">
        <f aca="false">FH107+(EZ107+FA107)*44/12</f>
        <v>#N/A</v>
      </c>
      <c r="FJ107" s="120" t="e">
        <f aca="true">AVERAGE(OFFSET($FI$3,0,0,'Données projet'!$E$16+1,1))-AVERAGE(OFFSET($H$3,0,0,'Données projet'!$E$16+1,1))</f>
        <v>#N/A</v>
      </c>
      <c r="FK107" s="120" t="e">
        <f aca="false">$FK$3</f>
        <v>#N/A</v>
      </c>
      <c r="FL107" s="121" t="n">
        <f aca="false">IF(ISNA(VLOOKUP(A107,'Données projet'!$A$217:$I$237,3,0)),0,VLOOKUP(A107,'Données projet'!$A$217:$I$237,3,0))</f>
        <v>0</v>
      </c>
      <c r="FM107" s="121" t="n">
        <f aca="false">IF(ISNA(VLOOKUP(A107,'Données projet'!$A$217:$I$237,4,0)),0,VLOOKUP(A107,'Données projet'!$A$217:$I$237,4,0))</f>
        <v>0</v>
      </c>
      <c r="FN107" s="122" t="n">
        <f aca="false">IF(ISNA(VLOOKUP(A107,'Données projet'!$A$217:$I$237,5,0)),0%,VLOOKUP(A107,'Données projet'!$A$217:$I$237,5,0)*VLOOKUP('Données projet'!$B$16,Paramètres!$A$1:$I$89,7,0))</f>
        <v>0</v>
      </c>
      <c r="FO107" s="122" t="n">
        <f aca="false">IF(ISNA(VLOOKUP(A107,'Données projet'!$A$217:$I$237,6,0)),0%,VLOOKUP(A107,'Données projet'!$A$217:$I$237,6,0)*VLOOKUP('Données projet'!$B$16,Paramètres!$A$1:$I$89,7,0))</f>
        <v>0</v>
      </c>
      <c r="FP107" s="122" t="n">
        <f aca="false">IF(ISNA(VLOOKUP(A107,'Données projet'!$A$217:$I$237,7,0)),0%,VLOOKUP(A107,'Données projet'!$A$217:$I$237,7,0))</f>
        <v>0</v>
      </c>
      <c r="FQ107" s="129" t="e">
        <f aca="false">EXP(-LN(2)/35)*FQ106+(1-EXP(-LN(2)/35))/(LN(2)/35)*FM107*FN107*VLOOKUP('Données projet'!$B$16,Paramètres!$A$1:$I$89,3,0)*0.475*44/12</f>
        <v>#N/A</v>
      </c>
      <c r="FR107" s="129" t="e">
        <f aca="false">EXP(-LN(2)/25)*FR106+(1-EXP(-LN(2)/25))/(LN(2)/25)*Calculateur!FM107*Calculateur!FO107*VLOOKUP('Données projet'!$B$16,Paramètres!$A$1:$I$89,3,0)*0.475*44/12</f>
        <v>#N/A</v>
      </c>
      <c r="FS107" s="129" t="e">
        <f aca="false">EXP(-LN(2)/2)*FS106+(1-EXP(-LN(2)/2))/(LN(2)/2)*FM107*FP107*VLOOKUP('Données projet'!$B$16,Paramètres!$A$1:$I$89,3,0)*0.475*44/12</f>
        <v>#N/A</v>
      </c>
      <c r="FT107" s="130" t="e">
        <f aca="false">SUM(FQ107:FS107)</f>
        <v>#N/A</v>
      </c>
      <c r="FU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8" t="e">
        <f aca="false">VLOOKUP(A107,'Données projet'!$A$243:$I$263,2,0)</f>
        <v>#N/A</v>
      </c>
      <c r="FX107" s="118" t="e">
        <f aca="false">VLOOKUP(A107,'Données projet'!$A$243:$I$263,9,0)</f>
        <v>#N/A</v>
      </c>
      <c r="FY107" s="118" t="e">
        <f aca="false" t="array" ref="FY107:FY107">INDEX(FX:FX,MIN(IF(ISNUMBER(FX107:FX303),ROW(FX107:FX303),"")))</f>
        <v>#N/A</v>
      </c>
      <c r="FZ107" s="118" t="n">
        <f aca="false">IF('Données projet'!$A$244&gt;35,FZ106+FY107-GH106,IF(A107&lt;'Données projet'!$A$244,$FW$205^A107,IF(A107='Données projet'!$A$244,'Données projet'!$B$244,FZ106+FY107-GH106)))</f>
        <v>0</v>
      </c>
      <c r="GA107" s="125" t="e">
        <f aca="false">FZ107*VLOOKUP('Données projet'!$B$17,Paramètres!$A$1:$I$89,3,0)*VLOOKUP('Données projet'!$B$17,Paramètres!$A$1:$I$89,5,0)</f>
        <v>#N/A</v>
      </c>
      <c r="GB107" s="117" t="e">
        <f aca="false">EXP(-1.0587+0.8836*LN(GA107)+0.284)</f>
        <v>#N/A</v>
      </c>
      <c r="GC107" s="128" t="e">
        <f aca="false">(GA107+GB107)*0.475*44/12</f>
        <v>#N/A</v>
      </c>
      <c r="GD107" s="120" t="e">
        <f aca="false">GC107+(FU107+FV107)*44/12</f>
        <v>#N/A</v>
      </c>
      <c r="GE107" s="120" t="e">
        <f aca="true">AVERAGE(OFFSET($GD$3,0,0,'Données projet'!$E$17+1,1))-AVERAGE(OFFSET($H$3,0,0,'Données projet'!$E$17+1,1))</f>
        <v>#N/A</v>
      </c>
      <c r="GF107" s="120" t="e">
        <f aca="false">$GF$3</f>
        <v>#N/A</v>
      </c>
      <c r="GG107" s="121" t="n">
        <f aca="false">IF(ISNA(VLOOKUP(A107,'Données projet'!$A$243:$I$263,3,0)),0,VLOOKUP(A107,'Données projet'!$A$243:$I$263,3,0))</f>
        <v>0</v>
      </c>
      <c r="GH107" s="121" t="n">
        <f aca="false">IF(ISNA(VLOOKUP(A107,'Données projet'!$A$243:$I$263,4,0)),0,VLOOKUP(A107,'Données projet'!$A$243:$I$263,4,0))</f>
        <v>0</v>
      </c>
      <c r="GI107" s="122" t="n">
        <f aca="false">IF(ISNA(VLOOKUP(A107,'Données projet'!$A$243:$I$263,5,0)),0%,VLOOKUP(A107,'Données projet'!$A$243:$I$263,5,0)*VLOOKUP('Données projet'!$B$17,Paramètres!$A$1:$I$89,7,0))</f>
        <v>0</v>
      </c>
      <c r="GJ107" s="122" t="n">
        <f aca="false">IF(ISNA(VLOOKUP(A107,'Données projet'!$A$243:$I$263,6,0)),0%,VLOOKUP(A107,'Données projet'!$A$243:$I$263,6,0)*VLOOKUP('Données projet'!$B$17,Paramètres!$A$1:$I$89,7,0))</f>
        <v>0</v>
      </c>
      <c r="GK107" s="122" t="n">
        <f aca="false">IF(ISNA(VLOOKUP(A107,'Données projet'!$A$243:$I$263,7,0)),0%,VLOOKUP(A107,'Données projet'!$A$243:$I$263,7,0))</f>
        <v>0</v>
      </c>
      <c r="GL107" s="129" t="e">
        <f aca="false">EXP(-LN(2)/35)*GL106+(1-EXP(-LN(2)/35))/(LN(2)/35)*GH107*GI107*VLOOKUP('Données projet'!$B$17,Paramètres!$A$1:$I$89,3,0)*0.475*44/12</f>
        <v>#N/A</v>
      </c>
      <c r="GM107" s="129" t="e">
        <f aca="false">EXP(-LN(2)/25)*GM106+(1-EXP(-LN(2)/25))/(LN(2)/25)*Calculateur!GH107*Calculateur!GJ107*VLOOKUP('Données projet'!$B$17,Paramètres!$A$1:$I$89,3,0)*0.475*44/12</f>
        <v>#N/A</v>
      </c>
      <c r="GN107" s="129" t="e">
        <f aca="false">EXP(-LN(2)/2)*GN106+(1-EXP(-LN(2)/2))/(LN(2)/2)*GH107*GK107*VLOOKUP('Données projet'!$B$17,Paramètres!$A$1:$I$89,3,0)*0.475*44/12</f>
        <v>#N/A</v>
      </c>
      <c r="GO107" s="129" t="e">
        <f aca="false">SUM(GL107:GN107)</f>
        <v>#N/A</v>
      </c>
      <c r="GP107" s="126" t="n">
        <f aca="false"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8" t="n">
        <f aca="false"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8" t="e">
        <f aca="false">VLOOKUP(A107,'Données projet'!$A$269:$I$289,2,0)</f>
        <v>#N/A</v>
      </c>
      <c r="GS107" s="118" t="e">
        <f aca="false">VLOOKUP(A107,'Données projet'!$A$269:$I$289,9,0)</f>
        <v>#N/A</v>
      </c>
      <c r="GT107" s="118" t="e">
        <f aca="false" t="array" ref="GT107:GT107">INDEX(GS:GS,MIN(IF(ISNUMBER(GS107:GS303),ROW(GS107:GS303),"")))</f>
        <v>#N/A</v>
      </c>
      <c r="GU107" s="118" t="n">
        <f aca="false">IF('Données projet'!$A$270&gt;35,GU106+GT107-HC106,IF(A107&lt;'Données projet'!$A$270,$GR$205^A107,IF(A107='Données projet'!$A$270,'Données projet'!$B$270,GU106+GT107-HC106)))</f>
        <v>0</v>
      </c>
      <c r="GV107" s="125" t="e">
        <f aca="false">GU107*VLOOKUP('Données projet'!$B$18,Paramètres!$A$1:$I$89,3,0)*VLOOKUP('Données projet'!$B$18,Paramètres!$A$1:$I$89,5,0)</f>
        <v>#N/A</v>
      </c>
      <c r="GW107" s="117" t="e">
        <f aca="false">EXP(-1.0587+0.8836*LN(GV107)+0.284)</f>
        <v>#N/A</v>
      </c>
      <c r="GX107" s="128" t="e">
        <f aca="false">(GV107+GW107)*0.475*44/12</f>
        <v>#N/A</v>
      </c>
      <c r="GY107" s="120" t="e">
        <f aca="false">GX107+(GP107+GQ107)*44/12</f>
        <v>#N/A</v>
      </c>
      <c r="GZ107" s="120" t="e">
        <f aca="true">AVERAGE(OFFSET($GY$3,0,0,'Données projet'!$E$18+1,1))-AVERAGE(OFFSET($H$3,0,0,'Données projet'!$E$18+1,1))</f>
        <v>#N/A</v>
      </c>
      <c r="HA107" s="120" t="e">
        <f aca="false">$HA$3</f>
        <v>#N/A</v>
      </c>
      <c r="HB107" s="121" t="n">
        <f aca="false">IF(ISNA(VLOOKUP(A107,'Données projet'!$A$269:$I$289,3,0)),0,VLOOKUP(A107,'Données projet'!$A$269:$I$289,3,0))</f>
        <v>0</v>
      </c>
      <c r="HC107" s="121" t="n">
        <f aca="false">IF(ISNA(VLOOKUP(A107,'Données projet'!$A$269:$I$289,4,0)),0,VLOOKUP(A107,'Données projet'!$A$269:$I$289,4,0))</f>
        <v>0</v>
      </c>
      <c r="HD107" s="122" t="n">
        <f aca="false">IF(ISNA(VLOOKUP(A107,'Données projet'!$A$269:$I$289,5,0)),0%,VLOOKUP(A107,'Données projet'!$A$269:$I$289,5,0)*VLOOKUP('Données projet'!$B$18,Paramètres!$A$1:$I$89,7,0))</f>
        <v>0</v>
      </c>
      <c r="HE107" s="122" t="n">
        <f aca="false">IF(ISNA(VLOOKUP(A107,'Données projet'!$A$269:$I$289,6,0)),0%,VLOOKUP(A107,'Données projet'!$A$269:$I$289,6,0)*VLOOKUP('Données projet'!$B$18,Paramètres!$A$1:$I$89,7,0))</f>
        <v>0</v>
      </c>
      <c r="HF107" s="122" t="n">
        <f aca="false">IF(ISNA(VLOOKUP(A107,'Données projet'!$A$269:$I$289,7,0)),0%,VLOOKUP(A107,'Données projet'!$A$269:$I$289,7,0))</f>
        <v>0</v>
      </c>
      <c r="HG107" s="129" t="e">
        <f aca="false">EXP(-LN(2)/35)*HG106+(1-EXP(-LN(2)/35))/(LN(2)/35)*HC107*HD107*VLOOKUP('Données projet'!$B$18,Paramètres!$A$1:$I$89,3,0)*0.475*44/12</f>
        <v>#N/A</v>
      </c>
      <c r="HH107" s="129" t="e">
        <f aca="false">EXP(-LN(2)/25)*HH106+(1-EXP(-LN(2)/25))/(LN(2)/25)*Calculateur!HC107*Calculateur!HE107*VLOOKUP('Données projet'!$B$18,Paramètres!$A$1:$I$89,3,0)*0.475*44/12</f>
        <v>#N/A</v>
      </c>
      <c r="HI107" s="129" t="e">
        <f aca="false">EXP(-LN(2)/2)*HI106+(1-EXP(-LN(2)/2))/(LN(2)/2)*HC107*HF107*VLOOKUP('Données projet'!$B$18,Paramètres!$A$1:$I$89,3,0)*0.475*44/12</f>
        <v>#N/A</v>
      </c>
      <c r="HJ107" s="130" t="e">
        <f aca="false">SUM(HG107:HI107)</f>
        <v>#N/A</v>
      </c>
    </row>
    <row r="108" customFormat="false" ht="14.25" hidden="false" customHeight="false" outlineLevel="0" collapsed="false">
      <c r="A108" s="112" t="n">
        <f aca="false">A107+1</f>
        <v>105</v>
      </c>
      <c r="B108" s="113" t="n">
        <f aca="false">'Scénario référence'!$B$16*5+'Scénario référence'!$B$17*0+'Scénario référence'!$B$18*5</f>
        <v>0</v>
      </c>
      <c r="C108" s="127" t="n">
        <f aca="false"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4" t="n">
        <f aca="false">IFERROR(EXP(-1.0587+0.8836*LN(C108)+0.284),0)</f>
        <v>0</v>
      </c>
      <c r="E10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8" s="114" t="n">
        <f aca="false">IF(OR('Scénario référence'!$F$8&gt;0,'Scénario référence'!$F$9&gt;0),('Scénario référence'!$F$8+'Scénario référence'!$F$9)*10,0)</f>
        <v>0</v>
      </c>
      <c r="G108" s="114" t="n">
        <f aca="false"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15" t="n">
        <f aca="false">(B108+E108+F108)*44/12+(C108+D108)*0.475*44/12</f>
        <v>256.666666666667</v>
      </c>
      <c r="I108" s="11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7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8" t="e">
        <f aca="false">VLOOKUP(A108,'Données projet'!$A$35:$I$55,2,0)</f>
        <v>#N/A</v>
      </c>
      <c r="L108" s="118" t="e">
        <f aca="false">VLOOKUP(A108,'Données projet'!$A$35:$I$55,9,0)</f>
        <v>#N/A</v>
      </c>
      <c r="M108" s="118" t="e">
        <f aca="false" t="array" ref="M108:M108">INDEX(L:L,MIN(IF(ISNUMBER(L108:L304),ROW(L108:L304),"")))</f>
        <v>#N/A</v>
      </c>
      <c r="N108" s="117" t="n">
        <f aca="false">IF('Données projet'!$A$36&gt;35,N107+M108-V107,IF(A108&lt;'Données projet'!$A$36,$K$205^A108,IF(A108='Données projet'!$A$36,'Données projet'!$B$36,N107+M108-V107)))</f>
        <v>-1.13686837721616E-013</v>
      </c>
      <c r="O108" s="117" t="n">
        <f aca="false">N108*VLOOKUP('Données projet'!$B$9,Paramètres!$A$1:$I$89,3,0)*VLOOKUP('Données projet'!$B$9,Paramètres!$A$1:$I$89,5,0)</f>
        <v>-5.32054400537163E-014</v>
      </c>
      <c r="P108" s="117" t="e">
        <f aca="false">EXP(-1.0587+0.8836*LN(O108)+0.284)</f>
        <v>#VALUE!</v>
      </c>
      <c r="Q108" s="128" t="e">
        <f aca="false">(O108+P108)*0.475*44/12</f>
        <v>#VALUE!</v>
      </c>
      <c r="R108" s="120" t="e">
        <f aca="false">Q108+(I108+J108)*44/12</f>
        <v>#VALUE!</v>
      </c>
      <c r="S108" s="120" t="n">
        <f aca="true">AVERAGE(OFFSET($R$3,0,0,'Données projet'!$E$9+1,1))-AVERAGE(OFFSET($H$3,0,0,'Données projet'!$E$9+1,1))</f>
        <v>319.229030946746</v>
      </c>
      <c r="T108" s="120" t="n">
        <f aca="false">$T$3</f>
        <v>254.586909731428</v>
      </c>
      <c r="U108" s="121" t="n">
        <f aca="false">IF(ISNA(VLOOKUP(A108,'Données projet'!$A$35:$I$55,3,0)),0,VLOOKUP(A108,'Données projet'!$A$35:$I$55,3,0))</f>
        <v>0</v>
      </c>
      <c r="V108" s="121" t="n">
        <f aca="false">IF(ISNA(VLOOKUP(A108,'Données projet'!$A$35:$I$55,4,0)),0,VLOOKUP(A108,'Données projet'!$A$35:$I$55,4,0))</f>
        <v>0</v>
      </c>
      <c r="W108" s="122" t="n">
        <f aca="false">IF(ISNA(VLOOKUP(A108,'Données projet'!$A$35:$I$55,5,0)),0%,VLOOKUP(A108,'Données projet'!$A$35:$I$55,5,0)*VLOOKUP('Données projet'!$B$9,Paramètres!$A$1:$I$89,7,0))</f>
        <v>0</v>
      </c>
      <c r="X108" s="122" t="n">
        <f aca="false">IF(ISNA(VLOOKUP(A108,'Données projet'!$A$35:$I$55,6,0)),0%,VLOOKUP(A108,'Données projet'!$A$35:$I$55,6,0)*VLOOKUP('Données projet'!$B$9,Paramètres!$A$1:$I$89,7,0))</f>
        <v>0</v>
      </c>
      <c r="Y108" s="122" t="n">
        <f aca="false">IF(ISNA(VLOOKUP(A108,'Données projet'!$A$35:$I$55,7,0)),0%,VLOOKUP(A108,'Données projet'!$A$35:$I$55,7,0))</f>
        <v>0</v>
      </c>
      <c r="Z108" s="129" t="n">
        <f aca="false">EXP(-LN(2)/35)*Z107+(1-EXP(-LN(2)/35))/(LN(2)/35)*V108*W108*VLOOKUP('Données projet'!$B$9,Paramètres!$A$1:$I$89,3,0)*0.475*44/12</f>
        <v>2.05512483874559</v>
      </c>
      <c r="AA108" s="129" t="n">
        <f aca="false">EXP(-LN(2)/25)*AA107+(1-EXP(-LN(2)/25))/(LN(2)/25)*Calculateur!V108*Calculateur!X108*VLOOKUP('Données projet'!$B$9,Paramètres!$A$1:$I$89,3,0)*0.475*44/12</f>
        <v>1.39391502708624</v>
      </c>
      <c r="AB108" s="129" t="n">
        <f aca="false">EXP(-LN(2)/2)*AB107+(1-EXP(-LN(2)/2))/(LN(2)/2)*V108*Y108*VLOOKUP('Données projet'!$B$9,Paramètres!$A$1:$I$89,3,0)*0.475*44/12</f>
        <v>5.68155603061593E-011</v>
      </c>
      <c r="AC108" s="130" t="n">
        <f aca="false">SUM(Z108:AB108)</f>
        <v>3.44903986588865</v>
      </c>
      <c r="AD108" s="117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7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8" t="e">
        <f aca="false">VLOOKUP(A108,'Données projet'!$A$61:$I$81,2,0)</f>
        <v>#N/A</v>
      </c>
      <c r="AG108" s="118" t="e">
        <f aca="false">VLOOKUP(A108,'Données projet'!$A$61:$I$81,9,0)</f>
        <v>#N/A</v>
      </c>
      <c r="AH108" s="118" t="e">
        <f aca="false" t="array" ref="AH108:AH108">INDEX(AG:AG,MIN(IF(ISNUMBER(AG108:AG304),ROW(AG108:AG304),"")))</f>
        <v>#N/A</v>
      </c>
      <c r="AI108" s="117" t="n">
        <f aca="false">IF('Données projet'!$A$62&gt;35,AI107+AH108-AQ107,IF(A108&lt;'Données projet'!$A$62,$AF$205^A108,IF(A108='Données projet'!$A$62,'Données projet'!$B$62,AI107+AH108-AQ107)))</f>
        <v>1.13686837721616E-013</v>
      </c>
      <c r="AJ108" s="117" t="n">
        <f aca="false">AI108*VLOOKUP('Données projet'!$B$10,Paramètres!$A$1:$I$89,3,0)*VLOOKUP('Données projet'!$B$10,Paramètres!$A$1:$I$89,5,0)</f>
        <v>6.35509422863834E-014</v>
      </c>
      <c r="AK108" s="117" t="n">
        <f aca="false">EXP(-1.0587+0.8836*LN(AJ108)+0.284)</f>
        <v>1.0064464192544E-012</v>
      </c>
      <c r="AL108" s="128" t="n">
        <f aca="false">(AJ108+AK108)*0.475*44/12</f>
        <v>1.86357873801686E-012</v>
      </c>
      <c r="AM108" s="120" t="n">
        <f aca="false">AL108+(AD108+AE108)*44/12</f>
        <v>293.333333333335</v>
      </c>
      <c r="AN108" s="120" t="n">
        <f aca="true">AVERAGE(OFFSET($AM$3,0,0,'Données projet'!$E$10+1,1))-AVERAGE(OFFSET($H$3,0,0,'Données projet'!$E$10+1,1))</f>
        <v>365.705101827279</v>
      </c>
      <c r="AO108" s="120" t="n">
        <f aca="false">$AO$3</f>
        <v>436.238338449625</v>
      </c>
      <c r="AP108" s="121" t="n">
        <f aca="false">IF(ISNA(VLOOKUP(A108,'Données projet'!$A$61:$I$81,3,0)),0,VLOOKUP(A108,'Données projet'!$A$61:$I$81,3,0))</f>
        <v>0</v>
      </c>
      <c r="AQ108" s="121" t="n">
        <f aca="false">IF(ISNA(VLOOKUP(A108,'Données projet'!$A$61:$I$81,4,0)),0,VLOOKUP(A108,'Données projet'!$A$61:$I$81,4,0))</f>
        <v>0</v>
      </c>
      <c r="AR108" s="122" t="n">
        <f aca="false">IF(ISNA(VLOOKUP(A108,'Données projet'!$A$61:$I$81,5,0)),0%,VLOOKUP(A108,'Données projet'!$A$61:$I$81,5,0)*VLOOKUP('Données projet'!$B$10,Paramètres!$A$1:$I$89,7,0))</f>
        <v>0</v>
      </c>
      <c r="AS108" s="122" t="n">
        <f aca="false">IF(ISNA(VLOOKUP(A108,'Données projet'!$A$61:$I$81,6,0)),0%,VLOOKUP(A108,'Données projet'!$A$61:$I$81,6,0)*VLOOKUP('Données projet'!$B$10,Paramètres!$A$1:$I$89,7,0))</f>
        <v>0</v>
      </c>
      <c r="AT108" s="122" t="n">
        <f aca="false">IF(ISNA(VLOOKUP(A108,'Données projet'!$A$61:$I$81,7,0)),0%,VLOOKUP(A108,'Données projet'!$A$61:$I$81,7,0))</f>
        <v>0</v>
      </c>
      <c r="AU108" s="129" t="n">
        <f aca="false">EXP(-LN(2)/35)*AU107+(1-EXP(-LN(2)/35))/(LN(2)/35)*AQ108*AR108*VLOOKUP('Données projet'!$B$10,Paramètres!$A$1:$I$89,3,0)*0.475*44/12</f>
        <v>0.775742996582157</v>
      </c>
      <c r="AV108" s="129" t="n">
        <f aca="false">EXP(-LN(2)/25)*AV107+(1-EXP(-LN(2)/25))/(LN(2)/25)*Calculateur!AQ108*Calculateur!AS108*VLOOKUP('Données projet'!$B$10,Paramètres!$A$1:$I$89,3,0)*0.475*44/12</f>
        <v>1.65101698076971</v>
      </c>
      <c r="AW108" s="129" t="n">
        <f aca="false">EXP(-LN(2)/2)*AW107+(1-EXP(-LN(2)/2))/(LN(2)/2)*AQ108*AT108*VLOOKUP('Données projet'!$B$10,Paramètres!$A$1:$I$89,3,0)*0.475*44/12</f>
        <v>3.05763588002098E-011</v>
      </c>
      <c r="AX108" s="129" t="n">
        <f aca="false">SUM(AU108:AW108)</f>
        <v>2.42675997738244</v>
      </c>
      <c r="AY108" s="124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8" t="e">
        <f aca="false">VLOOKUP(A108,'Données projet'!$A$87:$I$107,2,0)</f>
        <v>#N/A</v>
      </c>
      <c r="BB108" s="118" t="e">
        <f aca="false">VLOOKUP(A108,'Données projet'!$A$87:$I$107,9,0)</f>
        <v>#N/A</v>
      </c>
      <c r="BC108" s="118" t="e">
        <f aca="false" t="array" ref="BC108:BC108">INDEX(BB:BB,MIN(IF(ISNUMBER(BB108:BB304),ROW(BB108:BB304),"")))</f>
        <v>#N/A</v>
      </c>
      <c r="BD108" s="118" t="n">
        <f aca="false">IF('Données projet'!$A$88&gt;35,BD107+BC108-BL107,IF(A108&lt;'Données projet'!$A$88,$BA$205^A108,IF(A108='Données projet'!$A$88,'Données projet'!$B$88,BD107+BC108-BL107)))</f>
        <v>1.98951966012828E-013</v>
      </c>
      <c r="BE108" s="117" t="n">
        <f aca="false">BD108*VLOOKUP('Données projet'!$B$11,Paramètres!$A$1:$I$89,3,0)*VLOOKUP('Données projet'!$B$11,Paramètres!$A$1:$I$89,5,0)</f>
        <v>1.73804437508807E-013</v>
      </c>
      <c r="BF108" s="117" t="n">
        <f aca="false">EXP(-1.0587+0.8836*LN(BE108)+0.284)</f>
        <v>2.44832936339505E-012</v>
      </c>
      <c r="BG108" s="128" t="n">
        <f aca="false">(BE108+BF108)*0.475*44/12</f>
        <v>4.56688303657421E-012</v>
      </c>
      <c r="BH108" s="120" t="n">
        <f aca="false">BG108+(AY108+AZ108)*44/12</f>
        <v>293.333333333338</v>
      </c>
      <c r="BI108" s="120" t="n">
        <f aca="true">AVERAGE(OFFSET($BH$3,0,0,'Données projet'!$E$11+1,1))-AVERAGE(OFFSET($H$3,0,0,'Données projet'!$E$11+1,1))</f>
        <v>321.235999689929</v>
      </c>
      <c r="BJ108" s="120" t="n">
        <f aca="false">$BJ$3</f>
        <v>388.051958478005</v>
      </c>
      <c r="BK108" s="121" t="n">
        <f aca="false">IF(ISNA(VLOOKUP(A108,'Données projet'!$A$87:$I$107,3,0)),0,VLOOKUP(A108,'Données projet'!$A$87:$I$107,3,0))</f>
        <v>0</v>
      </c>
      <c r="BL108" s="121" t="n">
        <f aca="false">IF(ISNA(VLOOKUP(A108,'Données projet'!$A$87:$I$107,4,0)),0,VLOOKUP(A108,'Données projet'!$A$87:$I$107,4,0))</f>
        <v>0</v>
      </c>
      <c r="BM108" s="122" t="n">
        <f aca="false">IF(ISNA(VLOOKUP(A108,'Données projet'!$A$87:$I$107,5,0)),0%,VLOOKUP(A108,'Données projet'!$A$87:$I$107,5,0)*VLOOKUP('Données projet'!$B$11,Paramètres!$A$1:$I$89,7,0))</f>
        <v>0</v>
      </c>
      <c r="BN108" s="122" t="n">
        <f aca="false">IF(ISNA(VLOOKUP(A108,'Données projet'!$A$87:$I$107,6,0)),0%,VLOOKUP(A108,'Données projet'!$A$87:$I$107,6,0)*VLOOKUP('Données projet'!$B$11,Paramètres!$A$1:$I$89,7,0))</f>
        <v>0</v>
      </c>
      <c r="BO108" s="122" t="n">
        <f aca="false">IF(ISNA(VLOOKUP(A108,'Données projet'!$A$87:$I$107,7,0)),0%,VLOOKUP(A108,'Données projet'!$A$87:$I$107,7,0))</f>
        <v>0</v>
      </c>
      <c r="BP108" s="129" t="n">
        <f aca="false">EXP(-LN(2)/35)*BP107+(1-EXP(-LN(2)/35))/(LN(2)/35)*BL108*BM108*VLOOKUP('Données projet'!$B$11,Paramètres!$A$1:$I$89,3,0)*0.475*44/12</f>
        <v>1.94759693084545</v>
      </c>
      <c r="BQ108" s="129" t="n">
        <f aca="false">EXP(-LN(2)/25)*BQ107+(1-EXP(-LN(2)/25))/(LN(2)/25)*Calculateur!BL108*Calculateur!BN108*VLOOKUP('Données projet'!$B$11,Paramètres!$A$1:$I$89,3,0)*0.475*44/12</f>
        <v>1.68526006962409</v>
      </c>
      <c r="BR108" s="129" t="n">
        <f aca="false">EXP(-LN(2)/2)*BR107+(1-EXP(-LN(2)/2))/(LN(2)/2)*BL108*BO108*VLOOKUP('Données projet'!$B$11,Paramètres!$A$1:$I$89,3,0)*0.475*44/12</f>
        <v>3.10802331802298E-011</v>
      </c>
      <c r="BS108" s="130" t="n">
        <f aca="false">SUM(BP108:BR108)</f>
        <v>3.63285700050063</v>
      </c>
      <c r="BT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8" t="e">
        <f aca="false">VLOOKUP(A108,'Données projet'!$A$113:$I$133,2,0)</f>
        <v>#N/A</v>
      </c>
      <c r="BW108" s="118" t="e">
        <f aca="false">VLOOKUP(A108,'Données projet'!$A$113:$I$133,9,0)</f>
        <v>#N/A</v>
      </c>
      <c r="BX108" s="118" t="e">
        <f aca="false" t="array" ref="BX108:BX108">INDEX(BW:BW,MIN(IF(ISNUMBER(BW108:BW304),ROW(BW108:BW304),"")))</f>
        <v>#N/A</v>
      </c>
      <c r="BY108" s="118" t="n">
        <f aca="false">IF('Données projet'!$A$114&gt;35,BY107+BX108-CG107,IF(A108&lt;'Données projet'!$A$114,$BV$205^A108,IF(A108='Données projet'!$A$114,'Données projet'!$B$114,BY107+BX108-CG107)))</f>
        <v>0</v>
      </c>
      <c r="BZ108" s="117" t="n">
        <f aca="false">BY108*VLOOKUP('Données projet'!$B$12,Paramètres!$A$1:$I$89,3,0)*VLOOKUP('Données projet'!$B$12,Paramètres!$A$1:$I$89,5,0)</f>
        <v>0</v>
      </c>
      <c r="CA108" s="117" t="e">
        <f aca="false">EXP(-1.0587+0.8836*LN(BZ108)+0.284)</f>
        <v>#VALUE!</v>
      </c>
      <c r="CB108" s="128" t="e">
        <f aca="false">(BZ108+CA108)*0.475*44/12</f>
        <v>#VALUE!</v>
      </c>
      <c r="CC108" s="120" t="e">
        <f aca="false">CB108+(BT108+BU108)*44/12</f>
        <v>#VALUE!</v>
      </c>
      <c r="CD108" s="120" t="n">
        <f aca="true">AVERAGE(OFFSET($CC$3,0,0,'Données projet'!$E$12+1,1))-AVERAGE(OFFSET($H$3,0,0,'Données projet'!$E$12+1,1))</f>
        <v>240.228848647662</v>
      </c>
      <c r="CE108" s="120" t="n">
        <f aca="false">$CE$3</f>
        <v>343.237768841432</v>
      </c>
      <c r="CF108" s="121" t="n">
        <f aca="false">IF(ISNA(VLOOKUP(A108,'Données projet'!$A$113:$I$133,3,0)),0,VLOOKUP(A108,'Données projet'!$A$113:$I$133,3,0))</f>
        <v>0</v>
      </c>
      <c r="CG108" s="121" t="n">
        <f aca="false">IF(ISNA(VLOOKUP(A108,'Données projet'!$A$113:$I$133,4,0)),0,VLOOKUP(A108,'Données projet'!$A$113:$I$133,4,0))</f>
        <v>0</v>
      </c>
      <c r="CH108" s="122" t="n">
        <f aca="false">IF(ISNA(VLOOKUP(A108,'Données projet'!$A$113:$I$133,5,0)),0%,VLOOKUP(A108,'Données projet'!$A$113:$I$133,5,0)*VLOOKUP('Données projet'!$B$12,Paramètres!$A$1:$I$89,7,0))</f>
        <v>0</v>
      </c>
      <c r="CI108" s="122" t="n">
        <f aca="false">IF(ISNA(VLOOKUP(A108,'Données projet'!$A$113:$I$133,6,0)),0%,VLOOKUP(A108,'Données projet'!$A$113:$I$133,6,0)*VLOOKUP('Données projet'!$B$12,Paramètres!$A$1:$I$89,7,0))</f>
        <v>0</v>
      </c>
      <c r="CJ108" s="122" t="n">
        <f aca="false">IF(ISNA(VLOOKUP(A108,'Données projet'!$A$113:$I$133,7,0)),0%,VLOOKUP(A108,'Données projet'!$A$113:$I$133,7,0))</f>
        <v>0</v>
      </c>
      <c r="CK108" s="129" t="n">
        <f aca="false">EXP(-LN(2)/35)*CK107+(1-EXP(-LN(2)/35))/(LN(2)/35)*CG108*CH108*VLOOKUP('Données projet'!$B$12,Paramètres!$A$1:$I$89,3,0)*0.475*44/12</f>
        <v>1.19208105303836</v>
      </c>
      <c r="CL108" s="129" t="n">
        <f aca="false">EXP(-LN(2)/25)*CL107+(1-EXP(-LN(2)/25))/(LN(2)/25)*Calculateur!CG108*Calculateur!CI108*VLOOKUP('Données projet'!$B$12,Paramètres!$A$1:$I$89,3,0)*0.475*44/12</f>
        <v>2.97626684247061</v>
      </c>
      <c r="CM108" s="129" t="n">
        <f aca="false">EXP(-LN(2)/2)*CM107+(1-EXP(-LN(2)/2))/(LN(2)/2)*CG108*CJ108*VLOOKUP('Données projet'!$B$12,Paramètres!$A$1:$I$89,3,0)*0.475*44/12</f>
        <v>4.95957661702303E-011</v>
      </c>
      <c r="CN108" s="130" t="n">
        <f aca="false">SUM(CK108:CM108)</f>
        <v>4.16834789555857</v>
      </c>
      <c r="CO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8" t="e">
        <f aca="false">VLOOKUP(A108,'Données projet'!$A$139:$I$159,2,0)</f>
        <v>#N/A</v>
      </c>
      <c r="CR108" s="118" t="e">
        <f aca="false">VLOOKUP(A108,'Données projet'!$A$139:$I$159,9,0)</f>
        <v>#N/A</v>
      </c>
      <c r="CS108" s="118" t="e">
        <f aca="false" t="array" ref="CS108:CS108">INDEX(CR:CR,MIN(IF(ISNUMBER(CR108:CR304),ROW(CR108:CR304),"")))</f>
        <v>#N/A</v>
      </c>
      <c r="CT108" s="118" t="n">
        <f aca="false">IF('Données projet'!$A$140&gt;35,CT107+CS108-DB107,IF(A108&lt;'Données projet'!$A$140,$CQ$205^A108,IF(A108='Données projet'!$A$140,'Données projet'!$B$140,CT107+CS108-DB107)))</f>
        <v>-5.6843418860808E-014</v>
      </c>
      <c r="CU108" s="125" t="n">
        <f aca="false">CT108*VLOOKUP('Données projet'!$B$13,Paramètres!$A$1:$I$89,3,0)*VLOOKUP('Données projet'!$B$13,Paramètres!$A$1:$I$89,5,0)</f>
        <v>-3.10365066980012E-014</v>
      </c>
      <c r="CV108" s="117" t="e">
        <f aca="false">EXP(-1.0587+0.8836*LN(CU108)+0.284)</f>
        <v>#VALUE!</v>
      </c>
      <c r="CW108" s="128" t="e">
        <f aca="false">(CU108+CV108)*0.475*44/12</f>
        <v>#VALUE!</v>
      </c>
      <c r="CX108" s="120" t="e">
        <f aca="false">CW108+(CO108+CP108)*44/12</f>
        <v>#VALUE!</v>
      </c>
      <c r="CY108" s="120" t="n">
        <f aca="true">AVERAGE(OFFSET($CX$3,0,0,'Données projet'!$E$13+1,1))-AVERAGE(OFFSET($H$3,0,0,'Données projet'!$E$13+1,1))</f>
        <v>207.023069645676</v>
      </c>
      <c r="CZ108" s="120" t="n">
        <f aca="false">$CZ$3</f>
        <v>342.068879333518</v>
      </c>
      <c r="DA108" s="121" t="n">
        <f aca="false">IF(ISNA(VLOOKUP(A108,'Données projet'!$A$139:$I$159,3,0)),0,VLOOKUP(A108,'Données projet'!$A$139:$I$159,3,0))</f>
        <v>0</v>
      </c>
      <c r="DB108" s="121" t="n">
        <f aca="false">IF(ISNA(VLOOKUP(A108,'Données projet'!$A$139:$I$159,4,0)),0,VLOOKUP(A108,'Données projet'!$A$139:$I$159,4,0))</f>
        <v>0</v>
      </c>
      <c r="DC108" s="122" t="n">
        <f aca="false">IF(ISNA(VLOOKUP(A108,'Données projet'!$A$139:$I$159,5,0)),0%,VLOOKUP(A108,'Données projet'!$A$139:$I$159,5,0)*VLOOKUP('Données projet'!$B$13,Paramètres!$A$1:$I$89,7,0))</f>
        <v>0</v>
      </c>
      <c r="DD108" s="122" t="n">
        <f aca="false">IF(ISNA(VLOOKUP(A108,'Données projet'!$A$139:$I$159,6,0)),0%,VLOOKUP(A108,'Données projet'!$A$139:$I$159,6,0)*VLOOKUP('Données projet'!$B$13,Paramètres!$A$1:$I$89,7,0))</f>
        <v>0</v>
      </c>
      <c r="DE108" s="122" t="n">
        <f aca="false">IF(ISNA(VLOOKUP(A108,'Données projet'!$A$139:$I$159,7,0)),0%,VLOOKUP(A108,'Données projet'!$A$139:$I$159,7,0))</f>
        <v>0</v>
      </c>
      <c r="DF108" s="129" t="n">
        <f aca="false">EXP(-LN(2)/35)*DF107+(1-EXP(-LN(2)/35))/(LN(2)/35)*DB108*DC108*VLOOKUP('Données projet'!$B$13,Paramètres!$A$1:$I$89,3,0)*0.475*44/12</f>
        <v>1.49572434013304</v>
      </c>
      <c r="DG108" s="129" t="n">
        <f aca="false">EXP(-LN(2)/25)*DG107+(1-EXP(-LN(2)/25))/(LN(2)/25)*Calculateur!DB108*Calculateur!DD108*VLOOKUP('Données projet'!$B$13,Paramètres!$A$1:$I$89,3,0)*0.475*44/12</f>
        <v>4.86495670555481</v>
      </c>
      <c r="DH108" s="129" t="n">
        <f aca="false">EXP(-LN(2)/2)*DH107+(1-EXP(-LN(2)/2))/(LN(2)/2)*DB108*DE108*VLOOKUP('Données projet'!$B$13,Paramètres!$A$1:$I$89,3,0)*0.475*44/12</f>
        <v>6.82933930102535E-011</v>
      </c>
      <c r="DI108" s="130" t="n">
        <f aca="false">SUM(DF108:DH108)</f>
        <v>6.36068104575614</v>
      </c>
      <c r="DJ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8" t="e">
        <f aca="false">VLOOKUP(A108,'Données projet'!$A$165:$I$185,2,0)</f>
        <v>#N/A</v>
      </c>
      <c r="DM108" s="118" t="e">
        <f aca="false">VLOOKUP(A108,'Données projet'!$A$165:$I$185,9,0)</f>
        <v>#N/A</v>
      </c>
      <c r="DN108" s="118" t="e">
        <f aca="false" t="array" ref="DN108:DN108">INDEX(DM:DM,MIN(IF(ISNUMBER(DM108:DM304),ROW(DM108:DM304),"")))</f>
        <v>#N/A</v>
      </c>
      <c r="DO108" s="118" t="n">
        <f aca="false">IF('Données projet'!$A$166&gt;35,DO107+DN108-DW107,IF(A108&lt;'Données projet'!$A$166,$DL$205^A108,IF(A108='Données projet'!$A$166,'Données projet'!$B$166,DO107+DN108-DW107)))</f>
        <v>0</v>
      </c>
      <c r="DP108" s="125" t="n">
        <f aca="false">DO108*VLOOKUP('Données projet'!$B$14,Paramètres!$A$1:$I$89,3,0)*VLOOKUP('Données projet'!$B$14,Paramètres!$A$1:$I$89,5,0)</f>
        <v>0</v>
      </c>
      <c r="DQ108" s="117" t="e">
        <f aca="false">EXP(-1.0587+0.8836*LN(DP108)+0.284)</f>
        <v>#VALUE!</v>
      </c>
      <c r="DR108" s="128" t="e">
        <f aca="false">(DP108+DQ108)*0.475*44/12</f>
        <v>#VALUE!</v>
      </c>
      <c r="DS108" s="120" t="e">
        <f aca="false">DR108+(DJ108+DK108)*44/12</f>
        <v>#VALUE!</v>
      </c>
      <c r="DT108" s="120" t="n">
        <f aca="true">AVERAGE(OFFSET($DS$3,0,0,'Données projet'!$E$14+1,1))-AVERAGE(OFFSET($H$3,0,0,'Données projet'!$E$14+1,1))</f>
        <v>549.432320957297</v>
      </c>
      <c r="DU108" s="120" t="n">
        <f aca="false">$DU$3</f>
        <v>280.26155987301</v>
      </c>
      <c r="DV108" s="121" t="n">
        <f aca="false">IF(ISNA(VLOOKUP(A108,'Données projet'!$A$165:$I$185,3,0)),0,VLOOKUP(A108,'Données projet'!$A$165:$I$185,3,0))</f>
        <v>0</v>
      </c>
      <c r="DW108" s="121" t="n">
        <f aca="false">IF(ISNA(VLOOKUP(A108,'Données projet'!$A$165:$I$185,4,0)),0,VLOOKUP(A108,'Données projet'!$A$165:$I$185,4,0))</f>
        <v>0</v>
      </c>
      <c r="DX108" s="122" t="n">
        <f aca="false">IF(ISNA(VLOOKUP(A108,'Données projet'!$A$165:$I$185,5,0)),0%,VLOOKUP(A108,'Données projet'!$A$165:$I$185,5,0)*VLOOKUP('Données projet'!$B$14,Paramètres!$A$1:$I$89,7,0))</f>
        <v>0</v>
      </c>
      <c r="DY108" s="122" t="n">
        <f aca="false">IF(ISNA(VLOOKUP(A108,'Données projet'!$A$165:$I$185,6,0)),0%,VLOOKUP(A108,'Données projet'!$A$165:$I$185,6,0)*VLOOKUP('Données projet'!$B$14,Paramètres!$A$1:$I$89,7,0))</f>
        <v>0</v>
      </c>
      <c r="DZ108" s="122" t="n">
        <f aca="false">IF(ISNA(VLOOKUP(A108,'Données projet'!$A$165:$I$185,7,0)),0%,VLOOKUP(A108,'Données projet'!$A$165:$I$185,7,0))</f>
        <v>0</v>
      </c>
      <c r="EA108" s="129" t="n">
        <f aca="false">EXP(-LN(2)/35)*EA107+(1-EXP(-LN(2)/35))/(LN(2)/35)*DW108*DX108*VLOOKUP('Données projet'!$B$14,Paramètres!$A$1:$I$89,3,0)*0.475*44/12</f>
        <v>0.543843702274194</v>
      </c>
      <c r="EB108" s="129" t="n">
        <f aca="false">EXP(-LN(2)/25)*EB107+(1-EXP(-LN(2)/25))/(LN(2)/25)*Calculateur!DW108*Calculateur!DY108*VLOOKUP('Données projet'!$B$14,Paramètres!$A$1:$I$89,3,0)*0.475*44/12</f>
        <v>0.969195359655278</v>
      </c>
      <c r="EC108" s="129" t="n">
        <f aca="false">EXP(-LN(2)/2)*EC107+(1-EXP(-LN(2)/2))/(LN(2)/2)*DW108*DZ108*VLOOKUP('Données projet'!$B$14,Paramètres!$A$1:$I$89,3,0)*0.475*44/12</f>
        <v>3.14818464314529E-011</v>
      </c>
      <c r="ED108" s="130" t="n">
        <f aca="false">SUM(EA108:EC108)</f>
        <v>1.51303906196095</v>
      </c>
      <c r="EE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8" t="e">
        <f aca="false">VLOOKUP(A108,'Données projet'!$A$191:$I$211,2,0)</f>
        <v>#N/A</v>
      </c>
      <c r="EH108" s="118" t="e">
        <f aca="false">VLOOKUP(A108,'Données projet'!$A$191:$I$211,9,0)</f>
        <v>#N/A</v>
      </c>
      <c r="EI108" s="118" t="e">
        <f aca="false" t="array" ref="EI108:EI108">INDEX(EH:EH,MIN(IF(ISNUMBER(EH108:EH304),ROW(EH108:EH304),"")))</f>
        <v>#N/A</v>
      </c>
      <c r="EJ108" s="118" t="n">
        <f aca="false">IF('Données projet'!$A$192&gt;35,EJ107+EI108-ER107,IF(A108&lt;'Données projet'!$A$192,$EG$205^A108,IF(A108='Données projet'!$A$192,'Données projet'!$B$192,EJ107+EI108-ER107)))</f>
        <v>0</v>
      </c>
      <c r="EK108" s="125" t="e">
        <f aca="false">EJ108*VLOOKUP('Données projet'!$B$15,Paramètres!$A$1:$I$89,3,0)*VLOOKUP('Données projet'!$B$15,Paramètres!$A$1:$I$89,5,0)</f>
        <v>#N/A</v>
      </c>
      <c r="EL108" s="117" t="e">
        <f aca="false">EXP(-1.0587+0.8836*LN(EK108)+0.284)</f>
        <v>#N/A</v>
      </c>
      <c r="EM108" s="128" t="e">
        <f aca="false">(EK108+EL108)*0.475*44/12</f>
        <v>#N/A</v>
      </c>
      <c r="EN108" s="120" t="e">
        <f aca="false">EM108+(EE108+EF108)*44/12</f>
        <v>#N/A</v>
      </c>
      <c r="EO108" s="120" t="e">
        <f aca="true">AVERAGE(OFFSET($EN$3,0,0,'Données projet'!$E$15+1,1))-AVERAGE(OFFSET($H$3,0,0,'Données projet'!$E$15+1,1))</f>
        <v>#N/A</v>
      </c>
      <c r="EP108" s="120" t="e">
        <f aca="false">$EP$3</f>
        <v>#N/A</v>
      </c>
      <c r="EQ108" s="121" t="n">
        <f aca="false">IF(ISNA(VLOOKUP(A108,'Données projet'!$A$191:$I$211,3,0)),0,VLOOKUP(A108,'Données projet'!$A$191:$I$211,3,0))</f>
        <v>0</v>
      </c>
      <c r="ER108" s="121" t="n">
        <f aca="false">IF(ISNA(VLOOKUP(A108,'Données projet'!$A$191:$I$211,4,0)),0,VLOOKUP(A108,'Données projet'!$A$191:$I$211,4,0))</f>
        <v>0</v>
      </c>
      <c r="ES108" s="122" t="n">
        <f aca="false">IF(ISNA(VLOOKUP(A108,'Données projet'!$A$191:$I$211,5,0)),0%,VLOOKUP(A108,'Données projet'!$A$191:$I$211,5,0)*VLOOKUP('Données projet'!$B$15,Paramètres!$A$1:$I$89,7,0))</f>
        <v>0</v>
      </c>
      <c r="ET108" s="122" t="n">
        <f aca="false">IF(ISNA(VLOOKUP(A108,'Données projet'!$A$191:$I$211,6,0)),0%,VLOOKUP(A108,'Données projet'!$A$191:$I$211,6,0)*VLOOKUP('Données projet'!$B$15,Paramètres!$A$1:$I$89,7,0))</f>
        <v>0</v>
      </c>
      <c r="EU108" s="122" t="n">
        <f aca="false">IF(ISNA(VLOOKUP(A108,'Données projet'!$A$191:$I$211,7,0)),0%,VLOOKUP(A108,'Données projet'!$A$191:$I$211,7,0))</f>
        <v>0</v>
      </c>
      <c r="EV108" s="129" t="e">
        <f aca="false">EXP(-LN(2)/35)*EV107+(1-EXP(-LN(2)/35))/(LN(2)/35)*ER108*ES108*VLOOKUP('Données projet'!$B$15,Paramètres!$A$1:$I$89,3,0)*0.475*44/12</f>
        <v>#N/A</v>
      </c>
      <c r="EW108" s="129" t="e">
        <f aca="false">EXP(-LN(2)/25)*EW107+(1-EXP(-LN(2)/25))/(LN(2)/25)*Calculateur!ER108*Calculateur!ET108*VLOOKUP('Données projet'!$B$15,Paramètres!$A$1:$I$89,3,0)*0.475*44/12</f>
        <v>#N/A</v>
      </c>
      <c r="EX108" s="129" t="e">
        <f aca="false">EXP(-LN(2)/2)*EX107+(1-EXP(-LN(2)/2))/(LN(2)/2)*ER108*EU108*VLOOKUP('Données projet'!$B$15,Paramètres!$A$1:$I$89,3,0)*0.475*44/12</f>
        <v>#N/A</v>
      </c>
      <c r="EY108" s="130" t="e">
        <f aca="false">SUM(EV108:EX108)</f>
        <v>#N/A</v>
      </c>
      <c r="EZ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8" t="e">
        <f aca="false">VLOOKUP(A108,'Données projet'!$A$217:$I$237,2,0)</f>
        <v>#N/A</v>
      </c>
      <c r="FC108" s="118" t="e">
        <f aca="false">VLOOKUP(A108,'Données projet'!$A$217:$I$237,9,0)</f>
        <v>#N/A</v>
      </c>
      <c r="FD108" s="118" t="e">
        <f aca="false" t="array" ref="FD108:FD108">INDEX(FC:FC,MIN(IF(ISNUMBER(FC108:FC304),ROW(FC108:FC304),"")))</f>
        <v>#N/A</v>
      </c>
      <c r="FE108" s="118" t="n">
        <f aca="false">IF('Données projet'!$A$218&gt;35,FE107+FD108-FM107,IF(A108&lt;'Données projet'!$A$218,$FB$205^A108,IF(A108='Données projet'!$A$218,'Données projet'!$B$218,FE107+FD108-FM107)))</f>
        <v>0</v>
      </c>
      <c r="FF108" s="125" t="e">
        <f aca="false">FE108*VLOOKUP('Données projet'!$B$16,Paramètres!$A$1:$I$89,3,0)*VLOOKUP('Données projet'!$B$16,Paramètres!$A$1:$I$89,5,0)</f>
        <v>#N/A</v>
      </c>
      <c r="FG108" s="117" t="e">
        <f aca="false">EXP(-1.0587+0.8836*LN(FF108)+0.284)</f>
        <v>#N/A</v>
      </c>
      <c r="FH108" s="128" t="e">
        <f aca="false">(FF108+FG108)*0.475*44/12</f>
        <v>#N/A</v>
      </c>
      <c r="FI108" s="120" t="e">
        <f aca="false">FH108+(EZ108+FA108)*44/12</f>
        <v>#N/A</v>
      </c>
      <c r="FJ108" s="120" t="e">
        <f aca="true">AVERAGE(OFFSET($FI$3,0,0,'Données projet'!$E$16+1,1))-AVERAGE(OFFSET($H$3,0,0,'Données projet'!$E$16+1,1))</f>
        <v>#N/A</v>
      </c>
      <c r="FK108" s="120" t="e">
        <f aca="false">$FK$3</f>
        <v>#N/A</v>
      </c>
      <c r="FL108" s="121" t="n">
        <f aca="false">IF(ISNA(VLOOKUP(A108,'Données projet'!$A$217:$I$237,3,0)),0,VLOOKUP(A108,'Données projet'!$A$217:$I$237,3,0))</f>
        <v>0</v>
      </c>
      <c r="FM108" s="121" t="n">
        <f aca="false">IF(ISNA(VLOOKUP(A108,'Données projet'!$A$217:$I$237,4,0)),0,VLOOKUP(A108,'Données projet'!$A$217:$I$237,4,0))</f>
        <v>0</v>
      </c>
      <c r="FN108" s="122" t="n">
        <f aca="false">IF(ISNA(VLOOKUP(A108,'Données projet'!$A$217:$I$237,5,0)),0%,VLOOKUP(A108,'Données projet'!$A$217:$I$237,5,0)*VLOOKUP('Données projet'!$B$16,Paramètres!$A$1:$I$89,7,0))</f>
        <v>0</v>
      </c>
      <c r="FO108" s="122" t="n">
        <f aca="false">IF(ISNA(VLOOKUP(A108,'Données projet'!$A$217:$I$237,6,0)),0%,VLOOKUP(A108,'Données projet'!$A$217:$I$237,6,0)*VLOOKUP('Données projet'!$B$16,Paramètres!$A$1:$I$89,7,0))</f>
        <v>0</v>
      </c>
      <c r="FP108" s="122" t="n">
        <f aca="false">IF(ISNA(VLOOKUP(A108,'Données projet'!$A$217:$I$237,7,0)),0%,VLOOKUP(A108,'Données projet'!$A$217:$I$237,7,0))</f>
        <v>0</v>
      </c>
      <c r="FQ108" s="129" t="e">
        <f aca="false">EXP(-LN(2)/35)*FQ107+(1-EXP(-LN(2)/35))/(LN(2)/35)*FM108*FN108*VLOOKUP('Données projet'!$B$16,Paramètres!$A$1:$I$89,3,0)*0.475*44/12</f>
        <v>#N/A</v>
      </c>
      <c r="FR108" s="129" t="e">
        <f aca="false">EXP(-LN(2)/25)*FR107+(1-EXP(-LN(2)/25))/(LN(2)/25)*Calculateur!FM108*Calculateur!FO108*VLOOKUP('Données projet'!$B$16,Paramètres!$A$1:$I$89,3,0)*0.475*44/12</f>
        <v>#N/A</v>
      </c>
      <c r="FS108" s="129" t="e">
        <f aca="false">EXP(-LN(2)/2)*FS107+(1-EXP(-LN(2)/2))/(LN(2)/2)*FM108*FP108*VLOOKUP('Données projet'!$B$16,Paramètres!$A$1:$I$89,3,0)*0.475*44/12</f>
        <v>#N/A</v>
      </c>
      <c r="FT108" s="130" t="e">
        <f aca="false">SUM(FQ108:FS108)</f>
        <v>#N/A</v>
      </c>
      <c r="FU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8" t="e">
        <f aca="false">VLOOKUP(A108,'Données projet'!$A$243:$I$263,2,0)</f>
        <v>#N/A</v>
      </c>
      <c r="FX108" s="118" t="e">
        <f aca="false">VLOOKUP(A108,'Données projet'!$A$243:$I$263,9,0)</f>
        <v>#N/A</v>
      </c>
      <c r="FY108" s="118" t="e">
        <f aca="false" t="array" ref="FY108:FY108">INDEX(FX:FX,MIN(IF(ISNUMBER(FX108:FX304),ROW(FX108:FX304),"")))</f>
        <v>#N/A</v>
      </c>
      <c r="FZ108" s="118" t="n">
        <f aca="false">IF('Données projet'!$A$244&gt;35,FZ107+FY108-GH107,IF(A108&lt;'Données projet'!$A$244,$FW$205^A108,IF(A108='Données projet'!$A$244,'Données projet'!$B$244,FZ107+FY108-GH107)))</f>
        <v>0</v>
      </c>
      <c r="GA108" s="125" t="e">
        <f aca="false">FZ108*VLOOKUP('Données projet'!$B$17,Paramètres!$A$1:$I$89,3,0)*VLOOKUP('Données projet'!$B$17,Paramètres!$A$1:$I$89,5,0)</f>
        <v>#N/A</v>
      </c>
      <c r="GB108" s="117" t="e">
        <f aca="false">EXP(-1.0587+0.8836*LN(GA108)+0.284)</f>
        <v>#N/A</v>
      </c>
      <c r="GC108" s="128" t="e">
        <f aca="false">(GA108+GB108)*0.475*44/12</f>
        <v>#N/A</v>
      </c>
      <c r="GD108" s="120" t="e">
        <f aca="false">GC108+(FU108+FV108)*44/12</f>
        <v>#N/A</v>
      </c>
      <c r="GE108" s="120" t="e">
        <f aca="true">AVERAGE(OFFSET($GD$3,0,0,'Données projet'!$E$17+1,1))-AVERAGE(OFFSET($H$3,0,0,'Données projet'!$E$17+1,1))</f>
        <v>#N/A</v>
      </c>
      <c r="GF108" s="120" t="e">
        <f aca="false">$GF$3</f>
        <v>#N/A</v>
      </c>
      <c r="GG108" s="121" t="n">
        <f aca="false">IF(ISNA(VLOOKUP(A108,'Données projet'!$A$243:$I$263,3,0)),0,VLOOKUP(A108,'Données projet'!$A$243:$I$263,3,0))</f>
        <v>0</v>
      </c>
      <c r="GH108" s="121" t="n">
        <f aca="false">IF(ISNA(VLOOKUP(A108,'Données projet'!$A$243:$I$263,4,0)),0,VLOOKUP(A108,'Données projet'!$A$243:$I$263,4,0))</f>
        <v>0</v>
      </c>
      <c r="GI108" s="122" t="n">
        <f aca="false">IF(ISNA(VLOOKUP(A108,'Données projet'!$A$243:$I$263,5,0)),0%,VLOOKUP(A108,'Données projet'!$A$243:$I$263,5,0)*VLOOKUP('Données projet'!$B$17,Paramètres!$A$1:$I$89,7,0))</f>
        <v>0</v>
      </c>
      <c r="GJ108" s="122" t="n">
        <f aca="false">IF(ISNA(VLOOKUP(A108,'Données projet'!$A$243:$I$263,6,0)),0%,VLOOKUP(A108,'Données projet'!$A$243:$I$263,6,0)*VLOOKUP('Données projet'!$B$17,Paramètres!$A$1:$I$89,7,0))</f>
        <v>0</v>
      </c>
      <c r="GK108" s="122" t="n">
        <f aca="false">IF(ISNA(VLOOKUP(A108,'Données projet'!$A$243:$I$263,7,0)),0%,VLOOKUP(A108,'Données projet'!$A$243:$I$263,7,0))</f>
        <v>0</v>
      </c>
      <c r="GL108" s="129" t="e">
        <f aca="false">EXP(-LN(2)/35)*GL107+(1-EXP(-LN(2)/35))/(LN(2)/35)*GH108*GI108*VLOOKUP('Données projet'!$B$17,Paramètres!$A$1:$I$89,3,0)*0.475*44/12</f>
        <v>#N/A</v>
      </c>
      <c r="GM108" s="129" t="e">
        <f aca="false">EXP(-LN(2)/25)*GM107+(1-EXP(-LN(2)/25))/(LN(2)/25)*Calculateur!GH108*Calculateur!GJ108*VLOOKUP('Données projet'!$B$17,Paramètres!$A$1:$I$89,3,0)*0.475*44/12</f>
        <v>#N/A</v>
      </c>
      <c r="GN108" s="129" t="e">
        <f aca="false">EXP(-LN(2)/2)*GN107+(1-EXP(-LN(2)/2))/(LN(2)/2)*GH108*GK108*VLOOKUP('Données projet'!$B$17,Paramètres!$A$1:$I$89,3,0)*0.475*44/12</f>
        <v>#N/A</v>
      </c>
      <c r="GO108" s="129" t="e">
        <f aca="false">SUM(GL108:GN108)</f>
        <v>#N/A</v>
      </c>
      <c r="GP108" s="126" t="n">
        <f aca="false"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8" t="n">
        <f aca="false"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8" t="e">
        <f aca="false">VLOOKUP(A108,'Données projet'!$A$269:$I$289,2,0)</f>
        <v>#N/A</v>
      </c>
      <c r="GS108" s="118" t="e">
        <f aca="false">VLOOKUP(A108,'Données projet'!$A$269:$I$289,9,0)</f>
        <v>#N/A</v>
      </c>
      <c r="GT108" s="118" t="e">
        <f aca="false" t="array" ref="GT108:GT108">INDEX(GS:GS,MIN(IF(ISNUMBER(GS108:GS304),ROW(GS108:GS304),"")))</f>
        <v>#N/A</v>
      </c>
      <c r="GU108" s="118" t="n">
        <f aca="false">IF('Données projet'!$A$270&gt;35,GU107+GT108-HC107,IF(A108&lt;'Données projet'!$A$270,$GR$205^A108,IF(A108='Données projet'!$A$270,'Données projet'!$B$270,GU107+GT108-HC107)))</f>
        <v>0</v>
      </c>
      <c r="GV108" s="125" t="e">
        <f aca="false">GU108*VLOOKUP('Données projet'!$B$18,Paramètres!$A$1:$I$89,3,0)*VLOOKUP('Données projet'!$B$18,Paramètres!$A$1:$I$89,5,0)</f>
        <v>#N/A</v>
      </c>
      <c r="GW108" s="117" t="e">
        <f aca="false">EXP(-1.0587+0.8836*LN(GV108)+0.284)</f>
        <v>#N/A</v>
      </c>
      <c r="GX108" s="128" t="e">
        <f aca="false">(GV108+GW108)*0.475*44/12</f>
        <v>#N/A</v>
      </c>
      <c r="GY108" s="120" t="e">
        <f aca="false">GX108+(GP108+GQ108)*44/12</f>
        <v>#N/A</v>
      </c>
      <c r="GZ108" s="120" t="e">
        <f aca="true">AVERAGE(OFFSET($GY$3,0,0,'Données projet'!$E$18+1,1))-AVERAGE(OFFSET($H$3,0,0,'Données projet'!$E$18+1,1))</f>
        <v>#N/A</v>
      </c>
      <c r="HA108" s="120" t="e">
        <f aca="false">$HA$3</f>
        <v>#N/A</v>
      </c>
      <c r="HB108" s="121" t="n">
        <f aca="false">IF(ISNA(VLOOKUP(A108,'Données projet'!$A$269:$I$289,3,0)),0,VLOOKUP(A108,'Données projet'!$A$269:$I$289,3,0))</f>
        <v>0</v>
      </c>
      <c r="HC108" s="121" t="n">
        <f aca="false">IF(ISNA(VLOOKUP(A108,'Données projet'!$A$269:$I$289,4,0)),0,VLOOKUP(A108,'Données projet'!$A$269:$I$289,4,0))</f>
        <v>0</v>
      </c>
      <c r="HD108" s="122" t="n">
        <f aca="false">IF(ISNA(VLOOKUP(A108,'Données projet'!$A$269:$I$289,5,0)),0%,VLOOKUP(A108,'Données projet'!$A$269:$I$289,5,0)*VLOOKUP('Données projet'!$B$18,Paramètres!$A$1:$I$89,7,0))</f>
        <v>0</v>
      </c>
      <c r="HE108" s="122" t="n">
        <f aca="false">IF(ISNA(VLOOKUP(A108,'Données projet'!$A$269:$I$289,6,0)),0%,VLOOKUP(A108,'Données projet'!$A$269:$I$289,6,0)*VLOOKUP('Données projet'!$B$18,Paramètres!$A$1:$I$89,7,0))</f>
        <v>0</v>
      </c>
      <c r="HF108" s="122" t="n">
        <f aca="false">IF(ISNA(VLOOKUP(A108,'Données projet'!$A$269:$I$289,7,0)),0%,VLOOKUP(A108,'Données projet'!$A$269:$I$289,7,0))</f>
        <v>0</v>
      </c>
      <c r="HG108" s="129" t="e">
        <f aca="false">EXP(-LN(2)/35)*HG107+(1-EXP(-LN(2)/35))/(LN(2)/35)*HC108*HD108*VLOOKUP('Données projet'!$B$18,Paramètres!$A$1:$I$89,3,0)*0.475*44/12</f>
        <v>#N/A</v>
      </c>
      <c r="HH108" s="129" t="e">
        <f aca="false">EXP(-LN(2)/25)*HH107+(1-EXP(-LN(2)/25))/(LN(2)/25)*Calculateur!HC108*Calculateur!HE108*VLOOKUP('Données projet'!$B$18,Paramètres!$A$1:$I$89,3,0)*0.475*44/12</f>
        <v>#N/A</v>
      </c>
      <c r="HI108" s="129" t="e">
        <f aca="false">EXP(-LN(2)/2)*HI107+(1-EXP(-LN(2)/2))/(LN(2)/2)*HC108*HF108*VLOOKUP('Données projet'!$B$18,Paramètres!$A$1:$I$89,3,0)*0.475*44/12</f>
        <v>#N/A</v>
      </c>
      <c r="HJ108" s="130" t="e">
        <f aca="false">SUM(HG108:HI108)</f>
        <v>#N/A</v>
      </c>
    </row>
    <row r="109" customFormat="false" ht="14.25" hidden="false" customHeight="false" outlineLevel="0" collapsed="false">
      <c r="A109" s="112" t="n">
        <f aca="false">A108+1</f>
        <v>106</v>
      </c>
      <c r="B109" s="113" t="n">
        <f aca="false">'Scénario référence'!$B$16*5+'Scénario référence'!$B$17*0+'Scénario référence'!$B$18*5</f>
        <v>0</v>
      </c>
      <c r="C109" s="127" t="n">
        <f aca="false"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4" t="n">
        <f aca="false">IFERROR(EXP(-1.0587+0.8836*LN(C109)+0.284),0)</f>
        <v>0</v>
      </c>
      <c r="E10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09" s="114" t="n">
        <f aca="false">IF(OR('Scénario référence'!$F$8&gt;0,'Scénario référence'!$F$9&gt;0),('Scénario référence'!$F$8+'Scénario référence'!$F$9)*10,0)</f>
        <v>0</v>
      </c>
      <c r="G109" s="114" t="n">
        <f aca="false"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15" t="n">
        <f aca="false">(B109+E109+F109)*44/12+(C109+D109)*0.475*44/12</f>
        <v>256.666666666667</v>
      </c>
      <c r="I109" s="11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7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8" t="e">
        <f aca="false">VLOOKUP(A109,'Données projet'!$A$35:$I$55,2,0)</f>
        <v>#N/A</v>
      </c>
      <c r="L109" s="118" t="e">
        <f aca="false">VLOOKUP(A109,'Données projet'!$A$35:$I$55,9,0)</f>
        <v>#N/A</v>
      </c>
      <c r="M109" s="118" t="e">
        <f aca="false" t="array" ref="M109:M109">INDEX(L:L,MIN(IF(ISNUMBER(L109:L305),ROW(L109:L305),"")))</f>
        <v>#N/A</v>
      </c>
      <c r="N109" s="117" t="n">
        <f aca="false">IF('Données projet'!$A$36&gt;35,N108+M109-V108,IF(A109&lt;'Données projet'!$A$36,$K$205^A109,IF(A109='Données projet'!$A$36,'Données projet'!$B$36,N108+M109-V108)))</f>
        <v>-1.13686837721616E-013</v>
      </c>
      <c r="O109" s="117" t="n">
        <f aca="false">N109*VLOOKUP('Données projet'!$B$9,Paramètres!$A$1:$I$89,3,0)*VLOOKUP('Données projet'!$B$9,Paramètres!$A$1:$I$89,5,0)</f>
        <v>-5.32054400537163E-014</v>
      </c>
      <c r="P109" s="117" t="e">
        <f aca="false">EXP(-1.0587+0.8836*LN(O109)+0.284)</f>
        <v>#VALUE!</v>
      </c>
      <c r="Q109" s="128" t="e">
        <f aca="false">(O109+P109)*0.475*44/12</f>
        <v>#VALUE!</v>
      </c>
      <c r="R109" s="120" t="e">
        <f aca="false">Q109+(I109+J109)*44/12</f>
        <v>#VALUE!</v>
      </c>
      <c r="S109" s="120" t="n">
        <f aca="true">AVERAGE(OFFSET($R$3,0,0,'Données projet'!$E$9+1,1))-AVERAGE(OFFSET($H$3,0,0,'Données projet'!$E$9+1,1))</f>
        <v>319.229030946746</v>
      </c>
      <c r="T109" s="120" t="n">
        <f aca="false">$T$3</f>
        <v>254.586909731428</v>
      </c>
      <c r="U109" s="121" t="n">
        <f aca="false">IF(ISNA(VLOOKUP(A109,'Données projet'!$A$35:$I$55,3,0)),0,VLOOKUP(A109,'Données projet'!$A$35:$I$55,3,0))</f>
        <v>0</v>
      </c>
      <c r="V109" s="121" t="n">
        <f aca="false">IF(ISNA(VLOOKUP(A109,'Données projet'!$A$35:$I$55,4,0)),0,VLOOKUP(A109,'Données projet'!$A$35:$I$55,4,0))</f>
        <v>0</v>
      </c>
      <c r="W109" s="122" t="n">
        <f aca="false">IF(ISNA(VLOOKUP(A109,'Données projet'!$A$35:$I$55,5,0)),0%,VLOOKUP(A109,'Données projet'!$A$35:$I$55,5,0)*VLOOKUP('Données projet'!$B$9,Paramètres!$A$1:$I$89,7,0))</f>
        <v>0</v>
      </c>
      <c r="X109" s="122" t="n">
        <f aca="false">IF(ISNA(VLOOKUP(A109,'Données projet'!$A$35:$I$55,6,0)),0%,VLOOKUP(A109,'Données projet'!$A$35:$I$55,6,0)*VLOOKUP('Données projet'!$B$9,Paramètres!$A$1:$I$89,7,0))</f>
        <v>0</v>
      </c>
      <c r="Y109" s="122" t="n">
        <f aca="false">IF(ISNA(VLOOKUP(A109,'Données projet'!$A$35:$I$55,7,0)),0%,VLOOKUP(A109,'Données projet'!$A$35:$I$55,7,0))</f>
        <v>0</v>
      </c>
      <c r="Z109" s="129" t="n">
        <f aca="false">EXP(-LN(2)/35)*Z108+(1-EXP(-LN(2)/35))/(LN(2)/35)*V109*W109*VLOOKUP('Données projet'!$B$9,Paramètres!$A$1:$I$89,3,0)*0.475*44/12</f>
        <v>2.01482509416017</v>
      </c>
      <c r="AA109" s="129" t="n">
        <f aca="false">EXP(-LN(2)/25)*AA108+(1-EXP(-LN(2)/25))/(LN(2)/25)*Calculateur!V109*Calculateur!X109*VLOOKUP('Données projet'!$B$9,Paramètres!$A$1:$I$89,3,0)*0.475*44/12</f>
        <v>1.35579834736776</v>
      </c>
      <c r="AB109" s="129" t="n">
        <f aca="false">EXP(-LN(2)/2)*AB108+(1-EXP(-LN(2)/2))/(LN(2)/2)*V109*Y109*VLOOKUP('Données projet'!$B$9,Paramètres!$A$1:$I$89,3,0)*0.475*44/12</f>
        <v>4.01746679693985E-011</v>
      </c>
      <c r="AC109" s="130" t="n">
        <f aca="false">SUM(Z109:AB109)</f>
        <v>3.37062344156811</v>
      </c>
      <c r="AD109" s="117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7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8" t="e">
        <f aca="false">VLOOKUP(A109,'Données projet'!$A$61:$I$81,2,0)</f>
        <v>#N/A</v>
      </c>
      <c r="AG109" s="118" t="e">
        <f aca="false">VLOOKUP(A109,'Données projet'!$A$61:$I$81,9,0)</f>
        <v>#N/A</v>
      </c>
      <c r="AH109" s="118" t="e">
        <f aca="false" t="array" ref="AH109:AH109">INDEX(AG:AG,MIN(IF(ISNUMBER(AG109:AG305),ROW(AG109:AG305),"")))</f>
        <v>#N/A</v>
      </c>
      <c r="AI109" s="117" t="n">
        <f aca="false">IF('Données projet'!$A$62&gt;35,AI108+AH109-AQ108,IF(A109&lt;'Données projet'!$A$62,$AF$205^A109,IF(A109='Données projet'!$A$62,'Données projet'!$B$62,AI108+AH109-AQ108)))</f>
        <v>1.13686837721616E-013</v>
      </c>
      <c r="AJ109" s="117" t="n">
        <f aca="false">AI109*VLOOKUP('Données projet'!$B$10,Paramètres!$A$1:$I$89,3,0)*VLOOKUP('Données projet'!$B$10,Paramètres!$A$1:$I$89,5,0)</f>
        <v>6.35509422863834E-014</v>
      </c>
      <c r="AK109" s="117" t="n">
        <f aca="false">EXP(-1.0587+0.8836*LN(AJ109)+0.284)</f>
        <v>1.0064464192544E-012</v>
      </c>
      <c r="AL109" s="128" t="n">
        <f aca="false">(AJ109+AK109)*0.475*44/12</f>
        <v>1.86357873801686E-012</v>
      </c>
      <c r="AM109" s="120" t="n">
        <f aca="false">AL109+(AD109+AE109)*44/12</f>
        <v>293.333333333335</v>
      </c>
      <c r="AN109" s="120" t="n">
        <f aca="true">AVERAGE(OFFSET($AM$3,0,0,'Données projet'!$E$10+1,1))-AVERAGE(OFFSET($H$3,0,0,'Données projet'!$E$10+1,1))</f>
        <v>365.705101827279</v>
      </c>
      <c r="AO109" s="120" t="n">
        <f aca="false">$AO$3</f>
        <v>436.238338449625</v>
      </c>
      <c r="AP109" s="121" t="n">
        <f aca="false">IF(ISNA(VLOOKUP(A109,'Données projet'!$A$61:$I$81,3,0)),0,VLOOKUP(A109,'Données projet'!$A$61:$I$81,3,0))</f>
        <v>0</v>
      </c>
      <c r="AQ109" s="121" t="n">
        <f aca="false">IF(ISNA(VLOOKUP(A109,'Données projet'!$A$61:$I$81,4,0)),0,VLOOKUP(A109,'Données projet'!$A$61:$I$81,4,0))</f>
        <v>0</v>
      </c>
      <c r="AR109" s="122" t="n">
        <f aca="false">IF(ISNA(VLOOKUP(A109,'Données projet'!$A$61:$I$81,5,0)),0%,VLOOKUP(A109,'Données projet'!$A$61:$I$81,5,0)*VLOOKUP('Données projet'!$B$10,Paramètres!$A$1:$I$89,7,0))</f>
        <v>0</v>
      </c>
      <c r="AS109" s="122" t="n">
        <f aca="false">IF(ISNA(VLOOKUP(A109,'Données projet'!$A$61:$I$81,6,0)),0%,VLOOKUP(A109,'Données projet'!$A$61:$I$81,6,0)*VLOOKUP('Données projet'!$B$10,Paramètres!$A$1:$I$89,7,0))</f>
        <v>0</v>
      </c>
      <c r="AT109" s="122" t="n">
        <f aca="false">IF(ISNA(VLOOKUP(A109,'Données projet'!$A$61:$I$81,7,0)),0%,VLOOKUP(A109,'Données projet'!$A$61:$I$81,7,0))</f>
        <v>0</v>
      </c>
      <c r="AU109" s="129" t="n">
        <f aca="false">EXP(-LN(2)/35)*AU108+(1-EXP(-LN(2)/35))/(LN(2)/35)*AQ109*AR109*VLOOKUP('Données projet'!$B$10,Paramètres!$A$1:$I$89,3,0)*0.475*44/12</f>
        <v>0.760531149575688</v>
      </c>
      <c r="AV109" s="129" t="n">
        <f aca="false">EXP(-LN(2)/25)*AV108+(1-EXP(-LN(2)/25))/(LN(2)/25)*Calculateur!AQ109*Calculateur!AS109*VLOOKUP('Données projet'!$B$10,Paramètres!$A$1:$I$89,3,0)*0.475*44/12</f>
        <v>1.60586983460735</v>
      </c>
      <c r="AW109" s="129" t="n">
        <f aca="false">EXP(-LN(2)/2)*AW108+(1-EXP(-LN(2)/2))/(LN(2)/2)*AQ109*AT109*VLOOKUP('Données projet'!$B$10,Paramètres!$A$1:$I$89,3,0)*0.475*44/12</f>
        <v>2.16207506516213E-011</v>
      </c>
      <c r="AX109" s="129" t="n">
        <f aca="false">SUM(AU109:AW109)</f>
        <v>2.36640098420466</v>
      </c>
      <c r="AY109" s="124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8" t="e">
        <f aca="false">VLOOKUP(A109,'Données projet'!$A$87:$I$107,2,0)</f>
        <v>#N/A</v>
      </c>
      <c r="BB109" s="118" t="e">
        <f aca="false">VLOOKUP(A109,'Données projet'!$A$87:$I$107,9,0)</f>
        <v>#N/A</v>
      </c>
      <c r="BC109" s="118" t="e">
        <f aca="false" t="array" ref="BC109:BC109">INDEX(BB:BB,MIN(IF(ISNUMBER(BB109:BB305),ROW(BB109:BB305),"")))</f>
        <v>#N/A</v>
      </c>
      <c r="BD109" s="118" t="n">
        <f aca="false">IF('Données projet'!$A$88&gt;35,BD108+BC109-BL108,IF(A109&lt;'Données projet'!$A$88,$BA$205^A109,IF(A109='Données projet'!$A$88,'Données projet'!$B$88,BD108+BC109-BL108)))</f>
        <v>1.98951966012828E-013</v>
      </c>
      <c r="BE109" s="117" t="n">
        <f aca="false">BD109*VLOOKUP('Données projet'!$B$11,Paramètres!$A$1:$I$89,3,0)*VLOOKUP('Données projet'!$B$11,Paramètres!$A$1:$I$89,5,0)</f>
        <v>1.73804437508807E-013</v>
      </c>
      <c r="BF109" s="117" t="n">
        <f aca="false">EXP(-1.0587+0.8836*LN(BE109)+0.284)</f>
        <v>2.44832936339505E-012</v>
      </c>
      <c r="BG109" s="128" t="n">
        <f aca="false">(BE109+BF109)*0.475*44/12</f>
        <v>4.56688303657421E-012</v>
      </c>
      <c r="BH109" s="120" t="n">
        <f aca="false">BG109+(AY109+AZ109)*44/12</f>
        <v>293.333333333338</v>
      </c>
      <c r="BI109" s="120" t="n">
        <f aca="true">AVERAGE(OFFSET($BH$3,0,0,'Données projet'!$E$11+1,1))-AVERAGE(OFFSET($H$3,0,0,'Données projet'!$E$11+1,1))</f>
        <v>321.235999689929</v>
      </c>
      <c r="BJ109" s="120" t="n">
        <f aca="false">$BJ$3</f>
        <v>388.051958478005</v>
      </c>
      <c r="BK109" s="121" t="n">
        <f aca="false">IF(ISNA(VLOOKUP(A109,'Données projet'!$A$87:$I$107,3,0)),0,VLOOKUP(A109,'Données projet'!$A$87:$I$107,3,0))</f>
        <v>0</v>
      </c>
      <c r="BL109" s="121" t="n">
        <f aca="false">IF(ISNA(VLOOKUP(A109,'Données projet'!$A$87:$I$107,4,0)),0,VLOOKUP(A109,'Données projet'!$A$87:$I$107,4,0))</f>
        <v>0</v>
      </c>
      <c r="BM109" s="122" t="n">
        <f aca="false">IF(ISNA(VLOOKUP(A109,'Données projet'!$A$87:$I$107,5,0)),0%,VLOOKUP(A109,'Données projet'!$A$87:$I$107,5,0)*VLOOKUP('Données projet'!$B$11,Paramètres!$A$1:$I$89,7,0))</f>
        <v>0</v>
      </c>
      <c r="BN109" s="122" t="n">
        <f aca="false">IF(ISNA(VLOOKUP(A109,'Données projet'!$A$87:$I$107,6,0)),0%,VLOOKUP(A109,'Données projet'!$A$87:$I$107,6,0)*VLOOKUP('Données projet'!$B$11,Paramètres!$A$1:$I$89,7,0))</f>
        <v>0</v>
      </c>
      <c r="BO109" s="122" t="n">
        <f aca="false">IF(ISNA(VLOOKUP(A109,'Données projet'!$A$87:$I$107,7,0)),0%,VLOOKUP(A109,'Données projet'!$A$87:$I$107,7,0))</f>
        <v>0</v>
      </c>
      <c r="BP109" s="129" t="n">
        <f aca="false">EXP(-LN(2)/35)*BP108+(1-EXP(-LN(2)/35))/(LN(2)/35)*BL109*BM109*VLOOKUP('Données projet'!$B$11,Paramètres!$A$1:$I$89,3,0)*0.475*44/12</f>
        <v>1.9094057429484</v>
      </c>
      <c r="BQ109" s="129" t="n">
        <f aca="false">EXP(-LN(2)/25)*BQ108+(1-EXP(-LN(2)/25))/(LN(2)/25)*Calculateur!BL109*Calculateur!BN109*VLOOKUP('Données projet'!$B$11,Paramètres!$A$1:$I$89,3,0)*0.475*44/12</f>
        <v>1.63917654439625</v>
      </c>
      <c r="BR109" s="129" t="n">
        <f aca="false">EXP(-LN(2)/2)*BR108+(1-EXP(-LN(2)/2))/(LN(2)/2)*BL109*BO109*VLOOKUP('Données projet'!$B$11,Paramètres!$A$1:$I$89,3,0)*0.475*44/12</f>
        <v>2.19770436425997E-011</v>
      </c>
      <c r="BS109" s="130" t="n">
        <f aca="false">SUM(BP109:BR109)</f>
        <v>3.54858228736663</v>
      </c>
      <c r="BT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8" t="e">
        <f aca="false">VLOOKUP(A109,'Données projet'!$A$113:$I$133,2,0)</f>
        <v>#N/A</v>
      </c>
      <c r="BW109" s="118" t="e">
        <f aca="false">VLOOKUP(A109,'Données projet'!$A$113:$I$133,9,0)</f>
        <v>#N/A</v>
      </c>
      <c r="BX109" s="118" t="e">
        <f aca="false" t="array" ref="BX109:BX109">INDEX(BW:BW,MIN(IF(ISNUMBER(BW109:BW305),ROW(BW109:BW305),"")))</f>
        <v>#N/A</v>
      </c>
      <c r="BY109" s="118" t="n">
        <f aca="false">IF('Données projet'!$A$114&gt;35,BY108+BX109-CG108,IF(A109&lt;'Données projet'!$A$114,$BV$205^A109,IF(A109='Données projet'!$A$114,'Données projet'!$B$114,BY108+BX109-CG108)))</f>
        <v>0</v>
      </c>
      <c r="BZ109" s="117" t="n">
        <f aca="false">BY109*VLOOKUP('Données projet'!$B$12,Paramètres!$A$1:$I$89,3,0)*VLOOKUP('Données projet'!$B$12,Paramètres!$A$1:$I$89,5,0)</f>
        <v>0</v>
      </c>
      <c r="CA109" s="117" t="e">
        <f aca="false">EXP(-1.0587+0.8836*LN(BZ109)+0.284)</f>
        <v>#VALUE!</v>
      </c>
      <c r="CB109" s="128" t="e">
        <f aca="false">(BZ109+CA109)*0.475*44/12</f>
        <v>#VALUE!</v>
      </c>
      <c r="CC109" s="120" t="e">
        <f aca="false">CB109+(BT109+BU109)*44/12</f>
        <v>#VALUE!</v>
      </c>
      <c r="CD109" s="120" t="n">
        <f aca="true">AVERAGE(OFFSET($CC$3,0,0,'Données projet'!$E$12+1,1))-AVERAGE(OFFSET($H$3,0,0,'Données projet'!$E$12+1,1))</f>
        <v>240.228848647662</v>
      </c>
      <c r="CE109" s="120" t="n">
        <f aca="false">$CE$3</f>
        <v>343.237768841432</v>
      </c>
      <c r="CF109" s="121" t="n">
        <f aca="false">IF(ISNA(VLOOKUP(A109,'Données projet'!$A$113:$I$133,3,0)),0,VLOOKUP(A109,'Données projet'!$A$113:$I$133,3,0))</f>
        <v>0</v>
      </c>
      <c r="CG109" s="121" t="n">
        <f aca="false">IF(ISNA(VLOOKUP(A109,'Données projet'!$A$113:$I$133,4,0)),0,VLOOKUP(A109,'Données projet'!$A$113:$I$133,4,0))</f>
        <v>0</v>
      </c>
      <c r="CH109" s="122" t="n">
        <f aca="false">IF(ISNA(VLOOKUP(A109,'Données projet'!$A$113:$I$133,5,0)),0%,VLOOKUP(A109,'Données projet'!$A$113:$I$133,5,0)*VLOOKUP('Données projet'!$B$12,Paramètres!$A$1:$I$89,7,0))</f>
        <v>0</v>
      </c>
      <c r="CI109" s="122" t="n">
        <f aca="false">IF(ISNA(VLOOKUP(A109,'Données projet'!$A$113:$I$133,6,0)),0%,VLOOKUP(A109,'Données projet'!$A$113:$I$133,6,0)*VLOOKUP('Données projet'!$B$12,Paramètres!$A$1:$I$89,7,0))</f>
        <v>0</v>
      </c>
      <c r="CJ109" s="122" t="n">
        <f aca="false">IF(ISNA(VLOOKUP(A109,'Données projet'!$A$113:$I$133,7,0)),0%,VLOOKUP(A109,'Données projet'!$A$113:$I$133,7,0))</f>
        <v>0</v>
      </c>
      <c r="CK109" s="129" t="n">
        <f aca="false">EXP(-LN(2)/35)*CK108+(1-EXP(-LN(2)/35))/(LN(2)/35)*CG109*CH109*VLOOKUP('Données projet'!$B$12,Paramètres!$A$1:$I$89,3,0)*0.475*44/12</f>
        <v>1.16870507068593</v>
      </c>
      <c r="CL109" s="129" t="n">
        <f aca="false">EXP(-LN(2)/25)*CL108+(1-EXP(-LN(2)/25))/(LN(2)/25)*Calculateur!CG109*Calculateur!CI109*VLOOKUP('Données projet'!$B$12,Paramètres!$A$1:$I$89,3,0)*0.475*44/12</f>
        <v>2.89488066914818</v>
      </c>
      <c r="CM109" s="129" t="n">
        <f aca="false">EXP(-LN(2)/2)*CM108+(1-EXP(-LN(2)/2))/(LN(2)/2)*CG109*CJ109*VLOOKUP('Données projet'!$B$12,Paramètres!$A$1:$I$89,3,0)*0.475*44/12</f>
        <v>3.50695025771122E-011</v>
      </c>
      <c r="CN109" s="130" t="n">
        <f aca="false">SUM(CK109:CM109)</f>
        <v>4.06358573986918</v>
      </c>
      <c r="CO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8" t="e">
        <f aca="false">VLOOKUP(A109,'Données projet'!$A$139:$I$159,2,0)</f>
        <v>#N/A</v>
      </c>
      <c r="CR109" s="118" t="e">
        <f aca="false">VLOOKUP(A109,'Données projet'!$A$139:$I$159,9,0)</f>
        <v>#N/A</v>
      </c>
      <c r="CS109" s="118" t="e">
        <f aca="false" t="array" ref="CS109:CS109">INDEX(CR:CR,MIN(IF(ISNUMBER(CR109:CR305),ROW(CR109:CR305),"")))</f>
        <v>#N/A</v>
      </c>
      <c r="CT109" s="118" t="n">
        <f aca="false">IF('Données projet'!$A$140&gt;35,CT108+CS109-DB108,IF(A109&lt;'Données projet'!$A$140,$CQ$205^A109,IF(A109='Données projet'!$A$140,'Données projet'!$B$140,CT108+CS109-DB108)))</f>
        <v>-5.6843418860808E-014</v>
      </c>
      <c r="CU109" s="125" t="n">
        <f aca="false">CT109*VLOOKUP('Données projet'!$B$13,Paramètres!$A$1:$I$89,3,0)*VLOOKUP('Données projet'!$B$13,Paramètres!$A$1:$I$89,5,0)</f>
        <v>-3.10365066980012E-014</v>
      </c>
      <c r="CV109" s="117" t="e">
        <f aca="false">EXP(-1.0587+0.8836*LN(CU109)+0.284)</f>
        <v>#VALUE!</v>
      </c>
      <c r="CW109" s="128" t="e">
        <f aca="false">(CU109+CV109)*0.475*44/12</f>
        <v>#VALUE!</v>
      </c>
      <c r="CX109" s="120" t="e">
        <f aca="false">CW109+(CO109+CP109)*44/12</f>
        <v>#VALUE!</v>
      </c>
      <c r="CY109" s="120" t="n">
        <f aca="true">AVERAGE(OFFSET($CX$3,0,0,'Données projet'!$E$13+1,1))-AVERAGE(OFFSET($H$3,0,0,'Données projet'!$E$13+1,1))</f>
        <v>207.023069645676</v>
      </c>
      <c r="CZ109" s="120" t="n">
        <f aca="false">$CZ$3</f>
        <v>342.068879333518</v>
      </c>
      <c r="DA109" s="121" t="n">
        <f aca="false">IF(ISNA(VLOOKUP(A109,'Données projet'!$A$139:$I$159,3,0)),0,VLOOKUP(A109,'Données projet'!$A$139:$I$159,3,0))</f>
        <v>0</v>
      </c>
      <c r="DB109" s="121" t="n">
        <f aca="false">IF(ISNA(VLOOKUP(A109,'Données projet'!$A$139:$I$159,4,0)),0,VLOOKUP(A109,'Données projet'!$A$139:$I$159,4,0))</f>
        <v>0</v>
      </c>
      <c r="DC109" s="122" t="n">
        <f aca="false">IF(ISNA(VLOOKUP(A109,'Données projet'!$A$139:$I$159,5,0)),0%,VLOOKUP(A109,'Données projet'!$A$139:$I$159,5,0)*VLOOKUP('Données projet'!$B$13,Paramètres!$A$1:$I$89,7,0))</f>
        <v>0</v>
      </c>
      <c r="DD109" s="122" t="n">
        <f aca="false">IF(ISNA(VLOOKUP(A109,'Données projet'!$A$139:$I$159,6,0)),0%,VLOOKUP(A109,'Données projet'!$A$139:$I$159,6,0)*VLOOKUP('Données projet'!$B$13,Paramètres!$A$1:$I$89,7,0))</f>
        <v>0</v>
      </c>
      <c r="DE109" s="122" t="n">
        <f aca="false">IF(ISNA(VLOOKUP(A109,'Données projet'!$A$139:$I$159,7,0)),0%,VLOOKUP(A109,'Données projet'!$A$139:$I$159,7,0))</f>
        <v>0</v>
      </c>
      <c r="DF109" s="129" t="n">
        <f aca="false">EXP(-LN(2)/35)*DF108+(1-EXP(-LN(2)/35))/(LN(2)/35)*DB109*DC109*VLOOKUP('Données projet'!$B$13,Paramètres!$A$1:$I$89,3,0)*0.475*44/12</f>
        <v>1.4663940981248</v>
      </c>
      <c r="DG109" s="129" t="n">
        <f aca="false">EXP(-LN(2)/25)*DG108+(1-EXP(-LN(2)/25))/(LN(2)/25)*Calculateur!DB109*Calculateur!DD109*VLOOKUP('Données projet'!$B$13,Paramètres!$A$1:$I$89,3,0)*0.475*44/12</f>
        <v>4.73192420860446</v>
      </c>
      <c r="DH109" s="129" t="n">
        <f aca="false">EXP(-LN(2)/2)*DH108+(1-EXP(-LN(2)/2))/(LN(2)/2)*DB109*DE109*VLOOKUP('Données projet'!$B$13,Paramètres!$A$1:$I$89,3,0)*0.475*44/12</f>
        <v>4.82907213077882E-011</v>
      </c>
      <c r="DI109" s="130" t="n">
        <f aca="false">SUM(DF109:DH109)</f>
        <v>6.19831830677754</v>
      </c>
      <c r="DJ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8" t="e">
        <f aca="false">VLOOKUP(A109,'Données projet'!$A$165:$I$185,2,0)</f>
        <v>#N/A</v>
      </c>
      <c r="DM109" s="118" t="e">
        <f aca="false">VLOOKUP(A109,'Données projet'!$A$165:$I$185,9,0)</f>
        <v>#N/A</v>
      </c>
      <c r="DN109" s="118" t="e">
        <f aca="false" t="array" ref="DN109:DN109">INDEX(DM:DM,MIN(IF(ISNUMBER(DM109:DM305),ROW(DM109:DM305),"")))</f>
        <v>#N/A</v>
      </c>
      <c r="DO109" s="118" t="n">
        <f aca="false">IF('Données projet'!$A$166&gt;35,DO108+DN109-DW108,IF(A109&lt;'Données projet'!$A$166,$DL$205^A109,IF(A109='Données projet'!$A$166,'Données projet'!$B$166,DO108+DN109-DW108)))</f>
        <v>0</v>
      </c>
      <c r="DP109" s="125" t="n">
        <f aca="false">DO109*VLOOKUP('Données projet'!$B$14,Paramètres!$A$1:$I$89,3,0)*VLOOKUP('Données projet'!$B$14,Paramètres!$A$1:$I$89,5,0)</f>
        <v>0</v>
      </c>
      <c r="DQ109" s="117" t="e">
        <f aca="false">EXP(-1.0587+0.8836*LN(DP109)+0.284)</f>
        <v>#VALUE!</v>
      </c>
      <c r="DR109" s="128" t="e">
        <f aca="false">(DP109+DQ109)*0.475*44/12</f>
        <v>#VALUE!</v>
      </c>
      <c r="DS109" s="120" t="e">
        <f aca="false">DR109+(DJ109+DK109)*44/12</f>
        <v>#VALUE!</v>
      </c>
      <c r="DT109" s="120" t="n">
        <f aca="true">AVERAGE(OFFSET($DS$3,0,0,'Données projet'!$E$14+1,1))-AVERAGE(OFFSET($H$3,0,0,'Données projet'!$E$14+1,1))</f>
        <v>549.432320957297</v>
      </c>
      <c r="DU109" s="120" t="n">
        <f aca="false">$DU$3</f>
        <v>280.26155987301</v>
      </c>
      <c r="DV109" s="121" t="n">
        <f aca="false">IF(ISNA(VLOOKUP(A109,'Données projet'!$A$165:$I$185,3,0)),0,VLOOKUP(A109,'Données projet'!$A$165:$I$185,3,0))</f>
        <v>0</v>
      </c>
      <c r="DW109" s="121" t="n">
        <f aca="false">IF(ISNA(VLOOKUP(A109,'Données projet'!$A$165:$I$185,4,0)),0,VLOOKUP(A109,'Données projet'!$A$165:$I$185,4,0))</f>
        <v>0</v>
      </c>
      <c r="DX109" s="122" t="n">
        <f aca="false">IF(ISNA(VLOOKUP(A109,'Données projet'!$A$165:$I$185,5,0)),0%,VLOOKUP(A109,'Données projet'!$A$165:$I$185,5,0)*VLOOKUP('Données projet'!$B$14,Paramètres!$A$1:$I$89,7,0))</f>
        <v>0</v>
      </c>
      <c r="DY109" s="122" t="n">
        <f aca="false">IF(ISNA(VLOOKUP(A109,'Données projet'!$A$165:$I$185,6,0)),0%,VLOOKUP(A109,'Données projet'!$A$165:$I$185,6,0)*VLOOKUP('Données projet'!$B$14,Paramètres!$A$1:$I$89,7,0))</f>
        <v>0</v>
      </c>
      <c r="DZ109" s="122" t="n">
        <f aca="false">IF(ISNA(VLOOKUP(A109,'Données projet'!$A$165:$I$185,7,0)),0%,VLOOKUP(A109,'Données projet'!$A$165:$I$185,7,0))</f>
        <v>0</v>
      </c>
      <c r="EA109" s="129" t="n">
        <f aca="false">EXP(-LN(2)/35)*EA108+(1-EXP(-LN(2)/35))/(LN(2)/35)*DW109*DX109*VLOOKUP('Données projet'!$B$14,Paramètres!$A$1:$I$89,3,0)*0.475*44/12</f>
        <v>0.533179258984501</v>
      </c>
      <c r="EB109" s="129" t="n">
        <f aca="false">EXP(-LN(2)/25)*EB108+(1-EXP(-LN(2)/25))/(LN(2)/25)*Calculateur!DW109*Calculateur!DY109*VLOOKUP('Données projet'!$B$14,Paramètres!$A$1:$I$89,3,0)*0.475*44/12</f>
        <v>0.942692661577735</v>
      </c>
      <c r="EC109" s="129" t="n">
        <f aca="false">EXP(-LN(2)/2)*EC108+(1-EXP(-LN(2)/2))/(LN(2)/2)*DW109*DZ109*VLOOKUP('Données projet'!$B$14,Paramètres!$A$1:$I$89,3,0)*0.475*44/12</f>
        <v>2.22610270959539E-011</v>
      </c>
      <c r="ED109" s="130" t="n">
        <f aca="false">SUM(EA109:EC109)</f>
        <v>1.4758719205845</v>
      </c>
      <c r="EE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8" t="e">
        <f aca="false">VLOOKUP(A109,'Données projet'!$A$191:$I$211,2,0)</f>
        <v>#N/A</v>
      </c>
      <c r="EH109" s="118" t="e">
        <f aca="false">VLOOKUP(A109,'Données projet'!$A$191:$I$211,9,0)</f>
        <v>#N/A</v>
      </c>
      <c r="EI109" s="118" t="e">
        <f aca="false" t="array" ref="EI109:EI109">INDEX(EH:EH,MIN(IF(ISNUMBER(EH109:EH305),ROW(EH109:EH305),"")))</f>
        <v>#N/A</v>
      </c>
      <c r="EJ109" s="118" t="n">
        <f aca="false">IF('Données projet'!$A$192&gt;35,EJ108+EI109-ER108,IF(A109&lt;'Données projet'!$A$192,$EG$205^A109,IF(A109='Données projet'!$A$192,'Données projet'!$B$192,EJ108+EI109-ER108)))</f>
        <v>0</v>
      </c>
      <c r="EK109" s="125" t="e">
        <f aca="false">EJ109*VLOOKUP('Données projet'!$B$15,Paramètres!$A$1:$I$89,3,0)*VLOOKUP('Données projet'!$B$15,Paramètres!$A$1:$I$89,5,0)</f>
        <v>#N/A</v>
      </c>
      <c r="EL109" s="117" t="e">
        <f aca="false">EXP(-1.0587+0.8836*LN(EK109)+0.284)</f>
        <v>#N/A</v>
      </c>
      <c r="EM109" s="128" t="e">
        <f aca="false">(EK109+EL109)*0.475*44/12</f>
        <v>#N/A</v>
      </c>
      <c r="EN109" s="120" t="e">
        <f aca="false">EM109+(EE109+EF109)*44/12</f>
        <v>#N/A</v>
      </c>
      <c r="EO109" s="120" t="e">
        <f aca="true">AVERAGE(OFFSET($EN$3,0,0,'Données projet'!$E$15+1,1))-AVERAGE(OFFSET($H$3,0,0,'Données projet'!$E$15+1,1))</f>
        <v>#N/A</v>
      </c>
      <c r="EP109" s="120" t="e">
        <f aca="false">$EP$3</f>
        <v>#N/A</v>
      </c>
      <c r="EQ109" s="121" t="n">
        <f aca="false">IF(ISNA(VLOOKUP(A109,'Données projet'!$A$191:$I$211,3,0)),0,VLOOKUP(A109,'Données projet'!$A$191:$I$211,3,0))</f>
        <v>0</v>
      </c>
      <c r="ER109" s="121" t="n">
        <f aca="false">IF(ISNA(VLOOKUP(A109,'Données projet'!$A$191:$I$211,4,0)),0,VLOOKUP(A109,'Données projet'!$A$191:$I$211,4,0))</f>
        <v>0</v>
      </c>
      <c r="ES109" s="122" t="n">
        <f aca="false">IF(ISNA(VLOOKUP(A109,'Données projet'!$A$191:$I$211,5,0)),0%,VLOOKUP(A109,'Données projet'!$A$191:$I$211,5,0)*VLOOKUP('Données projet'!$B$15,Paramètres!$A$1:$I$89,7,0))</f>
        <v>0</v>
      </c>
      <c r="ET109" s="122" t="n">
        <f aca="false">IF(ISNA(VLOOKUP(A109,'Données projet'!$A$191:$I$211,6,0)),0%,VLOOKUP(A109,'Données projet'!$A$191:$I$211,6,0)*VLOOKUP('Données projet'!$B$15,Paramètres!$A$1:$I$89,7,0))</f>
        <v>0</v>
      </c>
      <c r="EU109" s="122" t="n">
        <f aca="false">IF(ISNA(VLOOKUP(A109,'Données projet'!$A$191:$I$211,7,0)),0%,VLOOKUP(A109,'Données projet'!$A$191:$I$211,7,0))</f>
        <v>0</v>
      </c>
      <c r="EV109" s="129" t="e">
        <f aca="false">EXP(-LN(2)/35)*EV108+(1-EXP(-LN(2)/35))/(LN(2)/35)*ER109*ES109*VLOOKUP('Données projet'!$B$15,Paramètres!$A$1:$I$89,3,0)*0.475*44/12</f>
        <v>#N/A</v>
      </c>
      <c r="EW109" s="129" t="e">
        <f aca="false">EXP(-LN(2)/25)*EW108+(1-EXP(-LN(2)/25))/(LN(2)/25)*Calculateur!ER109*Calculateur!ET109*VLOOKUP('Données projet'!$B$15,Paramètres!$A$1:$I$89,3,0)*0.475*44/12</f>
        <v>#N/A</v>
      </c>
      <c r="EX109" s="129" t="e">
        <f aca="false">EXP(-LN(2)/2)*EX108+(1-EXP(-LN(2)/2))/(LN(2)/2)*ER109*EU109*VLOOKUP('Données projet'!$B$15,Paramètres!$A$1:$I$89,3,0)*0.475*44/12</f>
        <v>#N/A</v>
      </c>
      <c r="EY109" s="130" t="e">
        <f aca="false">SUM(EV109:EX109)</f>
        <v>#N/A</v>
      </c>
      <c r="EZ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8" t="e">
        <f aca="false">VLOOKUP(A109,'Données projet'!$A$217:$I$237,2,0)</f>
        <v>#N/A</v>
      </c>
      <c r="FC109" s="118" t="e">
        <f aca="false">VLOOKUP(A109,'Données projet'!$A$217:$I$237,9,0)</f>
        <v>#N/A</v>
      </c>
      <c r="FD109" s="118" t="e">
        <f aca="false" t="array" ref="FD109:FD109">INDEX(FC:FC,MIN(IF(ISNUMBER(FC109:FC305),ROW(FC109:FC305),"")))</f>
        <v>#N/A</v>
      </c>
      <c r="FE109" s="118" t="n">
        <f aca="false">IF('Données projet'!$A$218&gt;35,FE108+FD109-FM108,IF(A109&lt;'Données projet'!$A$218,$FB$205^A109,IF(A109='Données projet'!$A$218,'Données projet'!$B$218,FE108+FD109-FM108)))</f>
        <v>0</v>
      </c>
      <c r="FF109" s="125" t="e">
        <f aca="false">FE109*VLOOKUP('Données projet'!$B$16,Paramètres!$A$1:$I$89,3,0)*VLOOKUP('Données projet'!$B$16,Paramètres!$A$1:$I$89,5,0)</f>
        <v>#N/A</v>
      </c>
      <c r="FG109" s="117" t="e">
        <f aca="false">EXP(-1.0587+0.8836*LN(FF109)+0.284)</f>
        <v>#N/A</v>
      </c>
      <c r="FH109" s="128" t="e">
        <f aca="false">(FF109+FG109)*0.475*44/12</f>
        <v>#N/A</v>
      </c>
      <c r="FI109" s="120" t="e">
        <f aca="false">FH109+(EZ109+FA109)*44/12</f>
        <v>#N/A</v>
      </c>
      <c r="FJ109" s="120" t="e">
        <f aca="true">AVERAGE(OFFSET($FI$3,0,0,'Données projet'!$E$16+1,1))-AVERAGE(OFFSET($H$3,0,0,'Données projet'!$E$16+1,1))</f>
        <v>#N/A</v>
      </c>
      <c r="FK109" s="120" t="e">
        <f aca="false">$FK$3</f>
        <v>#N/A</v>
      </c>
      <c r="FL109" s="121" t="n">
        <f aca="false">IF(ISNA(VLOOKUP(A109,'Données projet'!$A$217:$I$237,3,0)),0,VLOOKUP(A109,'Données projet'!$A$217:$I$237,3,0))</f>
        <v>0</v>
      </c>
      <c r="FM109" s="121" t="n">
        <f aca="false">IF(ISNA(VLOOKUP(A109,'Données projet'!$A$217:$I$237,4,0)),0,VLOOKUP(A109,'Données projet'!$A$217:$I$237,4,0))</f>
        <v>0</v>
      </c>
      <c r="FN109" s="122" t="n">
        <f aca="false">IF(ISNA(VLOOKUP(A109,'Données projet'!$A$217:$I$237,5,0)),0%,VLOOKUP(A109,'Données projet'!$A$217:$I$237,5,0)*VLOOKUP('Données projet'!$B$16,Paramètres!$A$1:$I$89,7,0))</f>
        <v>0</v>
      </c>
      <c r="FO109" s="122" t="n">
        <f aca="false">IF(ISNA(VLOOKUP(A109,'Données projet'!$A$217:$I$237,6,0)),0%,VLOOKUP(A109,'Données projet'!$A$217:$I$237,6,0)*VLOOKUP('Données projet'!$B$16,Paramètres!$A$1:$I$89,7,0))</f>
        <v>0</v>
      </c>
      <c r="FP109" s="122" t="n">
        <f aca="false">IF(ISNA(VLOOKUP(A109,'Données projet'!$A$217:$I$237,7,0)),0%,VLOOKUP(A109,'Données projet'!$A$217:$I$237,7,0))</f>
        <v>0</v>
      </c>
      <c r="FQ109" s="129" t="e">
        <f aca="false">EXP(-LN(2)/35)*FQ108+(1-EXP(-LN(2)/35))/(LN(2)/35)*FM109*FN109*VLOOKUP('Données projet'!$B$16,Paramètres!$A$1:$I$89,3,0)*0.475*44/12</f>
        <v>#N/A</v>
      </c>
      <c r="FR109" s="129" t="e">
        <f aca="false">EXP(-LN(2)/25)*FR108+(1-EXP(-LN(2)/25))/(LN(2)/25)*Calculateur!FM109*Calculateur!FO109*VLOOKUP('Données projet'!$B$16,Paramètres!$A$1:$I$89,3,0)*0.475*44/12</f>
        <v>#N/A</v>
      </c>
      <c r="FS109" s="129" t="e">
        <f aca="false">EXP(-LN(2)/2)*FS108+(1-EXP(-LN(2)/2))/(LN(2)/2)*FM109*FP109*VLOOKUP('Données projet'!$B$16,Paramètres!$A$1:$I$89,3,0)*0.475*44/12</f>
        <v>#N/A</v>
      </c>
      <c r="FT109" s="130" t="e">
        <f aca="false">SUM(FQ109:FS109)</f>
        <v>#N/A</v>
      </c>
      <c r="FU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8" t="e">
        <f aca="false">VLOOKUP(A109,'Données projet'!$A$243:$I$263,2,0)</f>
        <v>#N/A</v>
      </c>
      <c r="FX109" s="118" t="e">
        <f aca="false">VLOOKUP(A109,'Données projet'!$A$243:$I$263,9,0)</f>
        <v>#N/A</v>
      </c>
      <c r="FY109" s="118" t="e">
        <f aca="false" t="array" ref="FY109:FY109">INDEX(FX:FX,MIN(IF(ISNUMBER(FX109:FX305),ROW(FX109:FX305),"")))</f>
        <v>#N/A</v>
      </c>
      <c r="FZ109" s="118" t="n">
        <f aca="false">IF('Données projet'!$A$244&gt;35,FZ108+FY109-GH108,IF(A109&lt;'Données projet'!$A$244,$FW$205^A109,IF(A109='Données projet'!$A$244,'Données projet'!$B$244,FZ108+FY109-GH108)))</f>
        <v>0</v>
      </c>
      <c r="GA109" s="125" t="e">
        <f aca="false">FZ109*VLOOKUP('Données projet'!$B$17,Paramètres!$A$1:$I$89,3,0)*VLOOKUP('Données projet'!$B$17,Paramètres!$A$1:$I$89,5,0)</f>
        <v>#N/A</v>
      </c>
      <c r="GB109" s="117" t="e">
        <f aca="false">EXP(-1.0587+0.8836*LN(GA109)+0.284)</f>
        <v>#N/A</v>
      </c>
      <c r="GC109" s="128" t="e">
        <f aca="false">(GA109+GB109)*0.475*44/12</f>
        <v>#N/A</v>
      </c>
      <c r="GD109" s="120" t="e">
        <f aca="false">GC109+(FU109+FV109)*44/12</f>
        <v>#N/A</v>
      </c>
      <c r="GE109" s="120" t="e">
        <f aca="true">AVERAGE(OFFSET($GD$3,0,0,'Données projet'!$E$17+1,1))-AVERAGE(OFFSET($H$3,0,0,'Données projet'!$E$17+1,1))</f>
        <v>#N/A</v>
      </c>
      <c r="GF109" s="120" t="e">
        <f aca="false">$GF$3</f>
        <v>#N/A</v>
      </c>
      <c r="GG109" s="121" t="n">
        <f aca="false">IF(ISNA(VLOOKUP(A109,'Données projet'!$A$243:$I$263,3,0)),0,VLOOKUP(A109,'Données projet'!$A$243:$I$263,3,0))</f>
        <v>0</v>
      </c>
      <c r="GH109" s="121" t="n">
        <f aca="false">IF(ISNA(VLOOKUP(A109,'Données projet'!$A$243:$I$263,4,0)),0,VLOOKUP(A109,'Données projet'!$A$243:$I$263,4,0))</f>
        <v>0</v>
      </c>
      <c r="GI109" s="122" t="n">
        <f aca="false">IF(ISNA(VLOOKUP(A109,'Données projet'!$A$243:$I$263,5,0)),0%,VLOOKUP(A109,'Données projet'!$A$243:$I$263,5,0)*VLOOKUP('Données projet'!$B$17,Paramètres!$A$1:$I$89,7,0))</f>
        <v>0</v>
      </c>
      <c r="GJ109" s="122" t="n">
        <f aca="false">IF(ISNA(VLOOKUP(A109,'Données projet'!$A$243:$I$263,6,0)),0%,VLOOKUP(A109,'Données projet'!$A$243:$I$263,6,0)*VLOOKUP('Données projet'!$B$17,Paramètres!$A$1:$I$89,7,0))</f>
        <v>0</v>
      </c>
      <c r="GK109" s="122" t="n">
        <f aca="false">IF(ISNA(VLOOKUP(A109,'Données projet'!$A$243:$I$263,7,0)),0%,VLOOKUP(A109,'Données projet'!$A$243:$I$263,7,0))</f>
        <v>0</v>
      </c>
      <c r="GL109" s="129" t="e">
        <f aca="false">EXP(-LN(2)/35)*GL108+(1-EXP(-LN(2)/35))/(LN(2)/35)*GH109*GI109*VLOOKUP('Données projet'!$B$17,Paramètres!$A$1:$I$89,3,0)*0.475*44/12</f>
        <v>#N/A</v>
      </c>
      <c r="GM109" s="129" t="e">
        <f aca="false">EXP(-LN(2)/25)*GM108+(1-EXP(-LN(2)/25))/(LN(2)/25)*Calculateur!GH109*Calculateur!GJ109*VLOOKUP('Données projet'!$B$17,Paramètres!$A$1:$I$89,3,0)*0.475*44/12</f>
        <v>#N/A</v>
      </c>
      <c r="GN109" s="129" t="e">
        <f aca="false">EXP(-LN(2)/2)*GN108+(1-EXP(-LN(2)/2))/(LN(2)/2)*GH109*GK109*VLOOKUP('Données projet'!$B$17,Paramètres!$A$1:$I$89,3,0)*0.475*44/12</f>
        <v>#N/A</v>
      </c>
      <c r="GO109" s="129" t="e">
        <f aca="false">SUM(GL109:GN109)</f>
        <v>#N/A</v>
      </c>
      <c r="GP109" s="126" t="n">
        <f aca="false"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8" t="n">
        <f aca="false"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8" t="e">
        <f aca="false">VLOOKUP(A109,'Données projet'!$A$269:$I$289,2,0)</f>
        <v>#N/A</v>
      </c>
      <c r="GS109" s="118" t="e">
        <f aca="false">VLOOKUP(A109,'Données projet'!$A$269:$I$289,9,0)</f>
        <v>#N/A</v>
      </c>
      <c r="GT109" s="118" t="e">
        <f aca="false" t="array" ref="GT109:GT109">INDEX(GS:GS,MIN(IF(ISNUMBER(GS109:GS305),ROW(GS109:GS305),"")))</f>
        <v>#N/A</v>
      </c>
      <c r="GU109" s="118" t="n">
        <f aca="false">IF('Données projet'!$A$270&gt;35,GU108+GT109-HC108,IF(A109&lt;'Données projet'!$A$270,$GR$205^A109,IF(A109='Données projet'!$A$270,'Données projet'!$B$270,GU108+GT109-HC108)))</f>
        <v>0</v>
      </c>
      <c r="GV109" s="125" t="e">
        <f aca="false">GU109*VLOOKUP('Données projet'!$B$18,Paramètres!$A$1:$I$89,3,0)*VLOOKUP('Données projet'!$B$18,Paramètres!$A$1:$I$89,5,0)</f>
        <v>#N/A</v>
      </c>
      <c r="GW109" s="117" t="e">
        <f aca="false">EXP(-1.0587+0.8836*LN(GV109)+0.284)</f>
        <v>#N/A</v>
      </c>
      <c r="GX109" s="128" t="e">
        <f aca="false">(GV109+GW109)*0.475*44/12</f>
        <v>#N/A</v>
      </c>
      <c r="GY109" s="120" t="e">
        <f aca="false">GX109+(GP109+GQ109)*44/12</f>
        <v>#N/A</v>
      </c>
      <c r="GZ109" s="120" t="e">
        <f aca="true">AVERAGE(OFFSET($GY$3,0,0,'Données projet'!$E$18+1,1))-AVERAGE(OFFSET($H$3,0,0,'Données projet'!$E$18+1,1))</f>
        <v>#N/A</v>
      </c>
      <c r="HA109" s="120" t="e">
        <f aca="false">$HA$3</f>
        <v>#N/A</v>
      </c>
      <c r="HB109" s="121" t="n">
        <f aca="false">IF(ISNA(VLOOKUP(A109,'Données projet'!$A$269:$I$289,3,0)),0,VLOOKUP(A109,'Données projet'!$A$269:$I$289,3,0))</f>
        <v>0</v>
      </c>
      <c r="HC109" s="121" t="n">
        <f aca="false">IF(ISNA(VLOOKUP(A109,'Données projet'!$A$269:$I$289,4,0)),0,VLOOKUP(A109,'Données projet'!$A$269:$I$289,4,0))</f>
        <v>0</v>
      </c>
      <c r="HD109" s="122" t="n">
        <f aca="false">IF(ISNA(VLOOKUP(A109,'Données projet'!$A$269:$I$289,5,0)),0%,VLOOKUP(A109,'Données projet'!$A$269:$I$289,5,0)*VLOOKUP('Données projet'!$B$18,Paramètres!$A$1:$I$89,7,0))</f>
        <v>0</v>
      </c>
      <c r="HE109" s="122" t="n">
        <f aca="false">IF(ISNA(VLOOKUP(A109,'Données projet'!$A$269:$I$289,6,0)),0%,VLOOKUP(A109,'Données projet'!$A$269:$I$289,6,0)*VLOOKUP('Données projet'!$B$18,Paramètres!$A$1:$I$89,7,0))</f>
        <v>0</v>
      </c>
      <c r="HF109" s="122" t="n">
        <f aca="false">IF(ISNA(VLOOKUP(A109,'Données projet'!$A$269:$I$289,7,0)),0%,VLOOKUP(A109,'Données projet'!$A$269:$I$289,7,0))</f>
        <v>0</v>
      </c>
      <c r="HG109" s="129" t="e">
        <f aca="false">EXP(-LN(2)/35)*HG108+(1-EXP(-LN(2)/35))/(LN(2)/35)*HC109*HD109*VLOOKUP('Données projet'!$B$18,Paramètres!$A$1:$I$89,3,0)*0.475*44/12</f>
        <v>#N/A</v>
      </c>
      <c r="HH109" s="129" t="e">
        <f aca="false">EXP(-LN(2)/25)*HH108+(1-EXP(-LN(2)/25))/(LN(2)/25)*Calculateur!HC109*Calculateur!HE109*VLOOKUP('Données projet'!$B$18,Paramètres!$A$1:$I$89,3,0)*0.475*44/12</f>
        <v>#N/A</v>
      </c>
      <c r="HI109" s="129" t="e">
        <f aca="false">EXP(-LN(2)/2)*HI108+(1-EXP(-LN(2)/2))/(LN(2)/2)*HC109*HF109*VLOOKUP('Données projet'!$B$18,Paramètres!$A$1:$I$89,3,0)*0.475*44/12</f>
        <v>#N/A</v>
      </c>
      <c r="HJ109" s="130" t="e">
        <f aca="false">SUM(HG109:HI109)</f>
        <v>#N/A</v>
      </c>
    </row>
    <row r="110" customFormat="false" ht="14.25" hidden="false" customHeight="false" outlineLevel="0" collapsed="false">
      <c r="A110" s="112" t="n">
        <f aca="false">A109+1</f>
        <v>107</v>
      </c>
      <c r="B110" s="113" t="n">
        <f aca="false">'Scénario référence'!$B$16*5+'Scénario référence'!$B$17*0+'Scénario référence'!$B$18*5</f>
        <v>0</v>
      </c>
      <c r="C110" s="127" t="n">
        <f aca="false"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4" t="n">
        <f aca="false">IFERROR(EXP(-1.0587+0.8836*LN(C110)+0.284),0)</f>
        <v>0</v>
      </c>
      <c r="E11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0" s="114" t="n">
        <f aca="false">IF(OR('Scénario référence'!$F$8&gt;0,'Scénario référence'!$F$9&gt;0),('Scénario référence'!$F$8+'Scénario référence'!$F$9)*10,0)</f>
        <v>0</v>
      </c>
      <c r="G110" s="114" t="n">
        <f aca="false"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15" t="n">
        <f aca="false">(B110+E110+F110)*44/12+(C110+D110)*0.475*44/12</f>
        <v>256.666666666667</v>
      </c>
      <c r="I110" s="11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7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8" t="e">
        <f aca="false">VLOOKUP(A110,'Données projet'!$A$35:$I$55,2,0)</f>
        <v>#N/A</v>
      </c>
      <c r="L110" s="118" t="e">
        <f aca="false">VLOOKUP(A110,'Données projet'!$A$35:$I$55,9,0)</f>
        <v>#N/A</v>
      </c>
      <c r="M110" s="118" t="e">
        <f aca="false" t="array" ref="M110:M110">INDEX(L:L,MIN(IF(ISNUMBER(L110:L306),ROW(L110:L306),"")))</f>
        <v>#N/A</v>
      </c>
      <c r="N110" s="117" t="n">
        <f aca="false">IF('Données projet'!$A$36&gt;35,N109+M110-V109,IF(A110&lt;'Données projet'!$A$36,$K$205^A110,IF(A110='Données projet'!$A$36,'Données projet'!$B$36,N109+M110-V109)))</f>
        <v>-1.13686837721616E-013</v>
      </c>
      <c r="O110" s="117" t="n">
        <f aca="false">N110*VLOOKUP('Données projet'!$B$9,Paramètres!$A$1:$I$89,3,0)*VLOOKUP('Données projet'!$B$9,Paramètres!$A$1:$I$89,5,0)</f>
        <v>-5.32054400537163E-014</v>
      </c>
      <c r="P110" s="117" t="e">
        <f aca="false">EXP(-1.0587+0.8836*LN(O110)+0.284)</f>
        <v>#VALUE!</v>
      </c>
      <c r="Q110" s="128" t="e">
        <f aca="false">(O110+P110)*0.475*44/12</f>
        <v>#VALUE!</v>
      </c>
      <c r="R110" s="120" t="e">
        <f aca="false">Q110+(I110+J110)*44/12</f>
        <v>#VALUE!</v>
      </c>
      <c r="S110" s="120" t="n">
        <f aca="true">AVERAGE(OFFSET($R$3,0,0,'Données projet'!$E$9+1,1))-AVERAGE(OFFSET($H$3,0,0,'Données projet'!$E$9+1,1))</f>
        <v>319.229030946746</v>
      </c>
      <c r="T110" s="120" t="n">
        <f aca="false">$T$3</f>
        <v>254.586909731428</v>
      </c>
      <c r="U110" s="121" t="n">
        <f aca="false">IF(ISNA(VLOOKUP(A110,'Données projet'!$A$35:$I$55,3,0)),0,VLOOKUP(A110,'Données projet'!$A$35:$I$55,3,0))</f>
        <v>0</v>
      </c>
      <c r="V110" s="121" t="n">
        <f aca="false">IF(ISNA(VLOOKUP(A110,'Données projet'!$A$35:$I$55,4,0)),0,VLOOKUP(A110,'Données projet'!$A$35:$I$55,4,0))</f>
        <v>0</v>
      </c>
      <c r="W110" s="122" t="n">
        <f aca="false">IF(ISNA(VLOOKUP(A110,'Données projet'!$A$35:$I$55,5,0)),0%,VLOOKUP(A110,'Données projet'!$A$35:$I$55,5,0)*VLOOKUP('Données projet'!$B$9,Paramètres!$A$1:$I$89,7,0))</f>
        <v>0</v>
      </c>
      <c r="X110" s="122" t="n">
        <f aca="false">IF(ISNA(VLOOKUP(A110,'Données projet'!$A$35:$I$55,6,0)),0%,VLOOKUP(A110,'Données projet'!$A$35:$I$55,6,0)*VLOOKUP('Données projet'!$B$9,Paramètres!$A$1:$I$89,7,0))</f>
        <v>0</v>
      </c>
      <c r="Y110" s="122" t="n">
        <f aca="false">IF(ISNA(VLOOKUP(A110,'Données projet'!$A$35:$I$55,7,0)),0%,VLOOKUP(A110,'Données projet'!$A$35:$I$55,7,0))</f>
        <v>0</v>
      </c>
      <c r="Z110" s="129" t="n">
        <f aca="false">EXP(-LN(2)/35)*Z109+(1-EXP(-LN(2)/35))/(LN(2)/35)*V110*W110*VLOOKUP('Données projet'!$B$9,Paramètres!$A$1:$I$89,3,0)*0.475*44/12</f>
        <v>1.97531560298565</v>
      </c>
      <c r="AA110" s="129" t="n">
        <f aca="false">EXP(-LN(2)/25)*AA109+(1-EXP(-LN(2)/25))/(LN(2)/25)*Calculateur!V110*Calculateur!X110*VLOOKUP('Données projet'!$B$9,Paramètres!$A$1:$I$89,3,0)*0.475*44/12</f>
        <v>1.31872397026066</v>
      </c>
      <c r="AB110" s="129" t="n">
        <f aca="false">EXP(-LN(2)/2)*AB109+(1-EXP(-LN(2)/2))/(LN(2)/2)*V110*Y110*VLOOKUP('Données projet'!$B$9,Paramètres!$A$1:$I$89,3,0)*0.475*44/12</f>
        <v>2.84077801530797E-011</v>
      </c>
      <c r="AC110" s="130" t="n">
        <f aca="false">SUM(Z110:AB110)</f>
        <v>3.29403957327471</v>
      </c>
      <c r="AD110" s="117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7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8" t="e">
        <f aca="false">VLOOKUP(A110,'Données projet'!$A$61:$I$81,2,0)</f>
        <v>#N/A</v>
      </c>
      <c r="AG110" s="118" t="e">
        <f aca="false">VLOOKUP(A110,'Données projet'!$A$61:$I$81,9,0)</f>
        <v>#N/A</v>
      </c>
      <c r="AH110" s="118" t="e">
        <f aca="false" t="array" ref="AH110:AH110">INDEX(AG:AG,MIN(IF(ISNUMBER(AG110:AG306),ROW(AG110:AG306),"")))</f>
        <v>#N/A</v>
      </c>
      <c r="AI110" s="117" t="n">
        <f aca="false">IF('Données projet'!$A$62&gt;35,AI109+AH110-AQ109,IF(A110&lt;'Données projet'!$A$62,$AF$205^A110,IF(A110='Données projet'!$A$62,'Données projet'!$B$62,AI109+AH110-AQ109)))</f>
        <v>1.13686837721616E-013</v>
      </c>
      <c r="AJ110" s="117" t="n">
        <f aca="false">AI110*VLOOKUP('Données projet'!$B$10,Paramètres!$A$1:$I$89,3,0)*VLOOKUP('Données projet'!$B$10,Paramètres!$A$1:$I$89,5,0)</f>
        <v>6.35509422863834E-014</v>
      </c>
      <c r="AK110" s="117" t="n">
        <f aca="false">EXP(-1.0587+0.8836*LN(AJ110)+0.284)</f>
        <v>1.0064464192544E-012</v>
      </c>
      <c r="AL110" s="128" t="n">
        <f aca="false">(AJ110+AK110)*0.475*44/12</f>
        <v>1.86357873801686E-012</v>
      </c>
      <c r="AM110" s="120" t="n">
        <f aca="false">AL110+(AD110+AE110)*44/12</f>
        <v>293.333333333335</v>
      </c>
      <c r="AN110" s="120" t="n">
        <f aca="true">AVERAGE(OFFSET($AM$3,0,0,'Données projet'!$E$10+1,1))-AVERAGE(OFFSET($H$3,0,0,'Données projet'!$E$10+1,1))</f>
        <v>365.705101827279</v>
      </c>
      <c r="AO110" s="120" t="n">
        <f aca="false">$AO$3</f>
        <v>436.238338449625</v>
      </c>
      <c r="AP110" s="121" t="n">
        <f aca="false">IF(ISNA(VLOOKUP(A110,'Données projet'!$A$61:$I$81,3,0)),0,VLOOKUP(A110,'Données projet'!$A$61:$I$81,3,0))</f>
        <v>0</v>
      </c>
      <c r="AQ110" s="121" t="n">
        <f aca="false">IF(ISNA(VLOOKUP(A110,'Données projet'!$A$61:$I$81,4,0)),0,VLOOKUP(A110,'Données projet'!$A$61:$I$81,4,0))</f>
        <v>0</v>
      </c>
      <c r="AR110" s="122" t="n">
        <f aca="false">IF(ISNA(VLOOKUP(A110,'Données projet'!$A$61:$I$81,5,0)),0%,VLOOKUP(A110,'Données projet'!$A$61:$I$81,5,0)*VLOOKUP('Données projet'!$B$10,Paramètres!$A$1:$I$89,7,0))</f>
        <v>0</v>
      </c>
      <c r="AS110" s="122" t="n">
        <f aca="false">IF(ISNA(VLOOKUP(A110,'Données projet'!$A$61:$I$81,6,0)),0%,VLOOKUP(A110,'Données projet'!$A$61:$I$81,6,0)*VLOOKUP('Données projet'!$B$10,Paramètres!$A$1:$I$89,7,0))</f>
        <v>0</v>
      </c>
      <c r="AT110" s="122" t="n">
        <f aca="false">IF(ISNA(VLOOKUP(A110,'Données projet'!$A$61:$I$81,7,0)),0%,VLOOKUP(A110,'Données projet'!$A$61:$I$81,7,0))</f>
        <v>0</v>
      </c>
      <c r="AU110" s="129" t="n">
        <f aca="false">EXP(-LN(2)/35)*AU109+(1-EXP(-LN(2)/35))/(LN(2)/35)*AQ110*AR110*VLOOKUP('Données projet'!$B$10,Paramètres!$A$1:$I$89,3,0)*0.475*44/12</f>
        <v>0.745617597610706</v>
      </c>
      <c r="AV110" s="129" t="n">
        <f aca="false">EXP(-LN(2)/25)*AV109+(1-EXP(-LN(2)/25))/(LN(2)/25)*Calculateur!AQ110*Calculateur!AS110*VLOOKUP('Données projet'!$B$10,Paramètres!$A$1:$I$89,3,0)*0.475*44/12</f>
        <v>1.56195723953099</v>
      </c>
      <c r="AW110" s="129" t="n">
        <f aca="false">EXP(-LN(2)/2)*AW109+(1-EXP(-LN(2)/2))/(LN(2)/2)*AQ110*AT110*VLOOKUP('Données projet'!$B$10,Paramètres!$A$1:$I$89,3,0)*0.475*44/12</f>
        <v>1.52881794001049E-011</v>
      </c>
      <c r="AX110" s="129" t="n">
        <f aca="false">SUM(AU110:AW110)</f>
        <v>2.30757483715699</v>
      </c>
      <c r="AY110" s="124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8" t="e">
        <f aca="false">VLOOKUP(A110,'Données projet'!$A$87:$I$107,2,0)</f>
        <v>#N/A</v>
      </c>
      <c r="BB110" s="118" t="e">
        <f aca="false">VLOOKUP(A110,'Données projet'!$A$87:$I$107,9,0)</f>
        <v>#N/A</v>
      </c>
      <c r="BC110" s="118" t="e">
        <f aca="false" t="array" ref="BC110:BC110">INDEX(BB:BB,MIN(IF(ISNUMBER(BB110:BB306),ROW(BB110:BB306),"")))</f>
        <v>#N/A</v>
      </c>
      <c r="BD110" s="118" t="n">
        <f aca="false">IF('Données projet'!$A$88&gt;35,BD109+BC110-BL109,IF(A110&lt;'Données projet'!$A$88,$BA$205^A110,IF(A110='Données projet'!$A$88,'Données projet'!$B$88,BD109+BC110-BL109)))</f>
        <v>1.98951966012828E-013</v>
      </c>
      <c r="BE110" s="117" t="n">
        <f aca="false">BD110*VLOOKUP('Données projet'!$B$11,Paramètres!$A$1:$I$89,3,0)*VLOOKUP('Données projet'!$B$11,Paramètres!$A$1:$I$89,5,0)</f>
        <v>1.73804437508807E-013</v>
      </c>
      <c r="BF110" s="117" t="n">
        <f aca="false">EXP(-1.0587+0.8836*LN(BE110)+0.284)</f>
        <v>2.44832936339505E-012</v>
      </c>
      <c r="BG110" s="128" t="n">
        <f aca="false">(BE110+BF110)*0.475*44/12</f>
        <v>4.56688303657421E-012</v>
      </c>
      <c r="BH110" s="120" t="n">
        <f aca="false">BG110+(AY110+AZ110)*44/12</f>
        <v>293.333333333338</v>
      </c>
      <c r="BI110" s="120" t="n">
        <f aca="true">AVERAGE(OFFSET($BH$3,0,0,'Données projet'!$E$11+1,1))-AVERAGE(OFFSET($H$3,0,0,'Données projet'!$E$11+1,1))</f>
        <v>321.235999689929</v>
      </c>
      <c r="BJ110" s="120" t="n">
        <f aca="false">$BJ$3</f>
        <v>388.051958478005</v>
      </c>
      <c r="BK110" s="121" t="n">
        <f aca="false">IF(ISNA(VLOOKUP(A110,'Données projet'!$A$87:$I$107,3,0)),0,VLOOKUP(A110,'Données projet'!$A$87:$I$107,3,0))</f>
        <v>0</v>
      </c>
      <c r="BL110" s="121" t="n">
        <f aca="false">IF(ISNA(VLOOKUP(A110,'Données projet'!$A$87:$I$107,4,0)),0,VLOOKUP(A110,'Données projet'!$A$87:$I$107,4,0))</f>
        <v>0</v>
      </c>
      <c r="BM110" s="122" t="n">
        <f aca="false">IF(ISNA(VLOOKUP(A110,'Données projet'!$A$87:$I$107,5,0)),0%,VLOOKUP(A110,'Données projet'!$A$87:$I$107,5,0)*VLOOKUP('Données projet'!$B$11,Paramètres!$A$1:$I$89,7,0))</f>
        <v>0</v>
      </c>
      <c r="BN110" s="122" t="n">
        <f aca="false">IF(ISNA(VLOOKUP(A110,'Données projet'!$A$87:$I$107,6,0)),0%,VLOOKUP(A110,'Données projet'!$A$87:$I$107,6,0)*VLOOKUP('Données projet'!$B$11,Paramètres!$A$1:$I$89,7,0))</f>
        <v>0</v>
      </c>
      <c r="BO110" s="122" t="n">
        <f aca="false">IF(ISNA(VLOOKUP(A110,'Données projet'!$A$87:$I$107,7,0)),0%,VLOOKUP(A110,'Données projet'!$A$87:$I$107,7,0))</f>
        <v>0</v>
      </c>
      <c r="BP110" s="129" t="n">
        <f aca="false">EXP(-LN(2)/35)*BP109+(1-EXP(-LN(2)/35))/(LN(2)/35)*BL110*BM110*VLOOKUP('Données projet'!$B$11,Paramètres!$A$1:$I$89,3,0)*0.475*44/12</f>
        <v>1.87196346095169</v>
      </c>
      <c r="BQ110" s="129" t="n">
        <f aca="false">EXP(-LN(2)/25)*BQ109+(1-EXP(-LN(2)/25))/(LN(2)/25)*Calculateur!BL110*Calculateur!BN110*VLOOKUP('Données projet'!$B$11,Paramètres!$A$1:$I$89,3,0)*0.475*44/12</f>
        <v>1.59435317558919</v>
      </c>
      <c r="BR110" s="129" t="n">
        <f aca="false">EXP(-LN(2)/2)*BR109+(1-EXP(-LN(2)/2))/(LN(2)/2)*BL110*BO110*VLOOKUP('Données projet'!$B$11,Paramètres!$A$1:$I$89,3,0)*0.475*44/12</f>
        <v>1.55401165901149E-011</v>
      </c>
      <c r="BS110" s="130" t="n">
        <f aca="false">SUM(BP110:BR110)</f>
        <v>3.46631663655642</v>
      </c>
      <c r="BT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8" t="e">
        <f aca="false">VLOOKUP(A110,'Données projet'!$A$113:$I$133,2,0)</f>
        <v>#N/A</v>
      </c>
      <c r="BW110" s="118" t="e">
        <f aca="false">VLOOKUP(A110,'Données projet'!$A$113:$I$133,9,0)</f>
        <v>#N/A</v>
      </c>
      <c r="BX110" s="118" t="e">
        <f aca="false" t="array" ref="BX110:BX110">INDEX(BW:BW,MIN(IF(ISNUMBER(BW110:BW306),ROW(BW110:BW306),"")))</f>
        <v>#N/A</v>
      </c>
      <c r="BY110" s="118" t="n">
        <f aca="false">IF('Données projet'!$A$114&gt;35,BY109+BX110-CG109,IF(A110&lt;'Données projet'!$A$114,$BV$205^A110,IF(A110='Données projet'!$A$114,'Données projet'!$B$114,BY109+BX110-CG109)))</f>
        <v>0</v>
      </c>
      <c r="BZ110" s="117" t="n">
        <f aca="false">BY110*VLOOKUP('Données projet'!$B$12,Paramètres!$A$1:$I$89,3,0)*VLOOKUP('Données projet'!$B$12,Paramètres!$A$1:$I$89,5,0)</f>
        <v>0</v>
      </c>
      <c r="CA110" s="117" t="e">
        <f aca="false">EXP(-1.0587+0.8836*LN(BZ110)+0.284)</f>
        <v>#VALUE!</v>
      </c>
      <c r="CB110" s="128" t="e">
        <f aca="false">(BZ110+CA110)*0.475*44/12</f>
        <v>#VALUE!</v>
      </c>
      <c r="CC110" s="120" t="e">
        <f aca="false">CB110+(BT110+BU110)*44/12</f>
        <v>#VALUE!</v>
      </c>
      <c r="CD110" s="120" t="n">
        <f aca="true">AVERAGE(OFFSET($CC$3,0,0,'Données projet'!$E$12+1,1))-AVERAGE(OFFSET($H$3,0,0,'Données projet'!$E$12+1,1))</f>
        <v>240.228848647662</v>
      </c>
      <c r="CE110" s="120" t="n">
        <f aca="false">$CE$3</f>
        <v>343.237768841432</v>
      </c>
      <c r="CF110" s="121" t="n">
        <f aca="false">IF(ISNA(VLOOKUP(A110,'Données projet'!$A$113:$I$133,3,0)),0,VLOOKUP(A110,'Données projet'!$A$113:$I$133,3,0))</f>
        <v>0</v>
      </c>
      <c r="CG110" s="121" t="n">
        <f aca="false">IF(ISNA(VLOOKUP(A110,'Données projet'!$A$113:$I$133,4,0)),0,VLOOKUP(A110,'Données projet'!$A$113:$I$133,4,0))</f>
        <v>0</v>
      </c>
      <c r="CH110" s="122" t="n">
        <f aca="false">IF(ISNA(VLOOKUP(A110,'Données projet'!$A$113:$I$133,5,0)),0%,VLOOKUP(A110,'Données projet'!$A$113:$I$133,5,0)*VLOOKUP('Données projet'!$B$12,Paramètres!$A$1:$I$89,7,0))</f>
        <v>0</v>
      </c>
      <c r="CI110" s="122" t="n">
        <f aca="false">IF(ISNA(VLOOKUP(A110,'Données projet'!$A$113:$I$133,6,0)),0%,VLOOKUP(A110,'Données projet'!$A$113:$I$133,6,0)*VLOOKUP('Données projet'!$B$12,Paramètres!$A$1:$I$89,7,0))</f>
        <v>0</v>
      </c>
      <c r="CJ110" s="122" t="n">
        <f aca="false">IF(ISNA(VLOOKUP(A110,'Données projet'!$A$113:$I$133,7,0)),0%,VLOOKUP(A110,'Données projet'!$A$113:$I$133,7,0))</f>
        <v>0</v>
      </c>
      <c r="CK110" s="129" t="n">
        <f aca="false">EXP(-LN(2)/35)*CK109+(1-EXP(-LN(2)/35))/(LN(2)/35)*CG110*CH110*VLOOKUP('Données projet'!$B$12,Paramètres!$A$1:$I$89,3,0)*0.475*44/12</f>
        <v>1.14578747708948</v>
      </c>
      <c r="CL110" s="129" t="n">
        <f aca="false">EXP(-LN(2)/25)*CL109+(1-EXP(-LN(2)/25))/(LN(2)/25)*Calculateur!CG110*Calculateur!CI110*VLOOKUP('Données projet'!$B$12,Paramètres!$A$1:$I$89,3,0)*0.475*44/12</f>
        <v>2.81572000501516</v>
      </c>
      <c r="CM110" s="129" t="n">
        <f aca="false">EXP(-LN(2)/2)*CM109+(1-EXP(-LN(2)/2))/(LN(2)/2)*CG110*CJ110*VLOOKUP('Données projet'!$B$12,Paramètres!$A$1:$I$89,3,0)*0.475*44/12</f>
        <v>2.47978830851151E-011</v>
      </c>
      <c r="CN110" s="130" t="n">
        <f aca="false">SUM(CK110:CM110)</f>
        <v>3.96150748212944</v>
      </c>
      <c r="CO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8" t="e">
        <f aca="false">VLOOKUP(A110,'Données projet'!$A$139:$I$159,2,0)</f>
        <v>#N/A</v>
      </c>
      <c r="CR110" s="118" t="e">
        <f aca="false">VLOOKUP(A110,'Données projet'!$A$139:$I$159,9,0)</f>
        <v>#N/A</v>
      </c>
      <c r="CS110" s="118" t="e">
        <f aca="false" t="array" ref="CS110:CS110">INDEX(CR:CR,MIN(IF(ISNUMBER(CR110:CR306),ROW(CR110:CR306),"")))</f>
        <v>#N/A</v>
      </c>
      <c r="CT110" s="118" t="n">
        <f aca="false">IF('Données projet'!$A$140&gt;35,CT109+CS110-DB109,IF(A110&lt;'Données projet'!$A$140,$CQ$205^A110,IF(A110='Données projet'!$A$140,'Données projet'!$B$140,CT109+CS110-DB109)))</f>
        <v>-5.6843418860808E-014</v>
      </c>
      <c r="CU110" s="125" t="n">
        <f aca="false">CT110*VLOOKUP('Données projet'!$B$13,Paramètres!$A$1:$I$89,3,0)*VLOOKUP('Données projet'!$B$13,Paramètres!$A$1:$I$89,5,0)</f>
        <v>-3.10365066980012E-014</v>
      </c>
      <c r="CV110" s="117" t="e">
        <f aca="false">EXP(-1.0587+0.8836*LN(CU110)+0.284)</f>
        <v>#VALUE!</v>
      </c>
      <c r="CW110" s="128" t="e">
        <f aca="false">(CU110+CV110)*0.475*44/12</f>
        <v>#VALUE!</v>
      </c>
      <c r="CX110" s="120" t="e">
        <f aca="false">CW110+(CO110+CP110)*44/12</f>
        <v>#VALUE!</v>
      </c>
      <c r="CY110" s="120" t="n">
        <f aca="true">AVERAGE(OFFSET($CX$3,0,0,'Données projet'!$E$13+1,1))-AVERAGE(OFFSET($H$3,0,0,'Données projet'!$E$13+1,1))</f>
        <v>207.023069645676</v>
      </c>
      <c r="CZ110" s="120" t="n">
        <f aca="false">$CZ$3</f>
        <v>342.068879333518</v>
      </c>
      <c r="DA110" s="121" t="n">
        <f aca="false">IF(ISNA(VLOOKUP(A110,'Données projet'!$A$139:$I$159,3,0)),0,VLOOKUP(A110,'Données projet'!$A$139:$I$159,3,0))</f>
        <v>0</v>
      </c>
      <c r="DB110" s="121" t="n">
        <f aca="false">IF(ISNA(VLOOKUP(A110,'Données projet'!$A$139:$I$159,4,0)),0,VLOOKUP(A110,'Données projet'!$A$139:$I$159,4,0))</f>
        <v>0</v>
      </c>
      <c r="DC110" s="122" t="n">
        <f aca="false">IF(ISNA(VLOOKUP(A110,'Données projet'!$A$139:$I$159,5,0)),0%,VLOOKUP(A110,'Données projet'!$A$139:$I$159,5,0)*VLOOKUP('Données projet'!$B$13,Paramètres!$A$1:$I$89,7,0))</f>
        <v>0</v>
      </c>
      <c r="DD110" s="122" t="n">
        <f aca="false">IF(ISNA(VLOOKUP(A110,'Données projet'!$A$139:$I$159,6,0)),0%,VLOOKUP(A110,'Données projet'!$A$139:$I$159,6,0)*VLOOKUP('Données projet'!$B$13,Paramètres!$A$1:$I$89,7,0))</f>
        <v>0</v>
      </c>
      <c r="DE110" s="122" t="n">
        <f aca="false">IF(ISNA(VLOOKUP(A110,'Données projet'!$A$139:$I$159,7,0)),0%,VLOOKUP(A110,'Données projet'!$A$139:$I$159,7,0))</f>
        <v>0</v>
      </c>
      <c r="DF110" s="129" t="n">
        <f aca="false">EXP(-LN(2)/35)*DF109+(1-EXP(-LN(2)/35))/(LN(2)/35)*DB110*DC110*VLOOKUP('Données projet'!$B$13,Paramètres!$A$1:$I$89,3,0)*0.475*44/12</f>
        <v>1.43763900427265</v>
      </c>
      <c r="DG110" s="129" t="n">
        <f aca="false">EXP(-LN(2)/25)*DG109+(1-EXP(-LN(2)/25))/(LN(2)/25)*Calculateur!DB110*Calculateur!DD110*VLOOKUP('Données projet'!$B$13,Paramètres!$A$1:$I$89,3,0)*0.475*44/12</f>
        <v>4.60252949227909</v>
      </c>
      <c r="DH110" s="129" t="n">
        <f aca="false">EXP(-LN(2)/2)*DH109+(1-EXP(-LN(2)/2))/(LN(2)/2)*DB110*DE110*VLOOKUP('Données projet'!$B$13,Paramètres!$A$1:$I$89,3,0)*0.475*44/12</f>
        <v>3.41466965051267E-011</v>
      </c>
      <c r="DI110" s="130" t="n">
        <f aca="false">SUM(DF110:DH110)</f>
        <v>6.04016849658589</v>
      </c>
      <c r="DJ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8" t="e">
        <f aca="false">VLOOKUP(A110,'Données projet'!$A$165:$I$185,2,0)</f>
        <v>#N/A</v>
      </c>
      <c r="DM110" s="118" t="e">
        <f aca="false">VLOOKUP(A110,'Données projet'!$A$165:$I$185,9,0)</f>
        <v>#N/A</v>
      </c>
      <c r="DN110" s="118" t="e">
        <f aca="false" t="array" ref="DN110:DN110">INDEX(DM:DM,MIN(IF(ISNUMBER(DM110:DM306),ROW(DM110:DM306),"")))</f>
        <v>#N/A</v>
      </c>
      <c r="DO110" s="118" t="n">
        <f aca="false">IF('Données projet'!$A$166&gt;35,DO109+DN110-DW109,IF(A110&lt;'Données projet'!$A$166,$DL$205^A110,IF(A110='Données projet'!$A$166,'Données projet'!$B$166,DO109+DN110-DW109)))</f>
        <v>0</v>
      </c>
      <c r="DP110" s="125" t="n">
        <f aca="false">DO110*VLOOKUP('Données projet'!$B$14,Paramètres!$A$1:$I$89,3,0)*VLOOKUP('Données projet'!$B$14,Paramètres!$A$1:$I$89,5,0)</f>
        <v>0</v>
      </c>
      <c r="DQ110" s="117" t="e">
        <f aca="false">EXP(-1.0587+0.8836*LN(DP110)+0.284)</f>
        <v>#VALUE!</v>
      </c>
      <c r="DR110" s="128" t="e">
        <f aca="false">(DP110+DQ110)*0.475*44/12</f>
        <v>#VALUE!</v>
      </c>
      <c r="DS110" s="120" t="e">
        <f aca="false">DR110+(DJ110+DK110)*44/12</f>
        <v>#VALUE!</v>
      </c>
      <c r="DT110" s="120" t="n">
        <f aca="true">AVERAGE(OFFSET($DS$3,0,0,'Données projet'!$E$14+1,1))-AVERAGE(OFFSET($H$3,0,0,'Données projet'!$E$14+1,1))</f>
        <v>549.432320957297</v>
      </c>
      <c r="DU110" s="120" t="n">
        <f aca="false">$DU$3</f>
        <v>280.26155987301</v>
      </c>
      <c r="DV110" s="121" t="n">
        <f aca="false">IF(ISNA(VLOOKUP(A110,'Données projet'!$A$165:$I$185,3,0)),0,VLOOKUP(A110,'Données projet'!$A$165:$I$185,3,0))</f>
        <v>0</v>
      </c>
      <c r="DW110" s="121" t="n">
        <f aca="false">IF(ISNA(VLOOKUP(A110,'Données projet'!$A$165:$I$185,4,0)),0,VLOOKUP(A110,'Données projet'!$A$165:$I$185,4,0))</f>
        <v>0</v>
      </c>
      <c r="DX110" s="122" t="n">
        <f aca="false">IF(ISNA(VLOOKUP(A110,'Données projet'!$A$165:$I$185,5,0)),0%,VLOOKUP(A110,'Données projet'!$A$165:$I$185,5,0)*VLOOKUP('Données projet'!$B$14,Paramètres!$A$1:$I$89,7,0))</f>
        <v>0</v>
      </c>
      <c r="DY110" s="122" t="n">
        <f aca="false">IF(ISNA(VLOOKUP(A110,'Données projet'!$A$165:$I$185,6,0)),0%,VLOOKUP(A110,'Données projet'!$A$165:$I$185,6,0)*VLOOKUP('Données projet'!$B$14,Paramètres!$A$1:$I$89,7,0))</f>
        <v>0</v>
      </c>
      <c r="DZ110" s="122" t="n">
        <f aca="false">IF(ISNA(VLOOKUP(A110,'Données projet'!$A$165:$I$185,7,0)),0%,VLOOKUP(A110,'Données projet'!$A$165:$I$185,7,0))</f>
        <v>0</v>
      </c>
      <c r="EA110" s="129" t="n">
        <f aca="false">EXP(-LN(2)/35)*EA109+(1-EXP(-LN(2)/35))/(LN(2)/35)*DW110*DX110*VLOOKUP('Données projet'!$B$14,Paramètres!$A$1:$I$89,3,0)*0.475*44/12</f>
        <v>0.522723938923052</v>
      </c>
      <c r="EB110" s="129" t="n">
        <f aca="false">EXP(-LN(2)/25)*EB109+(1-EXP(-LN(2)/25))/(LN(2)/25)*Calculateur!DW110*Calculateur!DY110*VLOOKUP('Données projet'!$B$14,Paramètres!$A$1:$I$89,3,0)*0.475*44/12</f>
        <v>0.91691468117284</v>
      </c>
      <c r="EC110" s="129" t="n">
        <f aca="false">EXP(-LN(2)/2)*EC109+(1-EXP(-LN(2)/2))/(LN(2)/2)*DW110*DZ110*VLOOKUP('Données projet'!$B$14,Paramètres!$A$1:$I$89,3,0)*0.475*44/12</f>
        <v>1.57409232157265E-011</v>
      </c>
      <c r="ED110" s="130" t="n">
        <f aca="false">SUM(EA110:EC110)</f>
        <v>1.43963862011163</v>
      </c>
      <c r="EE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8" t="e">
        <f aca="false">VLOOKUP(A110,'Données projet'!$A$191:$I$211,2,0)</f>
        <v>#N/A</v>
      </c>
      <c r="EH110" s="118" t="e">
        <f aca="false">VLOOKUP(A110,'Données projet'!$A$191:$I$211,9,0)</f>
        <v>#N/A</v>
      </c>
      <c r="EI110" s="118" t="e">
        <f aca="false" t="array" ref="EI110:EI110">INDEX(EH:EH,MIN(IF(ISNUMBER(EH110:EH306),ROW(EH110:EH306),"")))</f>
        <v>#N/A</v>
      </c>
      <c r="EJ110" s="118" t="n">
        <f aca="false">IF('Données projet'!$A$192&gt;35,EJ109+EI110-ER109,IF(A110&lt;'Données projet'!$A$192,$EG$205^A110,IF(A110='Données projet'!$A$192,'Données projet'!$B$192,EJ109+EI110-ER109)))</f>
        <v>0</v>
      </c>
      <c r="EK110" s="125" t="e">
        <f aca="false">EJ110*VLOOKUP('Données projet'!$B$15,Paramètres!$A$1:$I$89,3,0)*VLOOKUP('Données projet'!$B$15,Paramètres!$A$1:$I$89,5,0)</f>
        <v>#N/A</v>
      </c>
      <c r="EL110" s="117" t="e">
        <f aca="false">EXP(-1.0587+0.8836*LN(EK110)+0.284)</f>
        <v>#N/A</v>
      </c>
      <c r="EM110" s="128" t="e">
        <f aca="false">(EK110+EL110)*0.475*44/12</f>
        <v>#N/A</v>
      </c>
      <c r="EN110" s="120" t="e">
        <f aca="false">EM110+(EE110+EF110)*44/12</f>
        <v>#N/A</v>
      </c>
      <c r="EO110" s="120" t="e">
        <f aca="true">AVERAGE(OFFSET($EN$3,0,0,'Données projet'!$E$15+1,1))-AVERAGE(OFFSET($H$3,0,0,'Données projet'!$E$15+1,1))</f>
        <v>#N/A</v>
      </c>
      <c r="EP110" s="120" t="e">
        <f aca="false">$EP$3</f>
        <v>#N/A</v>
      </c>
      <c r="EQ110" s="121" t="n">
        <f aca="false">IF(ISNA(VLOOKUP(A110,'Données projet'!$A$191:$I$211,3,0)),0,VLOOKUP(A110,'Données projet'!$A$191:$I$211,3,0))</f>
        <v>0</v>
      </c>
      <c r="ER110" s="121" t="n">
        <f aca="false">IF(ISNA(VLOOKUP(A110,'Données projet'!$A$191:$I$211,4,0)),0,VLOOKUP(A110,'Données projet'!$A$191:$I$211,4,0))</f>
        <v>0</v>
      </c>
      <c r="ES110" s="122" t="n">
        <f aca="false">IF(ISNA(VLOOKUP(A110,'Données projet'!$A$191:$I$211,5,0)),0%,VLOOKUP(A110,'Données projet'!$A$191:$I$211,5,0)*VLOOKUP('Données projet'!$B$15,Paramètres!$A$1:$I$89,7,0))</f>
        <v>0</v>
      </c>
      <c r="ET110" s="122" t="n">
        <f aca="false">IF(ISNA(VLOOKUP(A110,'Données projet'!$A$191:$I$211,6,0)),0%,VLOOKUP(A110,'Données projet'!$A$191:$I$211,6,0)*VLOOKUP('Données projet'!$B$15,Paramètres!$A$1:$I$89,7,0))</f>
        <v>0</v>
      </c>
      <c r="EU110" s="122" t="n">
        <f aca="false">IF(ISNA(VLOOKUP(A110,'Données projet'!$A$191:$I$211,7,0)),0%,VLOOKUP(A110,'Données projet'!$A$191:$I$211,7,0))</f>
        <v>0</v>
      </c>
      <c r="EV110" s="129" t="e">
        <f aca="false">EXP(-LN(2)/35)*EV109+(1-EXP(-LN(2)/35))/(LN(2)/35)*ER110*ES110*VLOOKUP('Données projet'!$B$15,Paramètres!$A$1:$I$89,3,0)*0.475*44/12</f>
        <v>#N/A</v>
      </c>
      <c r="EW110" s="129" t="e">
        <f aca="false">EXP(-LN(2)/25)*EW109+(1-EXP(-LN(2)/25))/(LN(2)/25)*Calculateur!ER110*Calculateur!ET110*VLOOKUP('Données projet'!$B$15,Paramètres!$A$1:$I$89,3,0)*0.475*44/12</f>
        <v>#N/A</v>
      </c>
      <c r="EX110" s="129" t="e">
        <f aca="false">EXP(-LN(2)/2)*EX109+(1-EXP(-LN(2)/2))/(LN(2)/2)*ER110*EU110*VLOOKUP('Données projet'!$B$15,Paramètres!$A$1:$I$89,3,0)*0.475*44/12</f>
        <v>#N/A</v>
      </c>
      <c r="EY110" s="130" t="e">
        <f aca="false">SUM(EV110:EX110)</f>
        <v>#N/A</v>
      </c>
      <c r="EZ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8" t="e">
        <f aca="false">VLOOKUP(A110,'Données projet'!$A$217:$I$237,2,0)</f>
        <v>#N/A</v>
      </c>
      <c r="FC110" s="118" t="e">
        <f aca="false">VLOOKUP(A110,'Données projet'!$A$217:$I$237,9,0)</f>
        <v>#N/A</v>
      </c>
      <c r="FD110" s="118" t="e">
        <f aca="false" t="array" ref="FD110:FD110">INDEX(FC:FC,MIN(IF(ISNUMBER(FC110:FC306),ROW(FC110:FC306),"")))</f>
        <v>#N/A</v>
      </c>
      <c r="FE110" s="118" t="n">
        <f aca="false">IF('Données projet'!$A$218&gt;35,FE109+FD110-FM109,IF(A110&lt;'Données projet'!$A$218,$FB$205^A110,IF(A110='Données projet'!$A$218,'Données projet'!$B$218,FE109+FD110-FM109)))</f>
        <v>0</v>
      </c>
      <c r="FF110" s="125" t="e">
        <f aca="false">FE110*VLOOKUP('Données projet'!$B$16,Paramètres!$A$1:$I$89,3,0)*VLOOKUP('Données projet'!$B$16,Paramètres!$A$1:$I$89,5,0)</f>
        <v>#N/A</v>
      </c>
      <c r="FG110" s="117" t="e">
        <f aca="false">EXP(-1.0587+0.8836*LN(FF110)+0.284)</f>
        <v>#N/A</v>
      </c>
      <c r="FH110" s="128" t="e">
        <f aca="false">(FF110+FG110)*0.475*44/12</f>
        <v>#N/A</v>
      </c>
      <c r="FI110" s="120" t="e">
        <f aca="false">FH110+(EZ110+FA110)*44/12</f>
        <v>#N/A</v>
      </c>
      <c r="FJ110" s="120" t="e">
        <f aca="true">AVERAGE(OFFSET($FI$3,0,0,'Données projet'!$E$16+1,1))-AVERAGE(OFFSET($H$3,0,0,'Données projet'!$E$16+1,1))</f>
        <v>#N/A</v>
      </c>
      <c r="FK110" s="120" t="e">
        <f aca="false">$FK$3</f>
        <v>#N/A</v>
      </c>
      <c r="FL110" s="121" t="n">
        <f aca="false">IF(ISNA(VLOOKUP(A110,'Données projet'!$A$217:$I$237,3,0)),0,VLOOKUP(A110,'Données projet'!$A$217:$I$237,3,0))</f>
        <v>0</v>
      </c>
      <c r="FM110" s="121" t="n">
        <f aca="false">IF(ISNA(VLOOKUP(A110,'Données projet'!$A$217:$I$237,4,0)),0,VLOOKUP(A110,'Données projet'!$A$217:$I$237,4,0))</f>
        <v>0</v>
      </c>
      <c r="FN110" s="122" t="n">
        <f aca="false">IF(ISNA(VLOOKUP(A110,'Données projet'!$A$217:$I$237,5,0)),0%,VLOOKUP(A110,'Données projet'!$A$217:$I$237,5,0)*VLOOKUP('Données projet'!$B$16,Paramètres!$A$1:$I$89,7,0))</f>
        <v>0</v>
      </c>
      <c r="FO110" s="122" t="n">
        <f aca="false">IF(ISNA(VLOOKUP(A110,'Données projet'!$A$217:$I$237,6,0)),0%,VLOOKUP(A110,'Données projet'!$A$217:$I$237,6,0)*VLOOKUP('Données projet'!$B$16,Paramètres!$A$1:$I$89,7,0))</f>
        <v>0</v>
      </c>
      <c r="FP110" s="122" t="n">
        <f aca="false">IF(ISNA(VLOOKUP(A110,'Données projet'!$A$217:$I$237,7,0)),0%,VLOOKUP(A110,'Données projet'!$A$217:$I$237,7,0))</f>
        <v>0</v>
      </c>
      <c r="FQ110" s="129" t="e">
        <f aca="false">EXP(-LN(2)/35)*FQ109+(1-EXP(-LN(2)/35))/(LN(2)/35)*FM110*FN110*VLOOKUP('Données projet'!$B$16,Paramètres!$A$1:$I$89,3,0)*0.475*44/12</f>
        <v>#N/A</v>
      </c>
      <c r="FR110" s="129" t="e">
        <f aca="false">EXP(-LN(2)/25)*FR109+(1-EXP(-LN(2)/25))/(LN(2)/25)*Calculateur!FM110*Calculateur!FO110*VLOOKUP('Données projet'!$B$16,Paramètres!$A$1:$I$89,3,0)*0.475*44/12</f>
        <v>#N/A</v>
      </c>
      <c r="FS110" s="129" t="e">
        <f aca="false">EXP(-LN(2)/2)*FS109+(1-EXP(-LN(2)/2))/(LN(2)/2)*FM110*FP110*VLOOKUP('Données projet'!$B$16,Paramètres!$A$1:$I$89,3,0)*0.475*44/12</f>
        <v>#N/A</v>
      </c>
      <c r="FT110" s="130" t="e">
        <f aca="false">SUM(FQ110:FS110)</f>
        <v>#N/A</v>
      </c>
      <c r="FU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8" t="e">
        <f aca="false">VLOOKUP(A110,'Données projet'!$A$243:$I$263,2,0)</f>
        <v>#N/A</v>
      </c>
      <c r="FX110" s="118" t="e">
        <f aca="false">VLOOKUP(A110,'Données projet'!$A$243:$I$263,9,0)</f>
        <v>#N/A</v>
      </c>
      <c r="FY110" s="118" t="e">
        <f aca="false" t="array" ref="FY110:FY110">INDEX(FX:FX,MIN(IF(ISNUMBER(FX110:FX306),ROW(FX110:FX306),"")))</f>
        <v>#N/A</v>
      </c>
      <c r="FZ110" s="118" t="n">
        <f aca="false">IF('Données projet'!$A$244&gt;35,FZ109+FY110-GH109,IF(A110&lt;'Données projet'!$A$244,$FW$205^A110,IF(A110='Données projet'!$A$244,'Données projet'!$B$244,FZ109+FY110-GH109)))</f>
        <v>0</v>
      </c>
      <c r="GA110" s="125" t="e">
        <f aca="false">FZ110*VLOOKUP('Données projet'!$B$17,Paramètres!$A$1:$I$89,3,0)*VLOOKUP('Données projet'!$B$17,Paramètres!$A$1:$I$89,5,0)</f>
        <v>#N/A</v>
      </c>
      <c r="GB110" s="117" t="e">
        <f aca="false">EXP(-1.0587+0.8836*LN(GA110)+0.284)</f>
        <v>#N/A</v>
      </c>
      <c r="GC110" s="128" t="e">
        <f aca="false">(GA110+GB110)*0.475*44/12</f>
        <v>#N/A</v>
      </c>
      <c r="GD110" s="120" t="e">
        <f aca="false">GC110+(FU110+FV110)*44/12</f>
        <v>#N/A</v>
      </c>
      <c r="GE110" s="120" t="e">
        <f aca="true">AVERAGE(OFFSET($GD$3,0,0,'Données projet'!$E$17+1,1))-AVERAGE(OFFSET($H$3,0,0,'Données projet'!$E$17+1,1))</f>
        <v>#N/A</v>
      </c>
      <c r="GF110" s="120" t="e">
        <f aca="false">$GF$3</f>
        <v>#N/A</v>
      </c>
      <c r="GG110" s="121" t="n">
        <f aca="false">IF(ISNA(VLOOKUP(A110,'Données projet'!$A$243:$I$263,3,0)),0,VLOOKUP(A110,'Données projet'!$A$243:$I$263,3,0))</f>
        <v>0</v>
      </c>
      <c r="GH110" s="121" t="n">
        <f aca="false">IF(ISNA(VLOOKUP(A110,'Données projet'!$A$243:$I$263,4,0)),0,VLOOKUP(A110,'Données projet'!$A$243:$I$263,4,0))</f>
        <v>0</v>
      </c>
      <c r="GI110" s="122" t="n">
        <f aca="false">IF(ISNA(VLOOKUP(A110,'Données projet'!$A$243:$I$263,5,0)),0%,VLOOKUP(A110,'Données projet'!$A$243:$I$263,5,0)*VLOOKUP('Données projet'!$B$17,Paramètres!$A$1:$I$89,7,0))</f>
        <v>0</v>
      </c>
      <c r="GJ110" s="122" t="n">
        <f aca="false">IF(ISNA(VLOOKUP(A110,'Données projet'!$A$243:$I$263,6,0)),0%,VLOOKUP(A110,'Données projet'!$A$243:$I$263,6,0)*VLOOKUP('Données projet'!$B$17,Paramètres!$A$1:$I$89,7,0))</f>
        <v>0</v>
      </c>
      <c r="GK110" s="122" t="n">
        <f aca="false">IF(ISNA(VLOOKUP(A110,'Données projet'!$A$243:$I$263,7,0)),0%,VLOOKUP(A110,'Données projet'!$A$243:$I$263,7,0))</f>
        <v>0</v>
      </c>
      <c r="GL110" s="129" t="e">
        <f aca="false">EXP(-LN(2)/35)*GL109+(1-EXP(-LN(2)/35))/(LN(2)/35)*GH110*GI110*VLOOKUP('Données projet'!$B$17,Paramètres!$A$1:$I$89,3,0)*0.475*44/12</f>
        <v>#N/A</v>
      </c>
      <c r="GM110" s="129" t="e">
        <f aca="false">EXP(-LN(2)/25)*GM109+(1-EXP(-LN(2)/25))/(LN(2)/25)*Calculateur!GH110*Calculateur!GJ110*VLOOKUP('Données projet'!$B$17,Paramètres!$A$1:$I$89,3,0)*0.475*44/12</f>
        <v>#N/A</v>
      </c>
      <c r="GN110" s="129" t="e">
        <f aca="false">EXP(-LN(2)/2)*GN109+(1-EXP(-LN(2)/2))/(LN(2)/2)*GH110*GK110*VLOOKUP('Données projet'!$B$17,Paramètres!$A$1:$I$89,3,0)*0.475*44/12</f>
        <v>#N/A</v>
      </c>
      <c r="GO110" s="129" t="e">
        <f aca="false">SUM(GL110:GN110)</f>
        <v>#N/A</v>
      </c>
      <c r="GP110" s="126" t="n">
        <f aca="false"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8" t="n">
        <f aca="false"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8" t="e">
        <f aca="false">VLOOKUP(A110,'Données projet'!$A$269:$I$289,2,0)</f>
        <v>#N/A</v>
      </c>
      <c r="GS110" s="118" t="e">
        <f aca="false">VLOOKUP(A110,'Données projet'!$A$269:$I$289,9,0)</f>
        <v>#N/A</v>
      </c>
      <c r="GT110" s="118" t="e">
        <f aca="false" t="array" ref="GT110:GT110">INDEX(GS:GS,MIN(IF(ISNUMBER(GS110:GS306),ROW(GS110:GS306),"")))</f>
        <v>#N/A</v>
      </c>
      <c r="GU110" s="118" t="n">
        <f aca="false">IF('Données projet'!$A$270&gt;35,GU109+GT110-HC109,IF(A110&lt;'Données projet'!$A$270,$GR$205^A110,IF(A110='Données projet'!$A$270,'Données projet'!$B$270,GU109+GT110-HC109)))</f>
        <v>0</v>
      </c>
      <c r="GV110" s="125" t="e">
        <f aca="false">GU110*VLOOKUP('Données projet'!$B$18,Paramètres!$A$1:$I$89,3,0)*VLOOKUP('Données projet'!$B$18,Paramètres!$A$1:$I$89,5,0)</f>
        <v>#N/A</v>
      </c>
      <c r="GW110" s="117" t="e">
        <f aca="false">EXP(-1.0587+0.8836*LN(GV110)+0.284)</f>
        <v>#N/A</v>
      </c>
      <c r="GX110" s="128" t="e">
        <f aca="false">(GV110+GW110)*0.475*44/12</f>
        <v>#N/A</v>
      </c>
      <c r="GY110" s="120" t="e">
        <f aca="false">GX110+(GP110+GQ110)*44/12</f>
        <v>#N/A</v>
      </c>
      <c r="GZ110" s="120" t="e">
        <f aca="true">AVERAGE(OFFSET($GY$3,0,0,'Données projet'!$E$18+1,1))-AVERAGE(OFFSET($H$3,0,0,'Données projet'!$E$18+1,1))</f>
        <v>#N/A</v>
      </c>
      <c r="HA110" s="120" t="e">
        <f aca="false">$HA$3</f>
        <v>#N/A</v>
      </c>
      <c r="HB110" s="121" t="n">
        <f aca="false">IF(ISNA(VLOOKUP(A110,'Données projet'!$A$269:$I$289,3,0)),0,VLOOKUP(A110,'Données projet'!$A$269:$I$289,3,0))</f>
        <v>0</v>
      </c>
      <c r="HC110" s="121" t="n">
        <f aca="false">IF(ISNA(VLOOKUP(A110,'Données projet'!$A$269:$I$289,4,0)),0,VLOOKUP(A110,'Données projet'!$A$269:$I$289,4,0))</f>
        <v>0</v>
      </c>
      <c r="HD110" s="122" t="n">
        <f aca="false">IF(ISNA(VLOOKUP(A110,'Données projet'!$A$269:$I$289,5,0)),0%,VLOOKUP(A110,'Données projet'!$A$269:$I$289,5,0)*VLOOKUP('Données projet'!$B$18,Paramètres!$A$1:$I$89,7,0))</f>
        <v>0</v>
      </c>
      <c r="HE110" s="122" t="n">
        <f aca="false">IF(ISNA(VLOOKUP(A110,'Données projet'!$A$269:$I$289,6,0)),0%,VLOOKUP(A110,'Données projet'!$A$269:$I$289,6,0)*VLOOKUP('Données projet'!$B$18,Paramètres!$A$1:$I$89,7,0))</f>
        <v>0</v>
      </c>
      <c r="HF110" s="122" t="n">
        <f aca="false">IF(ISNA(VLOOKUP(A110,'Données projet'!$A$269:$I$289,7,0)),0%,VLOOKUP(A110,'Données projet'!$A$269:$I$289,7,0))</f>
        <v>0</v>
      </c>
      <c r="HG110" s="129" t="e">
        <f aca="false">EXP(-LN(2)/35)*HG109+(1-EXP(-LN(2)/35))/(LN(2)/35)*HC110*HD110*VLOOKUP('Données projet'!$B$18,Paramètres!$A$1:$I$89,3,0)*0.475*44/12</f>
        <v>#N/A</v>
      </c>
      <c r="HH110" s="129" t="e">
        <f aca="false">EXP(-LN(2)/25)*HH109+(1-EXP(-LN(2)/25))/(LN(2)/25)*Calculateur!HC110*Calculateur!HE110*VLOOKUP('Données projet'!$B$18,Paramètres!$A$1:$I$89,3,0)*0.475*44/12</f>
        <v>#N/A</v>
      </c>
      <c r="HI110" s="129" t="e">
        <f aca="false">EXP(-LN(2)/2)*HI109+(1-EXP(-LN(2)/2))/(LN(2)/2)*HC110*HF110*VLOOKUP('Données projet'!$B$18,Paramètres!$A$1:$I$89,3,0)*0.475*44/12</f>
        <v>#N/A</v>
      </c>
      <c r="HJ110" s="130" t="e">
        <f aca="false">SUM(HG110:HI110)</f>
        <v>#N/A</v>
      </c>
    </row>
    <row r="111" customFormat="false" ht="14.25" hidden="false" customHeight="false" outlineLevel="0" collapsed="false">
      <c r="A111" s="112" t="n">
        <f aca="false">A110+1</f>
        <v>108</v>
      </c>
      <c r="B111" s="113" t="n">
        <f aca="false">'Scénario référence'!$B$16*5+'Scénario référence'!$B$17*0+'Scénario référence'!$B$18*5</f>
        <v>0</v>
      </c>
      <c r="C111" s="127" t="n">
        <f aca="false"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4" t="n">
        <f aca="false">IFERROR(EXP(-1.0587+0.8836*LN(C111)+0.284),0)</f>
        <v>0</v>
      </c>
      <c r="E11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1" s="114" t="n">
        <f aca="false">IF(OR('Scénario référence'!$F$8&gt;0,'Scénario référence'!$F$9&gt;0),('Scénario référence'!$F$8+'Scénario référence'!$F$9)*10,0)</f>
        <v>0</v>
      </c>
      <c r="G111" s="114" t="n">
        <f aca="false"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15" t="n">
        <f aca="false">(B111+E111+F111)*44/12+(C111+D111)*0.475*44/12</f>
        <v>256.666666666667</v>
      </c>
      <c r="I111" s="11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7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8" t="e">
        <f aca="false">VLOOKUP(A111,'Données projet'!$A$35:$I$55,2,0)</f>
        <v>#N/A</v>
      </c>
      <c r="L111" s="118" t="e">
        <f aca="false">VLOOKUP(A111,'Données projet'!$A$35:$I$55,9,0)</f>
        <v>#N/A</v>
      </c>
      <c r="M111" s="118" t="e">
        <f aca="false" t="array" ref="M111:M111">INDEX(L:L,MIN(IF(ISNUMBER(L111:L307),ROW(L111:L307),"")))</f>
        <v>#N/A</v>
      </c>
      <c r="N111" s="117" t="n">
        <f aca="false">IF('Données projet'!$A$36&gt;35,N110+M111-V110,IF(A111&lt;'Données projet'!$A$36,$K$205^A111,IF(A111='Données projet'!$A$36,'Données projet'!$B$36,N110+M111-V110)))</f>
        <v>-1.13686837721616E-013</v>
      </c>
      <c r="O111" s="117" t="n">
        <f aca="false">N111*VLOOKUP('Données projet'!$B$9,Paramètres!$A$1:$I$89,3,0)*VLOOKUP('Données projet'!$B$9,Paramètres!$A$1:$I$89,5,0)</f>
        <v>-5.32054400537163E-014</v>
      </c>
      <c r="P111" s="117" t="e">
        <f aca="false">EXP(-1.0587+0.8836*LN(O111)+0.284)</f>
        <v>#VALUE!</v>
      </c>
      <c r="Q111" s="128" t="e">
        <f aca="false">(O111+P111)*0.475*44/12</f>
        <v>#VALUE!</v>
      </c>
      <c r="R111" s="120" t="e">
        <f aca="false">Q111+(I111+J111)*44/12</f>
        <v>#VALUE!</v>
      </c>
      <c r="S111" s="120" t="n">
        <f aca="true">AVERAGE(OFFSET($R$3,0,0,'Données projet'!$E$9+1,1))-AVERAGE(OFFSET($H$3,0,0,'Données projet'!$E$9+1,1))</f>
        <v>319.229030946746</v>
      </c>
      <c r="T111" s="120" t="n">
        <f aca="false">$T$3</f>
        <v>254.586909731428</v>
      </c>
      <c r="U111" s="121" t="n">
        <f aca="false">IF(ISNA(VLOOKUP(A111,'Données projet'!$A$35:$I$55,3,0)),0,VLOOKUP(A111,'Données projet'!$A$35:$I$55,3,0))</f>
        <v>0</v>
      </c>
      <c r="V111" s="121" t="n">
        <f aca="false">IF(ISNA(VLOOKUP(A111,'Données projet'!$A$35:$I$55,4,0)),0,VLOOKUP(A111,'Données projet'!$A$35:$I$55,4,0))</f>
        <v>0</v>
      </c>
      <c r="W111" s="122" t="n">
        <f aca="false">IF(ISNA(VLOOKUP(A111,'Données projet'!$A$35:$I$55,5,0)),0%,VLOOKUP(A111,'Données projet'!$A$35:$I$55,5,0)*VLOOKUP('Données projet'!$B$9,Paramètres!$A$1:$I$89,7,0))</f>
        <v>0</v>
      </c>
      <c r="X111" s="122" t="n">
        <f aca="false">IF(ISNA(VLOOKUP(A111,'Données projet'!$A$35:$I$55,6,0)),0%,VLOOKUP(A111,'Données projet'!$A$35:$I$55,6,0)*VLOOKUP('Données projet'!$B$9,Paramètres!$A$1:$I$89,7,0))</f>
        <v>0</v>
      </c>
      <c r="Y111" s="122" t="n">
        <f aca="false">IF(ISNA(VLOOKUP(A111,'Données projet'!$A$35:$I$55,7,0)),0%,VLOOKUP(A111,'Données projet'!$A$35:$I$55,7,0))</f>
        <v>0</v>
      </c>
      <c r="Z111" s="129" t="n">
        <f aca="false">EXP(-LN(2)/35)*Z110+(1-EXP(-LN(2)/35))/(LN(2)/35)*V111*W111*VLOOKUP('Données projet'!$B$9,Paramètres!$A$1:$I$89,3,0)*0.475*44/12</f>
        <v>1.93658086883465</v>
      </c>
      <c r="AA111" s="129" t="n">
        <f aca="false">EXP(-LN(2)/25)*AA110+(1-EXP(-LN(2)/25))/(LN(2)/25)*Calculateur!V111*Calculateur!X111*VLOOKUP('Données projet'!$B$9,Paramètres!$A$1:$I$89,3,0)*0.475*44/12</f>
        <v>1.2826633939452</v>
      </c>
      <c r="AB111" s="129" t="n">
        <f aca="false">EXP(-LN(2)/2)*AB110+(1-EXP(-LN(2)/2))/(LN(2)/2)*V111*Y111*VLOOKUP('Données projet'!$B$9,Paramètres!$A$1:$I$89,3,0)*0.475*44/12</f>
        <v>2.00873339846992E-011</v>
      </c>
      <c r="AC111" s="130" t="n">
        <f aca="false">SUM(Z111:AB111)</f>
        <v>3.21924426279994</v>
      </c>
      <c r="AD111" s="117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7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8" t="e">
        <f aca="false">VLOOKUP(A111,'Données projet'!$A$61:$I$81,2,0)</f>
        <v>#N/A</v>
      </c>
      <c r="AG111" s="118" t="e">
        <f aca="false">VLOOKUP(A111,'Données projet'!$A$61:$I$81,9,0)</f>
        <v>#N/A</v>
      </c>
      <c r="AH111" s="118" t="e">
        <f aca="false" t="array" ref="AH111:AH111">INDEX(AG:AG,MIN(IF(ISNUMBER(AG111:AG307),ROW(AG111:AG307),"")))</f>
        <v>#N/A</v>
      </c>
      <c r="AI111" s="117" t="n">
        <f aca="false">IF('Données projet'!$A$62&gt;35,AI110+AH111-AQ110,IF(A111&lt;'Données projet'!$A$62,$AF$205^A111,IF(A111='Données projet'!$A$62,'Données projet'!$B$62,AI110+AH111-AQ110)))</f>
        <v>1.13686837721616E-013</v>
      </c>
      <c r="AJ111" s="117" t="n">
        <f aca="false">AI111*VLOOKUP('Données projet'!$B$10,Paramètres!$A$1:$I$89,3,0)*VLOOKUP('Données projet'!$B$10,Paramètres!$A$1:$I$89,5,0)</f>
        <v>6.35509422863834E-014</v>
      </c>
      <c r="AK111" s="117" t="n">
        <f aca="false">EXP(-1.0587+0.8836*LN(AJ111)+0.284)</f>
        <v>1.0064464192544E-012</v>
      </c>
      <c r="AL111" s="128" t="n">
        <f aca="false">(AJ111+AK111)*0.475*44/12</f>
        <v>1.86357873801686E-012</v>
      </c>
      <c r="AM111" s="120" t="n">
        <f aca="false">AL111+(AD111+AE111)*44/12</f>
        <v>293.333333333335</v>
      </c>
      <c r="AN111" s="120" t="n">
        <f aca="true">AVERAGE(OFFSET($AM$3,0,0,'Données projet'!$E$10+1,1))-AVERAGE(OFFSET($H$3,0,0,'Données projet'!$E$10+1,1))</f>
        <v>365.705101827279</v>
      </c>
      <c r="AO111" s="120" t="n">
        <f aca="false">$AO$3</f>
        <v>436.238338449625</v>
      </c>
      <c r="AP111" s="121" t="n">
        <f aca="false">IF(ISNA(VLOOKUP(A111,'Données projet'!$A$61:$I$81,3,0)),0,VLOOKUP(A111,'Données projet'!$A$61:$I$81,3,0))</f>
        <v>0</v>
      </c>
      <c r="AQ111" s="121" t="n">
        <f aca="false">IF(ISNA(VLOOKUP(A111,'Données projet'!$A$61:$I$81,4,0)),0,VLOOKUP(A111,'Données projet'!$A$61:$I$81,4,0))</f>
        <v>0</v>
      </c>
      <c r="AR111" s="122" t="n">
        <f aca="false">IF(ISNA(VLOOKUP(A111,'Données projet'!$A$61:$I$81,5,0)),0%,VLOOKUP(A111,'Données projet'!$A$61:$I$81,5,0)*VLOOKUP('Données projet'!$B$10,Paramètres!$A$1:$I$89,7,0))</f>
        <v>0</v>
      </c>
      <c r="AS111" s="122" t="n">
        <f aca="false">IF(ISNA(VLOOKUP(A111,'Données projet'!$A$61:$I$81,6,0)),0%,VLOOKUP(A111,'Données projet'!$A$61:$I$81,6,0)*VLOOKUP('Données projet'!$B$10,Paramètres!$A$1:$I$89,7,0))</f>
        <v>0</v>
      </c>
      <c r="AT111" s="122" t="n">
        <f aca="false">IF(ISNA(VLOOKUP(A111,'Données projet'!$A$61:$I$81,7,0)),0%,VLOOKUP(A111,'Données projet'!$A$61:$I$81,7,0))</f>
        <v>0</v>
      </c>
      <c r="AU111" s="129" t="n">
        <f aca="false">EXP(-LN(2)/35)*AU110+(1-EXP(-LN(2)/35))/(LN(2)/35)*AQ111*AR111*VLOOKUP('Données projet'!$B$10,Paramètres!$A$1:$I$89,3,0)*0.475*44/12</f>
        <v>0.730996491303389</v>
      </c>
      <c r="AV111" s="129" t="n">
        <f aca="false">EXP(-LN(2)/25)*AV110+(1-EXP(-LN(2)/25))/(LN(2)/25)*Calculateur!AQ111*Calculateur!AS111*VLOOKUP('Données projet'!$B$10,Paramètres!$A$1:$I$89,3,0)*0.475*44/12</f>
        <v>1.51924543667626</v>
      </c>
      <c r="AW111" s="129" t="n">
        <f aca="false">EXP(-LN(2)/2)*AW110+(1-EXP(-LN(2)/2))/(LN(2)/2)*AQ111*AT111*VLOOKUP('Données projet'!$B$10,Paramètres!$A$1:$I$89,3,0)*0.475*44/12</f>
        <v>1.08103753258107E-011</v>
      </c>
      <c r="AX111" s="129" t="n">
        <f aca="false">SUM(AU111:AW111)</f>
        <v>2.25024192799045</v>
      </c>
      <c r="AY111" s="124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8" t="e">
        <f aca="false">VLOOKUP(A111,'Données projet'!$A$87:$I$107,2,0)</f>
        <v>#N/A</v>
      </c>
      <c r="BB111" s="118" t="e">
        <f aca="false">VLOOKUP(A111,'Données projet'!$A$87:$I$107,9,0)</f>
        <v>#N/A</v>
      </c>
      <c r="BC111" s="118" t="e">
        <f aca="false" t="array" ref="BC111:BC111">INDEX(BB:BB,MIN(IF(ISNUMBER(BB111:BB307),ROW(BB111:BB307),"")))</f>
        <v>#N/A</v>
      </c>
      <c r="BD111" s="118" t="n">
        <f aca="false">IF('Données projet'!$A$88&gt;35,BD110+BC111-BL110,IF(A111&lt;'Données projet'!$A$88,$BA$205^A111,IF(A111='Données projet'!$A$88,'Données projet'!$B$88,BD110+BC111-BL110)))</f>
        <v>1.98951966012828E-013</v>
      </c>
      <c r="BE111" s="117" t="n">
        <f aca="false">BD111*VLOOKUP('Données projet'!$B$11,Paramètres!$A$1:$I$89,3,0)*VLOOKUP('Données projet'!$B$11,Paramètres!$A$1:$I$89,5,0)</f>
        <v>1.73804437508807E-013</v>
      </c>
      <c r="BF111" s="117" t="n">
        <f aca="false">EXP(-1.0587+0.8836*LN(BE111)+0.284)</f>
        <v>2.44832936339505E-012</v>
      </c>
      <c r="BG111" s="128" t="n">
        <f aca="false">(BE111+BF111)*0.475*44/12</f>
        <v>4.56688303657421E-012</v>
      </c>
      <c r="BH111" s="120" t="n">
        <f aca="false">BG111+(AY111+AZ111)*44/12</f>
        <v>293.333333333338</v>
      </c>
      <c r="BI111" s="120" t="n">
        <f aca="true">AVERAGE(OFFSET($BH$3,0,0,'Données projet'!$E$11+1,1))-AVERAGE(OFFSET($H$3,0,0,'Données projet'!$E$11+1,1))</f>
        <v>321.235999689929</v>
      </c>
      <c r="BJ111" s="120" t="n">
        <f aca="false">$BJ$3</f>
        <v>388.051958478005</v>
      </c>
      <c r="BK111" s="121" t="n">
        <f aca="false">IF(ISNA(VLOOKUP(A111,'Données projet'!$A$87:$I$107,3,0)),0,VLOOKUP(A111,'Données projet'!$A$87:$I$107,3,0))</f>
        <v>0</v>
      </c>
      <c r="BL111" s="121" t="n">
        <f aca="false">IF(ISNA(VLOOKUP(A111,'Données projet'!$A$87:$I$107,4,0)),0,VLOOKUP(A111,'Données projet'!$A$87:$I$107,4,0))</f>
        <v>0</v>
      </c>
      <c r="BM111" s="122" t="n">
        <f aca="false">IF(ISNA(VLOOKUP(A111,'Données projet'!$A$87:$I$107,5,0)),0%,VLOOKUP(A111,'Données projet'!$A$87:$I$107,5,0)*VLOOKUP('Données projet'!$B$11,Paramètres!$A$1:$I$89,7,0))</f>
        <v>0</v>
      </c>
      <c r="BN111" s="122" t="n">
        <f aca="false">IF(ISNA(VLOOKUP(A111,'Données projet'!$A$87:$I$107,6,0)),0%,VLOOKUP(A111,'Données projet'!$A$87:$I$107,6,0)*VLOOKUP('Données projet'!$B$11,Paramètres!$A$1:$I$89,7,0))</f>
        <v>0</v>
      </c>
      <c r="BO111" s="122" t="n">
        <f aca="false">IF(ISNA(VLOOKUP(A111,'Données projet'!$A$87:$I$107,7,0)),0%,VLOOKUP(A111,'Données projet'!$A$87:$I$107,7,0))</f>
        <v>0</v>
      </c>
      <c r="BP111" s="129" t="n">
        <f aca="false">EXP(-LN(2)/35)*BP110+(1-EXP(-LN(2)/35))/(LN(2)/35)*BL111*BM111*VLOOKUP('Données projet'!$B$11,Paramètres!$A$1:$I$89,3,0)*0.475*44/12</f>
        <v>1.8352553992674</v>
      </c>
      <c r="BQ111" s="129" t="n">
        <f aca="false">EXP(-LN(2)/25)*BQ110+(1-EXP(-LN(2)/25))/(LN(2)/25)*Calculateur!BL111*Calculateur!BN111*VLOOKUP('Données projet'!$B$11,Paramètres!$A$1:$I$89,3,0)*0.475*44/12</f>
        <v>1.55075550415931</v>
      </c>
      <c r="BR111" s="129" t="n">
        <f aca="false">EXP(-LN(2)/2)*BR110+(1-EXP(-LN(2)/2))/(LN(2)/2)*BL111*BO111*VLOOKUP('Données projet'!$B$11,Paramètres!$A$1:$I$89,3,0)*0.475*44/12</f>
        <v>1.09885218212998E-011</v>
      </c>
      <c r="BS111" s="130" t="n">
        <f aca="false">SUM(BP111:BR111)</f>
        <v>3.3860109034377</v>
      </c>
      <c r="BT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8" t="e">
        <f aca="false">VLOOKUP(A111,'Données projet'!$A$113:$I$133,2,0)</f>
        <v>#N/A</v>
      </c>
      <c r="BW111" s="118" t="e">
        <f aca="false">VLOOKUP(A111,'Données projet'!$A$113:$I$133,9,0)</f>
        <v>#N/A</v>
      </c>
      <c r="BX111" s="118" t="e">
        <f aca="false" t="array" ref="BX111:BX111">INDEX(BW:BW,MIN(IF(ISNUMBER(BW111:BW307),ROW(BW111:BW307),"")))</f>
        <v>#N/A</v>
      </c>
      <c r="BY111" s="118" t="n">
        <f aca="false">IF('Données projet'!$A$114&gt;35,BY110+BX111-CG110,IF(A111&lt;'Données projet'!$A$114,$BV$205^A111,IF(A111='Données projet'!$A$114,'Données projet'!$B$114,BY110+BX111-CG110)))</f>
        <v>0</v>
      </c>
      <c r="BZ111" s="117" t="n">
        <f aca="false">BY111*VLOOKUP('Données projet'!$B$12,Paramètres!$A$1:$I$89,3,0)*VLOOKUP('Données projet'!$B$12,Paramètres!$A$1:$I$89,5,0)</f>
        <v>0</v>
      </c>
      <c r="CA111" s="117" t="e">
        <f aca="false">EXP(-1.0587+0.8836*LN(BZ111)+0.284)</f>
        <v>#VALUE!</v>
      </c>
      <c r="CB111" s="128" t="e">
        <f aca="false">(BZ111+CA111)*0.475*44/12</f>
        <v>#VALUE!</v>
      </c>
      <c r="CC111" s="120" t="e">
        <f aca="false">CB111+(BT111+BU111)*44/12</f>
        <v>#VALUE!</v>
      </c>
      <c r="CD111" s="120" t="n">
        <f aca="true">AVERAGE(OFFSET($CC$3,0,0,'Données projet'!$E$12+1,1))-AVERAGE(OFFSET($H$3,0,0,'Données projet'!$E$12+1,1))</f>
        <v>240.228848647662</v>
      </c>
      <c r="CE111" s="120" t="n">
        <f aca="false">$CE$3</f>
        <v>343.237768841432</v>
      </c>
      <c r="CF111" s="121" t="n">
        <f aca="false">IF(ISNA(VLOOKUP(A111,'Données projet'!$A$113:$I$133,3,0)),0,VLOOKUP(A111,'Données projet'!$A$113:$I$133,3,0))</f>
        <v>0</v>
      </c>
      <c r="CG111" s="121" t="n">
        <f aca="false">IF(ISNA(VLOOKUP(A111,'Données projet'!$A$113:$I$133,4,0)),0,VLOOKUP(A111,'Données projet'!$A$113:$I$133,4,0))</f>
        <v>0</v>
      </c>
      <c r="CH111" s="122" t="n">
        <f aca="false">IF(ISNA(VLOOKUP(A111,'Données projet'!$A$113:$I$133,5,0)),0%,VLOOKUP(A111,'Données projet'!$A$113:$I$133,5,0)*VLOOKUP('Données projet'!$B$12,Paramètres!$A$1:$I$89,7,0))</f>
        <v>0</v>
      </c>
      <c r="CI111" s="122" t="n">
        <f aca="false">IF(ISNA(VLOOKUP(A111,'Données projet'!$A$113:$I$133,6,0)),0%,VLOOKUP(A111,'Données projet'!$A$113:$I$133,6,0)*VLOOKUP('Données projet'!$B$12,Paramètres!$A$1:$I$89,7,0))</f>
        <v>0</v>
      </c>
      <c r="CJ111" s="122" t="n">
        <f aca="false">IF(ISNA(VLOOKUP(A111,'Données projet'!$A$113:$I$133,7,0)),0%,VLOOKUP(A111,'Données projet'!$A$113:$I$133,7,0))</f>
        <v>0</v>
      </c>
      <c r="CK111" s="129" t="n">
        <f aca="false">EXP(-LN(2)/35)*CK110+(1-EXP(-LN(2)/35))/(LN(2)/35)*CG111*CH111*VLOOKUP('Données projet'!$B$12,Paramètres!$A$1:$I$89,3,0)*0.475*44/12</f>
        <v>1.12331928352511</v>
      </c>
      <c r="CL111" s="129" t="n">
        <f aca="false">EXP(-LN(2)/25)*CL110+(1-EXP(-LN(2)/25))/(LN(2)/25)*Calculateur!CG111*Calculateur!CI111*VLOOKUP('Données projet'!$B$12,Paramètres!$A$1:$I$89,3,0)*0.475*44/12</f>
        <v>2.73872399340574</v>
      </c>
      <c r="CM111" s="129" t="n">
        <f aca="false">EXP(-LN(2)/2)*CM110+(1-EXP(-LN(2)/2))/(LN(2)/2)*CG111*CJ111*VLOOKUP('Données projet'!$B$12,Paramètres!$A$1:$I$89,3,0)*0.475*44/12</f>
        <v>1.75347512885561E-011</v>
      </c>
      <c r="CN111" s="130" t="n">
        <f aca="false">SUM(CK111:CM111)</f>
        <v>3.86204327694839</v>
      </c>
      <c r="CO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8" t="e">
        <f aca="false">VLOOKUP(A111,'Données projet'!$A$139:$I$159,2,0)</f>
        <v>#N/A</v>
      </c>
      <c r="CR111" s="118" t="e">
        <f aca="false">VLOOKUP(A111,'Données projet'!$A$139:$I$159,9,0)</f>
        <v>#N/A</v>
      </c>
      <c r="CS111" s="118" t="e">
        <f aca="false" t="array" ref="CS111:CS111">INDEX(CR:CR,MIN(IF(ISNUMBER(CR111:CR307),ROW(CR111:CR307),"")))</f>
        <v>#N/A</v>
      </c>
      <c r="CT111" s="118" t="n">
        <f aca="false">IF('Données projet'!$A$140&gt;35,CT110+CS111-DB110,IF(A111&lt;'Données projet'!$A$140,$CQ$205^A111,IF(A111='Données projet'!$A$140,'Données projet'!$B$140,CT110+CS111-DB110)))</f>
        <v>-5.6843418860808E-014</v>
      </c>
      <c r="CU111" s="125" t="n">
        <f aca="false">CT111*VLOOKUP('Données projet'!$B$13,Paramètres!$A$1:$I$89,3,0)*VLOOKUP('Données projet'!$B$13,Paramètres!$A$1:$I$89,5,0)</f>
        <v>-3.10365066980012E-014</v>
      </c>
      <c r="CV111" s="117" t="e">
        <f aca="false">EXP(-1.0587+0.8836*LN(CU111)+0.284)</f>
        <v>#VALUE!</v>
      </c>
      <c r="CW111" s="128" t="e">
        <f aca="false">(CU111+CV111)*0.475*44/12</f>
        <v>#VALUE!</v>
      </c>
      <c r="CX111" s="120" t="e">
        <f aca="false">CW111+(CO111+CP111)*44/12</f>
        <v>#VALUE!</v>
      </c>
      <c r="CY111" s="120" t="n">
        <f aca="true">AVERAGE(OFFSET($CX$3,0,0,'Données projet'!$E$13+1,1))-AVERAGE(OFFSET($H$3,0,0,'Données projet'!$E$13+1,1))</f>
        <v>207.023069645676</v>
      </c>
      <c r="CZ111" s="120" t="n">
        <f aca="false">$CZ$3</f>
        <v>342.068879333518</v>
      </c>
      <c r="DA111" s="121" t="n">
        <f aca="false">IF(ISNA(VLOOKUP(A111,'Données projet'!$A$139:$I$159,3,0)),0,VLOOKUP(A111,'Données projet'!$A$139:$I$159,3,0))</f>
        <v>0</v>
      </c>
      <c r="DB111" s="121" t="n">
        <f aca="false">IF(ISNA(VLOOKUP(A111,'Données projet'!$A$139:$I$159,4,0)),0,VLOOKUP(A111,'Données projet'!$A$139:$I$159,4,0))</f>
        <v>0</v>
      </c>
      <c r="DC111" s="122" t="n">
        <f aca="false">IF(ISNA(VLOOKUP(A111,'Données projet'!$A$139:$I$159,5,0)),0%,VLOOKUP(A111,'Données projet'!$A$139:$I$159,5,0)*VLOOKUP('Données projet'!$B$13,Paramètres!$A$1:$I$89,7,0))</f>
        <v>0</v>
      </c>
      <c r="DD111" s="122" t="n">
        <f aca="false">IF(ISNA(VLOOKUP(A111,'Données projet'!$A$139:$I$159,6,0)),0%,VLOOKUP(A111,'Données projet'!$A$139:$I$159,6,0)*VLOOKUP('Données projet'!$B$13,Paramètres!$A$1:$I$89,7,0))</f>
        <v>0</v>
      </c>
      <c r="DE111" s="122" t="n">
        <f aca="false">IF(ISNA(VLOOKUP(A111,'Données projet'!$A$139:$I$159,7,0)),0%,VLOOKUP(A111,'Données projet'!$A$139:$I$159,7,0))</f>
        <v>0</v>
      </c>
      <c r="DF111" s="129" t="n">
        <f aca="false">EXP(-LN(2)/35)*DF110+(1-EXP(-LN(2)/35))/(LN(2)/35)*DB111*DC111*VLOOKUP('Données projet'!$B$13,Paramètres!$A$1:$I$89,3,0)*0.475*44/12</f>
        <v>1.40944778027207</v>
      </c>
      <c r="DG111" s="129" t="n">
        <f aca="false">EXP(-LN(2)/25)*DG110+(1-EXP(-LN(2)/25))/(LN(2)/25)*Calculateur!DB111*Calculateur!DD111*VLOOKUP('Données projet'!$B$13,Paramètres!$A$1:$I$89,3,0)*0.475*44/12</f>
        <v>4.47667308127621</v>
      </c>
      <c r="DH111" s="129" t="n">
        <f aca="false">EXP(-LN(2)/2)*DH110+(1-EXP(-LN(2)/2))/(LN(2)/2)*DB111*DE111*VLOOKUP('Données projet'!$B$13,Paramètres!$A$1:$I$89,3,0)*0.475*44/12</f>
        <v>2.41453606538941E-011</v>
      </c>
      <c r="DI111" s="130" t="n">
        <f aca="false">SUM(DF111:DH111)</f>
        <v>5.88612086157243</v>
      </c>
      <c r="DJ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8" t="e">
        <f aca="false">VLOOKUP(A111,'Données projet'!$A$165:$I$185,2,0)</f>
        <v>#N/A</v>
      </c>
      <c r="DM111" s="118" t="e">
        <f aca="false">VLOOKUP(A111,'Données projet'!$A$165:$I$185,9,0)</f>
        <v>#N/A</v>
      </c>
      <c r="DN111" s="118" t="e">
        <f aca="false" t="array" ref="DN111:DN111">INDEX(DM:DM,MIN(IF(ISNUMBER(DM111:DM307),ROW(DM111:DM307),"")))</f>
        <v>#N/A</v>
      </c>
      <c r="DO111" s="118" t="n">
        <f aca="false">IF('Données projet'!$A$166&gt;35,DO110+DN111-DW110,IF(A111&lt;'Données projet'!$A$166,$DL$205^A111,IF(A111='Données projet'!$A$166,'Données projet'!$B$166,DO110+DN111-DW110)))</f>
        <v>0</v>
      </c>
      <c r="DP111" s="125" t="n">
        <f aca="false">DO111*VLOOKUP('Données projet'!$B$14,Paramètres!$A$1:$I$89,3,0)*VLOOKUP('Données projet'!$B$14,Paramètres!$A$1:$I$89,5,0)</f>
        <v>0</v>
      </c>
      <c r="DQ111" s="117" t="e">
        <f aca="false">EXP(-1.0587+0.8836*LN(DP111)+0.284)</f>
        <v>#VALUE!</v>
      </c>
      <c r="DR111" s="128" t="e">
        <f aca="false">(DP111+DQ111)*0.475*44/12</f>
        <v>#VALUE!</v>
      </c>
      <c r="DS111" s="120" t="e">
        <f aca="false">DR111+(DJ111+DK111)*44/12</f>
        <v>#VALUE!</v>
      </c>
      <c r="DT111" s="120" t="n">
        <f aca="true">AVERAGE(OFFSET($DS$3,0,0,'Données projet'!$E$14+1,1))-AVERAGE(OFFSET($H$3,0,0,'Données projet'!$E$14+1,1))</f>
        <v>549.432320957297</v>
      </c>
      <c r="DU111" s="120" t="n">
        <f aca="false">$DU$3</f>
        <v>280.26155987301</v>
      </c>
      <c r="DV111" s="121" t="n">
        <f aca="false">IF(ISNA(VLOOKUP(A111,'Données projet'!$A$165:$I$185,3,0)),0,VLOOKUP(A111,'Données projet'!$A$165:$I$185,3,0))</f>
        <v>0</v>
      </c>
      <c r="DW111" s="121" t="n">
        <f aca="false">IF(ISNA(VLOOKUP(A111,'Données projet'!$A$165:$I$185,4,0)),0,VLOOKUP(A111,'Données projet'!$A$165:$I$185,4,0))</f>
        <v>0</v>
      </c>
      <c r="DX111" s="122" t="n">
        <f aca="false">IF(ISNA(VLOOKUP(A111,'Données projet'!$A$165:$I$185,5,0)),0%,VLOOKUP(A111,'Données projet'!$A$165:$I$185,5,0)*VLOOKUP('Données projet'!$B$14,Paramètres!$A$1:$I$89,7,0))</f>
        <v>0</v>
      </c>
      <c r="DY111" s="122" t="n">
        <f aca="false">IF(ISNA(VLOOKUP(A111,'Données projet'!$A$165:$I$185,6,0)),0%,VLOOKUP(A111,'Données projet'!$A$165:$I$185,6,0)*VLOOKUP('Données projet'!$B$14,Paramètres!$A$1:$I$89,7,0))</f>
        <v>0</v>
      </c>
      <c r="DZ111" s="122" t="n">
        <f aca="false">IF(ISNA(VLOOKUP(A111,'Données projet'!$A$165:$I$185,7,0)),0%,VLOOKUP(A111,'Données projet'!$A$165:$I$185,7,0))</f>
        <v>0</v>
      </c>
      <c r="EA111" s="129" t="n">
        <f aca="false">EXP(-LN(2)/35)*EA110+(1-EXP(-LN(2)/35))/(LN(2)/35)*DW111*DX111*VLOOKUP('Données projet'!$B$14,Paramètres!$A$1:$I$89,3,0)*0.475*44/12</f>
        <v>0.512473641310891</v>
      </c>
      <c r="EB111" s="129" t="n">
        <f aca="false">EXP(-LN(2)/25)*EB110+(1-EXP(-LN(2)/25))/(LN(2)/25)*Calculateur!DW111*Calculateur!DY111*VLOOKUP('Données projet'!$B$14,Paramètres!$A$1:$I$89,3,0)*0.475*44/12</f>
        <v>0.891841600997721</v>
      </c>
      <c r="EC111" s="129" t="n">
        <f aca="false">EXP(-LN(2)/2)*EC110+(1-EXP(-LN(2)/2))/(LN(2)/2)*DW111*DZ111*VLOOKUP('Données projet'!$B$14,Paramètres!$A$1:$I$89,3,0)*0.475*44/12</f>
        <v>1.11305135479769E-011</v>
      </c>
      <c r="ED111" s="130" t="n">
        <f aca="false">SUM(EA111:EC111)</f>
        <v>1.40431524231974</v>
      </c>
      <c r="EE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8" t="e">
        <f aca="false">VLOOKUP(A111,'Données projet'!$A$191:$I$211,2,0)</f>
        <v>#N/A</v>
      </c>
      <c r="EH111" s="118" t="e">
        <f aca="false">VLOOKUP(A111,'Données projet'!$A$191:$I$211,9,0)</f>
        <v>#N/A</v>
      </c>
      <c r="EI111" s="118" t="e">
        <f aca="false" t="array" ref="EI111:EI111">INDEX(EH:EH,MIN(IF(ISNUMBER(EH111:EH307),ROW(EH111:EH307),"")))</f>
        <v>#N/A</v>
      </c>
      <c r="EJ111" s="118" t="n">
        <f aca="false">IF('Données projet'!$A$192&gt;35,EJ110+EI111-ER110,IF(A111&lt;'Données projet'!$A$192,$EG$205^A111,IF(A111='Données projet'!$A$192,'Données projet'!$B$192,EJ110+EI111-ER110)))</f>
        <v>0</v>
      </c>
      <c r="EK111" s="125" t="e">
        <f aca="false">EJ111*VLOOKUP('Données projet'!$B$15,Paramètres!$A$1:$I$89,3,0)*VLOOKUP('Données projet'!$B$15,Paramètres!$A$1:$I$89,5,0)</f>
        <v>#N/A</v>
      </c>
      <c r="EL111" s="117" t="e">
        <f aca="false">EXP(-1.0587+0.8836*LN(EK111)+0.284)</f>
        <v>#N/A</v>
      </c>
      <c r="EM111" s="128" t="e">
        <f aca="false">(EK111+EL111)*0.475*44/12</f>
        <v>#N/A</v>
      </c>
      <c r="EN111" s="120" t="e">
        <f aca="false">EM111+(EE111+EF111)*44/12</f>
        <v>#N/A</v>
      </c>
      <c r="EO111" s="120" t="e">
        <f aca="true">AVERAGE(OFFSET($EN$3,0,0,'Données projet'!$E$15+1,1))-AVERAGE(OFFSET($H$3,0,0,'Données projet'!$E$15+1,1))</f>
        <v>#N/A</v>
      </c>
      <c r="EP111" s="120" t="e">
        <f aca="false">$EP$3</f>
        <v>#N/A</v>
      </c>
      <c r="EQ111" s="121" t="n">
        <f aca="false">IF(ISNA(VLOOKUP(A111,'Données projet'!$A$191:$I$211,3,0)),0,VLOOKUP(A111,'Données projet'!$A$191:$I$211,3,0))</f>
        <v>0</v>
      </c>
      <c r="ER111" s="121" t="n">
        <f aca="false">IF(ISNA(VLOOKUP(A111,'Données projet'!$A$191:$I$211,4,0)),0,VLOOKUP(A111,'Données projet'!$A$191:$I$211,4,0))</f>
        <v>0</v>
      </c>
      <c r="ES111" s="122" t="n">
        <f aca="false">IF(ISNA(VLOOKUP(A111,'Données projet'!$A$191:$I$211,5,0)),0%,VLOOKUP(A111,'Données projet'!$A$191:$I$211,5,0)*VLOOKUP('Données projet'!$B$15,Paramètres!$A$1:$I$89,7,0))</f>
        <v>0</v>
      </c>
      <c r="ET111" s="122" t="n">
        <f aca="false">IF(ISNA(VLOOKUP(A111,'Données projet'!$A$191:$I$211,6,0)),0%,VLOOKUP(A111,'Données projet'!$A$191:$I$211,6,0)*VLOOKUP('Données projet'!$B$15,Paramètres!$A$1:$I$89,7,0))</f>
        <v>0</v>
      </c>
      <c r="EU111" s="122" t="n">
        <f aca="false">IF(ISNA(VLOOKUP(A111,'Données projet'!$A$191:$I$211,7,0)),0%,VLOOKUP(A111,'Données projet'!$A$191:$I$211,7,0))</f>
        <v>0</v>
      </c>
      <c r="EV111" s="129" t="e">
        <f aca="false">EXP(-LN(2)/35)*EV110+(1-EXP(-LN(2)/35))/(LN(2)/35)*ER111*ES111*VLOOKUP('Données projet'!$B$15,Paramètres!$A$1:$I$89,3,0)*0.475*44/12</f>
        <v>#N/A</v>
      </c>
      <c r="EW111" s="129" t="e">
        <f aca="false">EXP(-LN(2)/25)*EW110+(1-EXP(-LN(2)/25))/(LN(2)/25)*Calculateur!ER111*Calculateur!ET111*VLOOKUP('Données projet'!$B$15,Paramètres!$A$1:$I$89,3,0)*0.475*44/12</f>
        <v>#N/A</v>
      </c>
      <c r="EX111" s="129" t="e">
        <f aca="false">EXP(-LN(2)/2)*EX110+(1-EXP(-LN(2)/2))/(LN(2)/2)*ER111*EU111*VLOOKUP('Données projet'!$B$15,Paramètres!$A$1:$I$89,3,0)*0.475*44/12</f>
        <v>#N/A</v>
      </c>
      <c r="EY111" s="130" t="e">
        <f aca="false">SUM(EV111:EX111)</f>
        <v>#N/A</v>
      </c>
      <c r="EZ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8" t="e">
        <f aca="false">VLOOKUP(A111,'Données projet'!$A$217:$I$237,2,0)</f>
        <v>#N/A</v>
      </c>
      <c r="FC111" s="118" t="e">
        <f aca="false">VLOOKUP(A111,'Données projet'!$A$217:$I$237,9,0)</f>
        <v>#N/A</v>
      </c>
      <c r="FD111" s="118" t="e">
        <f aca="false" t="array" ref="FD111:FD111">INDEX(FC:FC,MIN(IF(ISNUMBER(FC111:FC307),ROW(FC111:FC307),"")))</f>
        <v>#N/A</v>
      </c>
      <c r="FE111" s="118" t="n">
        <f aca="false">IF('Données projet'!$A$218&gt;35,FE110+FD111-FM110,IF(A111&lt;'Données projet'!$A$218,$FB$205^A111,IF(A111='Données projet'!$A$218,'Données projet'!$B$218,FE110+FD111-FM110)))</f>
        <v>0</v>
      </c>
      <c r="FF111" s="125" t="e">
        <f aca="false">FE111*VLOOKUP('Données projet'!$B$16,Paramètres!$A$1:$I$89,3,0)*VLOOKUP('Données projet'!$B$16,Paramètres!$A$1:$I$89,5,0)</f>
        <v>#N/A</v>
      </c>
      <c r="FG111" s="117" t="e">
        <f aca="false">EXP(-1.0587+0.8836*LN(FF111)+0.284)</f>
        <v>#N/A</v>
      </c>
      <c r="FH111" s="128" t="e">
        <f aca="false">(FF111+FG111)*0.475*44/12</f>
        <v>#N/A</v>
      </c>
      <c r="FI111" s="120" t="e">
        <f aca="false">FH111+(EZ111+FA111)*44/12</f>
        <v>#N/A</v>
      </c>
      <c r="FJ111" s="120" t="e">
        <f aca="true">AVERAGE(OFFSET($FI$3,0,0,'Données projet'!$E$16+1,1))-AVERAGE(OFFSET($H$3,0,0,'Données projet'!$E$16+1,1))</f>
        <v>#N/A</v>
      </c>
      <c r="FK111" s="120" t="e">
        <f aca="false">$FK$3</f>
        <v>#N/A</v>
      </c>
      <c r="FL111" s="121" t="n">
        <f aca="false">IF(ISNA(VLOOKUP(A111,'Données projet'!$A$217:$I$237,3,0)),0,VLOOKUP(A111,'Données projet'!$A$217:$I$237,3,0))</f>
        <v>0</v>
      </c>
      <c r="FM111" s="121" t="n">
        <f aca="false">IF(ISNA(VLOOKUP(A111,'Données projet'!$A$217:$I$237,4,0)),0,VLOOKUP(A111,'Données projet'!$A$217:$I$237,4,0))</f>
        <v>0</v>
      </c>
      <c r="FN111" s="122" t="n">
        <f aca="false">IF(ISNA(VLOOKUP(A111,'Données projet'!$A$217:$I$237,5,0)),0%,VLOOKUP(A111,'Données projet'!$A$217:$I$237,5,0)*VLOOKUP('Données projet'!$B$16,Paramètres!$A$1:$I$89,7,0))</f>
        <v>0</v>
      </c>
      <c r="FO111" s="122" t="n">
        <f aca="false">IF(ISNA(VLOOKUP(A111,'Données projet'!$A$217:$I$237,6,0)),0%,VLOOKUP(A111,'Données projet'!$A$217:$I$237,6,0)*VLOOKUP('Données projet'!$B$16,Paramètres!$A$1:$I$89,7,0))</f>
        <v>0</v>
      </c>
      <c r="FP111" s="122" t="n">
        <f aca="false">IF(ISNA(VLOOKUP(A111,'Données projet'!$A$217:$I$237,7,0)),0%,VLOOKUP(A111,'Données projet'!$A$217:$I$237,7,0))</f>
        <v>0</v>
      </c>
      <c r="FQ111" s="129" t="e">
        <f aca="false">EXP(-LN(2)/35)*FQ110+(1-EXP(-LN(2)/35))/(LN(2)/35)*FM111*FN111*VLOOKUP('Données projet'!$B$16,Paramètres!$A$1:$I$89,3,0)*0.475*44/12</f>
        <v>#N/A</v>
      </c>
      <c r="FR111" s="129" t="e">
        <f aca="false">EXP(-LN(2)/25)*FR110+(1-EXP(-LN(2)/25))/(LN(2)/25)*Calculateur!FM111*Calculateur!FO111*VLOOKUP('Données projet'!$B$16,Paramètres!$A$1:$I$89,3,0)*0.475*44/12</f>
        <v>#N/A</v>
      </c>
      <c r="FS111" s="129" t="e">
        <f aca="false">EXP(-LN(2)/2)*FS110+(1-EXP(-LN(2)/2))/(LN(2)/2)*FM111*FP111*VLOOKUP('Données projet'!$B$16,Paramètres!$A$1:$I$89,3,0)*0.475*44/12</f>
        <v>#N/A</v>
      </c>
      <c r="FT111" s="130" t="e">
        <f aca="false">SUM(FQ111:FS111)</f>
        <v>#N/A</v>
      </c>
      <c r="FU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8" t="e">
        <f aca="false">VLOOKUP(A111,'Données projet'!$A$243:$I$263,2,0)</f>
        <v>#N/A</v>
      </c>
      <c r="FX111" s="118" t="e">
        <f aca="false">VLOOKUP(A111,'Données projet'!$A$243:$I$263,9,0)</f>
        <v>#N/A</v>
      </c>
      <c r="FY111" s="118" t="e">
        <f aca="false" t="array" ref="FY111:FY111">INDEX(FX:FX,MIN(IF(ISNUMBER(FX111:FX307),ROW(FX111:FX307),"")))</f>
        <v>#N/A</v>
      </c>
      <c r="FZ111" s="118" t="n">
        <f aca="false">IF('Données projet'!$A$244&gt;35,FZ110+FY111-GH110,IF(A111&lt;'Données projet'!$A$244,$FW$205^A111,IF(A111='Données projet'!$A$244,'Données projet'!$B$244,FZ110+FY111-GH110)))</f>
        <v>0</v>
      </c>
      <c r="GA111" s="125" t="e">
        <f aca="false">FZ111*VLOOKUP('Données projet'!$B$17,Paramètres!$A$1:$I$89,3,0)*VLOOKUP('Données projet'!$B$17,Paramètres!$A$1:$I$89,5,0)</f>
        <v>#N/A</v>
      </c>
      <c r="GB111" s="117" t="e">
        <f aca="false">EXP(-1.0587+0.8836*LN(GA111)+0.284)</f>
        <v>#N/A</v>
      </c>
      <c r="GC111" s="128" t="e">
        <f aca="false">(GA111+GB111)*0.475*44/12</f>
        <v>#N/A</v>
      </c>
      <c r="GD111" s="120" t="e">
        <f aca="false">GC111+(FU111+FV111)*44/12</f>
        <v>#N/A</v>
      </c>
      <c r="GE111" s="120" t="e">
        <f aca="true">AVERAGE(OFFSET($GD$3,0,0,'Données projet'!$E$17+1,1))-AVERAGE(OFFSET($H$3,0,0,'Données projet'!$E$17+1,1))</f>
        <v>#N/A</v>
      </c>
      <c r="GF111" s="120" t="e">
        <f aca="false">$GF$3</f>
        <v>#N/A</v>
      </c>
      <c r="GG111" s="121" t="n">
        <f aca="false">IF(ISNA(VLOOKUP(A111,'Données projet'!$A$243:$I$263,3,0)),0,VLOOKUP(A111,'Données projet'!$A$243:$I$263,3,0))</f>
        <v>0</v>
      </c>
      <c r="GH111" s="121" t="n">
        <f aca="false">IF(ISNA(VLOOKUP(A111,'Données projet'!$A$243:$I$263,4,0)),0,VLOOKUP(A111,'Données projet'!$A$243:$I$263,4,0))</f>
        <v>0</v>
      </c>
      <c r="GI111" s="122" t="n">
        <f aca="false">IF(ISNA(VLOOKUP(A111,'Données projet'!$A$243:$I$263,5,0)),0%,VLOOKUP(A111,'Données projet'!$A$243:$I$263,5,0)*VLOOKUP('Données projet'!$B$17,Paramètres!$A$1:$I$89,7,0))</f>
        <v>0</v>
      </c>
      <c r="GJ111" s="122" t="n">
        <f aca="false">IF(ISNA(VLOOKUP(A111,'Données projet'!$A$243:$I$263,6,0)),0%,VLOOKUP(A111,'Données projet'!$A$243:$I$263,6,0)*VLOOKUP('Données projet'!$B$17,Paramètres!$A$1:$I$89,7,0))</f>
        <v>0</v>
      </c>
      <c r="GK111" s="122" t="n">
        <f aca="false">IF(ISNA(VLOOKUP(A111,'Données projet'!$A$243:$I$263,7,0)),0%,VLOOKUP(A111,'Données projet'!$A$243:$I$263,7,0))</f>
        <v>0</v>
      </c>
      <c r="GL111" s="129" t="e">
        <f aca="false">EXP(-LN(2)/35)*GL110+(1-EXP(-LN(2)/35))/(LN(2)/35)*GH111*GI111*VLOOKUP('Données projet'!$B$17,Paramètres!$A$1:$I$89,3,0)*0.475*44/12</f>
        <v>#N/A</v>
      </c>
      <c r="GM111" s="129" t="e">
        <f aca="false">EXP(-LN(2)/25)*GM110+(1-EXP(-LN(2)/25))/(LN(2)/25)*Calculateur!GH111*Calculateur!GJ111*VLOOKUP('Données projet'!$B$17,Paramètres!$A$1:$I$89,3,0)*0.475*44/12</f>
        <v>#N/A</v>
      </c>
      <c r="GN111" s="129" t="e">
        <f aca="false">EXP(-LN(2)/2)*GN110+(1-EXP(-LN(2)/2))/(LN(2)/2)*GH111*GK111*VLOOKUP('Données projet'!$B$17,Paramètres!$A$1:$I$89,3,0)*0.475*44/12</f>
        <v>#N/A</v>
      </c>
      <c r="GO111" s="129" t="e">
        <f aca="false">SUM(GL111:GN111)</f>
        <v>#N/A</v>
      </c>
      <c r="GP111" s="126" t="n">
        <f aca="false"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8" t="n">
        <f aca="false"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8" t="e">
        <f aca="false">VLOOKUP(A111,'Données projet'!$A$269:$I$289,2,0)</f>
        <v>#N/A</v>
      </c>
      <c r="GS111" s="118" t="e">
        <f aca="false">VLOOKUP(A111,'Données projet'!$A$269:$I$289,9,0)</f>
        <v>#N/A</v>
      </c>
      <c r="GT111" s="118" t="e">
        <f aca="false" t="array" ref="GT111:GT111">INDEX(GS:GS,MIN(IF(ISNUMBER(GS111:GS307),ROW(GS111:GS307),"")))</f>
        <v>#N/A</v>
      </c>
      <c r="GU111" s="118" t="n">
        <f aca="false">IF('Données projet'!$A$270&gt;35,GU110+GT111-HC110,IF(A111&lt;'Données projet'!$A$270,$GR$205^A111,IF(A111='Données projet'!$A$270,'Données projet'!$B$270,GU110+GT111-HC110)))</f>
        <v>0</v>
      </c>
      <c r="GV111" s="125" t="e">
        <f aca="false">GU111*VLOOKUP('Données projet'!$B$18,Paramètres!$A$1:$I$89,3,0)*VLOOKUP('Données projet'!$B$18,Paramètres!$A$1:$I$89,5,0)</f>
        <v>#N/A</v>
      </c>
      <c r="GW111" s="117" t="e">
        <f aca="false">EXP(-1.0587+0.8836*LN(GV111)+0.284)</f>
        <v>#N/A</v>
      </c>
      <c r="GX111" s="128" t="e">
        <f aca="false">(GV111+GW111)*0.475*44/12</f>
        <v>#N/A</v>
      </c>
      <c r="GY111" s="120" t="e">
        <f aca="false">GX111+(GP111+GQ111)*44/12</f>
        <v>#N/A</v>
      </c>
      <c r="GZ111" s="120" t="e">
        <f aca="true">AVERAGE(OFFSET($GY$3,0,0,'Données projet'!$E$18+1,1))-AVERAGE(OFFSET($H$3,0,0,'Données projet'!$E$18+1,1))</f>
        <v>#N/A</v>
      </c>
      <c r="HA111" s="120" t="e">
        <f aca="false">$HA$3</f>
        <v>#N/A</v>
      </c>
      <c r="HB111" s="121" t="n">
        <f aca="false">IF(ISNA(VLOOKUP(A111,'Données projet'!$A$269:$I$289,3,0)),0,VLOOKUP(A111,'Données projet'!$A$269:$I$289,3,0))</f>
        <v>0</v>
      </c>
      <c r="HC111" s="121" t="n">
        <f aca="false">IF(ISNA(VLOOKUP(A111,'Données projet'!$A$269:$I$289,4,0)),0,VLOOKUP(A111,'Données projet'!$A$269:$I$289,4,0))</f>
        <v>0</v>
      </c>
      <c r="HD111" s="122" t="n">
        <f aca="false">IF(ISNA(VLOOKUP(A111,'Données projet'!$A$269:$I$289,5,0)),0%,VLOOKUP(A111,'Données projet'!$A$269:$I$289,5,0)*VLOOKUP('Données projet'!$B$18,Paramètres!$A$1:$I$89,7,0))</f>
        <v>0</v>
      </c>
      <c r="HE111" s="122" t="n">
        <f aca="false">IF(ISNA(VLOOKUP(A111,'Données projet'!$A$269:$I$289,6,0)),0%,VLOOKUP(A111,'Données projet'!$A$269:$I$289,6,0)*VLOOKUP('Données projet'!$B$18,Paramètres!$A$1:$I$89,7,0))</f>
        <v>0</v>
      </c>
      <c r="HF111" s="122" t="n">
        <f aca="false">IF(ISNA(VLOOKUP(A111,'Données projet'!$A$269:$I$289,7,0)),0%,VLOOKUP(A111,'Données projet'!$A$269:$I$289,7,0))</f>
        <v>0</v>
      </c>
      <c r="HG111" s="129" t="e">
        <f aca="false">EXP(-LN(2)/35)*HG110+(1-EXP(-LN(2)/35))/(LN(2)/35)*HC111*HD111*VLOOKUP('Données projet'!$B$18,Paramètres!$A$1:$I$89,3,0)*0.475*44/12</f>
        <v>#N/A</v>
      </c>
      <c r="HH111" s="129" t="e">
        <f aca="false">EXP(-LN(2)/25)*HH110+(1-EXP(-LN(2)/25))/(LN(2)/25)*Calculateur!HC111*Calculateur!HE111*VLOOKUP('Données projet'!$B$18,Paramètres!$A$1:$I$89,3,0)*0.475*44/12</f>
        <v>#N/A</v>
      </c>
      <c r="HI111" s="129" t="e">
        <f aca="false">EXP(-LN(2)/2)*HI110+(1-EXP(-LN(2)/2))/(LN(2)/2)*HC111*HF111*VLOOKUP('Données projet'!$B$18,Paramètres!$A$1:$I$89,3,0)*0.475*44/12</f>
        <v>#N/A</v>
      </c>
      <c r="HJ111" s="130" t="e">
        <f aca="false">SUM(HG111:HI111)</f>
        <v>#N/A</v>
      </c>
    </row>
    <row r="112" customFormat="false" ht="14.25" hidden="false" customHeight="false" outlineLevel="0" collapsed="false">
      <c r="A112" s="112" t="n">
        <f aca="false">A111+1</f>
        <v>109</v>
      </c>
      <c r="B112" s="113" t="n">
        <f aca="false">'Scénario référence'!$B$16*5+'Scénario référence'!$B$17*0+'Scénario référence'!$B$18*5</f>
        <v>0</v>
      </c>
      <c r="C112" s="127" t="n">
        <f aca="false"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4" t="n">
        <f aca="false">IFERROR(EXP(-1.0587+0.8836*LN(C112)+0.284),0)</f>
        <v>0</v>
      </c>
      <c r="E11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2" s="114" t="n">
        <f aca="false">IF(OR('Scénario référence'!$F$8&gt;0,'Scénario référence'!$F$9&gt;0),('Scénario référence'!$F$8+'Scénario référence'!$F$9)*10,0)</f>
        <v>0</v>
      </c>
      <c r="G112" s="114" t="n">
        <f aca="false"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15" t="n">
        <f aca="false">(B112+E112+F112)*44/12+(C112+D112)*0.475*44/12</f>
        <v>256.666666666667</v>
      </c>
      <c r="I112" s="11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7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8" t="e">
        <f aca="false">VLOOKUP(A112,'Données projet'!$A$35:$I$55,2,0)</f>
        <v>#N/A</v>
      </c>
      <c r="L112" s="118" t="e">
        <f aca="false">VLOOKUP(A112,'Données projet'!$A$35:$I$55,9,0)</f>
        <v>#N/A</v>
      </c>
      <c r="M112" s="118" t="e">
        <f aca="false" t="array" ref="M112:M112">INDEX(L:L,MIN(IF(ISNUMBER(L112:L308),ROW(L112:L308),"")))</f>
        <v>#N/A</v>
      </c>
      <c r="N112" s="117" t="n">
        <f aca="false">IF('Données projet'!$A$36&gt;35,N111+M112-V111,IF(A112&lt;'Données projet'!$A$36,$K$205^A112,IF(A112='Données projet'!$A$36,'Données projet'!$B$36,N111+M112-V111)))</f>
        <v>-1.13686837721616E-013</v>
      </c>
      <c r="O112" s="117" t="n">
        <f aca="false">N112*VLOOKUP('Données projet'!$B$9,Paramètres!$A$1:$I$89,3,0)*VLOOKUP('Données projet'!$B$9,Paramètres!$A$1:$I$89,5,0)</f>
        <v>-5.32054400537163E-014</v>
      </c>
      <c r="P112" s="117" t="e">
        <f aca="false">EXP(-1.0587+0.8836*LN(O112)+0.284)</f>
        <v>#VALUE!</v>
      </c>
      <c r="Q112" s="128" t="e">
        <f aca="false">(O112+P112)*0.475*44/12</f>
        <v>#VALUE!</v>
      </c>
      <c r="R112" s="120" t="e">
        <f aca="false">Q112+(I112+J112)*44/12</f>
        <v>#VALUE!</v>
      </c>
      <c r="S112" s="120" t="n">
        <f aca="true">AVERAGE(OFFSET($R$3,0,0,'Données projet'!$E$9+1,1))-AVERAGE(OFFSET($H$3,0,0,'Données projet'!$E$9+1,1))</f>
        <v>319.229030946746</v>
      </c>
      <c r="T112" s="120" t="n">
        <f aca="false">$T$3</f>
        <v>254.586909731428</v>
      </c>
      <c r="U112" s="121" t="n">
        <f aca="false">IF(ISNA(VLOOKUP(A112,'Données projet'!$A$35:$I$55,3,0)),0,VLOOKUP(A112,'Données projet'!$A$35:$I$55,3,0))</f>
        <v>0</v>
      </c>
      <c r="V112" s="121" t="n">
        <f aca="false">IF(ISNA(VLOOKUP(A112,'Données projet'!$A$35:$I$55,4,0)),0,VLOOKUP(A112,'Données projet'!$A$35:$I$55,4,0))</f>
        <v>0</v>
      </c>
      <c r="W112" s="122" t="n">
        <f aca="false">IF(ISNA(VLOOKUP(A112,'Données projet'!$A$35:$I$55,5,0)),0%,VLOOKUP(A112,'Données projet'!$A$35:$I$55,5,0)*VLOOKUP('Données projet'!$B$9,Paramètres!$A$1:$I$89,7,0))</f>
        <v>0</v>
      </c>
      <c r="X112" s="122" t="n">
        <f aca="false">IF(ISNA(VLOOKUP(A112,'Données projet'!$A$35:$I$55,6,0)),0%,VLOOKUP(A112,'Données projet'!$A$35:$I$55,6,0)*VLOOKUP('Données projet'!$B$9,Paramètres!$A$1:$I$89,7,0))</f>
        <v>0</v>
      </c>
      <c r="Y112" s="122" t="n">
        <f aca="false">IF(ISNA(VLOOKUP(A112,'Données projet'!$A$35:$I$55,7,0)),0%,VLOOKUP(A112,'Données projet'!$A$35:$I$55,7,0))</f>
        <v>0</v>
      </c>
      <c r="Z112" s="129" t="n">
        <f aca="false">EXP(-LN(2)/35)*Z111+(1-EXP(-LN(2)/35))/(LN(2)/35)*V112*W112*VLOOKUP('Données projet'!$B$9,Paramètres!$A$1:$I$89,3,0)*0.475*44/12</f>
        <v>1.8986056991945</v>
      </c>
      <c r="AA112" s="129" t="n">
        <f aca="false">EXP(-LN(2)/25)*AA111+(1-EXP(-LN(2)/25))/(LN(2)/25)*Calculateur!V112*Calculateur!X112*VLOOKUP('Données projet'!$B$9,Paramètres!$A$1:$I$89,3,0)*0.475*44/12</f>
        <v>1.24758889598543</v>
      </c>
      <c r="AB112" s="129" t="n">
        <f aca="false">EXP(-LN(2)/2)*AB111+(1-EXP(-LN(2)/2))/(LN(2)/2)*V112*Y112*VLOOKUP('Données projet'!$B$9,Paramètres!$A$1:$I$89,3,0)*0.475*44/12</f>
        <v>1.42038900765398E-011</v>
      </c>
      <c r="AC112" s="130" t="n">
        <f aca="false">SUM(Z112:AB112)</f>
        <v>3.14619459519414</v>
      </c>
      <c r="AD112" s="117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7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8" t="e">
        <f aca="false">VLOOKUP(A112,'Données projet'!$A$61:$I$81,2,0)</f>
        <v>#N/A</v>
      </c>
      <c r="AG112" s="118" t="e">
        <f aca="false">VLOOKUP(A112,'Données projet'!$A$61:$I$81,9,0)</f>
        <v>#N/A</v>
      </c>
      <c r="AH112" s="118" t="e">
        <f aca="false" t="array" ref="AH112:AH112">INDEX(AG:AG,MIN(IF(ISNUMBER(AG112:AG308),ROW(AG112:AG308),"")))</f>
        <v>#N/A</v>
      </c>
      <c r="AI112" s="117" t="n">
        <f aca="false">IF('Données projet'!$A$62&gt;35,AI111+AH112-AQ111,IF(A112&lt;'Données projet'!$A$62,$AF$205^A112,IF(A112='Données projet'!$A$62,'Données projet'!$B$62,AI111+AH112-AQ111)))</f>
        <v>1.13686837721616E-013</v>
      </c>
      <c r="AJ112" s="117" t="n">
        <f aca="false">AI112*VLOOKUP('Données projet'!$B$10,Paramètres!$A$1:$I$89,3,0)*VLOOKUP('Données projet'!$B$10,Paramètres!$A$1:$I$89,5,0)</f>
        <v>6.35509422863834E-014</v>
      </c>
      <c r="AK112" s="117" t="n">
        <f aca="false">EXP(-1.0587+0.8836*LN(AJ112)+0.284)</f>
        <v>1.0064464192544E-012</v>
      </c>
      <c r="AL112" s="128" t="n">
        <f aca="false">(AJ112+AK112)*0.475*44/12</f>
        <v>1.86357873801686E-012</v>
      </c>
      <c r="AM112" s="120" t="n">
        <f aca="false">AL112+(AD112+AE112)*44/12</f>
        <v>293.333333333335</v>
      </c>
      <c r="AN112" s="120" t="n">
        <f aca="true">AVERAGE(OFFSET($AM$3,0,0,'Données projet'!$E$10+1,1))-AVERAGE(OFFSET($H$3,0,0,'Données projet'!$E$10+1,1))</f>
        <v>365.705101827279</v>
      </c>
      <c r="AO112" s="120" t="n">
        <f aca="false">$AO$3</f>
        <v>436.238338449625</v>
      </c>
      <c r="AP112" s="121" t="n">
        <f aca="false">IF(ISNA(VLOOKUP(A112,'Données projet'!$A$61:$I$81,3,0)),0,VLOOKUP(A112,'Données projet'!$A$61:$I$81,3,0))</f>
        <v>0</v>
      </c>
      <c r="AQ112" s="121" t="n">
        <f aca="false">IF(ISNA(VLOOKUP(A112,'Données projet'!$A$61:$I$81,4,0)),0,VLOOKUP(A112,'Données projet'!$A$61:$I$81,4,0))</f>
        <v>0</v>
      </c>
      <c r="AR112" s="122" t="n">
        <f aca="false">IF(ISNA(VLOOKUP(A112,'Données projet'!$A$61:$I$81,5,0)),0%,VLOOKUP(A112,'Données projet'!$A$61:$I$81,5,0)*VLOOKUP('Données projet'!$B$10,Paramètres!$A$1:$I$89,7,0))</f>
        <v>0</v>
      </c>
      <c r="AS112" s="122" t="n">
        <f aca="false">IF(ISNA(VLOOKUP(A112,'Données projet'!$A$61:$I$81,6,0)),0%,VLOOKUP(A112,'Données projet'!$A$61:$I$81,6,0)*VLOOKUP('Données projet'!$B$10,Paramètres!$A$1:$I$89,7,0))</f>
        <v>0</v>
      </c>
      <c r="AT112" s="122" t="n">
        <f aca="false">IF(ISNA(VLOOKUP(A112,'Données projet'!$A$61:$I$81,7,0)),0%,VLOOKUP(A112,'Données projet'!$A$61:$I$81,7,0))</f>
        <v>0</v>
      </c>
      <c r="AU112" s="129" t="n">
        <f aca="false">EXP(-LN(2)/35)*AU111+(1-EXP(-LN(2)/35))/(LN(2)/35)*AQ112*AR112*VLOOKUP('Données projet'!$B$10,Paramètres!$A$1:$I$89,3,0)*0.475*44/12</f>
        <v>0.716662095972763</v>
      </c>
      <c r="AV112" s="129" t="n">
        <f aca="false">EXP(-LN(2)/25)*AV111+(1-EXP(-LN(2)/25))/(LN(2)/25)*Calculateur!AQ112*Calculateur!AS112*VLOOKUP('Données projet'!$B$10,Paramètres!$A$1:$I$89,3,0)*0.475*44/12</f>
        <v>1.4777015903167</v>
      </c>
      <c r="AW112" s="129" t="n">
        <f aca="false">EXP(-LN(2)/2)*AW111+(1-EXP(-LN(2)/2))/(LN(2)/2)*AQ112*AT112*VLOOKUP('Données projet'!$B$10,Paramètres!$A$1:$I$89,3,0)*0.475*44/12</f>
        <v>7.64408970005245E-012</v>
      </c>
      <c r="AX112" s="129" t="n">
        <f aca="false">SUM(AU112:AW112)</f>
        <v>2.19436368629711</v>
      </c>
      <c r="AY112" s="124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8" t="e">
        <f aca="false">VLOOKUP(A112,'Données projet'!$A$87:$I$107,2,0)</f>
        <v>#N/A</v>
      </c>
      <c r="BB112" s="118" t="e">
        <f aca="false">VLOOKUP(A112,'Données projet'!$A$87:$I$107,9,0)</f>
        <v>#N/A</v>
      </c>
      <c r="BC112" s="118" t="e">
        <f aca="false" t="array" ref="BC112:BC112">INDEX(BB:BB,MIN(IF(ISNUMBER(BB112:BB308),ROW(BB112:BB308),"")))</f>
        <v>#N/A</v>
      </c>
      <c r="BD112" s="118" t="n">
        <f aca="false">IF('Données projet'!$A$88&gt;35,BD111+BC112-BL111,IF(A112&lt;'Données projet'!$A$88,$BA$205^A112,IF(A112='Données projet'!$A$88,'Données projet'!$B$88,BD111+BC112-BL111)))</f>
        <v>1.98951966012828E-013</v>
      </c>
      <c r="BE112" s="117" t="n">
        <f aca="false">BD112*VLOOKUP('Données projet'!$B$11,Paramètres!$A$1:$I$89,3,0)*VLOOKUP('Données projet'!$B$11,Paramètres!$A$1:$I$89,5,0)</f>
        <v>1.73804437508807E-013</v>
      </c>
      <c r="BF112" s="117" t="n">
        <f aca="false">EXP(-1.0587+0.8836*LN(BE112)+0.284)</f>
        <v>2.44832936339505E-012</v>
      </c>
      <c r="BG112" s="128" t="n">
        <f aca="false">(BE112+BF112)*0.475*44/12</f>
        <v>4.56688303657421E-012</v>
      </c>
      <c r="BH112" s="120" t="n">
        <f aca="false">BG112+(AY112+AZ112)*44/12</f>
        <v>293.333333333338</v>
      </c>
      <c r="BI112" s="120" t="n">
        <f aca="true">AVERAGE(OFFSET($BH$3,0,0,'Données projet'!$E$11+1,1))-AVERAGE(OFFSET($H$3,0,0,'Données projet'!$E$11+1,1))</f>
        <v>321.235999689929</v>
      </c>
      <c r="BJ112" s="120" t="n">
        <f aca="false">$BJ$3</f>
        <v>388.051958478005</v>
      </c>
      <c r="BK112" s="121" t="n">
        <f aca="false">IF(ISNA(VLOOKUP(A112,'Données projet'!$A$87:$I$107,3,0)),0,VLOOKUP(A112,'Données projet'!$A$87:$I$107,3,0))</f>
        <v>0</v>
      </c>
      <c r="BL112" s="121" t="n">
        <f aca="false">IF(ISNA(VLOOKUP(A112,'Données projet'!$A$87:$I$107,4,0)),0,VLOOKUP(A112,'Données projet'!$A$87:$I$107,4,0))</f>
        <v>0</v>
      </c>
      <c r="BM112" s="122" t="n">
        <f aca="false">IF(ISNA(VLOOKUP(A112,'Données projet'!$A$87:$I$107,5,0)),0%,VLOOKUP(A112,'Données projet'!$A$87:$I$107,5,0)*VLOOKUP('Données projet'!$B$11,Paramètres!$A$1:$I$89,7,0))</f>
        <v>0</v>
      </c>
      <c r="BN112" s="122" t="n">
        <f aca="false">IF(ISNA(VLOOKUP(A112,'Données projet'!$A$87:$I$107,6,0)),0%,VLOOKUP(A112,'Données projet'!$A$87:$I$107,6,0)*VLOOKUP('Données projet'!$B$11,Paramètres!$A$1:$I$89,7,0))</f>
        <v>0</v>
      </c>
      <c r="BO112" s="122" t="n">
        <f aca="false">IF(ISNA(VLOOKUP(A112,'Données projet'!$A$87:$I$107,7,0)),0%,VLOOKUP(A112,'Données projet'!$A$87:$I$107,7,0))</f>
        <v>0</v>
      </c>
      <c r="BP112" s="129" t="n">
        <f aca="false">EXP(-LN(2)/35)*BP111+(1-EXP(-LN(2)/35))/(LN(2)/35)*BL112*BM112*VLOOKUP('Données projet'!$B$11,Paramètres!$A$1:$I$89,3,0)*0.475*44/12</f>
        <v>1.79926716028303</v>
      </c>
      <c r="BQ112" s="129" t="n">
        <f aca="false">EXP(-LN(2)/25)*BQ111+(1-EXP(-LN(2)/25))/(LN(2)/25)*Calculateur!BL112*Calculateur!BN112*VLOOKUP('Données projet'!$B$11,Paramètres!$A$1:$I$89,3,0)*0.475*44/12</f>
        <v>1.50835001334739</v>
      </c>
      <c r="BR112" s="129" t="n">
        <f aca="false">EXP(-LN(2)/2)*BR111+(1-EXP(-LN(2)/2))/(LN(2)/2)*BL112*BO112*VLOOKUP('Données projet'!$B$11,Paramètres!$A$1:$I$89,3,0)*0.475*44/12</f>
        <v>7.77005829505746E-012</v>
      </c>
      <c r="BS112" s="130" t="n">
        <f aca="false">SUM(BP112:BR112)</f>
        <v>3.30761717363818</v>
      </c>
      <c r="BT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8" t="e">
        <f aca="false">VLOOKUP(A112,'Données projet'!$A$113:$I$133,2,0)</f>
        <v>#N/A</v>
      </c>
      <c r="BW112" s="118" t="e">
        <f aca="false">VLOOKUP(A112,'Données projet'!$A$113:$I$133,9,0)</f>
        <v>#N/A</v>
      </c>
      <c r="BX112" s="118" t="e">
        <f aca="false" t="array" ref="BX112:BX112">INDEX(BW:BW,MIN(IF(ISNUMBER(BW112:BW308),ROW(BW112:BW308),"")))</f>
        <v>#N/A</v>
      </c>
      <c r="BY112" s="118" t="n">
        <f aca="false">IF('Données projet'!$A$114&gt;35,BY111+BX112-CG111,IF(A112&lt;'Données projet'!$A$114,$BV$205^A112,IF(A112='Données projet'!$A$114,'Données projet'!$B$114,BY111+BX112-CG111)))</f>
        <v>0</v>
      </c>
      <c r="BZ112" s="117" t="n">
        <f aca="false">BY112*VLOOKUP('Données projet'!$B$12,Paramètres!$A$1:$I$89,3,0)*VLOOKUP('Données projet'!$B$12,Paramètres!$A$1:$I$89,5,0)</f>
        <v>0</v>
      </c>
      <c r="CA112" s="117" t="e">
        <f aca="false">EXP(-1.0587+0.8836*LN(BZ112)+0.284)</f>
        <v>#VALUE!</v>
      </c>
      <c r="CB112" s="128" t="e">
        <f aca="false">(BZ112+CA112)*0.475*44/12</f>
        <v>#VALUE!</v>
      </c>
      <c r="CC112" s="120" t="e">
        <f aca="false">CB112+(BT112+BU112)*44/12</f>
        <v>#VALUE!</v>
      </c>
      <c r="CD112" s="120" t="n">
        <f aca="true">AVERAGE(OFFSET($CC$3,0,0,'Données projet'!$E$12+1,1))-AVERAGE(OFFSET($H$3,0,0,'Données projet'!$E$12+1,1))</f>
        <v>240.228848647662</v>
      </c>
      <c r="CE112" s="120" t="n">
        <f aca="false">$CE$3</f>
        <v>343.237768841432</v>
      </c>
      <c r="CF112" s="121" t="n">
        <f aca="false">IF(ISNA(VLOOKUP(A112,'Données projet'!$A$113:$I$133,3,0)),0,VLOOKUP(A112,'Données projet'!$A$113:$I$133,3,0))</f>
        <v>0</v>
      </c>
      <c r="CG112" s="121" t="n">
        <f aca="false">IF(ISNA(VLOOKUP(A112,'Données projet'!$A$113:$I$133,4,0)),0,VLOOKUP(A112,'Données projet'!$A$113:$I$133,4,0))</f>
        <v>0</v>
      </c>
      <c r="CH112" s="122" t="n">
        <f aca="false">IF(ISNA(VLOOKUP(A112,'Données projet'!$A$113:$I$133,5,0)),0%,VLOOKUP(A112,'Données projet'!$A$113:$I$133,5,0)*VLOOKUP('Données projet'!$B$12,Paramètres!$A$1:$I$89,7,0))</f>
        <v>0</v>
      </c>
      <c r="CI112" s="122" t="n">
        <f aca="false">IF(ISNA(VLOOKUP(A112,'Données projet'!$A$113:$I$133,6,0)),0%,VLOOKUP(A112,'Données projet'!$A$113:$I$133,6,0)*VLOOKUP('Données projet'!$B$12,Paramètres!$A$1:$I$89,7,0))</f>
        <v>0</v>
      </c>
      <c r="CJ112" s="122" t="n">
        <f aca="false">IF(ISNA(VLOOKUP(A112,'Données projet'!$A$113:$I$133,7,0)),0%,VLOOKUP(A112,'Données projet'!$A$113:$I$133,7,0))</f>
        <v>0</v>
      </c>
      <c r="CK112" s="129" t="n">
        <f aca="false">EXP(-LN(2)/35)*CK111+(1-EXP(-LN(2)/35))/(LN(2)/35)*CG112*CH112*VLOOKUP('Données projet'!$B$12,Paramètres!$A$1:$I$89,3,0)*0.475*44/12</f>
        <v>1.10129167753229</v>
      </c>
      <c r="CL112" s="129" t="n">
        <f aca="false">EXP(-LN(2)/25)*CL111+(1-EXP(-LN(2)/25))/(LN(2)/25)*Calculateur!CG112*Calculateur!CI112*VLOOKUP('Données projet'!$B$12,Paramètres!$A$1:$I$89,3,0)*0.475*44/12</f>
        <v>2.66383344178283</v>
      </c>
      <c r="CM112" s="129" t="n">
        <f aca="false">EXP(-LN(2)/2)*CM111+(1-EXP(-LN(2)/2))/(LN(2)/2)*CG112*CJ112*VLOOKUP('Données projet'!$B$12,Paramètres!$A$1:$I$89,3,0)*0.475*44/12</f>
        <v>1.23989415425576E-011</v>
      </c>
      <c r="CN112" s="130" t="n">
        <f aca="false">SUM(CK112:CM112)</f>
        <v>3.76512511932752</v>
      </c>
      <c r="CO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8" t="e">
        <f aca="false">VLOOKUP(A112,'Données projet'!$A$139:$I$159,2,0)</f>
        <v>#N/A</v>
      </c>
      <c r="CR112" s="118" t="e">
        <f aca="false">VLOOKUP(A112,'Données projet'!$A$139:$I$159,9,0)</f>
        <v>#N/A</v>
      </c>
      <c r="CS112" s="118" t="e">
        <f aca="false" t="array" ref="CS112:CS112">INDEX(CR:CR,MIN(IF(ISNUMBER(CR112:CR308),ROW(CR112:CR308),"")))</f>
        <v>#N/A</v>
      </c>
      <c r="CT112" s="118" t="n">
        <f aca="false">IF('Données projet'!$A$140&gt;35,CT111+CS112-DB111,IF(A112&lt;'Données projet'!$A$140,$CQ$205^A112,IF(A112='Données projet'!$A$140,'Données projet'!$B$140,CT111+CS112-DB111)))</f>
        <v>-5.6843418860808E-014</v>
      </c>
      <c r="CU112" s="125" t="n">
        <f aca="false">CT112*VLOOKUP('Données projet'!$B$13,Paramètres!$A$1:$I$89,3,0)*VLOOKUP('Données projet'!$B$13,Paramètres!$A$1:$I$89,5,0)</f>
        <v>-3.10365066980012E-014</v>
      </c>
      <c r="CV112" s="117" t="e">
        <f aca="false">EXP(-1.0587+0.8836*LN(CU112)+0.284)</f>
        <v>#VALUE!</v>
      </c>
      <c r="CW112" s="128" t="e">
        <f aca="false">(CU112+CV112)*0.475*44/12</f>
        <v>#VALUE!</v>
      </c>
      <c r="CX112" s="120" t="e">
        <f aca="false">CW112+(CO112+CP112)*44/12</f>
        <v>#VALUE!</v>
      </c>
      <c r="CY112" s="120" t="n">
        <f aca="true">AVERAGE(OFFSET($CX$3,0,0,'Données projet'!$E$13+1,1))-AVERAGE(OFFSET($H$3,0,0,'Données projet'!$E$13+1,1))</f>
        <v>207.023069645676</v>
      </c>
      <c r="CZ112" s="120" t="n">
        <f aca="false">$CZ$3</f>
        <v>342.068879333518</v>
      </c>
      <c r="DA112" s="121" t="n">
        <f aca="false">IF(ISNA(VLOOKUP(A112,'Données projet'!$A$139:$I$159,3,0)),0,VLOOKUP(A112,'Données projet'!$A$139:$I$159,3,0))</f>
        <v>0</v>
      </c>
      <c r="DB112" s="121" t="n">
        <f aca="false">IF(ISNA(VLOOKUP(A112,'Données projet'!$A$139:$I$159,4,0)),0,VLOOKUP(A112,'Données projet'!$A$139:$I$159,4,0))</f>
        <v>0</v>
      </c>
      <c r="DC112" s="122" t="n">
        <f aca="false">IF(ISNA(VLOOKUP(A112,'Données projet'!$A$139:$I$159,5,0)),0%,VLOOKUP(A112,'Données projet'!$A$139:$I$159,5,0)*VLOOKUP('Données projet'!$B$13,Paramètres!$A$1:$I$89,7,0))</f>
        <v>0</v>
      </c>
      <c r="DD112" s="122" t="n">
        <f aca="false">IF(ISNA(VLOOKUP(A112,'Données projet'!$A$139:$I$159,6,0)),0%,VLOOKUP(A112,'Données projet'!$A$139:$I$159,6,0)*VLOOKUP('Données projet'!$B$13,Paramètres!$A$1:$I$89,7,0))</f>
        <v>0</v>
      </c>
      <c r="DE112" s="122" t="n">
        <f aca="false">IF(ISNA(VLOOKUP(A112,'Données projet'!$A$139:$I$159,7,0)),0%,VLOOKUP(A112,'Données projet'!$A$139:$I$159,7,0))</f>
        <v>0</v>
      </c>
      <c r="DF112" s="129" t="n">
        <f aca="false">EXP(-LN(2)/35)*DF111+(1-EXP(-LN(2)/35))/(LN(2)/35)*DB112*DC112*VLOOKUP('Données projet'!$B$13,Paramètres!$A$1:$I$89,3,0)*0.475*44/12</f>
        <v>1.3818093689792</v>
      </c>
      <c r="DG112" s="129" t="n">
        <f aca="false">EXP(-LN(2)/25)*DG111+(1-EXP(-LN(2)/25))/(LN(2)/25)*Calculateur!DB112*Calculateur!DD112*VLOOKUP('Données projet'!$B$13,Paramètres!$A$1:$I$89,3,0)*0.475*44/12</f>
        <v>4.35425822045071</v>
      </c>
      <c r="DH112" s="129" t="n">
        <f aca="false">EXP(-LN(2)/2)*DH111+(1-EXP(-LN(2)/2))/(LN(2)/2)*DB112*DE112*VLOOKUP('Données projet'!$B$13,Paramètres!$A$1:$I$89,3,0)*0.475*44/12</f>
        <v>1.70733482525634E-011</v>
      </c>
      <c r="DI112" s="130" t="n">
        <f aca="false">SUM(DF112:DH112)</f>
        <v>5.73606758944698</v>
      </c>
      <c r="DJ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8" t="e">
        <f aca="false">VLOOKUP(A112,'Données projet'!$A$165:$I$185,2,0)</f>
        <v>#N/A</v>
      </c>
      <c r="DM112" s="118" t="e">
        <f aca="false">VLOOKUP(A112,'Données projet'!$A$165:$I$185,9,0)</f>
        <v>#N/A</v>
      </c>
      <c r="DN112" s="118" t="e">
        <f aca="false" t="array" ref="DN112:DN112">INDEX(DM:DM,MIN(IF(ISNUMBER(DM112:DM308),ROW(DM112:DM308),"")))</f>
        <v>#N/A</v>
      </c>
      <c r="DO112" s="118" t="n">
        <f aca="false">IF('Données projet'!$A$166&gt;35,DO111+DN112-DW111,IF(A112&lt;'Données projet'!$A$166,$DL$205^A112,IF(A112='Données projet'!$A$166,'Données projet'!$B$166,DO111+DN112-DW111)))</f>
        <v>0</v>
      </c>
      <c r="DP112" s="125" t="n">
        <f aca="false">DO112*VLOOKUP('Données projet'!$B$14,Paramètres!$A$1:$I$89,3,0)*VLOOKUP('Données projet'!$B$14,Paramètres!$A$1:$I$89,5,0)</f>
        <v>0</v>
      </c>
      <c r="DQ112" s="117" t="e">
        <f aca="false">EXP(-1.0587+0.8836*LN(DP112)+0.284)</f>
        <v>#VALUE!</v>
      </c>
      <c r="DR112" s="128" t="e">
        <f aca="false">(DP112+DQ112)*0.475*44/12</f>
        <v>#VALUE!</v>
      </c>
      <c r="DS112" s="120" t="e">
        <f aca="false">DR112+(DJ112+DK112)*44/12</f>
        <v>#VALUE!</v>
      </c>
      <c r="DT112" s="120" t="n">
        <f aca="true">AVERAGE(OFFSET($DS$3,0,0,'Données projet'!$E$14+1,1))-AVERAGE(OFFSET($H$3,0,0,'Données projet'!$E$14+1,1))</f>
        <v>549.432320957297</v>
      </c>
      <c r="DU112" s="120" t="n">
        <f aca="false">$DU$3</f>
        <v>280.26155987301</v>
      </c>
      <c r="DV112" s="121" t="n">
        <f aca="false">IF(ISNA(VLOOKUP(A112,'Données projet'!$A$165:$I$185,3,0)),0,VLOOKUP(A112,'Données projet'!$A$165:$I$185,3,0))</f>
        <v>0</v>
      </c>
      <c r="DW112" s="121" t="n">
        <f aca="false">IF(ISNA(VLOOKUP(A112,'Données projet'!$A$165:$I$185,4,0)),0,VLOOKUP(A112,'Données projet'!$A$165:$I$185,4,0))</f>
        <v>0</v>
      </c>
      <c r="DX112" s="122" t="n">
        <f aca="false">IF(ISNA(VLOOKUP(A112,'Données projet'!$A$165:$I$185,5,0)),0%,VLOOKUP(A112,'Données projet'!$A$165:$I$185,5,0)*VLOOKUP('Données projet'!$B$14,Paramètres!$A$1:$I$89,7,0))</f>
        <v>0</v>
      </c>
      <c r="DY112" s="122" t="n">
        <f aca="false">IF(ISNA(VLOOKUP(A112,'Données projet'!$A$165:$I$185,6,0)),0%,VLOOKUP(A112,'Données projet'!$A$165:$I$185,6,0)*VLOOKUP('Données projet'!$B$14,Paramètres!$A$1:$I$89,7,0))</f>
        <v>0</v>
      </c>
      <c r="DZ112" s="122" t="n">
        <f aca="false">IF(ISNA(VLOOKUP(A112,'Données projet'!$A$165:$I$185,7,0)),0%,VLOOKUP(A112,'Données projet'!$A$165:$I$185,7,0))</f>
        <v>0</v>
      </c>
      <c r="EA112" s="129" t="n">
        <f aca="false">EXP(-LN(2)/35)*EA111+(1-EXP(-LN(2)/35))/(LN(2)/35)*DW112*DX112*VLOOKUP('Données projet'!$B$14,Paramètres!$A$1:$I$89,3,0)*0.475*44/12</f>
        <v>0.502424345782842</v>
      </c>
      <c r="EB112" s="129" t="n">
        <f aca="false">EXP(-LN(2)/25)*EB111+(1-EXP(-LN(2)/25))/(LN(2)/25)*Calculateur!DW112*Calculateur!DY112*VLOOKUP('Données projet'!$B$14,Paramètres!$A$1:$I$89,3,0)*0.475*44/12</f>
        <v>0.867454145518527</v>
      </c>
      <c r="EC112" s="129" t="n">
        <f aca="false">EXP(-LN(2)/2)*EC111+(1-EXP(-LN(2)/2))/(LN(2)/2)*DW112*DZ112*VLOOKUP('Données projet'!$B$14,Paramètres!$A$1:$I$89,3,0)*0.475*44/12</f>
        <v>7.87046160786324E-012</v>
      </c>
      <c r="ED112" s="130" t="n">
        <f aca="false">SUM(EA112:EC112)</f>
        <v>1.36987849130924</v>
      </c>
      <c r="EE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8" t="e">
        <f aca="false">VLOOKUP(A112,'Données projet'!$A$191:$I$211,2,0)</f>
        <v>#N/A</v>
      </c>
      <c r="EH112" s="118" t="e">
        <f aca="false">VLOOKUP(A112,'Données projet'!$A$191:$I$211,9,0)</f>
        <v>#N/A</v>
      </c>
      <c r="EI112" s="118" t="e">
        <f aca="false" t="array" ref="EI112:EI112">INDEX(EH:EH,MIN(IF(ISNUMBER(EH112:EH308),ROW(EH112:EH308),"")))</f>
        <v>#N/A</v>
      </c>
      <c r="EJ112" s="118" t="n">
        <f aca="false">IF('Données projet'!$A$192&gt;35,EJ111+EI112-ER111,IF(A112&lt;'Données projet'!$A$192,$EG$205^A112,IF(A112='Données projet'!$A$192,'Données projet'!$B$192,EJ111+EI112-ER111)))</f>
        <v>0</v>
      </c>
      <c r="EK112" s="125" t="e">
        <f aca="false">EJ112*VLOOKUP('Données projet'!$B$15,Paramètres!$A$1:$I$89,3,0)*VLOOKUP('Données projet'!$B$15,Paramètres!$A$1:$I$89,5,0)</f>
        <v>#N/A</v>
      </c>
      <c r="EL112" s="117" t="e">
        <f aca="false">EXP(-1.0587+0.8836*LN(EK112)+0.284)</f>
        <v>#N/A</v>
      </c>
      <c r="EM112" s="128" t="e">
        <f aca="false">(EK112+EL112)*0.475*44/12</f>
        <v>#N/A</v>
      </c>
      <c r="EN112" s="120" t="e">
        <f aca="false">EM112+(EE112+EF112)*44/12</f>
        <v>#N/A</v>
      </c>
      <c r="EO112" s="120" t="e">
        <f aca="true">AVERAGE(OFFSET($EN$3,0,0,'Données projet'!$E$15+1,1))-AVERAGE(OFFSET($H$3,0,0,'Données projet'!$E$15+1,1))</f>
        <v>#N/A</v>
      </c>
      <c r="EP112" s="120" t="e">
        <f aca="false">$EP$3</f>
        <v>#N/A</v>
      </c>
      <c r="EQ112" s="121" t="n">
        <f aca="false">IF(ISNA(VLOOKUP(A112,'Données projet'!$A$191:$I$211,3,0)),0,VLOOKUP(A112,'Données projet'!$A$191:$I$211,3,0))</f>
        <v>0</v>
      </c>
      <c r="ER112" s="121" t="n">
        <f aca="false">IF(ISNA(VLOOKUP(A112,'Données projet'!$A$191:$I$211,4,0)),0,VLOOKUP(A112,'Données projet'!$A$191:$I$211,4,0))</f>
        <v>0</v>
      </c>
      <c r="ES112" s="122" t="n">
        <f aca="false">IF(ISNA(VLOOKUP(A112,'Données projet'!$A$191:$I$211,5,0)),0%,VLOOKUP(A112,'Données projet'!$A$191:$I$211,5,0)*VLOOKUP('Données projet'!$B$15,Paramètres!$A$1:$I$89,7,0))</f>
        <v>0</v>
      </c>
      <c r="ET112" s="122" t="n">
        <f aca="false">IF(ISNA(VLOOKUP(A112,'Données projet'!$A$191:$I$211,6,0)),0%,VLOOKUP(A112,'Données projet'!$A$191:$I$211,6,0)*VLOOKUP('Données projet'!$B$15,Paramètres!$A$1:$I$89,7,0))</f>
        <v>0</v>
      </c>
      <c r="EU112" s="122" t="n">
        <f aca="false">IF(ISNA(VLOOKUP(A112,'Données projet'!$A$191:$I$211,7,0)),0%,VLOOKUP(A112,'Données projet'!$A$191:$I$211,7,0))</f>
        <v>0</v>
      </c>
      <c r="EV112" s="129" t="e">
        <f aca="false">EXP(-LN(2)/35)*EV111+(1-EXP(-LN(2)/35))/(LN(2)/35)*ER112*ES112*VLOOKUP('Données projet'!$B$15,Paramètres!$A$1:$I$89,3,0)*0.475*44/12</f>
        <v>#N/A</v>
      </c>
      <c r="EW112" s="129" t="e">
        <f aca="false">EXP(-LN(2)/25)*EW111+(1-EXP(-LN(2)/25))/(LN(2)/25)*Calculateur!ER112*Calculateur!ET112*VLOOKUP('Données projet'!$B$15,Paramètres!$A$1:$I$89,3,0)*0.475*44/12</f>
        <v>#N/A</v>
      </c>
      <c r="EX112" s="129" t="e">
        <f aca="false">EXP(-LN(2)/2)*EX111+(1-EXP(-LN(2)/2))/(LN(2)/2)*ER112*EU112*VLOOKUP('Données projet'!$B$15,Paramètres!$A$1:$I$89,3,0)*0.475*44/12</f>
        <v>#N/A</v>
      </c>
      <c r="EY112" s="130" t="e">
        <f aca="false">SUM(EV112:EX112)</f>
        <v>#N/A</v>
      </c>
      <c r="EZ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8" t="e">
        <f aca="false">VLOOKUP(A112,'Données projet'!$A$217:$I$237,2,0)</f>
        <v>#N/A</v>
      </c>
      <c r="FC112" s="118" t="e">
        <f aca="false">VLOOKUP(A112,'Données projet'!$A$217:$I$237,9,0)</f>
        <v>#N/A</v>
      </c>
      <c r="FD112" s="118" t="e">
        <f aca="false" t="array" ref="FD112:FD112">INDEX(FC:FC,MIN(IF(ISNUMBER(FC112:FC308),ROW(FC112:FC308),"")))</f>
        <v>#N/A</v>
      </c>
      <c r="FE112" s="118" t="n">
        <f aca="false">IF('Données projet'!$A$218&gt;35,FE111+FD112-FM111,IF(A112&lt;'Données projet'!$A$218,$FB$205^A112,IF(A112='Données projet'!$A$218,'Données projet'!$B$218,FE111+FD112-FM111)))</f>
        <v>0</v>
      </c>
      <c r="FF112" s="125" t="e">
        <f aca="false">FE112*VLOOKUP('Données projet'!$B$16,Paramètres!$A$1:$I$89,3,0)*VLOOKUP('Données projet'!$B$16,Paramètres!$A$1:$I$89,5,0)</f>
        <v>#N/A</v>
      </c>
      <c r="FG112" s="117" t="e">
        <f aca="false">EXP(-1.0587+0.8836*LN(FF112)+0.284)</f>
        <v>#N/A</v>
      </c>
      <c r="FH112" s="128" t="e">
        <f aca="false">(FF112+FG112)*0.475*44/12</f>
        <v>#N/A</v>
      </c>
      <c r="FI112" s="120" t="e">
        <f aca="false">FH112+(EZ112+FA112)*44/12</f>
        <v>#N/A</v>
      </c>
      <c r="FJ112" s="120" t="e">
        <f aca="true">AVERAGE(OFFSET($FI$3,0,0,'Données projet'!$E$16+1,1))-AVERAGE(OFFSET($H$3,0,0,'Données projet'!$E$16+1,1))</f>
        <v>#N/A</v>
      </c>
      <c r="FK112" s="120" t="e">
        <f aca="false">$FK$3</f>
        <v>#N/A</v>
      </c>
      <c r="FL112" s="121" t="n">
        <f aca="false">IF(ISNA(VLOOKUP(A112,'Données projet'!$A$217:$I$237,3,0)),0,VLOOKUP(A112,'Données projet'!$A$217:$I$237,3,0))</f>
        <v>0</v>
      </c>
      <c r="FM112" s="121" t="n">
        <f aca="false">IF(ISNA(VLOOKUP(A112,'Données projet'!$A$217:$I$237,4,0)),0,VLOOKUP(A112,'Données projet'!$A$217:$I$237,4,0))</f>
        <v>0</v>
      </c>
      <c r="FN112" s="122" t="n">
        <f aca="false">IF(ISNA(VLOOKUP(A112,'Données projet'!$A$217:$I$237,5,0)),0%,VLOOKUP(A112,'Données projet'!$A$217:$I$237,5,0)*VLOOKUP('Données projet'!$B$16,Paramètres!$A$1:$I$89,7,0))</f>
        <v>0</v>
      </c>
      <c r="FO112" s="122" t="n">
        <f aca="false">IF(ISNA(VLOOKUP(A112,'Données projet'!$A$217:$I$237,6,0)),0%,VLOOKUP(A112,'Données projet'!$A$217:$I$237,6,0)*VLOOKUP('Données projet'!$B$16,Paramètres!$A$1:$I$89,7,0))</f>
        <v>0</v>
      </c>
      <c r="FP112" s="122" t="n">
        <f aca="false">IF(ISNA(VLOOKUP(A112,'Données projet'!$A$217:$I$237,7,0)),0%,VLOOKUP(A112,'Données projet'!$A$217:$I$237,7,0))</f>
        <v>0</v>
      </c>
      <c r="FQ112" s="129" t="e">
        <f aca="false">EXP(-LN(2)/35)*FQ111+(1-EXP(-LN(2)/35))/(LN(2)/35)*FM112*FN112*VLOOKUP('Données projet'!$B$16,Paramètres!$A$1:$I$89,3,0)*0.475*44/12</f>
        <v>#N/A</v>
      </c>
      <c r="FR112" s="129" t="e">
        <f aca="false">EXP(-LN(2)/25)*FR111+(1-EXP(-LN(2)/25))/(LN(2)/25)*Calculateur!FM112*Calculateur!FO112*VLOOKUP('Données projet'!$B$16,Paramètres!$A$1:$I$89,3,0)*0.475*44/12</f>
        <v>#N/A</v>
      </c>
      <c r="FS112" s="129" t="e">
        <f aca="false">EXP(-LN(2)/2)*FS111+(1-EXP(-LN(2)/2))/(LN(2)/2)*FM112*FP112*VLOOKUP('Données projet'!$B$16,Paramètres!$A$1:$I$89,3,0)*0.475*44/12</f>
        <v>#N/A</v>
      </c>
      <c r="FT112" s="130" t="e">
        <f aca="false">SUM(FQ112:FS112)</f>
        <v>#N/A</v>
      </c>
      <c r="FU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8" t="e">
        <f aca="false">VLOOKUP(A112,'Données projet'!$A$243:$I$263,2,0)</f>
        <v>#N/A</v>
      </c>
      <c r="FX112" s="118" t="e">
        <f aca="false">VLOOKUP(A112,'Données projet'!$A$243:$I$263,9,0)</f>
        <v>#N/A</v>
      </c>
      <c r="FY112" s="118" t="e">
        <f aca="false" t="array" ref="FY112:FY112">INDEX(FX:FX,MIN(IF(ISNUMBER(FX112:FX308),ROW(FX112:FX308),"")))</f>
        <v>#N/A</v>
      </c>
      <c r="FZ112" s="118" t="n">
        <f aca="false">IF('Données projet'!$A$244&gt;35,FZ111+FY112-GH111,IF(A112&lt;'Données projet'!$A$244,$FW$205^A112,IF(A112='Données projet'!$A$244,'Données projet'!$B$244,FZ111+FY112-GH111)))</f>
        <v>0</v>
      </c>
      <c r="GA112" s="125" t="e">
        <f aca="false">FZ112*VLOOKUP('Données projet'!$B$17,Paramètres!$A$1:$I$89,3,0)*VLOOKUP('Données projet'!$B$17,Paramètres!$A$1:$I$89,5,0)</f>
        <v>#N/A</v>
      </c>
      <c r="GB112" s="117" t="e">
        <f aca="false">EXP(-1.0587+0.8836*LN(GA112)+0.284)</f>
        <v>#N/A</v>
      </c>
      <c r="GC112" s="128" t="e">
        <f aca="false">(GA112+GB112)*0.475*44/12</f>
        <v>#N/A</v>
      </c>
      <c r="GD112" s="120" t="e">
        <f aca="false">GC112+(FU112+FV112)*44/12</f>
        <v>#N/A</v>
      </c>
      <c r="GE112" s="120" t="e">
        <f aca="true">AVERAGE(OFFSET($GD$3,0,0,'Données projet'!$E$17+1,1))-AVERAGE(OFFSET($H$3,0,0,'Données projet'!$E$17+1,1))</f>
        <v>#N/A</v>
      </c>
      <c r="GF112" s="120" t="e">
        <f aca="false">$GF$3</f>
        <v>#N/A</v>
      </c>
      <c r="GG112" s="121" t="n">
        <f aca="false">IF(ISNA(VLOOKUP(A112,'Données projet'!$A$243:$I$263,3,0)),0,VLOOKUP(A112,'Données projet'!$A$243:$I$263,3,0))</f>
        <v>0</v>
      </c>
      <c r="GH112" s="121" t="n">
        <f aca="false">IF(ISNA(VLOOKUP(A112,'Données projet'!$A$243:$I$263,4,0)),0,VLOOKUP(A112,'Données projet'!$A$243:$I$263,4,0))</f>
        <v>0</v>
      </c>
      <c r="GI112" s="122" t="n">
        <f aca="false">IF(ISNA(VLOOKUP(A112,'Données projet'!$A$243:$I$263,5,0)),0%,VLOOKUP(A112,'Données projet'!$A$243:$I$263,5,0)*VLOOKUP('Données projet'!$B$17,Paramètres!$A$1:$I$89,7,0))</f>
        <v>0</v>
      </c>
      <c r="GJ112" s="122" t="n">
        <f aca="false">IF(ISNA(VLOOKUP(A112,'Données projet'!$A$243:$I$263,6,0)),0%,VLOOKUP(A112,'Données projet'!$A$243:$I$263,6,0)*VLOOKUP('Données projet'!$B$17,Paramètres!$A$1:$I$89,7,0))</f>
        <v>0</v>
      </c>
      <c r="GK112" s="122" t="n">
        <f aca="false">IF(ISNA(VLOOKUP(A112,'Données projet'!$A$243:$I$263,7,0)),0%,VLOOKUP(A112,'Données projet'!$A$243:$I$263,7,0))</f>
        <v>0</v>
      </c>
      <c r="GL112" s="129" t="e">
        <f aca="false">EXP(-LN(2)/35)*GL111+(1-EXP(-LN(2)/35))/(LN(2)/35)*GH112*GI112*VLOOKUP('Données projet'!$B$17,Paramètres!$A$1:$I$89,3,0)*0.475*44/12</f>
        <v>#N/A</v>
      </c>
      <c r="GM112" s="129" t="e">
        <f aca="false">EXP(-LN(2)/25)*GM111+(1-EXP(-LN(2)/25))/(LN(2)/25)*Calculateur!GH112*Calculateur!GJ112*VLOOKUP('Données projet'!$B$17,Paramètres!$A$1:$I$89,3,0)*0.475*44/12</f>
        <v>#N/A</v>
      </c>
      <c r="GN112" s="129" t="e">
        <f aca="false">EXP(-LN(2)/2)*GN111+(1-EXP(-LN(2)/2))/(LN(2)/2)*GH112*GK112*VLOOKUP('Données projet'!$B$17,Paramètres!$A$1:$I$89,3,0)*0.475*44/12</f>
        <v>#N/A</v>
      </c>
      <c r="GO112" s="129" t="e">
        <f aca="false">SUM(GL112:GN112)</f>
        <v>#N/A</v>
      </c>
      <c r="GP112" s="126" t="n">
        <f aca="false"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8" t="n">
        <f aca="false"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8" t="e">
        <f aca="false">VLOOKUP(A112,'Données projet'!$A$269:$I$289,2,0)</f>
        <v>#N/A</v>
      </c>
      <c r="GS112" s="118" t="e">
        <f aca="false">VLOOKUP(A112,'Données projet'!$A$269:$I$289,9,0)</f>
        <v>#N/A</v>
      </c>
      <c r="GT112" s="118" t="e">
        <f aca="false" t="array" ref="GT112:GT112">INDEX(GS:GS,MIN(IF(ISNUMBER(GS112:GS308),ROW(GS112:GS308),"")))</f>
        <v>#N/A</v>
      </c>
      <c r="GU112" s="118" t="n">
        <f aca="false">IF('Données projet'!$A$270&gt;35,GU111+GT112-HC111,IF(A112&lt;'Données projet'!$A$270,$GR$205^A112,IF(A112='Données projet'!$A$270,'Données projet'!$B$270,GU111+GT112-HC111)))</f>
        <v>0</v>
      </c>
      <c r="GV112" s="125" t="e">
        <f aca="false">GU112*VLOOKUP('Données projet'!$B$18,Paramètres!$A$1:$I$89,3,0)*VLOOKUP('Données projet'!$B$18,Paramètres!$A$1:$I$89,5,0)</f>
        <v>#N/A</v>
      </c>
      <c r="GW112" s="117" t="e">
        <f aca="false">EXP(-1.0587+0.8836*LN(GV112)+0.284)</f>
        <v>#N/A</v>
      </c>
      <c r="GX112" s="128" t="e">
        <f aca="false">(GV112+GW112)*0.475*44/12</f>
        <v>#N/A</v>
      </c>
      <c r="GY112" s="120" t="e">
        <f aca="false">GX112+(GP112+GQ112)*44/12</f>
        <v>#N/A</v>
      </c>
      <c r="GZ112" s="120" t="e">
        <f aca="true">AVERAGE(OFFSET($GY$3,0,0,'Données projet'!$E$18+1,1))-AVERAGE(OFFSET($H$3,0,0,'Données projet'!$E$18+1,1))</f>
        <v>#N/A</v>
      </c>
      <c r="HA112" s="120" t="e">
        <f aca="false">$HA$3</f>
        <v>#N/A</v>
      </c>
      <c r="HB112" s="121" t="n">
        <f aca="false">IF(ISNA(VLOOKUP(A112,'Données projet'!$A$269:$I$289,3,0)),0,VLOOKUP(A112,'Données projet'!$A$269:$I$289,3,0))</f>
        <v>0</v>
      </c>
      <c r="HC112" s="121" t="n">
        <f aca="false">IF(ISNA(VLOOKUP(A112,'Données projet'!$A$269:$I$289,4,0)),0,VLOOKUP(A112,'Données projet'!$A$269:$I$289,4,0))</f>
        <v>0</v>
      </c>
      <c r="HD112" s="122" t="n">
        <f aca="false">IF(ISNA(VLOOKUP(A112,'Données projet'!$A$269:$I$289,5,0)),0%,VLOOKUP(A112,'Données projet'!$A$269:$I$289,5,0)*VLOOKUP('Données projet'!$B$18,Paramètres!$A$1:$I$89,7,0))</f>
        <v>0</v>
      </c>
      <c r="HE112" s="122" t="n">
        <f aca="false">IF(ISNA(VLOOKUP(A112,'Données projet'!$A$269:$I$289,6,0)),0%,VLOOKUP(A112,'Données projet'!$A$269:$I$289,6,0)*VLOOKUP('Données projet'!$B$18,Paramètres!$A$1:$I$89,7,0))</f>
        <v>0</v>
      </c>
      <c r="HF112" s="122" t="n">
        <f aca="false">IF(ISNA(VLOOKUP(A112,'Données projet'!$A$269:$I$289,7,0)),0%,VLOOKUP(A112,'Données projet'!$A$269:$I$289,7,0))</f>
        <v>0</v>
      </c>
      <c r="HG112" s="129" t="e">
        <f aca="false">EXP(-LN(2)/35)*HG111+(1-EXP(-LN(2)/35))/(LN(2)/35)*HC112*HD112*VLOOKUP('Données projet'!$B$18,Paramètres!$A$1:$I$89,3,0)*0.475*44/12</f>
        <v>#N/A</v>
      </c>
      <c r="HH112" s="129" t="e">
        <f aca="false">EXP(-LN(2)/25)*HH111+(1-EXP(-LN(2)/25))/(LN(2)/25)*Calculateur!HC112*Calculateur!HE112*VLOOKUP('Données projet'!$B$18,Paramètres!$A$1:$I$89,3,0)*0.475*44/12</f>
        <v>#N/A</v>
      </c>
      <c r="HI112" s="129" t="e">
        <f aca="false">EXP(-LN(2)/2)*HI111+(1-EXP(-LN(2)/2))/(LN(2)/2)*HC112*HF112*VLOOKUP('Données projet'!$B$18,Paramètres!$A$1:$I$89,3,0)*0.475*44/12</f>
        <v>#N/A</v>
      </c>
      <c r="HJ112" s="130" t="e">
        <f aca="false">SUM(HG112:HI112)</f>
        <v>#N/A</v>
      </c>
    </row>
    <row r="113" customFormat="false" ht="14.25" hidden="false" customHeight="false" outlineLevel="0" collapsed="false">
      <c r="A113" s="112" t="n">
        <f aca="false">A112+1</f>
        <v>110</v>
      </c>
      <c r="B113" s="113" t="n">
        <f aca="false">'Scénario référence'!$B$16*5+'Scénario référence'!$B$17*0+'Scénario référence'!$B$18*5</f>
        <v>0</v>
      </c>
      <c r="C113" s="127" t="n">
        <f aca="false"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4" t="n">
        <f aca="false">IFERROR(EXP(-1.0587+0.8836*LN(C113)+0.284),0)</f>
        <v>0</v>
      </c>
      <c r="E11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3" s="114" t="n">
        <f aca="false">IF(OR('Scénario référence'!$F$8&gt;0,'Scénario référence'!$F$9&gt;0),('Scénario référence'!$F$8+'Scénario référence'!$F$9)*10,0)</f>
        <v>0</v>
      </c>
      <c r="G113" s="114" t="n">
        <f aca="false"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15" t="n">
        <f aca="false">(B113+E113+F113)*44/12+(C113+D113)*0.475*44/12</f>
        <v>256.666666666667</v>
      </c>
      <c r="I113" s="11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7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8" t="e">
        <f aca="false">VLOOKUP(A113,'Données projet'!$A$35:$I$55,2,0)</f>
        <v>#N/A</v>
      </c>
      <c r="L113" s="118" t="e">
        <f aca="false">VLOOKUP(A113,'Données projet'!$A$35:$I$55,9,0)</f>
        <v>#N/A</v>
      </c>
      <c r="M113" s="118" t="e">
        <f aca="false" t="array" ref="M113:M113">INDEX(L:L,MIN(IF(ISNUMBER(L113:L309),ROW(L113:L309),"")))</f>
        <v>#N/A</v>
      </c>
      <c r="N113" s="117" t="n">
        <f aca="false">IF('Données projet'!$A$36&gt;35,N112+M113-V112,IF(A113&lt;'Données projet'!$A$36,$K$205^A113,IF(A113='Données projet'!$A$36,'Données projet'!$B$36,N112+M113-V112)))</f>
        <v>-1.13686837721616E-013</v>
      </c>
      <c r="O113" s="117" t="n">
        <f aca="false">N113*VLOOKUP('Données projet'!$B$9,Paramètres!$A$1:$I$89,3,0)*VLOOKUP('Données projet'!$B$9,Paramètres!$A$1:$I$89,5,0)</f>
        <v>-5.32054400537163E-014</v>
      </c>
      <c r="P113" s="117" t="e">
        <f aca="false">EXP(-1.0587+0.8836*LN(O113)+0.284)</f>
        <v>#VALUE!</v>
      </c>
      <c r="Q113" s="128" t="e">
        <f aca="false">(O113+P113)*0.475*44/12</f>
        <v>#VALUE!</v>
      </c>
      <c r="R113" s="120" t="e">
        <f aca="false">Q113+(I113+J113)*44/12</f>
        <v>#VALUE!</v>
      </c>
      <c r="S113" s="120" t="n">
        <f aca="true">AVERAGE(OFFSET($R$3,0,0,'Données projet'!$E$9+1,1))-AVERAGE(OFFSET($H$3,0,0,'Données projet'!$E$9+1,1))</f>
        <v>319.229030946746</v>
      </c>
      <c r="T113" s="120" t="n">
        <f aca="false">$T$3</f>
        <v>254.586909731428</v>
      </c>
      <c r="U113" s="121" t="n">
        <f aca="false">IF(ISNA(VLOOKUP(A113,'Données projet'!$A$35:$I$55,3,0)),0,VLOOKUP(A113,'Données projet'!$A$35:$I$55,3,0))</f>
        <v>0</v>
      </c>
      <c r="V113" s="121" t="n">
        <f aca="false">IF(ISNA(VLOOKUP(A113,'Données projet'!$A$35:$I$55,4,0)),0,VLOOKUP(A113,'Données projet'!$A$35:$I$55,4,0))</f>
        <v>0</v>
      </c>
      <c r="W113" s="122" t="n">
        <f aca="false">IF(ISNA(VLOOKUP(A113,'Données projet'!$A$35:$I$55,5,0)),0%,VLOOKUP(A113,'Données projet'!$A$35:$I$55,5,0)*VLOOKUP('Données projet'!$B$9,Paramètres!$A$1:$I$89,7,0))</f>
        <v>0</v>
      </c>
      <c r="X113" s="122" t="n">
        <f aca="false">IF(ISNA(VLOOKUP(A113,'Données projet'!$A$35:$I$55,6,0)),0%,VLOOKUP(A113,'Données projet'!$A$35:$I$55,6,0)*VLOOKUP('Données projet'!$B$9,Paramètres!$A$1:$I$89,7,0))</f>
        <v>0</v>
      </c>
      <c r="Y113" s="122" t="n">
        <f aca="false">IF(ISNA(VLOOKUP(A113,'Données projet'!$A$35:$I$55,7,0)),0%,VLOOKUP(A113,'Données projet'!$A$35:$I$55,7,0))</f>
        <v>0</v>
      </c>
      <c r="Z113" s="129" t="n">
        <f aca="false">EXP(-LN(2)/35)*Z112+(1-EXP(-LN(2)/35))/(LN(2)/35)*V113*W113*VLOOKUP('Données projet'!$B$9,Paramètres!$A$1:$I$89,3,0)*0.475*44/12</f>
        <v>1.86137519946843</v>
      </c>
      <c r="AA113" s="129" t="n">
        <f aca="false">EXP(-LN(2)/25)*AA112+(1-EXP(-LN(2)/25))/(LN(2)/25)*Calculateur!V113*Calculateur!X113*VLOOKUP('Données projet'!$B$9,Paramètres!$A$1:$I$89,3,0)*0.475*44/12</f>
        <v>1.21347351201686</v>
      </c>
      <c r="AB113" s="129" t="n">
        <f aca="false">EXP(-LN(2)/2)*AB112+(1-EXP(-LN(2)/2))/(LN(2)/2)*V113*Y113*VLOOKUP('Données projet'!$B$9,Paramètres!$A$1:$I$89,3,0)*0.475*44/12</f>
        <v>1.00436669923496E-011</v>
      </c>
      <c r="AC113" s="130" t="n">
        <f aca="false">SUM(Z113:AB113)</f>
        <v>3.07484871149533</v>
      </c>
      <c r="AD113" s="117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7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8" t="e">
        <f aca="false">VLOOKUP(A113,'Données projet'!$A$61:$I$81,2,0)</f>
        <v>#N/A</v>
      </c>
      <c r="AG113" s="118" t="e">
        <f aca="false">VLOOKUP(A113,'Données projet'!$A$61:$I$81,9,0)</f>
        <v>#N/A</v>
      </c>
      <c r="AH113" s="118" t="e">
        <f aca="false" t="array" ref="AH113:AH113">INDEX(AG:AG,MIN(IF(ISNUMBER(AG113:AG309),ROW(AG113:AG309),"")))</f>
        <v>#N/A</v>
      </c>
      <c r="AI113" s="117" t="n">
        <f aca="false">IF('Données projet'!$A$62&gt;35,AI112+AH113-AQ112,IF(A113&lt;'Données projet'!$A$62,$AF$205^A113,IF(A113='Données projet'!$A$62,'Données projet'!$B$62,AI112+AH113-AQ112)))</f>
        <v>1.13686837721616E-013</v>
      </c>
      <c r="AJ113" s="117" t="n">
        <f aca="false">AI113*VLOOKUP('Données projet'!$B$10,Paramètres!$A$1:$I$89,3,0)*VLOOKUP('Données projet'!$B$10,Paramètres!$A$1:$I$89,5,0)</f>
        <v>6.35509422863834E-014</v>
      </c>
      <c r="AK113" s="117" t="n">
        <f aca="false">EXP(-1.0587+0.8836*LN(AJ113)+0.284)</f>
        <v>1.0064464192544E-012</v>
      </c>
      <c r="AL113" s="128" t="n">
        <f aca="false">(AJ113+AK113)*0.475*44/12</f>
        <v>1.86357873801686E-012</v>
      </c>
      <c r="AM113" s="120" t="n">
        <f aca="false">AL113+(AD113+AE113)*44/12</f>
        <v>293.333333333335</v>
      </c>
      <c r="AN113" s="120" t="n">
        <f aca="true">AVERAGE(OFFSET($AM$3,0,0,'Données projet'!$E$10+1,1))-AVERAGE(OFFSET($H$3,0,0,'Données projet'!$E$10+1,1))</f>
        <v>365.705101827279</v>
      </c>
      <c r="AO113" s="120" t="n">
        <f aca="false">$AO$3</f>
        <v>436.238338449625</v>
      </c>
      <c r="AP113" s="121" t="n">
        <f aca="false">IF(ISNA(VLOOKUP(A113,'Données projet'!$A$61:$I$81,3,0)),0,VLOOKUP(A113,'Données projet'!$A$61:$I$81,3,0))</f>
        <v>0</v>
      </c>
      <c r="AQ113" s="121" t="n">
        <f aca="false">IF(ISNA(VLOOKUP(A113,'Données projet'!$A$61:$I$81,4,0)),0,VLOOKUP(A113,'Données projet'!$A$61:$I$81,4,0))</f>
        <v>0</v>
      </c>
      <c r="AR113" s="122" t="n">
        <f aca="false">IF(ISNA(VLOOKUP(A113,'Données projet'!$A$61:$I$81,5,0)),0%,VLOOKUP(A113,'Données projet'!$A$61:$I$81,5,0)*VLOOKUP('Données projet'!$B$10,Paramètres!$A$1:$I$89,7,0))</f>
        <v>0</v>
      </c>
      <c r="AS113" s="122" t="n">
        <f aca="false">IF(ISNA(VLOOKUP(A113,'Données projet'!$A$61:$I$81,6,0)),0%,VLOOKUP(A113,'Données projet'!$A$61:$I$81,6,0)*VLOOKUP('Données projet'!$B$10,Paramètres!$A$1:$I$89,7,0))</f>
        <v>0</v>
      </c>
      <c r="AT113" s="122" t="n">
        <f aca="false">IF(ISNA(VLOOKUP(A113,'Données projet'!$A$61:$I$81,7,0)),0%,VLOOKUP(A113,'Données projet'!$A$61:$I$81,7,0))</f>
        <v>0</v>
      </c>
      <c r="AU113" s="129" t="n">
        <f aca="false">EXP(-LN(2)/35)*AU112+(1-EXP(-LN(2)/35))/(LN(2)/35)*AQ113*AR113*VLOOKUP('Données projet'!$B$10,Paramètres!$A$1:$I$89,3,0)*0.475*44/12</f>
        <v>0.702608789391454</v>
      </c>
      <c r="AV113" s="129" t="n">
        <f aca="false">EXP(-LN(2)/25)*AV112+(1-EXP(-LN(2)/25))/(LN(2)/25)*Calculateur!AQ113*Calculateur!AS113*VLOOKUP('Données projet'!$B$10,Paramètres!$A$1:$I$89,3,0)*0.475*44/12</f>
        <v>1.43729376262054</v>
      </c>
      <c r="AW113" s="129" t="n">
        <f aca="false">EXP(-LN(2)/2)*AW112+(1-EXP(-LN(2)/2))/(LN(2)/2)*AQ113*AT113*VLOOKUP('Données projet'!$B$10,Paramètres!$A$1:$I$89,3,0)*0.475*44/12</f>
        <v>5.40518766290533E-012</v>
      </c>
      <c r="AX113" s="129" t="n">
        <f aca="false">SUM(AU113:AW113)</f>
        <v>2.1399025520174</v>
      </c>
      <c r="AY113" s="124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8" t="e">
        <f aca="false">VLOOKUP(A113,'Données projet'!$A$87:$I$107,2,0)</f>
        <v>#N/A</v>
      </c>
      <c r="BB113" s="118" t="e">
        <f aca="false">VLOOKUP(A113,'Données projet'!$A$87:$I$107,9,0)</f>
        <v>#N/A</v>
      </c>
      <c r="BC113" s="118" t="e">
        <f aca="false" t="array" ref="BC113:BC113">INDEX(BB:BB,MIN(IF(ISNUMBER(BB113:BB309),ROW(BB113:BB309),"")))</f>
        <v>#N/A</v>
      </c>
      <c r="BD113" s="118" t="n">
        <f aca="false">IF('Données projet'!$A$88&gt;35,BD112+BC113-BL112,IF(A113&lt;'Données projet'!$A$88,$BA$205^A113,IF(A113='Données projet'!$A$88,'Données projet'!$B$88,BD112+BC113-BL112)))</f>
        <v>1.98951966012828E-013</v>
      </c>
      <c r="BE113" s="117" t="n">
        <f aca="false">BD113*VLOOKUP('Données projet'!$B$11,Paramètres!$A$1:$I$89,3,0)*VLOOKUP('Données projet'!$B$11,Paramètres!$A$1:$I$89,5,0)</f>
        <v>1.73804437508807E-013</v>
      </c>
      <c r="BF113" s="117" t="n">
        <f aca="false">EXP(-1.0587+0.8836*LN(BE113)+0.284)</f>
        <v>2.44832936339505E-012</v>
      </c>
      <c r="BG113" s="128" t="n">
        <f aca="false">(BE113+BF113)*0.475*44/12</f>
        <v>4.56688303657421E-012</v>
      </c>
      <c r="BH113" s="120" t="n">
        <f aca="false">BG113+(AY113+AZ113)*44/12</f>
        <v>293.333333333338</v>
      </c>
      <c r="BI113" s="120" t="n">
        <f aca="true">AVERAGE(OFFSET($BH$3,0,0,'Données projet'!$E$11+1,1))-AVERAGE(OFFSET($H$3,0,0,'Données projet'!$E$11+1,1))</f>
        <v>321.235999689929</v>
      </c>
      <c r="BJ113" s="120" t="n">
        <f aca="false">$BJ$3</f>
        <v>388.051958478005</v>
      </c>
      <c r="BK113" s="121" t="n">
        <f aca="false">IF(ISNA(VLOOKUP(A113,'Données projet'!$A$87:$I$107,3,0)),0,VLOOKUP(A113,'Données projet'!$A$87:$I$107,3,0))</f>
        <v>0</v>
      </c>
      <c r="BL113" s="121" t="n">
        <f aca="false">IF(ISNA(VLOOKUP(A113,'Données projet'!$A$87:$I$107,4,0)),0,VLOOKUP(A113,'Données projet'!$A$87:$I$107,4,0))</f>
        <v>0</v>
      </c>
      <c r="BM113" s="122" t="n">
        <f aca="false">IF(ISNA(VLOOKUP(A113,'Données projet'!$A$87:$I$107,5,0)),0%,VLOOKUP(A113,'Données projet'!$A$87:$I$107,5,0)*VLOOKUP('Données projet'!$B$11,Paramètres!$A$1:$I$89,7,0))</f>
        <v>0</v>
      </c>
      <c r="BN113" s="122" t="n">
        <f aca="false">IF(ISNA(VLOOKUP(A113,'Données projet'!$A$87:$I$107,6,0)),0%,VLOOKUP(A113,'Données projet'!$A$87:$I$107,6,0)*VLOOKUP('Données projet'!$B$11,Paramètres!$A$1:$I$89,7,0))</f>
        <v>0</v>
      </c>
      <c r="BO113" s="122" t="n">
        <f aca="false">IF(ISNA(VLOOKUP(A113,'Données projet'!$A$87:$I$107,7,0)),0%,VLOOKUP(A113,'Données projet'!$A$87:$I$107,7,0))</f>
        <v>0</v>
      </c>
      <c r="BP113" s="129" t="n">
        <f aca="false">EXP(-LN(2)/35)*BP112+(1-EXP(-LN(2)/35))/(LN(2)/35)*BL113*BM113*VLOOKUP('Données projet'!$B$11,Paramètres!$A$1:$I$89,3,0)*0.475*44/12</f>
        <v>1.76398462871448</v>
      </c>
      <c r="BQ113" s="129" t="n">
        <f aca="false">EXP(-LN(2)/25)*BQ112+(1-EXP(-LN(2)/25))/(LN(2)/25)*Calculateur!BL113*Calculateur!BN113*VLOOKUP('Données projet'!$B$11,Paramètres!$A$1:$I$89,3,0)*0.475*44/12</f>
        <v>1.46710410291172</v>
      </c>
      <c r="BR113" s="129" t="n">
        <f aca="false">EXP(-LN(2)/2)*BR112+(1-EXP(-LN(2)/2))/(LN(2)/2)*BL113*BO113*VLOOKUP('Données projet'!$B$11,Paramètres!$A$1:$I$89,3,0)*0.475*44/12</f>
        <v>5.49426091064991E-012</v>
      </c>
      <c r="BS113" s="130" t="n">
        <f aca="false">SUM(BP113:BR113)</f>
        <v>3.2310887316317</v>
      </c>
      <c r="BT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8" t="e">
        <f aca="false">VLOOKUP(A113,'Données projet'!$A$113:$I$133,2,0)</f>
        <v>#N/A</v>
      </c>
      <c r="BW113" s="118" t="e">
        <f aca="false">VLOOKUP(A113,'Données projet'!$A$113:$I$133,9,0)</f>
        <v>#N/A</v>
      </c>
      <c r="BX113" s="118" t="e">
        <f aca="false" t="array" ref="BX113:BX113">INDEX(BW:BW,MIN(IF(ISNUMBER(BW113:BW309),ROW(BW113:BW309),"")))</f>
        <v>#N/A</v>
      </c>
      <c r="BY113" s="118" t="n">
        <f aca="false">IF('Données projet'!$A$114&gt;35,BY112+BX113-CG112,IF(A113&lt;'Données projet'!$A$114,$BV$205^A113,IF(A113='Données projet'!$A$114,'Données projet'!$B$114,BY112+BX113-CG112)))</f>
        <v>0</v>
      </c>
      <c r="BZ113" s="117" t="n">
        <f aca="false">BY113*VLOOKUP('Données projet'!$B$12,Paramètres!$A$1:$I$89,3,0)*VLOOKUP('Données projet'!$B$12,Paramètres!$A$1:$I$89,5,0)</f>
        <v>0</v>
      </c>
      <c r="CA113" s="117" t="e">
        <f aca="false">EXP(-1.0587+0.8836*LN(BZ113)+0.284)</f>
        <v>#VALUE!</v>
      </c>
      <c r="CB113" s="128" t="e">
        <f aca="false">(BZ113+CA113)*0.475*44/12</f>
        <v>#VALUE!</v>
      </c>
      <c r="CC113" s="120" t="e">
        <f aca="false">CB113+(BT113+BU113)*44/12</f>
        <v>#VALUE!</v>
      </c>
      <c r="CD113" s="120" t="n">
        <f aca="true">AVERAGE(OFFSET($CC$3,0,0,'Données projet'!$E$12+1,1))-AVERAGE(OFFSET($H$3,0,0,'Données projet'!$E$12+1,1))</f>
        <v>240.228848647662</v>
      </c>
      <c r="CE113" s="120" t="n">
        <f aca="false">$CE$3</f>
        <v>343.237768841432</v>
      </c>
      <c r="CF113" s="121" t="n">
        <f aca="false">IF(ISNA(VLOOKUP(A113,'Données projet'!$A$113:$I$133,3,0)),0,VLOOKUP(A113,'Données projet'!$A$113:$I$133,3,0))</f>
        <v>0</v>
      </c>
      <c r="CG113" s="121" t="n">
        <f aca="false">IF(ISNA(VLOOKUP(A113,'Données projet'!$A$113:$I$133,4,0)),0,VLOOKUP(A113,'Données projet'!$A$113:$I$133,4,0))</f>
        <v>0</v>
      </c>
      <c r="CH113" s="122" t="n">
        <f aca="false">IF(ISNA(VLOOKUP(A113,'Données projet'!$A$113:$I$133,5,0)),0%,VLOOKUP(A113,'Données projet'!$A$113:$I$133,5,0)*VLOOKUP('Données projet'!$B$12,Paramètres!$A$1:$I$89,7,0))</f>
        <v>0</v>
      </c>
      <c r="CI113" s="122" t="n">
        <f aca="false">IF(ISNA(VLOOKUP(A113,'Données projet'!$A$113:$I$133,6,0)),0%,VLOOKUP(A113,'Données projet'!$A$113:$I$133,6,0)*VLOOKUP('Données projet'!$B$12,Paramètres!$A$1:$I$89,7,0))</f>
        <v>0</v>
      </c>
      <c r="CJ113" s="122" t="n">
        <f aca="false">IF(ISNA(VLOOKUP(A113,'Données projet'!$A$113:$I$133,7,0)),0%,VLOOKUP(A113,'Données projet'!$A$113:$I$133,7,0))</f>
        <v>0</v>
      </c>
      <c r="CK113" s="129" t="n">
        <f aca="false">EXP(-LN(2)/35)*CK112+(1-EXP(-LN(2)/35))/(LN(2)/35)*CG113*CH113*VLOOKUP('Données projet'!$B$12,Paramètres!$A$1:$I$89,3,0)*0.475*44/12</f>
        <v>1.07969601945748</v>
      </c>
      <c r="CL113" s="129" t="n">
        <f aca="false">EXP(-LN(2)/25)*CL112+(1-EXP(-LN(2)/25))/(LN(2)/25)*Calculateur!CG113*Calculateur!CI113*VLOOKUP('Données projet'!$B$12,Paramètres!$A$1:$I$89,3,0)*0.475*44/12</f>
        <v>2.59099077623237</v>
      </c>
      <c r="CM113" s="129" t="n">
        <f aca="false">EXP(-LN(2)/2)*CM112+(1-EXP(-LN(2)/2))/(LN(2)/2)*CG113*CJ113*VLOOKUP('Données projet'!$B$12,Paramètres!$A$1:$I$89,3,0)*0.475*44/12</f>
        <v>8.76737564427804E-012</v>
      </c>
      <c r="CN113" s="130" t="n">
        <f aca="false">SUM(CK113:CM113)</f>
        <v>3.67068679569861</v>
      </c>
      <c r="CO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8" t="e">
        <f aca="false">VLOOKUP(A113,'Données projet'!$A$139:$I$159,2,0)</f>
        <v>#N/A</v>
      </c>
      <c r="CR113" s="118" t="e">
        <f aca="false">VLOOKUP(A113,'Données projet'!$A$139:$I$159,9,0)</f>
        <v>#N/A</v>
      </c>
      <c r="CS113" s="118" t="e">
        <f aca="false" t="array" ref="CS113:CS113">INDEX(CR:CR,MIN(IF(ISNUMBER(CR113:CR309),ROW(CR113:CR309),"")))</f>
        <v>#N/A</v>
      </c>
      <c r="CT113" s="118" t="n">
        <f aca="false">IF('Données projet'!$A$140&gt;35,CT112+CS113-DB112,IF(A113&lt;'Données projet'!$A$140,$CQ$205^A113,IF(A113='Données projet'!$A$140,'Données projet'!$B$140,CT112+CS113-DB112)))</f>
        <v>-5.6843418860808E-014</v>
      </c>
      <c r="CU113" s="125" t="n">
        <f aca="false">CT113*VLOOKUP('Données projet'!$B$13,Paramètres!$A$1:$I$89,3,0)*VLOOKUP('Données projet'!$B$13,Paramètres!$A$1:$I$89,5,0)</f>
        <v>-3.10365066980012E-014</v>
      </c>
      <c r="CV113" s="117" t="e">
        <f aca="false">EXP(-1.0587+0.8836*LN(CU113)+0.284)</f>
        <v>#VALUE!</v>
      </c>
      <c r="CW113" s="128" t="e">
        <f aca="false">(CU113+CV113)*0.475*44/12</f>
        <v>#VALUE!</v>
      </c>
      <c r="CX113" s="120" t="e">
        <f aca="false">CW113+(CO113+CP113)*44/12</f>
        <v>#VALUE!</v>
      </c>
      <c r="CY113" s="120" t="n">
        <f aca="true">AVERAGE(OFFSET($CX$3,0,0,'Données projet'!$E$13+1,1))-AVERAGE(OFFSET($H$3,0,0,'Données projet'!$E$13+1,1))</f>
        <v>207.023069645676</v>
      </c>
      <c r="CZ113" s="120" t="n">
        <f aca="false">$CZ$3</f>
        <v>342.068879333518</v>
      </c>
      <c r="DA113" s="121" t="n">
        <f aca="false">IF(ISNA(VLOOKUP(A113,'Données projet'!$A$139:$I$159,3,0)),0,VLOOKUP(A113,'Données projet'!$A$139:$I$159,3,0))</f>
        <v>0</v>
      </c>
      <c r="DB113" s="121" t="n">
        <f aca="false">IF(ISNA(VLOOKUP(A113,'Données projet'!$A$139:$I$159,4,0)),0,VLOOKUP(A113,'Données projet'!$A$139:$I$159,4,0))</f>
        <v>0</v>
      </c>
      <c r="DC113" s="122" t="n">
        <f aca="false">IF(ISNA(VLOOKUP(A113,'Données projet'!$A$139:$I$159,5,0)),0%,VLOOKUP(A113,'Données projet'!$A$139:$I$159,5,0)*VLOOKUP('Données projet'!$B$13,Paramètres!$A$1:$I$89,7,0))</f>
        <v>0</v>
      </c>
      <c r="DD113" s="122" t="n">
        <f aca="false">IF(ISNA(VLOOKUP(A113,'Données projet'!$A$139:$I$159,6,0)),0%,VLOOKUP(A113,'Données projet'!$A$139:$I$159,6,0)*VLOOKUP('Données projet'!$B$13,Paramètres!$A$1:$I$89,7,0))</f>
        <v>0</v>
      </c>
      <c r="DE113" s="122" t="n">
        <f aca="false">IF(ISNA(VLOOKUP(A113,'Données projet'!$A$139:$I$159,7,0)),0%,VLOOKUP(A113,'Données projet'!$A$139:$I$159,7,0))</f>
        <v>0</v>
      </c>
      <c r="DF113" s="129" t="n">
        <f aca="false">EXP(-LN(2)/35)*DF112+(1-EXP(-LN(2)/35))/(LN(2)/35)*DB113*DC113*VLOOKUP('Données projet'!$B$13,Paramètres!$A$1:$I$89,3,0)*0.475*44/12</f>
        <v>1.35471293007401</v>
      </c>
      <c r="DG113" s="129" t="n">
        <f aca="false">EXP(-LN(2)/25)*DG112+(1-EXP(-LN(2)/25))/(LN(2)/25)*Calculateur!DB113*Calculateur!DD113*VLOOKUP('Données projet'!$B$13,Paramètres!$A$1:$I$89,3,0)*0.475*44/12</f>
        <v>4.235190800432</v>
      </c>
      <c r="DH113" s="129" t="n">
        <f aca="false">EXP(-LN(2)/2)*DH112+(1-EXP(-LN(2)/2))/(LN(2)/2)*DB113*DE113*VLOOKUP('Données projet'!$B$13,Paramètres!$A$1:$I$89,3,0)*0.475*44/12</f>
        <v>1.20726803269471E-011</v>
      </c>
      <c r="DI113" s="130" t="n">
        <f aca="false">SUM(DF113:DH113)</f>
        <v>5.58990373051808</v>
      </c>
      <c r="DJ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8" t="e">
        <f aca="false">VLOOKUP(A113,'Données projet'!$A$165:$I$185,2,0)</f>
        <v>#N/A</v>
      </c>
      <c r="DM113" s="118" t="e">
        <f aca="false">VLOOKUP(A113,'Données projet'!$A$165:$I$185,9,0)</f>
        <v>#N/A</v>
      </c>
      <c r="DN113" s="118" t="e">
        <f aca="false" t="array" ref="DN113:DN113">INDEX(DM:DM,MIN(IF(ISNUMBER(DM113:DM309),ROW(DM113:DM309),"")))</f>
        <v>#N/A</v>
      </c>
      <c r="DO113" s="118" t="n">
        <f aca="false">IF('Données projet'!$A$166&gt;35,DO112+DN113-DW112,IF(A113&lt;'Données projet'!$A$166,$DL$205^A113,IF(A113='Données projet'!$A$166,'Données projet'!$B$166,DO112+DN113-DW112)))</f>
        <v>0</v>
      </c>
      <c r="DP113" s="125" t="n">
        <f aca="false">DO113*VLOOKUP('Données projet'!$B$14,Paramètres!$A$1:$I$89,3,0)*VLOOKUP('Données projet'!$B$14,Paramètres!$A$1:$I$89,5,0)</f>
        <v>0</v>
      </c>
      <c r="DQ113" s="117" t="e">
        <f aca="false">EXP(-1.0587+0.8836*LN(DP113)+0.284)</f>
        <v>#VALUE!</v>
      </c>
      <c r="DR113" s="128" t="e">
        <f aca="false">(DP113+DQ113)*0.475*44/12</f>
        <v>#VALUE!</v>
      </c>
      <c r="DS113" s="120" t="e">
        <f aca="false">DR113+(DJ113+DK113)*44/12</f>
        <v>#VALUE!</v>
      </c>
      <c r="DT113" s="120" t="n">
        <f aca="true">AVERAGE(OFFSET($DS$3,0,0,'Données projet'!$E$14+1,1))-AVERAGE(OFFSET($H$3,0,0,'Données projet'!$E$14+1,1))</f>
        <v>549.432320957297</v>
      </c>
      <c r="DU113" s="120" t="n">
        <f aca="false">$DU$3</f>
        <v>280.26155987301</v>
      </c>
      <c r="DV113" s="121" t="n">
        <f aca="false">IF(ISNA(VLOOKUP(A113,'Données projet'!$A$165:$I$185,3,0)),0,VLOOKUP(A113,'Données projet'!$A$165:$I$185,3,0))</f>
        <v>0</v>
      </c>
      <c r="DW113" s="121" t="n">
        <f aca="false">IF(ISNA(VLOOKUP(A113,'Données projet'!$A$165:$I$185,4,0)),0,VLOOKUP(A113,'Données projet'!$A$165:$I$185,4,0))</f>
        <v>0</v>
      </c>
      <c r="DX113" s="122" t="n">
        <f aca="false">IF(ISNA(VLOOKUP(A113,'Données projet'!$A$165:$I$185,5,0)),0%,VLOOKUP(A113,'Données projet'!$A$165:$I$185,5,0)*VLOOKUP('Données projet'!$B$14,Paramètres!$A$1:$I$89,7,0))</f>
        <v>0</v>
      </c>
      <c r="DY113" s="122" t="n">
        <f aca="false">IF(ISNA(VLOOKUP(A113,'Données projet'!$A$165:$I$185,6,0)),0%,VLOOKUP(A113,'Données projet'!$A$165:$I$185,6,0)*VLOOKUP('Données projet'!$B$14,Paramètres!$A$1:$I$89,7,0))</f>
        <v>0</v>
      </c>
      <c r="DZ113" s="122" t="n">
        <f aca="false">IF(ISNA(VLOOKUP(A113,'Données projet'!$A$165:$I$185,7,0)),0%,VLOOKUP(A113,'Données projet'!$A$165:$I$185,7,0))</f>
        <v>0</v>
      </c>
      <c r="EA113" s="129" t="n">
        <f aca="false">EXP(-LN(2)/35)*EA112+(1-EXP(-LN(2)/35))/(LN(2)/35)*DW113*DX113*VLOOKUP('Données projet'!$B$14,Paramètres!$A$1:$I$89,3,0)*0.475*44/12</f>
        <v>0.492572110810632</v>
      </c>
      <c r="EB113" s="129" t="n">
        <f aca="false">EXP(-LN(2)/25)*EB112+(1-EXP(-LN(2)/25))/(LN(2)/25)*Calculateur!DW113*Calculateur!DY113*VLOOKUP('Données projet'!$B$14,Paramètres!$A$1:$I$89,3,0)*0.475*44/12</f>
        <v>0.843733566291892</v>
      </c>
      <c r="EC113" s="129" t="n">
        <f aca="false">EXP(-LN(2)/2)*EC112+(1-EXP(-LN(2)/2))/(LN(2)/2)*DW113*DZ113*VLOOKUP('Données projet'!$B$14,Paramètres!$A$1:$I$89,3,0)*0.475*44/12</f>
        <v>5.56525677398847E-012</v>
      </c>
      <c r="ED113" s="130" t="n">
        <f aca="false">SUM(EA113:EC113)</f>
        <v>1.33630567710809</v>
      </c>
      <c r="EE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8" t="e">
        <f aca="false">VLOOKUP(A113,'Données projet'!$A$191:$I$211,2,0)</f>
        <v>#N/A</v>
      </c>
      <c r="EH113" s="118" t="e">
        <f aca="false">VLOOKUP(A113,'Données projet'!$A$191:$I$211,9,0)</f>
        <v>#N/A</v>
      </c>
      <c r="EI113" s="118" t="e">
        <f aca="false" t="array" ref="EI113:EI113">INDEX(EH:EH,MIN(IF(ISNUMBER(EH113:EH309),ROW(EH113:EH309),"")))</f>
        <v>#N/A</v>
      </c>
      <c r="EJ113" s="118" t="n">
        <f aca="false">IF('Données projet'!$A$192&gt;35,EJ112+EI113-ER112,IF(A113&lt;'Données projet'!$A$192,$EG$205^A113,IF(A113='Données projet'!$A$192,'Données projet'!$B$192,EJ112+EI113-ER112)))</f>
        <v>0</v>
      </c>
      <c r="EK113" s="125" t="e">
        <f aca="false">EJ113*VLOOKUP('Données projet'!$B$15,Paramètres!$A$1:$I$89,3,0)*VLOOKUP('Données projet'!$B$15,Paramètres!$A$1:$I$89,5,0)</f>
        <v>#N/A</v>
      </c>
      <c r="EL113" s="117" t="e">
        <f aca="false">EXP(-1.0587+0.8836*LN(EK113)+0.284)</f>
        <v>#N/A</v>
      </c>
      <c r="EM113" s="128" t="e">
        <f aca="false">(EK113+EL113)*0.475*44/12</f>
        <v>#N/A</v>
      </c>
      <c r="EN113" s="120" t="e">
        <f aca="false">EM113+(EE113+EF113)*44/12</f>
        <v>#N/A</v>
      </c>
      <c r="EO113" s="120" t="e">
        <f aca="true">AVERAGE(OFFSET($EN$3,0,0,'Données projet'!$E$15+1,1))-AVERAGE(OFFSET($H$3,0,0,'Données projet'!$E$15+1,1))</f>
        <v>#N/A</v>
      </c>
      <c r="EP113" s="120" t="e">
        <f aca="false">$EP$3</f>
        <v>#N/A</v>
      </c>
      <c r="EQ113" s="121" t="n">
        <f aca="false">IF(ISNA(VLOOKUP(A113,'Données projet'!$A$191:$I$211,3,0)),0,VLOOKUP(A113,'Données projet'!$A$191:$I$211,3,0))</f>
        <v>0</v>
      </c>
      <c r="ER113" s="121" t="n">
        <f aca="false">IF(ISNA(VLOOKUP(A113,'Données projet'!$A$191:$I$211,4,0)),0,VLOOKUP(A113,'Données projet'!$A$191:$I$211,4,0))</f>
        <v>0</v>
      </c>
      <c r="ES113" s="122" t="n">
        <f aca="false">IF(ISNA(VLOOKUP(A113,'Données projet'!$A$191:$I$211,5,0)),0%,VLOOKUP(A113,'Données projet'!$A$191:$I$211,5,0)*VLOOKUP('Données projet'!$B$15,Paramètres!$A$1:$I$89,7,0))</f>
        <v>0</v>
      </c>
      <c r="ET113" s="122" t="n">
        <f aca="false">IF(ISNA(VLOOKUP(A113,'Données projet'!$A$191:$I$211,6,0)),0%,VLOOKUP(A113,'Données projet'!$A$191:$I$211,6,0)*VLOOKUP('Données projet'!$B$15,Paramètres!$A$1:$I$89,7,0))</f>
        <v>0</v>
      </c>
      <c r="EU113" s="122" t="n">
        <f aca="false">IF(ISNA(VLOOKUP(A113,'Données projet'!$A$191:$I$211,7,0)),0%,VLOOKUP(A113,'Données projet'!$A$191:$I$211,7,0))</f>
        <v>0</v>
      </c>
      <c r="EV113" s="129" t="e">
        <f aca="false">EXP(-LN(2)/35)*EV112+(1-EXP(-LN(2)/35))/(LN(2)/35)*ER113*ES113*VLOOKUP('Données projet'!$B$15,Paramètres!$A$1:$I$89,3,0)*0.475*44/12</f>
        <v>#N/A</v>
      </c>
      <c r="EW113" s="129" t="e">
        <f aca="false">EXP(-LN(2)/25)*EW112+(1-EXP(-LN(2)/25))/(LN(2)/25)*Calculateur!ER113*Calculateur!ET113*VLOOKUP('Données projet'!$B$15,Paramètres!$A$1:$I$89,3,0)*0.475*44/12</f>
        <v>#N/A</v>
      </c>
      <c r="EX113" s="129" t="e">
        <f aca="false">EXP(-LN(2)/2)*EX112+(1-EXP(-LN(2)/2))/(LN(2)/2)*ER113*EU113*VLOOKUP('Données projet'!$B$15,Paramètres!$A$1:$I$89,3,0)*0.475*44/12</f>
        <v>#N/A</v>
      </c>
      <c r="EY113" s="130" t="e">
        <f aca="false">SUM(EV113:EX113)</f>
        <v>#N/A</v>
      </c>
      <c r="EZ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8" t="e">
        <f aca="false">VLOOKUP(A113,'Données projet'!$A$217:$I$237,2,0)</f>
        <v>#N/A</v>
      </c>
      <c r="FC113" s="118" t="e">
        <f aca="false">VLOOKUP(A113,'Données projet'!$A$217:$I$237,9,0)</f>
        <v>#N/A</v>
      </c>
      <c r="FD113" s="118" t="e">
        <f aca="false" t="array" ref="FD113:FD113">INDEX(FC:FC,MIN(IF(ISNUMBER(FC113:FC309),ROW(FC113:FC309),"")))</f>
        <v>#N/A</v>
      </c>
      <c r="FE113" s="118" t="n">
        <f aca="false">IF('Données projet'!$A$218&gt;35,FE112+FD113-FM112,IF(A113&lt;'Données projet'!$A$218,$FB$205^A113,IF(A113='Données projet'!$A$218,'Données projet'!$B$218,FE112+FD113-FM112)))</f>
        <v>0</v>
      </c>
      <c r="FF113" s="125" t="e">
        <f aca="false">FE113*VLOOKUP('Données projet'!$B$16,Paramètres!$A$1:$I$89,3,0)*VLOOKUP('Données projet'!$B$16,Paramètres!$A$1:$I$89,5,0)</f>
        <v>#N/A</v>
      </c>
      <c r="FG113" s="117" t="e">
        <f aca="false">EXP(-1.0587+0.8836*LN(FF113)+0.284)</f>
        <v>#N/A</v>
      </c>
      <c r="FH113" s="128" t="e">
        <f aca="false">(FF113+FG113)*0.475*44/12</f>
        <v>#N/A</v>
      </c>
      <c r="FI113" s="120" t="e">
        <f aca="false">FH113+(EZ113+FA113)*44/12</f>
        <v>#N/A</v>
      </c>
      <c r="FJ113" s="120" t="e">
        <f aca="true">AVERAGE(OFFSET($FI$3,0,0,'Données projet'!$E$16+1,1))-AVERAGE(OFFSET($H$3,0,0,'Données projet'!$E$16+1,1))</f>
        <v>#N/A</v>
      </c>
      <c r="FK113" s="120" t="e">
        <f aca="false">$FK$3</f>
        <v>#N/A</v>
      </c>
      <c r="FL113" s="121" t="n">
        <f aca="false">IF(ISNA(VLOOKUP(A113,'Données projet'!$A$217:$I$237,3,0)),0,VLOOKUP(A113,'Données projet'!$A$217:$I$237,3,0))</f>
        <v>0</v>
      </c>
      <c r="FM113" s="121" t="n">
        <f aca="false">IF(ISNA(VLOOKUP(A113,'Données projet'!$A$217:$I$237,4,0)),0,VLOOKUP(A113,'Données projet'!$A$217:$I$237,4,0))</f>
        <v>0</v>
      </c>
      <c r="FN113" s="122" t="n">
        <f aca="false">IF(ISNA(VLOOKUP(A113,'Données projet'!$A$217:$I$237,5,0)),0%,VLOOKUP(A113,'Données projet'!$A$217:$I$237,5,0)*VLOOKUP('Données projet'!$B$16,Paramètres!$A$1:$I$89,7,0))</f>
        <v>0</v>
      </c>
      <c r="FO113" s="122" t="n">
        <f aca="false">IF(ISNA(VLOOKUP(A113,'Données projet'!$A$217:$I$237,6,0)),0%,VLOOKUP(A113,'Données projet'!$A$217:$I$237,6,0)*VLOOKUP('Données projet'!$B$16,Paramètres!$A$1:$I$89,7,0))</f>
        <v>0</v>
      </c>
      <c r="FP113" s="122" t="n">
        <f aca="false">IF(ISNA(VLOOKUP(A113,'Données projet'!$A$217:$I$237,7,0)),0%,VLOOKUP(A113,'Données projet'!$A$217:$I$237,7,0))</f>
        <v>0</v>
      </c>
      <c r="FQ113" s="129" t="e">
        <f aca="false">EXP(-LN(2)/35)*FQ112+(1-EXP(-LN(2)/35))/(LN(2)/35)*FM113*FN113*VLOOKUP('Données projet'!$B$16,Paramètres!$A$1:$I$89,3,0)*0.475*44/12</f>
        <v>#N/A</v>
      </c>
      <c r="FR113" s="129" t="e">
        <f aca="false">EXP(-LN(2)/25)*FR112+(1-EXP(-LN(2)/25))/(LN(2)/25)*Calculateur!FM113*Calculateur!FO113*VLOOKUP('Données projet'!$B$16,Paramètres!$A$1:$I$89,3,0)*0.475*44/12</f>
        <v>#N/A</v>
      </c>
      <c r="FS113" s="129" t="e">
        <f aca="false">EXP(-LN(2)/2)*FS112+(1-EXP(-LN(2)/2))/(LN(2)/2)*FM113*FP113*VLOOKUP('Données projet'!$B$16,Paramètres!$A$1:$I$89,3,0)*0.475*44/12</f>
        <v>#N/A</v>
      </c>
      <c r="FT113" s="130" t="e">
        <f aca="false">SUM(FQ113:FS113)</f>
        <v>#N/A</v>
      </c>
      <c r="FU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8" t="e">
        <f aca="false">VLOOKUP(A113,'Données projet'!$A$243:$I$263,2,0)</f>
        <v>#N/A</v>
      </c>
      <c r="FX113" s="118" t="e">
        <f aca="false">VLOOKUP(A113,'Données projet'!$A$243:$I$263,9,0)</f>
        <v>#N/A</v>
      </c>
      <c r="FY113" s="118" t="e">
        <f aca="false" t="array" ref="FY113:FY113">INDEX(FX:FX,MIN(IF(ISNUMBER(FX113:FX309),ROW(FX113:FX309),"")))</f>
        <v>#N/A</v>
      </c>
      <c r="FZ113" s="118" t="n">
        <f aca="false">IF('Données projet'!$A$244&gt;35,FZ112+FY113-GH112,IF(A113&lt;'Données projet'!$A$244,$FW$205^A113,IF(A113='Données projet'!$A$244,'Données projet'!$B$244,FZ112+FY113-GH112)))</f>
        <v>0</v>
      </c>
      <c r="GA113" s="125" t="e">
        <f aca="false">FZ113*VLOOKUP('Données projet'!$B$17,Paramètres!$A$1:$I$89,3,0)*VLOOKUP('Données projet'!$B$17,Paramètres!$A$1:$I$89,5,0)</f>
        <v>#N/A</v>
      </c>
      <c r="GB113" s="117" t="e">
        <f aca="false">EXP(-1.0587+0.8836*LN(GA113)+0.284)</f>
        <v>#N/A</v>
      </c>
      <c r="GC113" s="128" t="e">
        <f aca="false">(GA113+GB113)*0.475*44/12</f>
        <v>#N/A</v>
      </c>
      <c r="GD113" s="120" t="e">
        <f aca="false">GC113+(FU113+FV113)*44/12</f>
        <v>#N/A</v>
      </c>
      <c r="GE113" s="120" t="e">
        <f aca="true">AVERAGE(OFFSET($GD$3,0,0,'Données projet'!$E$17+1,1))-AVERAGE(OFFSET($H$3,0,0,'Données projet'!$E$17+1,1))</f>
        <v>#N/A</v>
      </c>
      <c r="GF113" s="120" t="e">
        <f aca="false">$GF$3</f>
        <v>#N/A</v>
      </c>
      <c r="GG113" s="121" t="n">
        <f aca="false">IF(ISNA(VLOOKUP(A113,'Données projet'!$A$243:$I$263,3,0)),0,VLOOKUP(A113,'Données projet'!$A$243:$I$263,3,0))</f>
        <v>0</v>
      </c>
      <c r="GH113" s="121" t="n">
        <f aca="false">IF(ISNA(VLOOKUP(A113,'Données projet'!$A$243:$I$263,4,0)),0,VLOOKUP(A113,'Données projet'!$A$243:$I$263,4,0))</f>
        <v>0</v>
      </c>
      <c r="GI113" s="122" t="n">
        <f aca="false">IF(ISNA(VLOOKUP(A113,'Données projet'!$A$243:$I$263,5,0)),0%,VLOOKUP(A113,'Données projet'!$A$243:$I$263,5,0)*VLOOKUP('Données projet'!$B$17,Paramètres!$A$1:$I$89,7,0))</f>
        <v>0</v>
      </c>
      <c r="GJ113" s="122" t="n">
        <f aca="false">IF(ISNA(VLOOKUP(A113,'Données projet'!$A$243:$I$263,6,0)),0%,VLOOKUP(A113,'Données projet'!$A$243:$I$263,6,0)*VLOOKUP('Données projet'!$B$17,Paramètres!$A$1:$I$89,7,0))</f>
        <v>0</v>
      </c>
      <c r="GK113" s="122" t="n">
        <f aca="false">IF(ISNA(VLOOKUP(A113,'Données projet'!$A$243:$I$263,7,0)),0%,VLOOKUP(A113,'Données projet'!$A$243:$I$263,7,0))</f>
        <v>0</v>
      </c>
      <c r="GL113" s="129" t="e">
        <f aca="false">EXP(-LN(2)/35)*GL112+(1-EXP(-LN(2)/35))/(LN(2)/35)*GH113*GI113*VLOOKUP('Données projet'!$B$17,Paramètres!$A$1:$I$89,3,0)*0.475*44/12</f>
        <v>#N/A</v>
      </c>
      <c r="GM113" s="129" t="e">
        <f aca="false">EXP(-LN(2)/25)*GM112+(1-EXP(-LN(2)/25))/(LN(2)/25)*Calculateur!GH113*Calculateur!GJ113*VLOOKUP('Données projet'!$B$17,Paramètres!$A$1:$I$89,3,0)*0.475*44/12</f>
        <v>#N/A</v>
      </c>
      <c r="GN113" s="129" t="e">
        <f aca="false">EXP(-LN(2)/2)*GN112+(1-EXP(-LN(2)/2))/(LN(2)/2)*GH113*GK113*VLOOKUP('Données projet'!$B$17,Paramètres!$A$1:$I$89,3,0)*0.475*44/12</f>
        <v>#N/A</v>
      </c>
      <c r="GO113" s="129" t="e">
        <f aca="false">SUM(GL113:GN113)</f>
        <v>#N/A</v>
      </c>
      <c r="GP113" s="126" t="n">
        <f aca="false"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8" t="n">
        <f aca="false"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8" t="e">
        <f aca="false">VLOOKUP(A113,'Données projet'!$A$269:$I$289,2,0)</f>
        <v>#N/A</v>
      </c>
      <c r="GS113" s="118" t="e">
        <f aca="false">VLOOKUP(A113,'Données projet'!$A$269:$I$289,9,0)</f>
        <v>#N/A</v>
      </c>
      <c r="GT113" s="118" t="e">
        <f aca="false" t="array" ref="GT113:GT113">INDEX(GS:GS,MIN(IF(ISNUMBER(GS113:GS309),ROW(GS113:GS309),"")))</f>
        <v>#N/A</v>
      </c>
      <c r="GU113" s="118" t="n">
        <f aca="false">IF('Données projet'!$A$270&gt;35,GU112+GT113-HC112,IF(A113&lt;'Données projet'!$A$270,$GR$205^A113,IF(A113='Données projet'!$A$270,'Données projet'!$B$270,GU112+GT113-HC112)))</f>
        <v>0</v>
      </c>
      <c r="GV113" s="125" t="e">
        <f aca="false">GU113*VLOOKUP('Données projet'!$B$18,Paramètres!$A$1:$I$89,3,0)*VLOOKUP('Données projet'!$B$18,Paramètres!$A$1:$I$89,5,0)</f>
        <v>#N/A</v>
      </c>
      <c r="GW113" s="117" t="e">
        <f aca="false">EXP(-1.0587+0.8836*LN(GV113)+0.284)</f>
        <v>#N/A</v>
      </c>
      <c r="GX113" s="128" t="e">
        <f aca="false">(GV113+GW113)*0.475*44/12</f>
        <v>#N/A</v>
      </c>
      <c r="GY113" s="120" t="e">
        <f aca="false">GX113+(GP113+GQ113)*44/12</f>
        <v>#N/A</v>
      </c>
      <c r="GZ113" s="120" t="e">
        <f aca="true">AVERAGE(OFFSET($GY$3,0,0,'Données projet'!$E$18+1,1))-AVERAGE(OFFSET($H$3,0,0,'Données projet'!$E$18+1,1))</f>
        <v>#N/A</v>
      </c>
      <c r="HA113" s="120" t="e">
        <f aca="false">$HA$3</f>
        <v>#N/A</v>
      </c>
      <c r="HB113" s="121" t="n">
        <f aca="false">IF(ISNA(VLOOKUP(A113,'Données projet'!$A$269:$I$289,3,0)),0,VLOOKUP(A113,'Données projet'!$A$269:$I$289,3,0))</f>
        <v>0</v>
      </c>
      <c r="HC113" s="121" t="n">
        <f aca="false">IF(ISNA(VLOOKUP(A113,'Données projet'!$A$269:$I$289,4,0)),0,VLOOKUP(A113,'Données projet'!$A$269:$I$289,4,0))</f>
        <v>0</v>
      </c>
      <c r="HD113" s="122" t="n">
        <f aca="false">IF(ISNA(VLOOKUP(A113,'Données projet'!$A$269:$I$289,5,0)),0%,VLOOKUP(A113,'Données projet'!$A$269:$I$289,5,0)*VLOOKUP('Données projet'!$B$18,Paramètres!$A$1:$I$89,7,0))</f>
        <v>0</v>
      </c>
      <c r="HE113" s="122" t="n">
        <f aca="false">IF(ISNA(VLOOKUP(A113,'Données projet'!$A$269:$I$289,6,0)),0%,VLOOKUP(A113,'Données projet'!$A$269:$I$289,6,0)*VLOOKUP('Données projet'!$B$18,Paramètres!$A$1:$I$89,7,0))</f>
        <v>0</v>
      </c>
      <c r="HF113" s="122" t="n">
        <f aca="false">IF(ISNA(VLOOKUP(A113,'Données projet'!$A$269:$I$289,7,0)),0%,VLOOKUP(A113,'Données projet'!$A$269:$I$289,7,0))</f>
        <v>0</v>
      </c>
      <c r="HG113" s="129" t="e">
        <f aca="false">EXP(-LN(2)/35)*HG112+(1-EXP(-LN(2)/35))/(LN(2)/35)*HC113*HD113*VLOOKUP('Données projet'!$B$18,Paramètres!$A$1:$I$89,3,0)*0.475*44/12</f>
        <v>#N/A</v>
      </c>
      <c r="HH113" s="129" t="e">
        <f aca="false">EXP(-LN(2)/25)*HH112+(1-EXP(-LN(2)/25))/(LN(2)/25)*Calculateur!HC113*Calculateur!HE113*VLOOKUP('Données projet'!$B$18,Paramètres!$A$1:$I$89,3,0)*0.475*44/12</f>
        <v>#N/A</v>
      </c>
      <c r="HI113" s="129" t="e">
        <f aca="false">EXP(-LN(2)/2)*HI112+(1-EXP(-LN(2)/2))/(LN(2)/2)*HC113*HF113*VLOOKUP('Données projet'!$B$18,Paramètres!$A$1:$I$89,3,0)*0.475*44/12</f>
        <v>#N/A</v>
      </c>
      <c r="HJ113" s="130" t="e">
        <f aca="false">SUM(HG113:HI113)</f>
        <v>#N/A</v>
      </c>
    </row>
    <row r="114" customFormat="false" ht="14.25" hidden="false" customHeight="false" outlineLevel="0" collapsed="false">
      <c r="A114" s="112" t="n">
        <f aca="false">A113+1</f>
        <v>111</v>
      </c>
      <c r="B114" s="113" t="n">
        <f aca="false">'Scénario référence'!$B$16*5+'Scénario référence'!$B$17*0+'Scénario référence'!$B$18*5</f>
        <v>0</v>
      </c>
      <c r="C114" s="127" t="n">
        <f aca="false"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4" t="n">
        <f aca="false">IFERROR(EXP(-1.0587+0.8836*LN(C114)+0.284),0)</f>
        <v>0</v>
      </c>
      <c r="E11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4" s="114" t="n">
        <f aca="false">IF(OR('Scénario référence'!$F$8&gt;0,'Scénario référence'!$F$9&gt;0),('Scénario référence'!$F$8+'Scénario référence'!$F$9)*10,0)</f>
        <v>0</v>
      </c>
      <c r="G114" s="114" t="n">
        <f aca="false"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15" t="n">
        <f aca="false">(B114+E114+F114)*44/12+(C114+D114)*0.475*44/12</f>
        <v>256.666666666667</v>
      </c>
      <c r="I114" s="11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7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8" t="e">
        <f aca="false">VLOOKUP(A114,'Données projet'!$A$35:$I$55,2,0)</f>
        <v>#N/A</v>
      </c>
      <c r="L114" s="118" t="e">
        <f aca="false">VLOOKUP(A114,'Données projet'!$A$35:$I$55,9,0)</f>
        <v>#N/A</v>
      </c>
      <c r="M114" s="118" t="e">
        <f aca="false" t="array" ref="M114:M114">INDEX(L:L,MIN(IF(ISNUMBER(L114:L310),ROW(L114:L310),"")))</f>
        <v>#N/A</v>
      </c>
      <c r="N114" s="117" t="n">
        <f aca="false">IF('Données projet'!$A$36&gt;35,N113+M114-V113,IF(A114&lt;'Données projet'!$A$36,$K$205^A114,IF(A114='Données projet'!$A$36,'Données projet'!$B$36,N113+M114-V113)))</f>
        <v>-1.13686837721616E-013</v>
      </c>
      <c r="O114" s="117" t="n">
        <f aca="false">N114*VLOOKUP('Données projet'!$B$9,Paramètres!$A$1:$I$89,3,0)*VLOOKUP('Données projet'!$B$9,Paramètres!$A$1:$I$89,5,0)</f>
        <v>-5.32054400537163E-014</v>
      </c>
      <c r="P114" s="117" t="e">
        <f aca="false">EXP(-1.0587+0.8836*LN(O114)+0.284)</f>
        <v>#VALUE!</v>
      </c>
      <c r="Q114" s="128" t="e">
        <f aca="false">(O114+P114)*0.475*44/12</f>
        <v>#VALUE!</v>
      </c>
      <c r="R114" s="120" t="e">
        <f aca="false">Q114+(I114+J114)*44/12</f>
        <v>#VALUE!</v>
      </c>
      <c r="S114" s="120" t="n">
        <f aca="true">AVERAGE(OFFSET($R$3,0,0,'Données projet'!$E$9+1,1))-AVERAGE(OFFSET($H$3,0,0,'Données projet'!$E$9+1,1))</f>
        <v>319.229030946746</v>
      </c>
      <c r="T114" s="120" t="n">
        <f aca="false">$T$3</f>
        <v>254.586909731428</v>
      </c>
      <c r="U114" s="121" t="n">
        <f aca="false">IF(ISNA(VLOOKUP(A114,'Données projet'!$A$35:$I$55,3,0)),0,VLOOKUP(A114,'Données projet'!$A$35:$I$55,3,0))</f>
        <v>0</v>
      </c>
      <c r="V114" s="121" t="n">
        <f aca="false">IF(ISNA(VLOOKUP(A114,'Données projet'!$A$35:$I$55,4,0)),0,VLOOKUP(A114,'Données projet'!$A$35:$I$55,4,0))</f>
        <v>0</v>
      </c>
      <c r="W114" s="122" t="n">
        <f aca="false">IF(ISNA(VLOOKUP(A114,'Données projet'!$A$35:$I$55,5,0)),0%,VLOOKUP(A114,'Données projet'!$A$35:$I$55,5,0)*VLOOKUP('Données projet'!$B$9,Paramètres!$A$1:$I$89,7,0))</f>
        <v>0</v>
      </c>
      <c r="X114" s="122" t="n">
        <f aca="false">IF(ISNA(VLOOKUP(A114,'Données projet'!$A$35:$I$55,6,0)),0%,VLOOKUP(A114,'Données projet'!$A$35:$I$55,6,0)*VLOOKUP('Données projet'!$B$9,Paramètres!$A$1:$I$89,7,0))</f>
        <v>0</v>
      </c>
      <c r="Y114" s="122" t="n">
        <f aca="false">IF(ISNA(VLOOKUP(A114,'Données projet'!$A$35:$I$55,7,0)),0%,VLOOKUP(A114,'Données projet'!$A$35:$I$55,7,0))</f>
        <v>0</v>
      </c>
      <c r="Z114" s="129" t="n">
        <f aca="false">EXP(-LN(2)/35)*Z113+(1-EXP(-LN(2)/35))/(LN(2)/35)*V114*W114*VLOOKUP('Données projet'!$B$9,Paramètres!$A$1:$I$89,3,0)*0.475*44/12</f>
        <v>1.82487476713362</v>
      </c>
      <c r="AA114" s="129" t="n">
        <f aca="false">EXP(-LN(2)/25)*AA113+(1-EXP(-LN(2)/25))/(LN(2)/25)*Calculateur!V114*Calculateur!X114*VLOOKUP('Données projet'!$B$9,Paramètres!$A$1:$I$89,3,0)*0.475*44/12</f>
        <v>1.18029101501696</v>
      </c>
      <c r="AB114" s="129" t="n">
        <f aca="false">EXP(-LN(2)/2)*AB113+(1-EXP(-LN(2)/2))/(LN(2)/2)*V114*Y114*VLOOKUP('Données projet'!$B$9,Paramètres!$A$1:$I$89,3,0)*0.475*44/12</f>
        <v>7.10194503826992E-012</v>
      </c>
      <c r="AC114" s="130" t="n">
        <f aca="false">SUM(Z114:AB114)</f>
        <v>3.00516578215768</v>
      </c>
      <c r="AD114" s="117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7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8" t="e">
        <f aca="false">VLOOKUP(A114,'Données projet'!$A$61:$I$81,2,0)</f>
        <v>#N/A</v>
      </c>
      <c r="AG114" s="118" t="e">
        <f aca="false">VLOOKUP(A114,'Données projet'!$A$61:$I$81,9,0)</f>
        <v>#N/A</v>
      </c>
      <c r="AH114" s="118" t="e">
        <f aca="false" t="array" ref="AH114:AH114">INDEX(AG:AG,MIN(IF(ISNUMBER(AG114:AG310),ROW(AG114:AG310),"")))</f>
        <v>#N/A</v>
      </c>
      <c r="AI114" s="117" t="n">
        <f aca="false">IF('Données projet'!$A$62&gt;35,AI113+AH114-AQ113,IF(A114&lt;'Données projet'!$A$62,$AF$205^A114,IF(A114='Données projet'!$A$62,'Données projet'!$B$62,AI113+AH114-AQ113)))</f>
        <v>1.13686837721616E-013</v>
      </c>
      <c r="AJ114" s="117" t="n">
        <f aca="false">AI114*VLOOKUP('Données projet'!$B$10,Paramètres!$A$1:$I$89,3,0)*VLOOKUP('Données projet'!$B$10,Paramètres!$A$1:$I$89,5,0)</f>
        <v>6.35509422863834E-014</v>
      </c>
      <c r="AK114" s="117" t="n">
        <f aca="false">EXP(-1.0587+0.8836*LN(AJ114)+0.284)</f>
        <v>1.0064464192544E-012</v>
      </c>
      <c r="AL114" s="128" t="n">
        <f aca="false">(AJ114+AK114)*0.475*44/12</f>
        <v>1.86357873801686E-012</v>
      </c>
      <c r="AM114" s="120" t="n">
        <f aca="false">AL114+(AD114+AE114)*44/12</f>
        <v>293.333333333335</v>
      </c>
      <c r="AN114" s="120" t="n">
        <f aca="true">AVERAGE(OFFSET($AM$3,0,0,'Données projet'!$E$10+1,1))-AVERAGE(OFFSET($H$3,0,0,'Données projet'!$E$10+1,1))</f>
        <v>365.705101827279</v>
      </c>
      <c r="AO114" s="120" t="n">
        <f aca="false">$AO$3</f>
        <v>436.238338449625</v>
      </c>
      <c r="AP114" s="121" t="n">
        <f aca="false">IF(ISNA(VLOOKUP(A114,'Données projet'!$A$61:$I$81,3,0)),0,VLOOKUP(A114,'Données projet'!$A$61:$I$81,3,0))</f>
        <v>0</v>
      </c>
      <c r="AQ114" s="121" t="n">
        <f aca="false">IF(ISNA(VLOOKUP(A114,'Données projet'!$A$61:$I$81,4,0)),0,VLOOKUP(A114,'Données projet'!$A$61:$I$81,4,0))</f>
        <v>0</v>
      </c>
      <c r="AR114" s="122" t="n">
        <f aca="false">IF(ISNA(VLOOKUP(A114,'Données projet'!$A$61:$I$81,5,0)),0%,VLOOKUP(A114,'Données projet'!$A$61:$I$81,5,0)*VLOOKUP('Données projet'!$B$10,Paramètres!$A$1:$I$89,7,0))</f>
        <v>0</v>
      </c>
      <c r="AS114" s="122" t="n">
        <f aca="false">IF(ISNA(VLOOKUP(A114,'Données projet'!$A$61:$I$81,6,0)),0%,VLOOKUP(A114,'Données projet'!$A$61:$I$81,6,0)*VLOOKUP('Données projet'!$B$10,Paramètres!$A$1:$I$89,7,0))</f>
        <v>0</v>
      </c>
      <c r="AT114" s="122" t="n">
        <f aca="false">IF(ISNA(VLOOKUP(A114,'Données projet'!$A$61:$I$81,7,0)),0%,VLOOKUP(A114,'Données projet'!$A$61:$I$81,7,0))</f>
        <v>0</v>
      </c>
      <c r="AU114" s="129" t="n">
        <f aca="false">EXP(-LN(2)/35)*AU113+(1-EXP(-LN(2)/35))/(LN(2)/35)*AQ114*AR114*VLOOKUP('Données projet'!$B$10,Paramètres!$A$1:$I$89,3,0)*0.475*44/12</f>
        <v>0.688831059580533</v>
      </c>
      <c r="AV114" s="129" t="n">
        <f aca="false">EXP(-LN(2)/25)*AV113+(1-EXP(-LN(2)/25))/(LN(2)/25)*Calculateur!AQ114*Calculateur!AS114*VLOOKUP('Données projet'!$B$10,Paramètres!$A$1:$I$89,3,0)*0.475*44/12</f>
        <v>1.39799088909769</v>
      </c>
      <c r="AW114" s="129" t="n">
        <f aca="false">EXP(-LN(2)/2)*AW113+(1-EXP(-LN(2)/2))/(LN(2)/2)*AQ114*AT114*VLOOKUP('Données projet'!$B$10,Paramètres!$A$1:$I$89,3,0)*0.475*44/12</f>
        <v>3.82204485002622E-012</v>
      </c>
      <c r="AX114" s="129" t="n">
        <f aca="false">SUM(AU114:AW114)</f>
        <v>2.08682194868204</v>
      </c>
      <c r="AY114" s="124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8" t="e">
        <f aca="false">VLOOKUP(A114,'Données projet'!$A$87:$I$107,2,0)</f>
        <v>#N/A</v>
      </c>
      <c r="BB114" s="118" t="e">
        <f aca="false">VLOOKUP(A114,'Données projet'!$A$87:$I$107,9,0)</f>
        <v>#N/A</v>
      </c>
      <c r="BC114" s="118" t="e">
        <f aca="false" t="array" ref="BC114:BC114">INDEX(BB:BB,MIN(IF(ISNUMBER(BB114:BB310),ROW(BB114:BB310),"")))</f>
        <v>#N/A</v>
      </c>
      <c r="BD114" s="118" t="n">
        <f aca="false">IF('Données projet'!$A$88&gt;35,BD113+BC114-BL113,IF(A114&lt;'Données projet'!$A$88,$BA$205^A114,IF(A114='Données projet'!$A$88,'Données projet'!$B$88,BD113+BC114-BL113)))</f>
        <v>1.98951966012828E-013</v>
      </c>
      <c r="BE114" s="117" t="n">
        <f aca="false">BD114*VLOOKUP('Données projet'!$B$11,Paramètres!$A$1:$I$89,3,0)*VLOOKUP('Données projet'!$B$11,Paramètres!$A$1:$I$89,5,0)</f>
        <v>1.73804437508807E-013</v>
      </c>
      <c r="BF114" s="117" t="n">
        <f aca="false">EXP(-1.0587+0.8836*LN(BE114)+0.284)</f>
        <v>2.44832936339505E-012</v>
      </c>
      <c r="BG114" s="128" t="n">
        <f aca="false">(BE114+BF114)*0.475*44/12</f>
        <v>4.56688303657421E-012</v>
      </c>
      <c r="BH114" s="120" t="n">
        <f aca="false">BG114+(AY114+AZ114)*44/12</f>
        <v>293.333333333338</v>
      </c>
      <c r="BI114" s="120" t="n">
        <f aca="true">AVERAGE(OFFSET($BH$3,0,0,'Données projet'!$E$11+1,1))-AVERAGE(OFFSET($H$3,0,0,'Données projet'!$E$11+1,1))</f>
        <v>321.235999689929</v>
      </c>
      <c r="BJ114" s="120" t="n">
        <f aca="false">$BJ$3</f>
        <v>388.051958478005</v>
      </c>
      <c r="BK114" s="121" t="n">
        <f aca="false">IF(ISNA(VLOOKUP(A114,'Données projet'!$A$87:$I$107,3,0)),0,VLOOKUP(A114,'Données projet'!$A$87:$I$107,3,0))</f>
        <v>0</v>
      </c>
      <c r="BL114" s="121" t="n">
        <f aca="false">IF(ISNA(VLOOKUP(A114,'Données projet'!$A$87:$I$107,4,0)),0,VLOOKUP(A114,'Données projet'!$A$87:$I$107,4,0))</f>
        <v>0</v>
      </c>
      <c r="BM114" s="122" t="n">
        <f aca="false">IF(ISNA(VLOOKUP(A114,'Données projet'!$A$87:$I$107,5,0)),0%,VLOOKUP(A114,'Données projet'!$A$87:$I$107,5,0)*VLOOKUP('Données projet'!$B$11,Paramètres!$A$1:$I$89,7,0))</f>
        <v>0</v>
      </c>
      <c r="BN114" s="122" t="n">
        <f aca="false">IF(ISNA(VLOOKUP(A114,'Données projet'!$A$87:$I$107,6,0)),0%,VLOOKUP(A114,'Données projet'!$A$87:$I$107,6,0)*VLOOKUP('Données projet'!$B$11,Paramètres!$A$1:$I$89,7,0))</f>
        <v>0</v>
      </c>
      <c r="BO114" s="122" t="n">
        <f aca="false">IF(ISNA(VLOOKUP(A114,'Données projet'!$A$87:$I$107,7,0)),0%,VLOOKUP(A114,'Données projet'!$A$87:$I$107,7,0))</f>
        <v>0</v>
      </c>
      <c r="BP114" s="129" t="n">
        <f aca="false">EXP(-LN(2)/35)*BP113+(1-EXP(-LN(2)/35))/(LN(2)/35)*BL114*BM114*VLOOKUP('Données projet'!$B$11,Paramètres!$A$1:$I$89,3,0)*0.475*44/12</f>
        <v>1.72939396606978</v>
      </c>
      <c r="BQ114" s="129" t="n">
        <f aca="false">EXP(-LN(2)/25)*BQ113+(1-EXP(-LN(2)/25))/(LN(2)/25)*Calculateur!BL114*Calculateur!BN114*VLOOKUP('Données projet'!$B$11,Paramètres!$A$1:$I$89,3,0)*0.475*44/12</f>
        <v>1.42698606406595</v>
      </c>
      <c r="BR114" s="129" t="n">
        <f aca="false">EXP(-LN(2)/2)*BR113+(1-EXP(-LN(2)/2))/(LN(2)/2)*BL114*BO114*VLOOKUP('Données projet'!$B$11,Paramètres!$A$1:$I$89,3,0)*0.475*44/12</f>
        <v>3.88502914752873E-012</v>
      </c>
      <c r="BS114" s="130" t="n">
        <f aca="false">SUM(BP114:BR114)</f>
        <v>3.15638003013961</v>
      </c>
      <c r="BT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8" t="e">
        <f aca="false">VLOOKUP(A114,'Données projet'!$A$113:$I$133,2,0)</f>
        <v>#N/A</v>
      </c>
      <c r="BW114" s="118" t="e">
        <f aca="false">VLOOKUP(A114,'Données projet'!$A$113:$I$133,9,0)</f>
        <v>#N/A</v>
      </c>
      <c r="BX114" s="118" t="e">
        <f aca="false" t="array" ref="BX114:BX114">INDEX(BW:BW,MIN(IF(ISNUMBER(BW114:BW310),ROW(BW114:BW310),"")))</f>
        <v>#N/A</v>
      </c>
      <c r="BY114" s="118" t="n">
        <f aca="false">IF('Données projet'!$A$114&gt;35,BY113+BX114-CG113,IF(A114&lt;'Données projet'!$A$114,$BV$205^A114,IF(A114='Données projet'!$A$114,'Données projet'!$B$114,BY113+BX114-CG113)))</f>
        <v>0</v>
      </c>
      <c r="BZ114" s="117" t="n">
        <f aca="false">BY114*VLOOKUP('Données projet'!$B$12,Paramètres!$A$1:$I$89,3,0)*VLOOKUP('Données projet'!$B$12,Paramètres!$A$1:$I$89,5,0)</f>
        <v>0</v>
      </c>
      <c r="CA114" s="117" t="e">
        <f aca="false">EXP(-1.0587+0.8836*LN(BZ114)+0.284)</f>
        <v>#VALUE!</v>
      </c>
      <c r="CB114" s="128" t="e">
        <f aca="false">(BZ114+CA114)*0.475*44/12</f>
        <v>#VALUE!</v>
      </c>
      <c r="CC114" s="120" t="e">
        <f aca="false">CB114+(BT114+BU114)*44/12</f>
        <v>#VALUE!</v>
      </c>
      <c r="CD114" s="120" t="n">
        <f aca="true">AVERAGE(OFFSET($CC$3,0,0,'Données projet'!$E$12+1,1))-AVERAGE(OFFSET($H$3,0,0,'Données projet'!$E$12+1,1))</f>
        <v>240.228848647662</v>
      </c>
      <c r="CE114" s="120" t="n">
        <f aca="false">$CE$3</f>
        <v>343.237768841432</v>
      </c>
      <c r="CF114" s="121" t="n">
        <f aca="false">IF(ISNA(VLOOKUP(A114,'Données projet'!$A$113:$I$133,3,0)),0,VLOOKUP(A114,'Données projet'!$A$113:$I$133,3,0))</f>
        <v>0</v>
      </c>
      <c r="CG114" s="121" t="n">
        <f aca="false">IF(ISNA(VLOOKUP(A114,'Données projet'!$A$113:$I$133,4,0)),0,VLOOKUP(A114,'Données projet'!$A$113:$I$133,4,0))</f>
        <v>0</v>
      </c>
      <c r="CH114" s="122" t="n">
        <f aca="false">IF(ISNA(VLOOKUP(A114,'Données projet'!$A$113:$I$133,5,0)),0%,VLOOKUP(A114,'Données projet'!$A$113:$I$133,5,0)*VLOOKUP('Données projet'!$B$12,Paramètres!$A$1:$I$89,7,0))</f>
        <v>0</v>
      </c>
      <c r="CI114" s="122" t="n">
        <f aca="false">IF(ISNA(VLOOKUP(A114,'Données projet'!$A$113:$I$133,6,0)),0%,VLOOKUP(A114,'Données projet'!$A$113:$I$133,6,0)*VLOOKUP('Données projet'!$B$12,Paramètres!$A$1:$I$89,7,0))</f>
        <v>0</v>
      </c>
      <c r="CJ114" s="122" t="n">
        <f aca="false">IF(ISNA(VLOOKUP(A114,'Données projet'!$A$113:$I$133,7,0)),0%,VLOOKUP(A114,'Données projet'!$A$113:$I$133,7,0))</f>
        <v>0</v>
      </c>
      <c r="CK114" s="129" t="n">
        <f aca="false">EXP(-LN(2)/35)*CK113+(1-EXP(-LN(2)/35))/(LN(2)/35)*CG114*CH114*VLOOKUP('Données projet'!$B$12,Paramètres!$A$1:$I$89,3,0)*0.475*44/12</f>
        <v>1.05852383906547</v>
      </c>
      <c r="CL114" s="129" t="n">
        <f aca="false">EXP(-LN(2)/25)*CL113+(1-EXP(-LN(2)/25))/(LN(2)/25)*Calculateur!CG114*Calculateur!CI114*VLOOKUP('Données projet'!$B$12,Paramètres!$A$1:$I$89,3,0)*0.475*44/12</f>
        <v>2.52013999720201</v>
      </c>
      <c r="CM114" s="129" t="n">
        <f aca="false">EXP(-LN(2)/2)*CM113+(1-EXP(-LN(2)/2))/(LN(2)/2)*CG114*CJ114*VLOOKUP('Données projet'!$B$12,Paramètres!$A$1:$I$89,3,0)*0.475*44/12</f>
        <v>6.19947077127878E-012</v>
      </c>
      <c r="CN114" s="130" t="n">
        <f aca="false">SUM(CK114:CM114)</f>
        <v>3.57866383627367</v>
      </c>
      <c r="CO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8" t="e">
        <f aca="false">VLOOKUP(A114,'Données projet'!$A$139:$I$159,2,0)</f>
        <v>#N/A</v>
      </c>
      <c r="CR114" s="118" t="e">
        <f aca="false">VLOOKUP(A114,'Données projet'!$A$139:$I$159,9,0)</f>
        <v>#N/A</v>
      </c>
      <c r="CS114" s="118" t="e">
        <f aca="false" t="array" ref="CS114:CS114">INDEX(CR:CR,MIN(IF(ISNUMBER(CR114:CR310),ROW(CR114:CR310),"")))</f>
        <v>#N/A</v>
      </c>
      <c r="CT114" s="118" t="n">
        <f aca="false">IF('Données projet'!$A$140&gt;35,CT113+CS114-DB113,IF(A114&lt;'Données projet'!$A$140,$CQ$205^A114,IF(A114='Données projet'!$A$140,'Données projet'!$B$140,CT113+CS114-DB113)))</f>
        <v>-5.6843418860808E-014</v>
      </c>
      <c r="CU114" s="125" t="n">
        <f aca="false">CT114*VLOOKUP('Données projet'!$B$13,Paramètres!$A$1:$I$89,3,0)*VLOOKUP('Données projet'!$B$13,Paramètres!$A$1:$I$89,5,0)</f>
        <v>-3.10365066980012E-014</v>
      </c>
      <c r="CV114" s="117" t="e">
        <f aca="false">EXP(-1.0587+0.8836*LN(CU114)+0.284)</f>
        <v>#VALUE!</v>
      </c>
      <c r="CW114" s="128" t="e">
        <f aca="false">(CU114+CV114)*0.475*44/12</f>
        <v>#VALUE!</v>
      </c>
      <c r="CX114" s="120" t="e">
        <f aca="false">CW114+(CO114+CP114)*44/12</f>
        <v>#VALUE!</v>
      </c>
      <c r="CY114" s="120" t="n">
        <f aca="true">AVERAGE(OFFSET($CX$3,0,0,'Données projet'!$E$13+1,1))-AVERAGE(OFFSET($H$3,0,0,'Données projet'!$E$13+1,1))</f>
        <v>207.023069645676</v>
      </c>
      <c r="CZ114" s="120" t="n">
        <f aca="false">$CZ$3</f>
        <v>342.068879333518</v>
      </c>
      <c r="DA114" s="121" t="n">
        <f aca="false">IF(ISNA(VLOOKUP(A114,'Données projet'!$A$139:$I$159,3,0)),0,VLOOKUP(A114,'Données projet'!$A$139:$I$159,3,0))</f>
        <v>0</v>
      </c>
      <c r="DB114" s="121" t="n">
        <f aca="false">IF(ISNA(VLOOKUP(A114,'Données projet'!$A$139:$I$159,4,0)),0,VLOOKUP(A114,'Données projet'!$A$139:$I$159,4,0))</f>
        <v>0</v>
      </c>
      <c r="DC114" s="122" t="n">
        <f aca="false">IF(ISNA(VLOOKUP(A114,'Données projet'!$A$139:$I$159,5,0)),0%,VLOOKUP(A114,'Données projet'!$A$139:$I$159,5,0)*VLOOKUP('Données projet'!$B$13,Paramètres!$A$1:$I$89,7,0))</f>
        <v>0</v>
      </c>
      <c r="DD114" s="122" t="n">
        <f aca="false">IF(ISNA(VLOOKUP(A114,'Données projet'!$A$139:$I$159,6,0)),0%,VLOOKUP(A114,'Données projet'!$A$139:$I$159,6,0)*VLOOKUP('Données projet'!$B$13,Paramètres!$A$1:$I$89,7,0))</f>
        <v>0</v>
      </c>
      <c r="DE114" s="122" t="n">
        <f aca="false">IF(ISNA(VLOOKUP(A114,'Données projet'!$A$139:$I$159,7,0)),0%,VLOOKUP(A114,'Données projet'!$A$139:$I$159,7,0))</f>
        <v>0</v>
      </c>
      <c r="DF114" s="129" t="n">
        <f aca="false">EXP(-LN(2)/35)*DF113+(1-EXP(-LN(2)/35))/(LN(2)/35)*DB114*DC114*VLOOKUP('Données projet'!$B$13,Paramètres!$A$1:$I$89,3,0)*0.475*44/12</f>
        <v>1.32814783580856</v>
      </c>
      <c r="DG114" s="129" t="n">
        <f aca="false">EXP(-LN(2)/25)*DG113+(1-EXP(-LN(2)/25))/(LN(2)/25)*Calculateur!DB114*Calculateur!DD114*VLOOKUP('Données projet'!$B$13,Paramètres!$A$1:$I$89,3,0)*0.475*44/12</f>
        <v>4.11937928527518</v>
      </c>
      <c r="DH114" s="129" t="n">
        <f aca="false">EXP(-LN(2)/2)*DH113+(1-EXP(-LN(2)/2))/(LN(2)/2)*DB114*DE114*VLOOKUP('Données projet'!$B$13,Paramètres!$A$1:$I$89,3,0)*0.475*44/12</f>
        <v>8.53667412628168E-012</v>
      </c>
      <c r="DI114" s="130" t="n">
        <f aca="false">SUM(DF114:DH114)</f>
        <v>5.44752712109227</v>
      </c>
      <c r="DJ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8" t="e">
        <f aca="false">VLOOKUP(A114,'Données projet'!$A$165:$I$185,2,0)</f>
        <v>#N/A</v>
      </c>
      <c r="DM114" s="118" t="e">
        <f aca="false">VLOOKUP(A114,'Données projet'!$A$165:$I$185,9,0)</f>
        <v>#N/A</v>
      </c>
      <c r="DN114" s="118" t="e">
        <f aca="false" t="array" ref="DN114:DN114">INDEX(DM:DM,MIN(IF(ISNUMBER(DM114:DM310),ROW(DM114:DM310),"")))</f>
        <v>#N/A</v>
      </c>
      <c r="DO114" s="118" t="n">
        <f aca="false">IF('Données projet'!$A$166&gt;35,DO113+DN114-DW113,IF(A114&lt;'Données projet'!$A$166,$DL$205^A114,IF(A114='Données projet'!$A$166,'Données projet'!$B$166,DO113+DN114-DW113)))</f>
        <v>0</v>
      </c>
      <c r="DP114" s="125" t="n">
        <f aca="false">DO114*VLOOKUP('Données projet'!$B$14,Paramètres!$A$1:$I$89,3,0)*VLOOKUP('Données projet'!$B$14,Paramètres!$A$1:$I$89,5,0)</f>
        <v>0</v>
      </c>
      <c r="DQ114" s="117" t="e">
        <f aca="false">EXP(-1.0587+0.8836*LN(DP114)+0.284)</f>
        <v>#VALUE!</v>
      </c>
      <c r="DR114" s="128" t="e">
        <f aca="false">(DP114+DQ114)*0.475*44/12</f>
        <v>#VALUE!</v>
      </c>
      <c r="DS114" s="120" t="e">
        <f aca="false">DR114+(DJ114+DK114)*44/12</f>
        <v>#VALUE!</v>
      </c>
      <c r="DT114" s="120" t="n">
        <f aca="true">AVERAGE(OFFSET($DS$3,0,0,'Données projet'!$E$14+1,1))-AVERAGE(OFFSET($H$3,0,0,'Données projet'!$E$14+1,1))</f>
        <v>549.432320957297</v>
      </c>
      <c r="DU114" s="120" t="n">
        <f aca="false">$DU$3</f>
        <v>280.26155987301</v>
      </c>
      <c r="DV114" s="121" t="n">
        <f aca="false">IF(ISNA(VLOOKUP(A114,'Données projet'!$A$165:$I$185,3,0)),0,VLOOKUP(A114,'Données projet'!$A$165:$I$185,3,0))</f>
        <v>0</v>
      </c>
      <c r="DW114" s="121" t="n">
        <f aca="false">IF(ISNA(VLOOKUP(A114,'Données projet'!$A$165:$I$185,4,0)),0,VLOOKUP(A114,'Données projet'!$A$165:$I$185,4,0))</f>
        <v>0</v>
      </c>
      <c r="DX114" s="122" t="n">
        <f aca="false">IF(ISNA(VLOOKUP(A114,'Données projet'!$A$165:$I$185,5,0)),0%,VLOOKUP(A114,'Données projet'!$A$165:$I$185,5,0)*VLOOKUP('Données projet'!$B$14,Paramètres!$A$1:$I$89,7,0))</f>
        <v>0</v>
      </c>
      <c r="DY114" s="122" t="n">
        <f aca="false">IF(ISNA(VLOOKUP(A114,'Données projet'!$A$165:$I$185,6,0)),0%,VLOOKUP(A114,'Données projet'!$A$165:$I$185,6,0)*VLOOKUP('Données projet'!$B$14,Paramètres!$A$1:$I$89,7,0))</f>
        <v>0</v>
      </c>
      <c r="DZ114" s="122" t="n">
        <f aca="false">IF(ISNA(VLOOKUP(A114,'Données projet'!$A$165:$I$185,7,0)),0%,VLOOKUP(A114,'Données projet'!$A$165:$I$185,7,0))</f>
        <v>0</v>
      </c>
      <c r="EA114" s="129" t="n">
        <f aca="false">EXP(-LN(2)/35)*EA113+(1-EXP(-LN(2)/35))/(LN(2)/35)*DW114*DX114*VLOOKUP('Données projet'!$B$14,Paramètres!$A$1:$I$89,3,0)*0.475*44/12</f>
        <v>0.482913072156957</v>
      </c>
      <c r="EB114" s="129" t="n">
        <f aca="false">EXP(-LN(2)/25)*EB113+(1-EXP(-LN(2)/25))/(LN(2)/25)*Calculateur!DW114*Calculateur!DY114*VLOOKUP('Données projet'!$B$14,Paramètres!$A$1:$I$89,3,0)*0.475*44/12</f>
        <v>0.82066162755162</v>
      </c>
      <c r="EC114" s="129" t="n">
        <f aca="false">EXP(-LN(2)/2)*EC113+(1-EXP(-LN(2)/2))/(LN(2)/2)*DW114*DZ114*VLOOKUP('Données projet'!$B$14,Paramètres!$A$1:$I$89,3,0)*0.475*44/12</f>
        <v>3.93523080393162E-012</v>
      </c>
      <c r="ED114" s="130" t="n">
        <f aca="false">SUM(EA114:EC114)</f>
        <v>1.30357469971251</v>
      </c>
      <c r="EE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8" t="e">
        <f aca="false">VLOOKUP(A114,'Données projet'!$A$191:$I$211,2,0)</f>
        <v>#N/A</v>
      </c>
      <c r="EH114" s="118" t="e">
        <f aca="false">VLOOKUP(A114,'Données projet'!$A$191:$I$211,9,0)</f>
        <v>#N/A</v>
      </c>
      <c r="EI114" s="118" t="e">
        <f aca="false" t="array" ref="EI114:EI114">INDEX(EH:EH,MIN(IF(ISNUMBER(EH114:EH310),ROW(EH114:EH310),"")))</f>
        <v>#N/A</v>
      </c>
      <c r="EJ114" s="118" t="n">
        <f aca="false">IF('Données projet'!$A$192&gt;35,EJ113+EI114-ER113,IF(A114&lt;'Données projet'!$A$192,$EG$205^A114,IF(A114='Données projet'!$A$192,'Données projet'!$B$192,EJ113+EI114-ER113)))</f>
        <v>0</v>
      </c>
      <c r="EK114" s="125" t="e">
        <f aca="false">EJ114*VLOOKUP('Données projet'!$B$15,Paramètres!$A$1:$I$89,3,0)*VLOOKUP('Données projet'!$B$15,Paramètres!$A$1:$I$89,5,0)</f>
        <v>#N/A</v>
      </c>
      <c r="EL114" s="117" t="e">
        <f aca="false">EXP(-1.0587+0.8836*LN(EK114)+0.284)</f>
        <v>#N/A</v>
      </c>
      <c r="EM114" s="128" t="e">
        <f aca="false">(EK114+EL114)*0.475*44/12</f>
        <v>#N/A</v>
      </c>
      <c r="EN114" s="120" t="e">
        <f aca="false">EM114+(EE114+EF114)*44/12</f>
        <v>#N/A</v>
      </c>
      <c r="EO114" s="120" t="e">
        <f aca="true">AVERAGE(OFFSET($EN$3,0,0,'Données projet'!$E$15+1,1))-AVERAGE(OFFSET($H$3,0,0,'Données projet'!$E$15+1,1))</f>
        <v>#N/A</v>
      </c>
      <c r="EP114" s="120" t="e">
        <f aca="false">$EP$3</f>
        <v>#N/A</v>
      </c>
      <c r="EQ114" s="121" t="n">
        <f aca="false">IF(ISNA(VLOOKUP(A114,'Données projet'!$A$191:$I$211,3,0)),0,VLOOKUP(A114,'Données projet'!$A$191:$I$211,3,0))</f>
        <v>0</v>
      </c>
      <c r="ER114" s="121" t="n">
        <f aca="false">IF(ISNA(VLOOKUP(A114,'Données projet'!$A$191:$I$211,4,0)),0,VLOOKUP(A114,'Données projet'!$A$191:$I$211,4,0))</f>
        <v>0</v>
      </c>
      <c r="ES114" s="122" t="n">
        <f aca="false">IF(ISNA(VLOOKUP(A114,'Données projet'!$A$191:$I$211,5,0)),0%,VLOOKUP(A114,'Données projet'!$A$191:$I$211,5,0)*VLOOKUP('Données projet'!$B$15,Paramètres!$A$1:$I$89,7,0))</f>
        <v>0</v>
      </c>
      <c r="ET114" s="122" t="n">
        <f aca="false">IF(ISNA(VLOOKUP(A114,'Données projet'!$A$191:$I$211,6,0)),0%,VLOOKUP(A114,'Données projet'!$A$191:$I$211,6,0)*VLOOKUP('Données projet'!$B$15,Paramètres!$A$1:$I$89,7,0))</f>
        <v>0</v>
      </c>
      <c r="EU114" s="122" t="n">
        <f aca="false">IF(ISNA(VLOOKUP(A114,'Données projet'!$A$191:$I$211,7,0)),0%,VLOOKUP(A114,'Données projet'!$A$191:$I$211,7,0))</f>
        <v>0</v>
      </c>
      <c r="EV114" s="129" t="e">
        <f aca="false">EXP(-LN(2)/35)*EV113+(1-EXP(-LN(2)/35))/(LN(2)/35)*ER114*ES114*VLOOKUP('Données projet'!$B$15,Paramètres!$A$1:$I$89,3,0)*0.475*44/12</f>
        <v>#N/A</v>
      </c>
      <c r="EW114" s="129" t="e">
        <f aca="false">EXP(-LN(2)/25)*EW113+(1-EXP(-LN(2)/25))/(LN(2)/25)*Calculateur!ER114*Calculateur!ET114*VLOOKUP('Données projet'!$B$15,Paramètres!$A$1:$I$89,3,0)*0.475*44/12</f>
        <v>#N/A</v>
      </c>
      <c r="EX114" s="129" t="e">
        <f aca="false">EXP(-LN(2)/2)*EX113+(1-EXP(-LN(2)/2))/(LN(2)/2)*ER114*EU114*VLOOKUP('Données projet'!$B$15,Paramètres!$A$1:$I$89,3,0)*0.475*44/12</f>
        <v>#N/A</v>
      </c>
      <c r="EY114" s="130" t="e">
        <f aca="false">SUM(EV114:EX114)</f>
        <v>#N/A</v>
      </c>
      <c r="EZ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8" t="e">
        <f aca="false">VLOOKUP(A114,'Données projet'!$A$217:$I$237,2,0)</f>
        <v>#N/A</v>
      </c>
      <c r="FC114" s="118" t="e">
        <f aca="false">VLOOKUP(A114,'Données projet'!$A$217:$I$237,9,0)</f>
        <v>#N/A</v>
      </c>
      <c r="FD114" s="118" t="e">
        <f aca="false" t="array" ref="FD114:FD114">INDEX(FC:FC,MIN(IF(ISNUMBER(FC114:FC310),ROW(FC114:FC310),"")))</f>
        <v>#N/A</v>
      </c>
      <c r="FE114" s="118" t="n">
        <f aca="false">IF('Données projet'!$A$218&gt;35,FE113+FD114-FM113,IF(A114&lt;'Données projet'!$A$218,$FB$205^A114,IF(A114='Données projet'!$A$218,'Données projet'!$B$218,FE113+FD114-FM113)))</f>
        <v>0</v>
      </c>
      <c r="FF114" s="125" t="e">
        <f aca="false">FE114*VLOOKUP('Données projet'!$B$16,Paramètres!$A$1:$I$89,3,0)*VLOOKUP('Données projet'!$B$16,Paramètres!$A$1:$I$89,5,0)</f>
        <v>#N/A</v>
      </c>
      <c r="FG114" s="117" t="e">
        <f aca="false">EXP(-1.0587+0.8836*LN(FF114)+0.284)</f>
        <v>#N/A</v>
      </c>
      <c r="FH114" s="128" t="e">
        <f aca="false">(FF114+FG114)*0.475*44/12</f>
        <v>#N/A</v>
      </c>
      <c r="FI114" s="120" t="e">
        <f aca="false">FH114+(EZ114+FA114)*44/12</f>
        <v>#N/A</v>
      </c>
      <c r="FJ114" s="120" t="e">
        <f aca="true">AVERAGE(OFFSET($FI$3,0,0,'Données projet'!$E$16+1,1))-AVERAGE(OFFSET($H$3,0,0,'Données projet'!$E$16+1,1))</f>
        <v>#N/A</v>
      </c>
      <c r="FK114" s="120" t="e">
        <f aca="false">$FK$3</f>
        <v>#N/A</v>
      </c>
      <c r="FL114" s="121" t="n">
        <f aca="false">IF(ISNA(VLOOKUP(A114,'Données projet'!$A$217:$I$237,3,0)),0,VLOOKUP(A114,'Données projet'!$A$217:$I$237,3,0))</f>
        <v>0</v>
      </c>
      <c r="FM114" s="121" t="n">
        <f aca="false">IF(ISNA(VLOOKUP(A114,'Données projet'!$A$217:$I$237,4,0)),0,VLOOKUP(A114,'Données projet'!$A$217:$I$237,4,0))</f>
        <v>0</v>
      </c>
      <c r="FN114" s="122" t="n">
        <f aca="false">IF(ISNA(VLOOKUP(A114,'Données projet'!$A$217:$I$237,5,0)),0%,VLOOKUP(A114,'Données projet'!$A$217:$I$237,5,0)*VLOOKUP('Données projet'!$B$16,Paramètres!$A$1:$I$89,7,0))</f>
        <v>0</v>
      </c>
      <c r="FO114" s="122" t="n">
        <f aca="false">IF(ISNA(VLOOKUP(A114,'Données projet'!$A$217:$I$237,6,0)),0%,VLOOKUP(A114,'Données projet'!$A$217:$I$237,6,0)*VLOOKUP('Données projet'!$B$16,Paramètres!$A$1:$I$89,7,0))</f>
        <v>0</v>
      </c>
      <c r="FP114" s="122" t="n">
        <f aca="false">IF(ISNA(VLOOKUP(A114,'Données projet'!$A$217:$I$237,7,0)),0%,VLOOKUP(A114,'Données projet'!$A$217:$I$237,7,0))</f>
        <v>0</v>
      </c>
      <c r="FQ114" s="129" t="e">
        <f aca="false">EXP(-LN(2)/35)*FQ113+(1-EXP(-LN(2)/35))/(LN(2)/35)*FM114*FN114*VLOOKUP('Données projet'!$B$16,Paramètres!$A$1:$I$89,3,0)*0.475*44/12</f>
        <v>#N/A</v>
      </c>
      <c r="FR114" s="129" t="e">
        <f aca="false">EXP(-LN(2)/25)*FR113+(1-EXP(-LN(2)/25))/(LN(2)/25)*Calculateur!FM114*Calculateur!FO114*VLOOKUP('Données projet'!$B$16,Paramètres!$A$1:$I$89,3,0)*0.475*44/12</f>
        <v>#N/A</v>
      </c>
      <c r="FS114" s="129" t="e">
        <f aca="false">EXP(-LN(2)/2)*FS113+(1-EXP(-LN(2)/2))/(LN(2)/2)*FM114*FP114*VLOOKUP('Données projet'!$B$16,Paramètres!$A$1:$I$89,3,0)*0.475*44/12</f>
        <v>#N/A</v>
      </c>
      <c r="FT114" s="130" t="e">
        <f aca="false">SUM(FQ114:FS114)</f>
        <v>#N/A</v>
      </c>
      <c r="FU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8" t="e">
        <f aca="false">VLOOKUP(A114,'Données projet'!$A$243:$I$263,2,0)</f>
        <v>#N/A</v>
      </c>
      <c r="FX114" s="118" t="e">
        <f aca="false">VLOOKUP(A114,'Données projet'!$A$243:$I$263,9,0)</f>
        <v>#N/A</v>
      </c>
      <c r="FY114" s="118" t="e">
        <f aca="false" t="array" ref="FY114:FY114">INDEX(FX:FX,MIN(IF(ISNUMBER(FX114:FX310),ROW(FX114:FX310),"")))</f>
        <v>#N/A</v>
      </c>
      <c r="FZ114" s="118" t="n">
        <f aca="false">IF('Données projet'!$A$244&gt;35,FZ113+FY114-GH113,IF(A114&lt;'Données projet'!$A$244,$FW$205^A114,IF(A114='Données projet'!$A$244,'Données projet'!$B$244,FZ113+FY114-GH113)))</f>
        <v>0</v>
      </c>
      <c r="GA114" s="125" t="e">
        <f aca="false">FZ114*VLOOKUP('Données projet'!$B$17,Paramètres!$A$1:$I$89,3,0)*VLOOKUP('Données projet'!$B$17,Paramètres!$A$1:$I$89,5,0)</f>
        <v>#N/A</v>
      </c>
      <c r="GB114" s="117" t="e">
        <f aca="false">EXP(-1.0587+0.8836*LN(GA114)+0.284)</f>
        <v>#N/A</v>
      </c>
      <c r="GC114" s="128" t="e">
        <f aca="false">(GA114+GB114)*0.475*44/12</f>
        <v>#N/A</v>
      </c>
      <c r="GD114" s="120" t="e">
        <f aca="false">GC114+(FU114+FV114)*44/12</f>
        <v>#N/A</v>
      </c>
      <c r="GE114" s="120" t="e">
        <f aca="true">AVERAGE(OFFSET($GD$3,0,0,'Données projet'!$E$17+1,1))-AVERAGE(OFFSET($H$3,0,0,'Données projet'!$E$17+1,1))</f>
        <v>#N/A</v>
      </c>
      <c r="GF114" s="120" t="e">
        <f aca="false">$GF$3</f>
        <v>#N/A</v>
      </c>
      <c r="GG114" s="121" t="n">
        <f aca="false">IF(ISNA(VLOOKUP(A114,'Données projet'!$A$243:$I$263,3,0)),0,VLOOKUP(A114,'Données projet'!$A$243:$I$263,3,0))</f>
        <v>0</v>
      </c>
      <c r="GH114" s="121" t="n">
        <f aca="false">IF(ISNA(VLOOKUP(A114,'Données projet'!$A$243:$I$263,4,0)),0,VLOOKUP(A114,'Données projet'!$A$243:$I$263,4,0))</f>
        <v>0</v>
      </c>
      <c r="GI114" s="122" t="n">
        <f aca="false">IF(ISNA(VLOOKUP(A114,'Données projet'!$A$243:$I$263,5,0)),0%,VLOOKUP(A114,'Données projet'!$A$243:$I$263,5,0)*VLOOKUP('Données projet'!$B$17,Paramètres!$A$1:$I$89,7,0))</f>
        <v>0</v>
      </c>
      <c r="GJ114" s="122" t="n">
        <f aca="false">IF(ISNA(VLOOKUP(A114,'Données projet'!$A$243:$I$263,6,0)),0%,VLOOKUP(A114,'Données projet'!$A$243:$I$263,6,0)*VLOOKUP('Données projet'!$B$17,Paramètres!$A$1:$I$89,7,0))</f>
        <v>0</v>
      </c>
      <c r="GK114" s="122" t="n">
        <f aca="false">IF(ISNA(VLOOKUP(A114,'Données projet'!$A$243:$I$263,7,0)),0%,VLOOKUP(A114,'Données projet'!$A$243:$I$263,7,0))</f>
        <v>0</v>
      </c>
      <c r="GL114" s="129" t="e">
        <f aca="false">EXP(-LN(2)/35)*GL113+(1-EXP(-LN(2)/35))/(LN(2)/35)*GH114*GI114*VLOOKUP('Données projet'!$B$17,Paramètres!$A$1:$I$89,3,0)*0.475*44/12</f>
        <v>#N/A</v>
      </c>
      <c r="GM114" s="129" t="e">
        <f aca="false">EXP(-LN(2)/25)*GM113+(1-EXP(-LN(2)/25))/(LN(2)/25)*Calculateur!GH114*Calculateur!GJ114*VLOOKUP('Données projet'!$B$17,Paramètres!$A$1:$I$89,3,0)*0.475*44/12</f>
        <v>#N/A</v>
      </c>
      <c r="GN114" s="129" t="e">
        <f aca="false">EXP(-LN(2)/2)*GN113+(1-EXP(-LN(2)/2))/(LN(2)/2)*GH114*GK114*VLOOKUP('Données projet'!$B$17,Paramètres!$A$1:$I$89,3,0)*0.475*44/12</f>
        <v>#N/A</v>
      </c>
      <c r="GO114" s="129" t="e">
        <f aca="false">SUM(GL114:GN114)</f>
        <v>#N/A</v>
      </c>
      <c r="GP114" s="126" t="n">
        <f aca="false"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8" t="n">
        <f aca="false"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8" t="e">
        <f aca="false">VLOOKUP(A114,'Données projet'!$A$269:$I$289,2,0)</f>
        <v>#N/A</v>
      </c>
      <c r="GS114" s="118" t="e">
        <f aca="false">VLOOKUP(A114,'Données projet'!$A$269:$I$289,9,0)</f>
        <v>#N/A</v>
      </c>
      <c r="GT114" s="118" t="e">
        <f aca="false" t="array" ref="GT114:GT114">INDEX(GS:GS,MIN(IF(ISNUMBER(GS114:GS310),ROW(GS114:GS310),"")))</f>
        <v>#N/A</v>
      </c>
      <c r="GU114" s="118" t="n">
        <f aca="false">IF('Données projet'!$A$270&gt;35,GU113+GT114-HC113,IF(A114&lt;'Données projet'!$A$270,$GR$205^A114,IF(A114='Données projet'!$A$270,'Données projet'!$B$270,GU113+GT114-HC113)))</f>
        <v>0</v>
      </c>
      <c r="GV114" s="125" t="e">
        <f aca="false">GU114*VLOOKUP('Données projet'!$B$18,Paramètres!$A$1:$I$89,3,0)*VLOOKUP('Données projet'!$B$18,Paramètres!$A$1:$I$89,5,0)</f>
        <v>#N/A</v>
      </c>
      <c r="GW114" s="117" t="e">
        <f aca="false">EXP(-1.0587+0.8836*LN(GV114)+0.284)</f>
        <v>#N/A</v>
      </c>
      <c r="GX114" s="128" t="e">
        <f aca="false">(GV114+GW114)*0.475*44/12</f>
        <v>#N/A</v>
      </c>
      <c r="GY114" s="120" t="e">
        <f aca="false">GX114+(GP114+GQ114)*44/12</f>
        <v>#N/A</v>
      </c>
      <c r="GZ114" s="120" t="e">
        <f aca="true">AVERAGE(OFFSET($GY$3,0,0,'Données projet'!$E$18+1,1))-AVERAGE(OFFSET($H$3,0,0,'Données projet'!$E$18+1,1))</f>
        <v>#N/A</v>
      </c>
      <c r="HA114" s="120" t="e">
        <f aca="false">$HA$3</f>
        <v>#N/A</v>
      </c>
      <c r="HB114" s="121" t="n">
        <f aca="false">IF(ISNA(VLOOKUP(A114,'Données projet'!$A$269:$I$289,3,0)),0,VLOOKUP(A114,'Données projet'!$A$269:$I$289,3,0))</f>
        <v>0</v>
      </c>
      <c r="HC114" s="121" t="n">
        <f aca="false">IF(ISNA(VLOOKUP(A114,'Données projet'!$A$269:$I$289,4,0)),0,VLOOKUP(A114,'Données projet'!$A$269:$I$289,4,0))</f>
        <v>0</v>
      </c>
      <c r="HD114" s="122" t="n">
        <f aca="false">IF(ISNA(VLOOKUP(A114,'Données projet'!$A$269:$I$289,5,0)),0%,VLOOKUP(A114,'Données projet'!$A$269:$I$289,5,0)*VLOOKUP('Données projet'!$B$18,Paramètres!$A$1:$I$89,7,0))</f>
        <v>0</v>
      </c>
      <c r="HE114" s="122" t="n">
        <f aca="false">IF(ISNA(VLOOKUP(A114,'Données projet'!$A$269:$I$289,6,0)),0%,VLOOKUP(A114,'Données projet'!$A$269:$I$289,6,0)*VLOOKUP('Données projet'!$B$18,Paramètres!$A$1:$I$89,7,0))</f>
        <v>0</v>
      </c>
      <c r="HF114" s="122" t="n">
        <f aca="false">IF(ISNA(VLOOKUP(A114,'Données projet'!$A$269:$I$289,7,0)),0%,VLOOKUP(A114,'Données projet'!$A$269:$I$289,7,0))</f>
        <v>0</v>
      </c>
      <c r="HG114" s="129" t="e">
        <f aca="false">EXP(-LN(2)/35)*HG113+(1-EXP(-LN(2)/35))/(LN(2)/35)*HC114*HD114*VLOOKUP('Données projet'!$B$18,Paramètres!$A$1:$I$89,3,0)*0.475*44/12</f>
        <v>#N/A</v>
      </c>
      <c r="HH114" s="129" t="e">
        <f aca="false">EXP(-LN(2)/25)*HH113+(1-EXP(-LN(2)/25))/(LN(2)/25)*Calculateur!HC114*Calculateur!HE114*VLOOKUP('Données projet'!$B$18,Paramètres!$A$1:$I$89,3,0)*0.475*44/12</f>
        <v>#N/A</v>
      </c>
      <c r="HI114" s="129" t="e">
        <f aca="false">EXP(-LN(2)/2)*HI113+(1-EXP(-LN(2)/2))/(LN(2)/2)*HC114*HF114*VLOOKUP('Données projet'!$B$18,Paramètres!$A$1:$I$89,3,0)*0.475*44/12</f>
        <v>#N/A</v>
      </c>
      <c r="HJ114" s="130" t="e">
        <f aca="false">SUM(HG114:HI114)</f>
        <v>#N/A</v>
      </c>
    </row>
    <row r="115" customFormat="false" ht="14.25" hidden="false" customHeight="false" outlineLevel="0" collapsed="false">
      <c r="A115" s="112" t="n">
        <f aca="false">A114+1</f>
        <v>112</v>
      </c>
      <c r="B115" s="113" t="n">
        <f aca="false">'Scénario référence'!$B$16*5+'Scénario référence'!$B$17*0+'Scénario référence'!$B$18*5</f>
        <v>0</v>
      </c>
      <c r="C115" s="127" t="n">
        <f aca="false"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4" t="n">
        <f aca="false">IFERROR(EXP(-1.0587+0.8836*LN(C115)+0.284),0)</f>
        <v>0</v>
      </c>
      <c r="E11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5" s="114" t="n">
        <f aca="false">IF(OR('Scénario référence'!$F$8&gt;0,'Scénario référence'!$F$9&gt;0),('Scénario référence'!$F$8+'Scénario référence'!$F$9)*10,0)</f>
        <v>0</v>
      </c>
      <c r="G115" s="114" t="n">
        <f aca="false"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15" t="n">
        <f aca="false">(B115+E115+F115)*44/12+(C115+D115)*0.475*44/12</f>
        <v>256.666666666667</v>
      </c>
      <c r="I115" s="11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7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8" t="e">
        <f aca="false">VLOOKUP(A115,'Données projet'!$A$35:$I$55,2,0)</f>
        <v>#N/A</v>
      </c>
      <c r="L115" s="118" t="e">
        <f aca="false">VLOOKUP(A115,'Données projet'!$A$35:$I$55,9,0)</f>
        <v>#N/A</v>
      </c>
      <c r="M115" s="118" t="e">
        <f aca="false" t="array" ref="M115:M115">INDEX(L:L,MIN(IF(ISNUMBER(L115:L311),ROW(L115:L311),"")))</f>
        <v>#N/A</v>
      </c>
      <c r="N115" s="117" t="n">
        <f aca="false">IF('Données projet'!$A$36&gt;35,N114+M115-V114,IF(A115&lt;'Données projet'!$A$36,$K$205^A115,IF(A115='Données projet'!$A$36,'Données projet'!$B$36,N114+M115-V114)))</f>
        <v>-1.13686837721616E-013</v>
      </c>
      <c r="O115" s="117" t="n">
        <f aca="false">N115*VLOOKUP('Données projet'!$B$9,Paramètres!$A$1:$I$89,3,0)*VLOOKUP('Données projet'!$B$9,Paramètres!$A$1:$I$89,5,0)</f>
        <v>-5.32054400537163E-014</v>
      </c>
      <c r="P115" s="117" t="e">
        <f aca="false">EXP(-1.0587+0.8836*LN(O115)+0.284)</f>
        <v>#VALUE!</v>
      </c>
      <c r="Q115" s="128" t="e">
        <f aca="false">(O115+P115)*0.475*44/12</f>
        <v>#VALUE!</v>
      </c>
      <c r="R115" s="120" t="e">
        <f aca="false">Q115+(I115+J115)*44/12</f>
        <v>#VALUE!</v>
      </c>
      <c r="S115" s="120" t="n">
        <f aca="true">AVERAGE(OFFSET($R$3,0,0,'Données projet'!$E$9+1,1))-AVERAGE(OFFSET($H$3,0,0,'Données projet'!$E$9+1,1))</f>
        <v>319.229030946746</v>
      </c>
      <c r="T115" s="120" t="n">
        <f aca="false">$T$3</f>
        <v>254.586909731428</v>
      </c>
      <c r="U115" s="121" t="n">
        <f aca="false">IF(ISNA(VLOOKUP(A115,'Données projet'!$A$35:$I$55,3,0)),0,VLOOKUP(A115,'Données projet'!$A$35:$I$55,3,0))</f>
        <v>0</v>
      </c>
      <c r="V115" s="121" t="n">
        <f aca="false">IF(ISNA(VLOOKUP(A115,'Données projet'!$A$35:$I$55,4,0)),0,VLOOKUP(A115,'Données projet'!$A$35:$I$55,4,0))</f>
        <v>0</v>
      </c>
      <c r="W115" s="122" t="n">
        <f aca="false">IF(ISNA(VLOOKUP(A115,'Données projet'!$A$35:$I$55,5,0)),0%,VLOOKUP(A115,'Données projet'!$A$35:$I$55,5,0)*VLOOKUP('Données projet'!$B$9,Paramètres!$A$1:$I$89,7,0))</f>
        <v>0</v>
      </c>
      <c r="X115" s="122" t="n">
        <f aca="false">IF(ISNA(VLOOKUP(A115,'Données projet'!$A$35:$I$55,6,0)),0%,VLOOKUP(A115,'Données projet'!$A$35:$I$55,6,0)*VLOOKUP('Données projet'!$B$9,Paramètres!$A$1:$I$89,7,0))</f>
        <v>0</v>
      </c>
      <c r="Y115" s="122" t="n">
        <f aca="false">IF(ISNA(VLOOKUP(A115,'Données projet'!$A$35:$I$55,7,0)),0%,VLOOKUP(A115,'Données projet'!$A$35:$I$55,7,0))</f>
        <v>0</v>
      </c>
      <c r="Z115" s="129" t="n">
        <f aca="false">EXP(-LN(2)/35)*Z114+(1-EXP(-LN(2)/35))/(LN(2)/35)*V115*W115*VLOOKUP('Données projet'!$B$9,Paramètres!$A$1:$I$89,3,0)*0.475*44/12</f>
        <v>1.78909008601383</v>
      </c>
      <c r="AA115" s="129" t="n">
        <f aca="false">EXP(-LN(2)/25)*AA114+(1-EXP(-LN(2)/25))/(LN(2)/25)*Calculateur!V115*Calculateur!X115*VLOOKUP('Données projet'!$B$9,Paramètres!$A$1:$I$89,3,0)*0.475*44/12</f>
        <v>1.14801589514252</v>
      </c>
      <c r="AB115" s="129" t="n">
        <f aca="false">EXP(-LN(2)/2)*AB114+(1-EXP(-LN(2)/2))/(LN(2)/2)*V115*Y115*VLOOKUP('Données projet'!$B$9,Paramètres!$A$1:$I$89,3,0)*0.475*44/12</f>
        <v>5.02183349617481E-012</v>
      </c>
      <c r="AC115" s="130" t="n">
        <f aca="false">SUM(Z115:AB115)</f>
        <v>2.93710598116137</v>
      </c>
      <c r="AD115" s="117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7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8" t="e">
        <f aca="false">VLOOKUP(A115,'Données projet'!$A$61:$I$81,2,0)</f>
        <v>#N/A</v>
      </c>
      <c r="AG115" s="118" t="e">
        <f aca="false">VLOOKUP(A115,'Données projet'!$A$61:$I$81,9,0)</f>
        <v>#N/A</v>
      </c>
      <c r="AH115" s="118" t="e">
        <f aca="false" t="array" ref="AH115:AH115">INDEX(AG:AG,MIN(IF(ISNUMBER(AG115:AG311),ROW(AG115:AG311),"")))</f>
        <v>#N/A</v>
      </c>
      <c r="AI115" s="117" t="n">
        <f aca="false">IF('Données projet'!$A$62&gt;35,AI114+AH115-AQ114,IF(A115&lt;'Données projet'!$A$62,$AF$205^A115,IF(A115='Données projet'!$A$62,'Données projet'!$B$62,AI114+AH115-AQ114)))</f>
        <v>1.13686837721616E-013</v>
      </c>
      <c r="AJ115" s="117" t="n">
        <f aca="false">AI115*VLOOKUP('Données projet'!$B$10,Paramètres!$A$1:$I$89,3,0)*VLOOKUP('Données projet'!$B$10,Paramètres!$A$1:$I$89,5,0)</f>
        <v>6.35509422863834E-014</v>
      </c>
      <c r="AK115" s="117" t="n">
        <f aca="false">EXP(-1.0587+0.8836*LN(AJ115)+0.284)</f>
        <v>1.0064464192544E-012</v>
      </c>
      <c r="AL115" s="128" t="n">
        <f aca="false">(AJ115+AK115)*0.475*44/12</f>
        <v>1.86357873801686E-012</v>
      </c>
      <c r="AM115" s="120" t="n">
        <f aca="false">AL115+(AD115+AE115)*44/12</f>
        <v>293.333333333335</v>
      </c>
      <c r="AN115" s="120" t="n">
        <f aca="true">AVERAGE(OFFSET($AM$3,0,0,'Données projet'!$E$10+1,1))-AVERAGE(OFFSET($H$3,0,0,'Données projet'!$E$10+1,1))</f>
        <v>365.705101827279</v>
      </c>
      <c r="AO115" s="120" t="n">
        <f aca="false">$AO$3</f>
        <v>436.238338449625</v>
      </c>
      <c r="AP115" s="121" t="n">
        <f aca="false">IF(ISNA(VLOOKUP(A115,'Données projet'!$A$61:$I$81,3,0)),0,VLOOKUP(A115,'Données projet'!$A$61:$I$81,3,0))</f>
        <v>0</v>
      </c>
      <c r="AQ115" s="121" t="n">
        <f aca="false">IF(ISNA(VLOOKUP(A115,'Données projet'!$A$61:$I$81,4,0)),0,VLOOKUP(A115,'Données projet'!$A$61:$I$81,4,0))</f>
        <v>0</v>
      </c>
      <c r="AR115" s="122" t="n">
        <f aca="false">IF(ISNA(VLOOKUP(A115,'Données projet'!$A$61:$I$81,5,0)),0%,VLOOKUP(A115,'Données projet'!$A$61:$I$81,5,0)*VLOOKUP('Données projet'!$B$10,Paramètres!$A$1:$I$89,7,0))</f>
        <v>0</v>
      </c>
      <c r="AS115" s="122" t="n">
        <f aca="false">IF(ISNA(VLOOKUP(A115,'Données projet'!$A$61:$I$81,6,0)),0%,VLOOKUP(A115,'Données projet'!$A$61:$I$81,6,0)*VLOOKUP('Données projet'!$B$10,Paramètres!$A$1:$I$89,7,0))</f>
        <v>0</v>
      </c>
      <c r="AT115" s="122" t="n">
        <f aca="false">IF(ISNA(VLOOKUP(A115,'Données projet'!$A$61:$I$81,7,0)),0%,VLOOKUP(A115,'Données projet'!$A$61:$I$81,7,0))</f>
        <v>0</v>
      </c>
      <c r="AU115" s="129" t="n">
        <f aca="false">EXP(-LN(2)/35)*AU114+(1-EXP(-LN(2)/35))/(LN(2)/35)*AQ115*AR115*VLOOKUP('Données projet'!$B$10,Paramètres!$A$1:$I$89,3,0)*0.475*44/12</f>
        <v>0.675323502647619</v>
      </c>
      <c r="AV115" s="129" t="n">
        <f aca="false">EXP(-LN(2)/25)*AV114+(1-EXP(-LN(2)/25))/(LN(2)/25)*Calculateur!AQ115*Calculateur!AS115*VLOOKUP('Données projet'!$B$10,Paramètres!$A$1:$I$89,3,0)*0.475*44/12</f>
        <v>1.35976275471816</v>
      </c>
      <c r="AW115" s="129" t="n">
        <f aca="false">EXP(-LN(2)/2)*AW114+(1-EXP(-LN(2)/2))/(LN(2)/2)*AQ115*AT115*VLOOKUP('Données projet'!$B$10,Paramètres!$A$1:$I$89,3,0)*0.475*44/12</f>
        <v>2.70259383145266E-012</v>
      </c>
      <c r="AX115" s="129" t="n">
        <f aca="false">SUM(AU115:AW115)</f>
        <v>2.03508625736849</v>
      </c>
      <c r="AY115" s="124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8" t="e">
        <f aca="false">VLOOKUP(A115,'Données projet'!$A$87:$I$107,2,0)</f>
        <v>#N/A</v>
      </c>
      <c r="BB115" s="118" t="e">
        <f aca="false">VLOOKUP(A115,'Données projet'!$A$87:$I$107,9,0)</f>
        <v>#N/A</v>
      </c>
      <c r="BC115" s="118" t="e">
        <f aca="false" t="array" ref="BC115:BC115">INDEX(BB:BB,MIN(IF(ISNUMBER(BB115:BB311),ROW(BB115:BB311),"")))</f>
        <v>#N/A</v>
      </c>
      <c r="BD115" s="118" t="n">
        <f aca="false">IF('Données projet'!$A$88&gt;35,BD114+BC115-BL114,IF(A115&lt;'Données projet'!$A$88,$BA$205^A115,IF(A115='Données projet'!$A$88,'Données projet'!$B$88,BD114+BC115-BL114)))</f>
        <v>1.98951966012828E-013</v>
      </c>
      <c r="BE115" s="117" t="n">
        <f aca="false">BD115*VLOOKUP('Données projet'!$B$11,Paramètres!$A$1:$I$89,3,0)*VLOOKUP('Données projet'!$B$11,Paramètres!$A$1:$I$89,5,0)</f>
        <v>1.73804437508807E-013</v>
      </c>
      <c r="BF115" s="117" t="n">
        <f aca="false">EXP(-1.0587+0.8836*LN(BE115)+0.284)</f>
        <v>2.44832936339505E-012</v>
      </c>
      <c r="BG115" s="128" t="n">
        <f aca="false">(BE115+BF115)*0.475*44/12</f>
        <v>4.56688303657421E-012</v>
      </c>
      <c r="BH115" s="120" t="n">
        <f aca="false">BG115+(AY115+AZ115)*44/12</f>
        <v>293.333333333338</v>
      </c>
      <c r="BI115" s="120" t="n">
        <f aca="true">AVERAGE(OFFSET($BH$3,0,0,'Données projet'!$E$11+1,1))-AVERAGE(OFFSET($H$3,0,0,'Données projet'!$E$11+1,1))</f>
        <v>321.235999689929</v>
      </c>
      <c r="BJ115" s="120" t="n">
        <f aca="false">$BJ$3</f>
        <v>388.051958478005</v>
      </c>
      <c r="BK115" s="121" t="n">
        <f aca="false">IF(ISNA(VLOOKUP(A115,'Données projet'!$A$87:$I$107,3,0)),0,VLOOKUP(A115,'Données projet'!$A$87:$I$107,3,0))</f>
        <v>0</v>
      </c>
      <c r="BL115" s="121" t="n">
        <f aca="false">IF(ISNA(VLOOKUP(A115,'Données projet'!$A$87:$I$107,4,0)),0,VLOOKUP(A115,'Données projet'!$A$87:$I$107,4,0))</f>
        <v>0</v>
      </c>
      <c r="BM115" s="122" t="n">
        <f aca="false">IF(ISNA(VLOOKUP(A115,'Données projet'!$A$87:$I$107,5,0)),0%,VLOOKUP(A115,'Données projet'!$A$87:$I$107,5,0)*VLOOKUP('Données projet'!$B$11,Paramètres!$A$1:$I$89,7,0))</f>
        <v>0</v>
      </c>
      <c r="BN115" s="122" t="n">
        <f aca="false">IF(ISNA(VLOOKUP(A115,'Données projet'!$A$87:$I$107,6,0)),0%,VLOOKUP(A115,'Données projet'!$A$87:$I$107,6,0)*VLOOKUP('Données projet'!$B$11,Paramètres!$A$1:$I$89,7,0))</f>
        <v>0</v>
      </c>
      <c r="BO115" s="122" t="n">
        <f aca="false">IF(ISNA(VLOOKUP(A115,'Données projet'!$A$87:$I$107,7,0)),0%,VLOOKUP(A115,'Données projet'!$A$87:$I$107,7,0))</f>
        <v>0</v>
      </c>
      <c r="BP115" s="129" t="n">
        <f aca="false">EXP(-LN(2)/35)*BP114+(1-EXP(-LN(2)/35))/(LN(2)/35)*BL115*BM115*VLOOKUP('Données projet'!$B$11,Paramètres!$A$1:$I$89,3,0)*0.475*44/12</f>
        <v>1.69548160522131</v>
      </c>
      <c r="BQ115" s="129" t="n">
        <f aca="false">EXP(-LN(2)/25)*BQ114+(1-EXP(-LN(2)/25))/(LN(2)/25)*Calculateur!BL115*Calculateur!BN115*VLOOKUP('Données projet'!$B$11,Paramètres!$A$1:$I$89,3,0)*0.475*44/12</f>
        <v>1.38796505510213</v>
      </c>
      <c r="BR115" s="129" t="n">
        <f aca="false">EXP(-LN(2)/2)*BR114+(1-EXP(-LN(2)/2))/(LN(2)/2)*BL115*BO115*VLOOKUP('Données projet'!$B$11,Paramètres!$A$1:$I$89,3,0)*0.475*44/12</f>
        <v>2.74713045532496E-012</v>
      </c>
      <c r="BS115" s="130" t="n">
        <f aca="false">SUM(BP115:BR115)</f>
        <v>3.08344666032619</v>
      </c>
      <c r="BT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8" t="e">
        <f aca="false">VLOOKUP(A115,'Données projet'!$A$113:$I$133,2,0)</f>
        <v>#N/A</v>
      </c>
      <c r="BW115" s="118" t="e">
        <f aca="false">VLOOKUP(A115,'Données projet'!$A$113:$I$133,9,0)</f>
        <v>#N/A</v>
      </c>
      <c r="BX115" s="118" t="e">
        <f aca="false" t="array" ref="BX115:BX115">INDEX(BW:BW,MIN(IF(ISNUMBER(BW115:BW311),ROW(BW115:BW311),"")))</f>
        <v>#N/A</v>
      </c>
      <c r="BY115" s="118" t="n">
        <f aca="false">IF('Données projet'!$A$114&gt;35,BY114+BX115-CG114,IF(A115&lt;'Données projet'!$A$114,$BV$205^A115,IF(A115='Données projet'!$A$114,'Données projet'!$B$114,BY114+BX115-CG114)))</f>
        <v>0</v>
      </c>
      <c r="BZ115" s="117" t="n">
        <f aca="false">BY115*VLOOKUP('Données projet'!$B$12,Paramètres!$A$1:$I$89,3,0)*VLOOKUP('Données projet'!$B$12,Paramètres!$A$1:$I$89,5,0)</f>
        <v>0</v>
      </c>
      <c r="CA115" s="117" t="e">
        <f aca="false">EXP(-1.0587+0.8836*LN(BZ115)+0.284)</f>
        <v>#VALUE!</v>
      </c>
      <c r="CB115" s="128" t="e">
        <f aca="false">(BZ115+CA115)*0.475*44/12</f>
        <v>#VALUE!</v>
      </c>
      <c r="CC115" s="120" t="e">
        <f aca="false">CB115+(BT115+BU115)*44/12</f>
        <v>#VALUE!</v>
      </c>
      <c r="CD115" s="120" t="n">
        <f aca="true">AVERAGE(OFFSET($CC$3,0,0,'Données projet'!$E$12+1,1))-AVERAGE(OFFSET($H$3,0,0,'Données projet'!$E$12+1,1))</f>
        <v>240.228848647662</v>
      </c>
      <c r="CE115" s="120" t="n">
        <f aca="false">$CE$3</f>
        <v>343.237768841432</v>
      </c>
      <c r="CF115" s="121" t="n">
        <f aca="false">IF(ISNA(VLOOKUP(A115,'Données projet'!$A$113:$I$133,3,0)),0,VLOOKUP(A115,'Données projet'!$A$113:$I$133,3,0))</f>
        <v>0</v>
      </c>
      <c r="CG115" s="121" t="n">
        <f aca="false">IF(ISNA(VLOOKUP(A115,'Données projet'!$A$113:$I$133,4,0)),0,VLOOKUP(A115,'Données projet'!$A$113:$I$133,4,0))</f>
        <v>0</v>
      </c>
      <c r="CH115" s="122" t="n">
        <f aca="false">IF(ISNA(VLOOKUP(A115,'Données projet'!$A$113:$I$133,5,0)),0%,VLOOKUP(A115,'Données projet'!$A$113:$I$133,5,0)*VLOOKUP('Données projet'!$B$12,Paramètres!$A$1:$I$89,7,0))</f>
        <v>0</v>
      </c>
      <c r="CI115" s="122" t="n">
        <f aca="false">IF(ISNA(VLOOKUP(A115,'Données projet'!$A$113:$I$133,6,0)),0%,VLOOKUP(A115,'Données projet'!$A$113:$I$133,6,0)*VLOOKUP('Données projet'!$B$12,Paramètres!$A$1:$I$89,7,0))</f>
        <v>0</v>
      </c>
      <c r="CJ115" s="122" t="n">
        <f aca="false">IF(ISNA(VLOOKUP(A115,'Données projet'!$A$113:$I$133,7,0)),0%,VLOOKUP(A115,'Données projet'!$A$113:$I$133,7,0))</f>
        <v>0</v>
      </c>
      <c r="CK115" s="129" t="n">
        <f aca="false">EXP(-LN(2)/35)*CK114+(1-EXP(-LN(2)/35))/(LN(2)/35)*CG115*CH115*VLOOKUP('Données projet'!$B$12,Paramètres!$A$1:$I$89,3,0)*0.475*44/12</f>
        <v>1.03776683221718</v>
      </c>
      <c r="CL115" s="129" t="n">
        <f aca="false">EXP(-LN(2)/25)*CL114+(1-EXP(-LN(2)/25))/(LN(2)/25)*Calculateur!CG115*Calculateur!CI115*VLOOKUP('Données projet'!$B$12,Paramètres!$A$1:$I$89,3,0)*0.475*44/12</f>
        <v>2.45122663645012</v>
      </c>
      <c r="CM115" s="129" t="n">
        <f aca="false">EXP(-LN(2)/2)*CM114+(1-EXP(-LN(2)/2))/(LN(2)/2)*CG115*CJ115*VLOOKUP('Données projet'!$B$12,Paramètres!$A$1:$I$89,3,0)*0.475*44/12</f>
        <v>4.38368782213902E-012</v>
      </c>
      <c r="CN115" s="130" t="n">
        <f aca="false">SUM(CK115:CM115)</f>
        <v>3.48899346867168</v>
      </c>
      <c r="CO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8" t="e">
        <f aca="false">VLOOKUP(A115,'Données projet'!$A$139:$I$159,2,0)</f>
        <v>#N/A</v>
      </c>
      <c r="CR115" s="118" t="e">
        <f aca="false">VLOOKUP(A115,'Données projet'!$A$139:$I$159,9,0)</f>
        <v>#N/A</v>
      </c>
      <c r="CS115" s="118" t="e">
        <f aca="false" t="array" ref="CS115:CS115">INDEX(CR:CR,MIN(IF(ISNUMBER(CR115:CR311),ROW(CR115:CR311),"")))</f>
        <v>#N/A</v>
      </c>
      <c r="CT115" s="118" t="n">
        <f aca="false">IF('Données projet'!$A$140&gt;35,CT114+CS115-DB114,IF(A115&lt;'Données projet'!$A$140,$CQ$205^A115,IF(A115='Données projet'!$A$140,'Données projet'!$B$140,CT114+CS115-DB114)))</f>
        <v>-5.6843418860808E-014</v>
      </c>
      <c r="CU115" s="125" t="n">
        <f aca="false">CT115*VLOOKUP('Données projet'!$B$13,Paramètres!$A$1:$I$89,3,0)*VLOOKUP('Données projet'!$B$13,Paramètres!$A$1:$I$89,5,0)</f>
        <v>-3.10365066980012E-014</v>
      </c>
      <c r="CV115" s="117" t="e">
        <f aca="false">EXP(-1.0587+0.8836*LN(CU115)+0.284)</f>
        <v>#VALUE!</v>
      </c>
      <c r="CW115" s="128" t="e">
        <f aca="false">(CU115+CV115)*0.475*44/12</f>
        <v>#VALUE!</v>
      </c>
      <c r="CX115" s="120" t="e">
        <f aca="false">CW115+(CO115+CP115)*44/12</f>
        <v>#VALUE!</v>
      </c>
      <c r="CY115" s="120" t="n">
        <f aca="true">AVERAGE(OFFSET($CX$3,0,0,'Données projet'!$E$13+1,1))-AVERAGE(OFFSET($H$3,0,0,'Données projet'!$E$13+1,1))</f>
        <v>207.023069645676</v>
      </c>
      <c r="CZ115" s="120" t="n">
        <f aca="false">$CZ$3</f>
        <v>342.068879333518</v>
      </c>
      <c r="DA115" s="121" t="n">
        <f aca="false">IF(ISNA(VLOOKUP(A115,'Données projet'!$A$139:$I$159,3,0)),0,VLOOKUP(A115,'Données projet'!$A$139:$I$159,3,0))</f>
        <v>0</v>
      </c>
      <c r="DB115" s="121" t="n">
        <f aca="false">IF(ISNA(VLOOKUP(A115,'Données projet'!$A$139:$I$159,4,0)),0,VLOOKUP(A115,'Données projet'!$A$139:$I$159,4,0))</f>
        <v>0</v>
      </c>
      <c r="DC115" s="122" t="n">
        <f aca="false">IF(ISNA(VLOOKUP(A115,'Données projet'!$A$139:$I$159,5,0)),0%,VLOOKUP(A115,'Données projet'!$A$139:$I$159,5,0)*VLOOKUP('Données projet'!$B$13,Paramètres!$A$1:$I$89,7,0))</f>
        <v>0</v>
      </c>
      <c r="DD115" s="122" t="n">
        <f aca="false">IF(ISNA(VLOOKUP(A115,'Données projet'!$A$139:$I$159,6,0)),0%,VLOOKUP(A115,'Données projet'!$A$139:$I$159,6,0)*VLOOKUP('Données projet'!$B$13,Paramètres!$A$1:$I$89,7,0))</f>
        <v>0</v>
      </c>
      <c r="DE115" s="122" t="n">
        <f aca="false">IF(ISNA(VLOOKUP(A115,'Données projet'!$A$139:$I$159,7,0)),0%,VLOOKUP(A115,'Données projet'!$A$139:$I$159,7,0))</f>
        <v>0</v>
      </c>
      <c r="DF115" s="129" t="n">
        <f aca="false">EXP(-LN(2)/35)*DF114+(1-EXP(-LN(2)/35))/(LN(2)/35)*DB115*DC115*VLOOKUP('Données projet'!$B$13,Paramètres!$A$1:$I$89,3,0)*0.475*44/12</f>
        <v>1.30210366683854</v>
      </c>
      <c r="DG115" s="129" t="n">
        <f aca="false">EXP(-LN(2)/25)*DG114+(1-EXP(-LN(2)/25))/(LN(2)/25)*Calculateur!DB115*Calculateur!DD115*VLOOKUP('Données projet'!$B$13,Paramètres!$A$1:$I$89,3,0)*0.475*44/12</f>
        <v>4.00673464209059</v>
      </c>
      <c r="DH115" s="129" t="n">
        <f aca="false">EXP(-LN(2)/2)*DH114+(1-EXP(-LN(2)/2))/(LN(2)/2)*DB115*DE115*VLOOKUP('Données projet'!$B$13,Paramètres!$A$1:$I$89,3,0)*0.475*44/12</f>
        <v>6.03634016347352E-012</v>
      </c>
      <c r="DI115" s="130" t="n">
        <f aca="false">SUM(DF115:DH115)</f>
        <v>5.30883830893516</v>
      </c>
      <c r="DJ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8" t="e">
        <f aca="false">VLOOKUP(A115,'Données projet'!$A$165:$I$185,2,0)</f>
        <v>#N/A</v>
      </c>
      <c r="DM115" s="118" t="e">
        <f aca="false">VLOOKUP(A115,'Données projet'!$A$165:$I$185,9,0)</f>
        <v>#N/A</v>
      </c>
      <c r="DN115" s="118" t="e">
        <f aca="false" t="array" ref="DN115:DN115">INDEX(DM:DM,MIN(IF(ISNUMBER(DM115:DM311),ROW(DM115:DM311),"")))</f>
        <v>#N/A</v>
      </c>
      <c r="DO115" s="118" t="n">
        <f aca="false">IF('Données projet'!$A$166&gt;35,DO114+DN115-DW114,IF(A115&lt;'Données projet'!$A$166,$DL$205^A115,IF(A115='Données projet'!$A$166,'Données projet'!$B$166,DO114+DN115-DW114)))</f>
        <v>0</v>
      </c>
      <c r="DP115" s="125" t="n">
        <f aca="false">DO115*VLOOKUP('Données projet'!$B$14,Paramètres!$A$1:$I$89,3,0)*VLOOKUP('Données projet'!$B$14,Paramètres!$A$1:$I$89,5,0)</f>
        <v>0</v>
      </c>
      <c r="DQ115" s="117" t="e">
        <f aca="false">EXP(-1.0587+0.8836*LN(DP115)+0.284)</f>
        <v>#VALUE!</v>
      </c>
      <c r="DR115" s="128" t="e">
        <f aca="false">(DP115+DQ115)*0.475*44/12</f>
        <v>#VALUE!</v>
      </c>
      <c r="DS115" s="120" t="e">
        <f aca="false">DR115+(DJ115+DK115)*44/12</f>
        <v>#VALUE!</v>
      </c>
      <c r="DT115" s="120" t="n">
        <f aca="true">AVERAGE(OFFSET($DS$3,0,0,'Données projet'!$E$14+1,1))-AVERAGE(OFFSET($H$3,0,0,'Données projet'!$E$14+1,1))</f>
        <v>549.432320957297</v>
      </c>
      <c r="DU115" s="120" t="n">
        <f aca="false">$DU$3</f>
        <v>280.26155987301</v>
      </c>
      <c r="DV115" s="121" t="n">
        <f aca="false">IF(ISNA(VLOOKUP(A115,'Données projet'!$A$165:$I$185,3,0)),0,VLOOKUP(A115,'Données projet'!$A$165:$I$185,3,0))</f>
        <v>0</v>
      </c>
      <c r="DW115" s="121" t="n">
        <f aca="false">IF(ISNA(VLOOKUP(A115,'Données projet'!$A$165:$I$185,4,0)),0,VLOOKUP(A115,'Données projet'!$A$165:$I$185,4,0))</f>
        <v>0</v>
      </c>
      <c r="DX115" s="122" t="n">
        <f aca="false">IF(ISNA(VLOOKUP(A115,'Données projet'!$A$165:$I$185,5,0)),0%,VLOOKUP(A115,'Données projet'!$A$165:$I$185,5,0)*VLOOKUP('Données projet'!$B$14,Paramètres!$A$1:$I$89,7,0))</f>
        <v>0</v>
      </c>
      <c r="DY115" s="122" t="n">
        <f aca="false">IF(ISNA(VLOOKUP(A115,'Données projet'!$A$165:$I$185,6,0)),0%,VLOOKUP(A115,'Données projet'!$A$165:$I$185,6,0)*VLOOKUP('Données projet'!$B$14,Paramètres!$A$1:$I$89,7,0))</f>
        <v>0</v>
      </c>
      <c r="DZ115" s="122" t="n">
        <f aca="false">IF(ISNA(VLOOKUP(A115,'Données projet'!$A$165:$I$185,7,0)),0%,VLOOKUP(A115,'Données projet'!$A$165:$I$185,7,0))</f>
        <v>0</v>
      </c>
      <c r="EA115" s="129" t="n">
        <f aca="false">EXP(-LN(2)/35)*EA114+(1-EXP(-LN(2)/35))/(LN(2)/35)*DW115*DX115*VLOOKUP('Données projet'!$B$14,Paramètres!$A$1:$I$89,3,0)*0.475*44/12</f>
        <v>0.473443441359849</v>
      </c>
      <c r="EB115" s="129" t="n">
        <f aca="false">EXP(-LN(2)/25)*EB114+(1-EXP(-LN(2)/25))/(LN(2)/25)*Calculateur!DW115*Calculateur!DY115*VLOOKUP('Données projet'!$B$14,Paramètres!$A$1:$I$89,3,0)*0.475*44/12</f>
        <v>0.798220592189502</v>
      </c>
      <c r="EC115" s="129" t="n">
        <f aca="false">EXP(-LN(2)/2)*EC114+(1-EXP(-LN(2)/2))/(LN(2)/2)*DW115*DZ115*VLOOKUP('Données projet'!$B$14,Paramètres!$A$1:$I$89,3,0)*0.475*44/12</f>
        <v>2.78262838699424E-012</v>
      </c>
      <c r="ED115" s="130" t="n">
        <f aca="false">SUM(EA115:EC115)</f>
        <v>1.27166403355213</v>
      </c>
      <c r="EE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8" t="e">
        <f aca="false">VLOOKUP(A115,'Données projet'!$A$191:$I$211,2,0)</f>
        <v>#N/A</v>
      </c>
      <c r="EH115" s="118" t="e">
        <f aca="false">VLOOKUP(A115,'Données projet'!$A$191:$I$211,9,0)</f>
        <v>#N/A</v>
      </c>
      <c r="EI115" s="118" t="e">
        <f aca="false" t="array" ref="EI115:EI115">INDEX(EH:EH,MIN(IF(ISNUMBER(EH115:EH311),ROW(EH115:EH311),"")))</f>
        <v>#N/A</v>
      </c>
      <c r="EJ115" s="118" t="n">
        <f aca="false">IF('Données projet'!$A$192&gt;35,EJ114+EI115-ER114,IF(A115&lt;'Données projet'!$A$192,$EG$205^A115,IF(A115='Données projet'!$A$192,'Données projet'!$B$192,EJ114+EI115-ER114)))</f>
        <v>0</v>
      </c>
      <c r="EK115" s="125" t="e">
        <f aca="false">EJ115*VLOOKUP('Données projet'!$B$15,Paramètres!$A$1:$I$89,3,0)*VLOOKUP('Données projet'!$B$15,Paramètres!$A$1:$I$89,5,0)</f>
        <v>#N/A</v>
      </c>
      <c r="EL115" s="117" t="e">
        <f aca="false">EXP(-1.0587+0.8836*LN(EK115)+0.284)</f>
        <v>#N/A</v>
      </c>
      <c r="EM115" s="128" t="e">
        <f aca="false">(EK115+EL115)*0.475*44/12</f>
        <v>#N/A</v>
      </c>
      <c r="EN115" s="120" t="e">
        <f aca="false">EM115+(EE115+EF115)*44/12</f>
        <v>#N/A</v>
      </c>
      <c r="EO115" s="120" t="e">
        <f aca="true">AVERAGE(OFFSET($EN$3,0,0,'Données projet'!$E$15+1,1))-AVERAGE(OFFSET($H$3,0,0,'Données projet'!$E$15+1,1))</f>
        <v>#N/A</v>
      </c>
      <c r="EP115" s="120" t="e">
        <f aca="false">$EP$3</f>
        <v>#N/A</v>
      </c>
      <c r="EQ115" s="121" t="n">
        <f aca="false">IF(ISNA(VLOOKUP(A115,'Données projet'!$A$191:$I$211,3,0)),0,VLOOKUP(A115,'Données projet'!$A$191:$I$211,3,0))</f>
        <v>0</v>
      </c>
      <c r="ER115" s="121" t="n">
        <f aca="false">IF(ISNA(VLOOKUP(A115,'Données projet'!$A$191:$I$211,4,0)),0,VLOOKUP(A115,'Données projet'!$A$191:$I$211,4,0))</f>
        <v>0</v>
      </c>
      <c r="ES115" s="122" t="n">
        <f aca="false">IF(ISNA(VLOOKUP(A115,'Données projet'!$A$191:$I$211,5,0)),0%,VLOOKUP(A115,'Données projet'!$A$191:$I$211,5,0)*VLOOKUP('Données projet'!$B$15,Paramètres!$A$1:$I$89,7,0))</f>
        <v>0</v>
      </c>
      <c r="ET115" s="122" t="n">
        <f aca="false">IF(ISNA(VLOOKUP(A115,'Données projet'!$A$191:$I$211,6,0)),0%,VLOOKUP(A115,'Données projet'!$A$191:$I$211,6,0)*VLOOKUP('Données projet'!$B$15,Paramètres!$A$1:$I$89,7,0))</f>
        <v>0</v>
      </c>
      <c r="EU115" s="122" t="n">
        <f aca="false">IF(ISNA(VLOOKUP(A115,'Données projet'!$A$191:$I$211,7,0)),0%,VLOOKUP(A115,'Données projet'!$A$191:$I$211,7,0))</f>
        <v>0</v>
      </c>
      <c r="EV115" s="129" t="e">
        <f aca="false">EXP(-LN(2)/35)*EV114+(1-EXP(-LN(2)/35))/(LN(2)/35)*ER115*ES115*VLOOKUP('Données projet'!$B$15,Paramètres!$A$1:$I$89,3,0)*0.475*44/12</f>
        <v>#N/A</v>
      </c>
      <c r="EW115" s="129" t="e">
        <f aca="false">EXP(-LN(2)/25)*EW114+(1-EXP(-LN(2)/25))/(LN(2)/25)*Calculateur!ER115*Calculateur!ET115*VLOOKUP('Données projet'!$B$15,Paramètres!$A$1:$I$89,3,0)*0.475*44/12</f>
        <v>#N/A</v>
      </c>
      <c r="EX115" s="129" t="e">
        <f aca="false">EXP(-LN(2)/2)*EX114+(1-EXP(-LN(2)/2))/(LN(2)/2)*ER115*EU115*VLOOKUP('Données projet'!$B$15,Paramètres!$A$1:$I$89,3,0)*0.475*44/12</f>
        <v>#N/A</v>
      </c>
      <c r="EY115" s="130" t="e">
        <f aca="false">SUM(EV115:EX115)</f>
        <v>#N/A</v>
      </c>
      <c r="EZ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8" t="e">
        <f aca="false">VLOOKUP(A115,'Données projet'!$A$217:$I$237,2,0)</f>
        <v>#N/A</v>
      </c>
      <c r="FC115" s="118" t="e">
        <f aca="false">VLOOKUP(A115,'Données projet'!$A$217:$I$237,9,0)</f>
        <v>#N/A</v>
      </c>
      <c r="FD115" s="118" t="e">
        <f aca="false" t="array" ref="FD115:FD115">INDEX(FC:FC,MIN(IF(ISNUMBER(FC115:FC311),ROW(FC115:FC311),"")))</f>
        <v>#N/A</v>
      </c>
      <c r="FE115" s="118" t="n">
        <f aca="false">IF('Données projet'!$A$218&gt;35,FE114+FD115-FM114,IF(A115&lt;'Données projet'!$A$218,$FB$205^A115,IF(A115='Données projet'!$A$218,'Données projet'!$B$218,FE114+FD115-FM114)))</f>
        <v>0</v>
      </c>
      <c r="FF115" s="125" t="e">
        <f aca="false">FE115*VLOOKUP('Données projet'!$B$16,Paramètres!$A$1:$I$89,3,0)*VLOOKUP('Données projet'!$B$16,Paramètres!$A$1:$I$89,5,0)</f>
        <v>#N/A</v>
      </c>
      <c r="FG115" s="117" t="e">
        <f aca="false">EXP(-1.0587+0.8836*LN(FF115)+0.284)</f>
        <v>#N/A</v>
      </c>
      <c r="FH115" s="128" t="e">
        <f aca="false">(FF115+FG115)*0.475*44/12</f>
        <v>#N/A</v>
      </c>
      <c r="FI115" s="120" t="e">
        <f aca="false">FH115+(EZ115+FA115)*44/12</f>
        <v>#N/A</v>
      </c>
      <c r="FJ115" s="120" t="e">
        <f aca="true">AVERAGE(OFFSET($FI$3,0,0,'Données projet'!$E$16+1,1))-AVERAGE(OFFSET($H$3,0,0,'Données projet'!$E$16+1,1))</f>
        <v>#N/A</v>
      </c>
      <c r="FK115" s="120" t="e">
        <f aca="false">$FK$3</f>
        <v>#N/A</v>
      </c>
      <c r="FL115" s="121" t="n">
        <f aca="false">IF(ISNA(VLOOKUP(A115,'Données projet'!$A$217:$I$237,3,0)),0,VLOOKUP(A115,'Données projet'!$A$217:$I$237,3,0))</f>
        <v>0</v>
      </c>
      <c r="FM115" s="121" t="n">
        <f aca="false">IF(ISNA(VLOOKUP(A115,'Données projet'!$A$217:$I$237,4,0)),0,VLOOKUP(A115,'Données projet'!$A$217:$I$237,4,0))</f>
        <v>0</v>
      </c>
      <c r="FN115" s="122" t="n">
        <f aca="false">IF(ISNA(VLOOKUP(A115,'Données projet'!$A$217:$I$237,5,0)),0%,VLOOKUP(A115,'Données projet'!$A$217:$I$237,5,0)*VLOOKUP('Données projet'!$B$16,Paramètres!$A$1:$I$89,7,0))</f>
        <v>0</v>
      </c>
      <c r="FO115" s="122" t="n">
        <f aca="false">IF(ISNA(VLOOKUP(A115,'Données projet'!$A$217:$I$237,6,0)),0%,VLOOKUP(A115,'Données projet'!$A$217:$I$237,6,0)*VLOOKUP('Données projet'!$B$16,Paramètres!$A$1:$I$89,7,0))</f>
        <v>0</v>
      </c>
      <c r="FP115" s="122" t="n">
        <f aca="false">IF(ISNA(VLOOKUP(A115,'Données projet'!$A$217:$I$237,7,0)),0%,VLOOKUP(A115,'Données projet'!$A$217:$I$237,7,0))</f>
        <v>0</v>
      </c>
      <c r="FQ115" s="129" t="e">
        <f aca="false">EXP(-LN(2)/35)*FQ114+(1-EXP(-LN(2)/35))/(LN(2)/35)*FM115*FN115*VLOOKUP('Données projet'!$B$16,Paramètres!$A$1:$I$89,3,0)*0.475*44/12</f>
        <v>#N/A</v>
      </c>
      <c r="FR115" s="129" t="e">
        <f aca="false">EXP(-LN(2)/25)*FR114+(1-EXP(-LN(2)/25))/(LN(2)/25)*Calculateur!FM115*Calculateur!FO115*VLOOKUP('Données projet'!$B$16,Paramètres!$A$1:$I$89,3,0)*0.475*44/12</f>
        <v>#N/A</v>
      </c>
      <c r="FS115" s="129" t="e">
        <f aca="false">EXP(-LN(2)/2)*FS114+(1-EXP(-LN(2)/2))/(LN(2)/2)*FM115*FP115*VLOOKUP('Données projet'!$B$16,Paramètres!$A$1:$I$89,3,0)*0.475*44/12</f>
        <v>#N/A</v>
      </c>
      <c r="FT115" s="130" t="e">
        <f aca="false">SUM(FQ115:FS115)</f>
        <v>#N/A</v>
      </c>
      <c r="FU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8" t="e">
        <f aca="false">VLOOKUP(A115,'Données projet'!$A$243:$I$263,2,0)</f>
        <v>#N/A</v>
      </c>
      <c r="FX115" s="118" t="e">
        <f aca="false">VLOOKUP(A115,'Données projet'!$A$243:$I$263,9,0)</f>
        <v>#N/A</v>
      </c>
      <c r="FY115" s="118" t="e">
        <f aca="false" t="array" ref="FY115:FY115">INDEX(FX:FX,MIN(IF(ISNUMBER(FX115:FX311),ROW(FX115:FX311),"")))</f>
        <v>#N/A</v>
      </c>
      <c r="FZ115" s="118" t="n">
        <f aca="false">IF('Données projet'!$A$244&gt;35,FZ114+FY115-GH114,IF(A115&lt;'Données projet'!$A$244,$FW$205^A115,IF(A115='Données projet'!$A$244,'Données projet'!$B$244,FZ114+FY115-GH114)))</f>
        <v>0</v>
      </c>
      <c r="GA115" s="125" t="e">
        <f aca="false">FZ115*VLOOKUP('Données projet'!$B$17,Paramètres!$A$1:$I$89,3,0)*VLOOKUP('Données projet'!$B$17,Paramètres!$A$1:$I$89,5,0)</f>
        <v>#N/A</v>
      </c>
      <c r="GB115" s="117" t="e">
        <f aca="false">EXP(-1.0587+0.8836*LN(GA115)+0.284)</f>
        <v>#N/A</v>
      </c>
      <c r="GC115" s="128" t="e">
        <f aca="false">(GA115+GB115)*0.475*44/12</f>
        <v>#N/A</v>
      </c>
      <c r="GD115" s="120" t="e">
        <f aca="false">GC115+(FU115+FV115)*44/12</f>
        <v>#N/A</v>
      </c>
      <c r="GE115" s="120" t="e">
        <f aca="true">AVERAGE(OFFSET($GD$3,0,0,'Données projet'!$E$17+1,1))-AVERAGE(OFFSET($H$3,0,0,'Données projet'!$E$17+1,1))</f>
        <v>#N/A</v>
      </c>
      <c r="GF115" s="120" t="e">
        <f aca="false">$GF$3</f>
        <v>#N/A</v>
      </c>
      <c r="GG115" s="121" t="n">
        <f aca="false">IF(ISNA(VLOOKUP(A115,'Données projet'!$A$243:$I$263,3,0)),0,VLOOKUP(A115,'Données projet'!$A$243:$I$263,3,0))</f>
        <v>0</v>
      </c>
      <c r="GH115" s="121" t="n">
        <f aca="false">IF(ISNA(VLOOKUP(A115,'Données projet'!$A$243:$I$263,4,0)),0,VLOOKUP(A115,'Données projet'!$A$243:$I$263,4,0))</f>
        <v>0</v>
      </c>
      <c r="GI115" s="122" t="n">
        <f aca="false">IF(ISNA(VLOOKUP(A115,'Données projet'!$A$243:$I$263,5,0)),0%,VLOOKUP(A115,'Données projet'!$A$243:$I$263,5,0)*VLOOKUP('Données projet'!$B$17,Paramètres!$A$1:$I$89,7,0))</f>
        <v>0</v>
      </c>
      <c r="GJ115" s="122" t="n">
        <f aca="false">IF(ISNA(VLOOKUP(A115,'Données projet'!$A$243:$I$263,6,0)),0%,VLOOKUP(A115,'Données projet'!$A$243:$I$263,6,0)*VLOOKUP('Données projet'!$B$17,Paramètres!$A$1:$I$89,7,0))</f>
        <v>0</v>
      </c>
      <c r="GK115" s="122" t="n">
        <f aca="false">IF(ISNA(VLOOKUP(A115,'Données projet'!$A$243:$I$263,7,0)),0%,VLOOKUP(A115,'Données projet'!$A$243:$I$263,7,0))</f>
        <v>0</v>
      </c>
      <c r="GL115" s="129" t="e">
        <f aca="false">EXP(-LN(2)/35)*GL114+(1-EXP(-LN(2)/35))/(LN(2)/35)*GH115*GI115*VLOOKUP('Données projet'!$B$17,Paramètres!$A$1:$I$89,3,0)*0.475*44/12</f>
        <v>#N/A</v>
      </c>
      <c r="GM115" s="129" t="e">
        <f aca="false">EXP(-LN(2)/25)*GM114+(1-EXP(-LN(2)/25))/(LN(2)/25)*Calculateur!GH115*Calculateur!GJ115*VLOOKUP('Données projet'!$B$17,Paramètres!$A$1:$I$89,3,0)*0.475*44/12</f>
        <v>#N/A</v>
      </c>
      <c r="GN115" s="129" t="e">
        <f aca="false">EXP(-LN(2)/2)*GN114+(1-EXP(-LN(2)/2))/(LN(2)/2)*GH115*GK115*VLOOKUP('Données projet'!$B$17,Paramètres!$A$1:$I$89,3,0)*0.475*44/12</f>
        <v>#N/A</v>
      </c>
      <c r="GO115" s="129" t="e">
        <f aca="false">SUM(GL115:GN115)</f>
        <v>#N/A</v>
      </c>
      <c r="GP115" s="126" t="n">
        <f aca="false"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8" t="n">
        <f aca="false"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8" t="e">
        <f aca="false">VLOOKUP(A115,'Données projet'!$A$269:$I$289,2,0)</f>
        <v>#N/A</v>
      </c>
      <c r="GS115" s="118" t="e">
        <f aca="false">VLOOKUP(A115,'Données projet'!$A$269:$I$289,9,0)</f>
        <v>#N/A</v>
      </c>
      <c r="GT115" s="118" t="e">
        <f aca="false" t="array" ref="GT115:GT115">INDEX(GS:GS,MIN(IF(ISNUMBER(GS115:GS311),ROW(GS115:GS311),"")))</f>
        <v>#N/A</v>
      </c>
      <c r="GU115" s="118" t="n">
        <f aca="false">IF('Données projet'!$A$270&gt;35,GU114+GT115-HC114,IF(A115&lt;'Données projet'!$A$270,$GR$205^A115,IF(A115='Données projet'!$A$270,'Données projet'!$B$270,GU114+GT115-HC114)))</f>
        <v>0</v>
      </c>
      <c r="GV115" s="125" t="e">
        <f aca="false">GU115*VLOOKUP('Données projet'!$B$18,Paramètres!$A$1:$I$89,3,0)*VLOOKUP('Données projet'!$B$18,Paramètres!$A$1:$I$89,5,0)</f>
        <v>#N/A</v>
      </c>
      <c r="GW115" s="117" t="e">
        <f aca="false">EXP(-1.0587+0.8836*LN(GV115)+0.284)</f>
        <v>#N/A</v>
      </c>
      <c r="GX115" s="128" t="e">
        <f aca="false">(GV115+GW115)*0.475*44/12</f>
        <v>#N/A</v>
      </c>
      <c r="GY115" s="120" t="e">
        <f aca="false">GX115+(GP115+GQ115)*44/12</f>
        <v>#N/A</v>
      </c>
      <c r="GZ115" s="120" t="e">
        <f aca="true">AVERAGE(OFFSET($GY$3,0,0,'Données projet'!$E$18+1,1))-AVERAGE(OFFSET($H$3,0,0,'Données projet'!$E$18+1,1))</f>
        <v>#N/A</v>
      </c>
      <c r="HA115" s="120" t="e">
        <f aca="false">$HA$3</f>
        <v>#N/A</v>
      </c>
      <c r="HB115" s="121" t="n">
        <f aca="false">IF(ISNA(VLOOKUP(A115,'Données projet'!$A$269:$I$289,3,0)),0,VLOOKUP(A115,'Données projet'!$A$269:$I$289,3,0))</f>
        <v>0</v>
      </c>
      <c r="HC115" s="121" t="n">
        <f aca="false">IF(ISNA(VLOOKUP(A115,'Données projet'!$A$269:$I$289,4,0)),0,VLOOKUP(A115,'Données projet'!$A$269:$I$289,4,0))</f>
        <v>0</v>
      </c>
      <c r="HD115" s="122" t="n">
        <f aca="false">IF(ISNA(VLOOKUP(A115,'Données projet'!$A$269:$I$289,5,0)),0%,VLOOKUP(A115,'Données projet'!$A$269:$I$289,5,0)*VLOOKUP('Données projet'!$B$18,Paramètres!$A$1:$I$89,7,0))</f>
        <v>0</v>
      </c>
      <c r="HE115" s="122" t="n">
        <f aca="false">IF(ISNA(VLOOKUP(A115,'Données projet'!$A$269:$I$289,6,0)),0%,VLOOKUP(A115,'Données projet'!$A$269:$I$289,6,0)*VLOOKUP('Données projet'!$B$18,Paramètres!$A$1:$I$89,7,0))</f>
        <v>0</v>
      </c>
      <c r="HF115" s="122" t="n">
        <f aca="false">IF(ISNA(VLOOKUP(A115,'Données projet'!$A$269:$I$289,7,0)),0%,VLOOKUP(A115,'Données projet'!$A$269:$I$289,7,0))</f>
        <v>0</v>
      </c>
      <c r="HG115" s="129" t="e">
        <f aca="false">EXP(-LN(2)/35)*HG114+(1-EXP(-LN(2)/35))/(LN(2)/35)*HC115*HD115*VLOOKUP('Données projet'!$B$18,Paramètres!$A$1:$I$89,3,0)*0.475*44/12</f>
        <v>#N/A</v>
      </c>
      <c r="HH115" s="129" t="e">
        <f aca="false">EXP(-LN(2)/25)*HH114+(1-EXP(-LN(2)/25))/(LN(2)/25)*Calculateur!HC115*Calculateur!HE115*VLOOKUP('Données projet'!$B$18,Paramètres!$A$1:$I$89,3,0)*0.475*44/12</f>
        <v>#N/A</v>
      </c>
      <c r="HI115" s="129" t="e">
        <f aca="false">EXP(-LN(2)/2)*HI114+(1-EXP(-LN(2)/2))/(LN(2)/2)*HC115*HF115*VLOOKUP('Données projet'!$B$18,Paramètres!$A$1:$I$89,3,0)*0.475*44/12</f>
        <v>#N/A</v>
      </c>
      <c r="HJ115" s="130" t="e">
        <f aca="false">SUM(HG115:HI115)</f>
        <v>#N/A</v>
      </c>
    </row>
    <row r="116" customFormat="false" ht="14.25" hidden="false" customHeight="false" outlineLevel="0" collapsed="false">
      <c r="A116" s="112" t="n">
        <f aca="false">A115+1</f>
        <v>113</v>
      </c>
      <c r="B116" s="113" t="n">
        <f aca="false">'Scénario référence'!$B$16*5+'Scénario référence'!$B$17*0+'Scénario référence'!$B$18*5</f>
        <v>0</v>
      </c>
      <c r="C116" s="127" t="n">
        <f aca="false"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4" t="n">
        <f aca="false">IFERROR(EXP(-1.0587+0.8836*LN(C116)+0.284),0)</f>
        <v>0</v>
      </c>
      <c r="E11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6" s="114" t="n">
        <f aca="false">IF(OR('Scénario référence'!$F$8&gt;0,'Scénario référence'!$F$9&gt;0),('Scénario référence'!$F$8+'Scénario référence'!$F$9)*10,0)</f>
        <v>0</v>
      </c>
      <c r="G116" s="114" t="n">
        <f aca="false"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15" t="n">
        <f aca="false">(B116+E116+F116)*44/12+(C116+D116)*0.475*44/12</f>
        <v>256.666666666667</v>
      </c>
      <c r="I116" s="11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7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8" t="e">
        <f aca="false">VLOOKUP(A116,'Données projet'!$A$35:$I$55,2,0)</f>
        <v>#N/A</v>
      </c>
      <c r="L116" s="118" t="e">
        <f aca="false">VLOOKUP(A116,'Données projet'!$A$35:$I$55,9,0)</f>
        <v>#N/A</v>
      </c>
      <c r="M116" s="118" t="e">
        <f aca="false" t="array" ref="M116:M116">INDEX(L:L,MIN(IF(ISNUMBER(L116:L312),ROW(L116:L312),"")))</f>
        <v>#N/A</v>
      </c>
      <c r="N116" s="117" t="n">
        <f aca="false">IF('Données projet'!$A$36&gt;35,N115+M116-V115,IF(A116&lt;'Données projet'!$A$36,$K$205^A116,IF(A116='Données projet'!$A$36,'Données projet'!$B$36,N115+M116-V115)))</f>
        <v>-1.13686837721616E-013</v>
      </c>
      <c r="O116" s="117" t="n">
        <f aca="false">N116*VLOOKUP('Données projet'!$B$9,Paramètres!$A$1:$I$89,3,0)*VLOOKUP('Données projet'!$B$9,Paramètres!$A$1:$I$89,5,0)</f>
        <v>-5.32054400537163E-014</v>
      </c>
      <c r="P116" s="117" t="e">
        <f aca="false">EXP(-1.0587+0.8836*LN(O116)+0.284)</f>
        <v>#VALUE!</v>
      </c>
      <c r="Q116" s="128" t="e">
        <f aca="false">(O116+P116)*0.475*44/12</f>
        <v>#VALUE!</v>
      </c>
      <c r="R116" s="120" t="e">
        <f aca="false">Q116+(I116+J116)*44/12</f>
        <v>#VALUE!</v>
      </c>
      <c r="S116" s="120" t="n">
        <f aca="true">AVERAGE(OFFSET($R$3,0,0,'Données projet'!$E$9+1,1))-AVERAGE(OFFSET($H$3,0,0,'Données projet'!$E$9+1,1))</f>
        <v>319.229030946746</v>
      </c>
      <c r="T116" s="120" t="n">
        <f aca="false">$T$3</f>
        <v>254.586909731428</v>
      </c>
      <c r="U116" s="121" t="n">
        <f aca="false">IF(ISNA(VLOOKUP(A116,'Données projet'!$A$35:$I$55,3,0)),0,VLOOKUP(A116,'Données projet'!$A$35:$I$55,3,0))</f>
        <v>0</v>
      </c>
      <c r="V116" s="121" t="n">
        <f aca="false">IF(ISNA(VLOOKUP(A116,'Données projet'!$A$35:$I$55,4,0)),0,VLOOKUP(A116,'Données projet'!$A$35:$I$55,4,0))</f>
        <v>0</v>
      </c>
      <c r="W116" s="122" t="n">
        <f aca="false">IF(ISNA(VLOOKUP(A116,'Données projet'!$A$35:$I$55,5,0)),0%,VLOOKUP(A116,'Données projet'!$A$35:$I$55,5,0)*VLOOKUP('Données projet'!$B$9,Paramètres!$A$1:$I$89,7,0))</f>
        <v>0</v>
      </c>
      <c r="X116" s="122" t="n">
        <f aca="false">IF(ISNA(VLOOKUP(A116,'Données projet'!$A$35:$I$55,6,0)),0%,VLOOKUP(A116,'Données projet'!$A$35:$I$55,6,0)*VLOOKUP('Données projet'!$B$9,Paramètres!$A$1:$I$89,7,0))</f>
        <v>0</v>
      </c>
      <c r="Y116" s="122" t="n">
        <f aca="false">IF(ISNA(VLOOKUP(A116,'Données projet'!$A$35:$I$55,7,0)),0%,VLOOKUP(A116,'Données projet'!$A$35:$I$55,7,0))</f>
        <v>0</v>
      </c>
      <c r="Z116" s="129" t="n">
        <f aca="false">EXP(-LN(2)/35)*Z115+(1-EXP(-LN(2)/35))/(LN(2)/35)*V116*W116*VLOOKUP('Données projet'!$B$9,Paramètres!$A$1:$I$89,3,0)*0.475*44/12</f>
        <v>1.7540071206643</v>
      </c>
      <c r="AA116" s="129" t="n">
        <f aca="false">EXP(-LN(2)/25)*AA115+(1-EXP(-LN(2)/25))/(LN(2)/25)*Calculateur!V116*Calculateur!X116*VLOOKUP('Données projet'!$B$9,Paramètres!$A$1:$I$89,3,0)*0.475*44/12</f>
        <v>1.11662334011831</v>
      </c>
      <c r="AB116" s="129" t="n">
        <f aca="false">EXP(-LN(2)/2)*AB115+(1-EXP(-LN(2)/2))/(LN(2)/2)*V116*Y116*VLOOKUP('Données projet'!$B$9,Paramètres!$A$1:$I$89,3,0)*0.475*44/12</f>
        <v>3.55097251913496E-012</v>
      </c>
      <c r="AC116" s="130" t="n">
        <f aca="false">SUM(Z116:AB116)</f>
        <v>2.87063046078616</v>
      </c>
      <c r="AD116" s="117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7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8" t="e">
        <f aca="false">VLOOKUP(A116,'Données projet'!$A$61:$I$81,2,0)</f>
        <v>#N/A</v>
      </c>
      <c r="AG116" s="118" t="e">
        <f aca="false">VLOOKUP(A116,'Données projet'!$A$61:$I$81,9,0)</f>
        <v>#N/A</v>
      </c>
      <c r="AH116" s="118" t="e">
        <f aca="false" t="array" ref="AH116:AH116">INDEX(AG:AG,MIN(IF(ISNUMBER(AG116:AG312),ROW(AG116:AG312),"")))</f>
        <v>#N/A</v>
      </c>
      <c r="AI116" s="117" t="n">
        <f aca="false">IF('Données projet'!$A$62&gt;35,AI115+AH116-AQ115,IF(A116&lt;'Données projet'!$A$62,$AF$205^A116,IF(A116='Données projet'!$A$62,'Données projet'!$B$62,AI115+AH116-AQ115)))</f>
        <v>1.13686837721616E-013</v>
      </c>
      <c r="AJ116" s="117" t="n">
        <f aca="false">AI116*VLOOKUP('Données projet'!$B$10,Paramètres!$A$1:$I$89,3,0)*VLOOKUP('Données projet'!$B$10,Paramètres!$A$1:$I$89,5,0)</f>
        <v>6.35509422863834E-014</v>
      </c>
      <c r="AK116" s="117" t="n">
        <f aca="false">EXP(-1.0587+0.8836*LN(AJ116)+0.284)</f>
        <v>1.0064464192544E-012</v>
      </c>
      <c r="AL116" s="128" t="n">
        <f aca="false">(AJ116+AK116)*0.475*44/12</f>
        <v>1.86357873801686E-012</v>
      </c>
      <c r="AM116" s="120" t="n">
        <f aca="false">AL116+(AD116+AE116)*44/12</f>
        <v>293.333333333335</v>
      </c>
      <c r="AN116" s="120" t="n">
        <f aca="true">AVERAGE(OFFSET($AM$3,0,0,'Données projet'!$E$10+1,1))-AVERAGE(OFFSET($H$3,0,0,'Données projet'!$E$10+1,1))</f>
        <v>365.705101827279</v>
      </c>
      <c r="AO116" s="120" t="n">
        <f aca="false">$AO$3</f>
        <v>436.238338449625</v>
      </c>
      <c r="AP116" s="121" t="n">
        <f aca="false">IF(ISNA(VLOOKUP(A116,'Données projet'!$A$61:$I$81,3,0)),0,VLOOKUP(A116,'Données projet'!$A$61:$I$81,3,0))</f>
        <v>0</v>
      </c>
      <c r="AQ116" s="121" t="n">
        <f aca="false">IF(ISNA(VLOOKUP(A116,'Données projet'!$A$61:$I$81,4,0)),0,VLOOKUP(A116,'Données projet'!$A$61:$I$81,4,0))</f>
        <v>0</v>
      </c>
      <c r="AR116" s="122" t="n">
        <f aca="false">IF(ISNA(VLOOKUP(A116,'Données projet'!$A$61:$I$81,5,0)),0%,VLOOKUP(A116,'Données projet'!$A$61:$I$81,5,0)*VLOOKUP('Données projet'!$B$10,Paramètres!$A$1:$I$89,7,0))</f>
        <v>0</v>
      </c>
      <c r="AS116" s="122" t="n">
        <f aca="false">IF(ISNA(VLOOKUP(A116,'Données projet'!$A$61:$I$81,6,0)),0%,VLOOKUP(A116,'Données projet'!$A$61:$I$81,6,0)*VLOOKUP('Données projet'!$B$10,Paramètres!$A$1:$I$89,7,0))</f>
        <v>0</v>
      </c>
      <c r="AT116" s="122" t="n">
        <f aca="false">IF(ISNA(VLOOKUP(A116,'Données projet'!$A$61:$I$81,7,0)),0%,VLOOKUP(A116,'Données projet'!$A$61:$I$81,7,0))</f>
        <v>0</v>
      </c>
      <c r="AU116" s="129" t="n">
        <f aca="false">EXP(-LN(2)/35)*AU115+(1-EXP(-LN(2)/35))/(LN(2)/35)*AQ116*AR116*VLOOKUP('Données projet'!$B$10,Paramètres!$A$1:$I$89,3,0)*0.475*44/12</f>
        <v>0.662080820667364</v>
      </c>
      <c r="AV116" s="129" t="n">
        <f aca="false">EXP(-LN(2)/25)*AV115+(1-EXP(-LN(2)/25))/(LN(2)/25)*Calculateur!AQ116*Calculateur!AS116*VLOOKUP('Données projet'!$B$10,Paramètres!$A$1:$I$89,3,0)*0.475*44/12</f>
        <v>1.32257997068358</v>
      </c>
      <c r="AW116" s="129" t="n">
        <f aca="false">EXP(-LN(2)/2)*AW115+(1-EXP(-LN(2)/2))/(LN(2)/2)*AQ116*AT116*VLOOKUP('Données projet'!$B$10,Paramètres!$A$1:$I$89,3,0)*0.475*44/12</f>
        <v>1.91102242501311E-012</v>
      </c>
      <c r="AX116" s="129" t="n">
        <f aca="false">SUM(AU116:AW116)</f>
        <v>1.98466079135286</v>
      </c>
      <c r="AY116" s="124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8" t="e">
        <f aca="false">VLOOKUP(A116,'Données projet'!$A$87:$I$107,2,0)</f>
        <v>#N/A</v>
      </c>
      <c r="BB116" s="118" t="e">
        <f aca="false">VLOOKUP(A116,'Données projet'!$A$87:$I$107,9,0)</f>
        <v>#N/A</v>
      </c>
      <c r="BC116" s="118" t="e">
        <f aca="false" t="array" ref="BC116:BC116">INDEX(BB:BB,MIN(IF(ISNUMBER(BB116:BB312),ROW(BB116:BB312),"")))</f>
        <v>#N/A</v>
      </c>
      <c r="BD116" s="118" t="n">
        <f aca="false">IF('Données projet'!$A$88&gt;35,BD115+BC116-BL115,IF(A116&lt;'Données projet'!$A$88,$BA$205^A116,IF(A116='Données projet'!$A$88,'Données projet'!$B$88,BD115+BC116-BL115)))</f>
        <v>1.98951966012828E-013</v>
      </c>
      <c r="BE116" s="117" t="n">
        <f aca="false">BD116*VLOOKUP('Données projet'!$B$11,Paramètres!$A$1:$I$89,3,0)*VLOOKUP('Données projet'!$B$11,Paramètres!$A$1:$I$89,5,0)</f>
        <v>1.73804437508807E-013</v>
      </c>
      <c r="BF116" s="117" t="n">
        <f aca="false">EXP(-1.0587+0.8836*LN(BE116)+0.284)</f>
        <v>2.44832936339505E-012</v>
      </c>
      <c r="BG116" s="128" t="n">
        <f aca="false">(BE116+BF116)*0.475*44/12</f>
        <v>4.56688303657421E-012</v>
      </c>
      <c r="BH116" s="120" t="n">
        <f aca="false">BG116+(AY116+AZ116)*44/12</f>
        <v>293.333333333338</v>
      </c>
      <c r="BI116" s="120" t="n">
        <f aca="true">AVERAGE(OFFSET($BH$3,0,0,'Données projet'!$E$11+1,1))-AVERAGE(OFFSET($H$3,0,0,'Données projet'!$E$11+1,1))</f>
        <v>321.235999689929</v>
      </c>
      <c r="BJ116" s="120" t="n">
        <f aca="false">$BJ$3</f>
        <v>388.051958478005</v>
      </c>
      <c r="BK116" s="121" t="n">
        <f aca="false">IF(ISNA(VLOOKUP(A116,'Données projet'!$A$87:$I$107,3,0)),0,VLOOKUP(A116,'Données projet'!$A$87:$I$107,3,0))</f>
        <v>0</v>
      </c>
      <c r="BL116" s="121" t="n">
        <f aca="false">IF(ISNA(VLOOKUP(A116,'Données projet'!$A$87:$I$107,4,0)),0,VLOOKUP(A116,'Données projet'!$A$87:$I$107,4,0))</f>
        <v>0</v>
      </c>
      <c r="BM116" s="122" t="n">
        <f aca="false">IF(ISNA(VLOOKUP(A116,'Données projet'!$A$87:$I$107,5,0)),0%,VLOOKUP(A116,'Données projet'!$A$87:$I$107,5,0)*VLOOKUP('Données projet'!$B$11,Paramètres!$A$1:$I$89,7,0))</f>
        <v>0</v>
      </c>
      <c r="BN116" s="122" t="n">
        <f aca="false">IF(ISNA(VLOOKUP(A116,'Données projet'!$A$87:$I$107,6,0)),0%,VLOOKUP(A116,'Données projet'!$A$87:$I$107,6,0)*VLOOKUP('Données projet'!$B$11,Paramètres!$A$1:$I$89,7,0))</f>
        <v>0</v>
      </c>
      <c r="BO116" s="122" t="n">
        <f aca="false">IF(ISNA(VLOOKUP(A116,'Données projet'!$A$87:$I$107,7,0)),0%,VLOOKUP(A116,'Données projet'!$A$87:$I$107,7,0))</f>
        <v>0</v>
      </c>
      <c r="BP116" s="129" t="n">
        <f aca="false">EXP(-LN(2)/35)*BP115+(1-EXP(-LN(2)/35))/(LN(2)/35)*BL116*BM116*VLOOKUP('Données projet'!$B$11,Paramètres!$A$1:$I$89,3,0)*0.475*44/12</f>
        <v>1.66223424508459</v>
      </c>
      <c r="BQ116" s="129" t="n">
        <f aca="false">EXP(-LN(2)/25)*BQ115+(1-EXP(-LN(2)/25))/(LN(2)/25)*Calculateur!BL116*Calculateur!BN116*VLOOKUP('Données projet'!$B$11,Paramètres!$A$1:$I$89,3,0)*0.475*44/12</f>
        <v>1.35001107768045</v>
      </c>
      <c r="BR116" s="129" t="n">
        <f aca="false">EXP(-LN(2)/2)*BR115+(1-EXP(-LN(2)/2))/(LN(2)/2)*BL116*BO116*VLOOKUP('Données projet'!$B$11,Paramètres!$A$1:$I$89,3,0)*0.475*44/12</f>
        <v>1.94251457376436E-012</v>
      </c>
      <c r="BS116" s="130" t="n">
        <f aca="false">SUM(BP116:BR116)</f>
        <v>3.01224532276698</v>
      </c>
      <c r="BT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8" t="e">
        <f aca="false">VLOOKUP(A116,'Données projet'!$A$113:$I$133,2,0)</f>
        <v>#N/A</v>
      </c>
      <c r="BW116" s="118" t="e">
        <f aca="false">VLOOKUP(A116,'Données projet'!$A$113:$I$133,9,0)</f>
        <v>#N/A</v>
      </c>
      <c r="BX116" s="118" t="e">
        <f aca="false" t="array" ref="BX116:BX116">INDEX(BW:BW,MIN(IF(ISNUMBER(BW116:BW312),ROW(BW116:BW312),"")))</f>
        <v>#N/A</v>
      </c>
      <c r="BY116" s="118" t="n">
        <f aca="false">IF('Données projet'!$A$114&gt;35,BY115+BX116-CG115,IF(A116&lt;'Données projet'!$A$114,$BV$205^A116,IF(A116='Données projet'!$A$114,'Données projet'!$B$114,BY115+BX116-CG115)))</f>
        <v>0</v>
      </c>
      <c r="BZ116" s="117" t="n">
        <f aca="false">BY116*VLOOKUP('Données projet'!$B$12,Paramètres!$A$1:$I$89,3,0)*VLOOKUP('Données projet'!$B$12,Paramètres!$A$1:$I$89,5,0)</f>
        <v>0</v>
      </c>
      <c r="CA116" s="117" t="e">
        <f aca="false">EXP(-1.0587+0.8836*LN(BZ116)+0.284)</f>
        <v>#VALUE!</v>
      </c>
      <c r="CB116" s="128" t="e">
        <f aca="false">(BZ116+CA116)*0.475*44/12</f>
        <v>#VALUE!</v>
      </c>
      <c r="CC116" s="120" t="e">
        <f aca="false">CB116+(BT116+BU116)*44/12</f>
        <v>#VALUE!</v>
      </c>
      <c r="CD116" s="120" t="n">
        <f aca="true">AVERAGE(OFFSET($CC$3,0,0,'Données projet'!$E$12+1,1))-AVERAGE(OFFSET($H$3,0,0,'Données projet'!$E$12+1,1))</f>
        <v>240.228848647662</v>
      </c>
      <c r="CE116" s="120" t="n">
        <f aca="false">$CE$3</f>
        <v>343.237768841432</v>
      </c>
      <c r="CF116" s="121" t="n">
        <f aca="false">IF(ISNA(VLOOKUP(A116,'Données projet'!$A$113:$I$133,3,0)),0,VLOOKUP(A116,'Données projet'!$A$113:$I$133,3,0))</f>
        <v>0</v>
      </c>
      <c r="CG116" s="121" t="n">
        <f aca="false">IF(ISNA(VLOOKUP(A116,'Données projet'!$A$113:$I$133,4,0)),0,VLOOKUP(A116,'Données projet'!$A$113:$I$133,4,0))</f>
        <v>0</v>
      </c>
      <c r="CH116" s="122" t="n">
        <f aca="false">IF(ISNA(VLOOKUP(A116,'Données projet'!$A$113:$I$133,5,0)),0%,VLOOKUP(A116,'Données projet'!$A$113:$I$133,5,0)*VLOOKUP('Données projet'!$B$12,Paramètres!$A$1:$I$89,7,0))</f>
        <v>0</v>
      </c>
      <c r="CI116" s="122" t="n">
        <f aca="false">IF(ISNA(VLOOKUP(A116,'Données projet'!$A$113:$I$133,6,0)),0%,VLOOKUP(A116,'Données projet'!$A$113:$I$133,6,0)*VLOOKUP('Données projet'!$B$12,Paramètres!$A$1:$I$89,7,0))</f>
        <v>0</v>
      </c>
      <c r="CJ116" s="122" t="n">
        <f aca="false">IF(ISNA(VLOOKUP(A116,'Données projet'!$A$113:$I$133,7,0)),0%,VLOOKUP(A116,'Données projet'!$A$113:$I$133,7,0))</f>
        <v>0</v>
      </c>
      <c r="CK116" s="129" t="n">
        <f aca="false">EXP(-LN(2)/35)*CK115+(1-EXP(-LN(2)/35))/(LN(2)/35)*CG116*CH116*VLOOKUP('Données projet'!$B$12,Paramètres!$A$1:$I$89,3,0)*0.475*44/12</f>
        <v>1.01741685761267</v>
      </c>
      <c r="CL116" s="129" t="n">
        <f aca="false">EXP(-LN(2)/25)*CL115+(1-EXP(-LN(2)/25))/(LN(2)/25)*Calculateur!CG116*Calculateur!CI116*VLOOKUP('Données projet'!$B$12,Paramètres!$A$1:$I$89,3,0)*0.475*44/12</f>
        <v>2.38419771517198</v>
      </c>
      <c r="CM116" s="129" t="n">
        <f aca="false">EXP(-LN(2)/2)*CM115+(1-EXP(-LN(2)/2))/(LN(2)/2)*CG116*CJ116*VLOOKUP('Données projet'!$B$12,Paramètres!$A$1:$I$89,3,0)*0.475*44/12</f>
        <v>3.09973538563939E-012</v>
      </c>
      <c r="CN116" s="130" t="n">
        <f aca="false">SUM(CK116:CM116)</f>
        <v>3.40161457278775</v>
      </c>
      <c r="CO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8" t="e">
        <f aca="false">VLOOKUP(A116,'Données projet'!$A$139:$I$159,2,0)</f>
        <v>#N/A</v>
      </c>
      <c r="CR116" s="118" t="e">
        <f aca="false">VLOOKUP(A116,'Données projet'!$A$139:$I$159,9,0)</f>
        <v>#N/A</v>
      </c>
      <c r="CS116" s="118" t="e">
        <f aca="false" t="array" ref="CS116:CS116">INDEX(CR:CR,MIN(IF(ISNUMBER(CR116:CR312),ROW(CR116:CR312),"")))</f>
        <v>#N/A</v>
      </c>
      <c r="CT116" s="118" t="n">
        <f aca="false">IF('Données projet'!$A$140&gt;35,CT115+CS116-DB115,IF(A116&lt;'Données projet'!$A$140,$CQ$205^A116,IF(A116='Données projet'!$A$140,'Données projet'!$B$140,CT115+CS116-DB115)))</f>
        <v>-5.6843418860808E-014</v>
      </c>
      <c r="CU116" s="125" t="n">
        <f aca="false">CT116*VLOOKUP('Données projet'!$B$13,Paramètres!$A$1:$I$89,3,0)*VLOOKUP('Données projet'!$B$13,Paramètres!$A$1:$I$89,5,0)</f>
        <v>-3.10365066980012E-014</v>
      </c>
      <c r="CV116" s="117" t="e">
        <f aca="false">EXP(-1.0587+0.8836*LN(CU116)+0.284)</f>
        <v>#VALUE!</v>
      </c>
      <c r="CW116" s="128" t="e">
        <f aca="false">(CU116+CV116)*0.475*44/12</f>
        <v>#VALUE!</v>
      </c>
      <c r="CX116" s="120" t="e">
        <f aca="false">CW116+(CO116+CP116)*44/12</f>
        <v>#VALUE!</v>
      </c>
      <c r="CY116" s="120" t="n">
        <f aca="true">AVERAGE(OFFSET($CX$3,0,0,'Données projet'!$E$13+1,1))-AVERAGE(OFFSET($H$3,0,0,'Données projet'!$E$13+1,1))</f>
        <v>207.023069645676</v>
      </c>
      <c r="CZ116" s="120" t="n">
        <f aca="false">$CZ$3</f>
        <v>342.068879333518</v>
      </c>
      <c r="DA116" s="121" t="n">
        <f aca="false">IF(ISNA(VLOOKUP(A116,'Données projet'!$A$139:$I$159,3,0)),0,VLOOKUP(A116,'Données projet'!$A$139:$I$159,3,0))</f>
        <v>0</v>
      </c>
      <c r="DB116" s="121" t="n">
        <f aca="false">IF(ISNA(VLOOKUP(A116,'Données projet'!$A$139:$I$159,4,0)),0,VLOOKUP(A116,'Données projet'!$A$139:$I$159,4,0))</f>
        <v>0</v>
      </c>
      <c r="DC116" s="122" t="n">
        <f aca="false">IF(ISNA(VLOOKUP(A116,'Données projet'!$A$139:$I$159,5,0)),0%,VLOOKUP(A116,'Données projet'!$A$139:$I$159,5,0)*VLOOKUP('Données projet'!$B$13,Paramètres!$A$1:$I$89,7,0))</f>
        <v>0</v>
      </c>
      <c r="DD116" s="122" t="n">
        <f aca="false">IF(ISNA(VLOOKUP(A116,'Données projet'!$A$139:$I$159,6,0)),0%,VLOOKUP(A116,'Données projet'!$A$139:$I$159,6,0)*VLOOKUP('Données projet'!$B$13,Paramètres!$A$1:$I$89,7,0))</f>
        <v>0</v>
      </c>
      <c r="DE116" s="122" t="n">
        <f aca="false">IF(ISNA(VLOOKUP(A116,'Données projet'!$A$139:$I$159,7,0)),0%,VLOOKUP(A116,'Données projet'!$A$139:$I$159,7,0))</f>
        <v>0</v>
      </c>
      <c r="DF116" s="129" t="n">
        <f aca="false">EXP(-LN(2)/35)*DF115+(1-EXP(-LN(2)/35))/(LN(2)/35)*DB116*DC116*VLOOKUP('Données projet'!$B$13,Paramètres!$A$1:$I$89,3,0)*0.475*44/12</f>
        <v>1.27657020813665</v>
      </c>
      <c r="DG116" s="129" t="n">
        <f aca="false">EXP(-LN(2)/25)*DG115+(1-EXP(-LN(2)/25))/(LN(2)/25)*Calculateur!DB116*Calculateur!DD116*VLOOKUP('Données projet'!$B$13,Paramètres!$A$1:$I$89,3,0)*0.475*44/12</f>
        <v>3.8971702725976</v>
      </c>
      <c r="DH116" s="129" t="n">
        <f aca="false">EXP(-LN(2)/2)*DH115+(1-EXP(-LN(2)/2))/(LN(2)/2)*DB116*DE116*VLOOKUP('Données projet'!$B$13,Paramètres!$A$1:$I$89,3,0)*0.475*44/12</f>
        <v>4.26833706314084E-012</v>
      </c>
      <c r="DI116" s="130" t="n">
        <f aca="false">SUM(DF116:DH116)</f>
        <v>5.17374048073852</v>
      </c>
      <c r="DJ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8" t="e">
        <f aca="false">VLOOKUP(A116,'Données projet'!$A$165:$I$185,2,0)</f>
        <v>#N/A</v>
      </c>
      <c r="DM116" s="118" t="e">
        <f aca="false">VLOOKUP(A116,'Données projet'!$A$165:$I$185,9,0)</f>
        <v>#N/A</v>
      </c>
      <c r="DN116" s="118" t="e">
        <f aca="false" t="array" ref="DN116:DN116">INDEX(DM:DM,MIN(IF(ISNUMBER(DM116:DM312),ROW(DM116:DM312),"")))</f>
        <v>#N/A</v>
      </c>
      <c r="DO116" s="118" t="n">
        <f aca="false">IF('Données projet'!$A$166&gt;35,DO115+DN116-DW115,IF(A116&lt;'Données projet'!$A$166,$DL$205^A116,IF(A116='Données projet'!$A$166,'Données projet'!$B$166,DO115+DN116-DW115)))</f>
        <v>0</v>
      </c>
      <c r="DP116" s="125" t="n">
        <f aca="false">DO116*VLOOKUP('Données projet'!$B$14,Paramètres!$A$1:$I$89,3,0)*VLOOKUP('Données projet'!$B$14,Paramètres!$A$1:$I$89,5,0)</f>
        <v>0</v>
      </c>
      <c r="DQ116" s="117" t="e">
        <f aca="false">EXP(-1.0587+0.8836*LN(DP116)+0.284)</f>
        <v>#VALUE!</v>
      </c>
      <c r="DR116" s="128" t="e">
        <f aca="false">(DP116+DQ116)*0.475*44/12</f>
        <v>#VALUE!</v>
      </c>
      <c r="DS116" s="120" t="e">
        <f aca="false">DR116+(DJ116+DK116)*44/12</f>
        <v>#VALUE!</v>
      </c>
      <c r="DT116" s="120" t="n">
        <f aca="true">AVERAGE(OFFSET($DS$3,0,0,'Données projet'!$E$14+1,1))-AVERAGE(OFFSET($H$3,0,0,'Données projet'!$E$14+1,1))</f>
        <v>549.432320957297</v>
      </c>
      <c r="DU116" s="120" t="n">
        <f aca="false">$DU$3</f>
        <v>280.26155987301</v>
      </c>
      <c r="DV116" s="121" t="n">
        <f aca="false">IF(ISNA(VLOOKUP(A116,'Données projet'!$A$165:$I$185,3,0)),0,VLOOKUP(A116,'Données projet'!$A$165:$I$185,3,0))</f>
        <v>0</v>
      </c>
      <c r="DW116" s="121" t="n">
        <f aca="false">IF(ISNA(VLOOKUP(A116,'Données projet'!$A$165:$I$185,4,0)),0,VLOOKUP(A116,'Données projet'!$A$165:$I$185,4,0))</f>
        <v>0</v>
      </c>
      <c r="DX116" s="122" t="n">
        <f aca="false">IF(ISNA(VLOOKUP(A116,'Données projet'!$A$165:$I$185,5,0)),0%,VLOOKUP(A116,'Données projet'!$A$165:$I$185,5,0)*VLOOKUP('Données projet'!$B$14,Paramètres!$A$1:$I$89,7,0))</f>
        <v>0</v>
      </c>
      <c r="DY116" s="122" t="n">
        <f aca="false">IF(ISNA(VLOOKUP(A116,'Données projet'!$A$165:$I$185,6,0)),0%,VLOOKUP(A116,'Données projet'!$A$165:$I$185,6,0)*VLOOKUP('Données projet'!$B$14,Paramètres!$A$1:$I$89,7,0))</f>
        <v>0</v>
      </c>
      <c r="DZ116" s="122" t="n">
        <f aca="false">IF(ISNA(VLOOKUP(A116,'Données projet'!$A$165:$I$185,7,0)),0%,VLOOKUP(A116,'Données projet'!$A$165:$I$185,7,0))</f>
        <v>0</v>
      </c>
      <c r="EA116" s="129" t="n">
        <f aca="false">EXP(-LN(2)/35)*EA115+(1-EXP(-LN(2)/35))/(LN(2)/35)*DW116*DX116*VLOOKUP('Données projet'!$B$14,Paramètres!$A$1:$I$89,3,0)*0.475*44/12</f>
        <v>0.464159504246767</v>
      </c>
      <c r="EB116" s="129" t="n">
        <f aca="false">EXP(-LN(2)/25)*EB115+(1-EXP(-LN(2)/25))/(LN(2)/25)*Calculateur!DW116*Calculateur!DY116*VLOOKUP('Données projet'!$B$14,Paramètres!$A$1:$I$89,3,0)*0.475*44/12</f>
        <v>0.776393208119483</v>
      </c>
      <c r="EC116" s="129" t="n">
        <f aca="false">EXP(-LN(2)/2)*EC115+(1-EXP(-LN(2)/2))/(LN(2)/2)*DW116*DZ116*VLOOKUP('Données projet'!$B$14,Paramètres!$A$1:$I$89,3,0)*0.475*44/12</f>
        <v>1.96761540196581E-012</v>
      </c>
      <c r="ED116" s="130" t="n">
        <f aca="false">SUM(EA116:EC116)</f>
        <v>1.24055271236822</v>
      </c>
      <c r="EE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8" t="e">
        <f aca="false">VLOOKUP(A116,'Données projet'!$A$191:$I$211,2,0)</f>
        <v>#N/A</v>
      </c>
      <c r="EH116" s="118" t="e">
        <f aca="false">VLOOKUP(A116,'Données projet'!$A$191:$I$211,9,0)</f>
        <v>#N/A</v>
      </c>
      <c r="EI116" s="118" t="e">
        <f aca="false" t="array" ref="EI116:EI116">INDEX(EH:EH,MIN(IF(ISNUMBER(EH116:EH312),ROW(EH116:EH312),"")))</f>
        <v>#N/A</v>
      </c>
      <c r="EJ116" s="118" t="n">
        <f aca="false">IF('Données projet'!$A$192&gt;35,EJ115+EI116-ER115,IF(A116&lt;'Données projet'!$A$192,$EG$205^A116,IF(A116='Données projet'!$A$192,'Données projet'!$B$192,EJ115+EI116-ER115)))</f>
        <v>0</v>
      </c>
      <c r="EK116" s="125" t="e">
        <f aca="false">EJ116*VLOOKUP('Données projet'!$B$15,Paramètres!$A$1:$I$89,3,0)*VLOOKUP('Données projet'!$B$15,Paramètres!$A$1:$I$89,5,0)</f>
        <v>#N/A</v>
      </c>
      <c r="EL116" s="117" t="e">
        <f aca="false">EXP(-1.0587+0.8836*LN(EK116)+0.284)</f>
        <v>#N/A</v>
      </c>
      <c r="EM116" s="128" t="e">
        <f aca="false">(EK116+EL116)*0.475*44/12</f>
        <v>#N/A</v>
      </c>
      <c r="EN116" s="120" t="e">
        <f aca="false">EM116+(EE116+EF116)*44/12</f>
        <v>#N/A</v>
      </c>
      <c r="EO116" s="120" t="e">
        <f aca="true">AVERAGE(OFFSET($EN$3,0,0,'Données projet'!$E$15+1,1))-AVERAGE(OFFSET($H$3,0,0,'Données projet'!$E$15+1,1))</f>
        <v>#N/A</v>
      </c>
      <c r="EP116" s="120" t="e">
        <f aca="false">$EP$3</f>
        <v>#N/A</v>
      </c>
      <c r="EQ116" s="121" t="n">
        <f aca="false">IF(ISNA(VLOOKUP(A116,'Données projet'!$A$191:$I$211,3,0)),0,VLOOKUP(A116,'Données projet'!$A$191:$I$211,3,0))</f>
        <v>0</v>
      </c>
      <c r="ER116" s="121" t="n">
        <f aca="false">IF(ISNA(VLOOKUP(A116,'Données projet'!$A$191:$I$211,4,0)),0,VLOOKUP(A116,'Données projet'!$A$191:$I$211,4,0))</f>
        <v>0</v>
      </c>
      <c r="ES116" s="122" t="n">
        <f aca="false">IF(ISNA(VLOOKUP(A116,'Données projet'!$A$191:$I$211,5,0)),0%,VLOOKUP(A116,'Données projet'!$A$191:$I$211,5,0)*VLOOKUP('Données projet'!$B$15,Paramètres!$A$1:$I$89,7,0))</f>
        <v>0</v>
      </c>
      <c r="ET116" s="122" t="n">
        <f aca="false">IF(ISNA(VLOOKUP(A116,'Données projet'!$A$191:$I$211,6,0)),0%,VLOOKUP(A116,'Données projet'!$A$191:$I$211,6,0)*VLOOKUP('Données projet'!$B$15,Paramètres!$A$1:$I$89,7,0))</f>
        <v>0</v>
      </c>
      <c r="EU116" s="122" t="n">
        <f aca="false">IF(ISNA(VLOOKUP(A116,'Données projet'!$A$191:$I$211,7,0)),0%,VLOOKUP(A116,'Données projet'!$A$191:$I$211,7,0))</f>
        <v>0</v>
      </c>
      <c r="EV116" s="129" t="e">
        <f aca="false">EXP(-LN(2)/35)*EV115+(1-EXP(-LN(2)/35))/(LN(2)/35)*ER116*ES116*VLOOKUP('Données projet'!$B$15,Paramètres!$A$1:$I$89,3,0)*0.475*44/12</f>
        <v>#N/A</v>
      </c>
      <c r="EW116" s="129" t="e">
        <f aca="false">EXP(-LN(2)/25)*EW115+(1-EXP(-LN(2)/25))/(LN(2)/25)*Calculateur!ER116*Calculateur!ET116*VLOOKUP('Données projet'!$B$15,Paramètres!$A$1:$I$89,3,0)*0.475*44/12</f>
        <v>#N/A</v>
      </c>
      <c r="EX116" s="129" t="e">
        <f aca="false">EXP(-LN(2)/2)*EX115+(1-EXP(-LN(2)/2))/(LN(2)/2)*ER116*EU116*VLOOKUP('Données projet'!$B$15,Paramètres!$A$1:$I$89,3,0)*0.475*44/12</f>
        <v>#N/A</v>
      </c>
      <c r="EY116" s="130" t="e">
        <f aca="false">SUM(EV116:EX116)</f>
        <v>#N/A</v>
      </c>
      <c r="EZ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8" t="e">
        <f aca="false">VLOOKUP(A116,'Données projet'!$A$217:$I$237,2,0)</f>
        <v>#N/A</v>
      </c>
      <c r="FC116" s="118" t="e">
        <f aca="false">VLOOKUP(A116,'Données projet'!$A$217:$I$237,9,0)</f>
        <v>#N/A</v>
      </c>
      <c r="FD116" s="118" t="e">
        <f aca="false" t="array" ref="FD116:FD116">INDEX(FC:FC,MIN(IF(ISNUMBER(FC116:FC312),ROW(FC116:FC312),"")))</f>
        <v>#N/A</v>
      </c>
      <c r="FE116" s="118" t="n">
        <f aca="false">IF('Données projet'!$A$218&gt;35,FE115+FD116-FM115,IF(A116&lt;'Données projet'!$A$218,$FB$205^A116,IF(A116='Données projet'!$A$218,'Données projet'!$B$218,FE115+FD116-FM115)))</f>
        <v>0</v>
      </c>
      <c r="FF116" s="125" t="e">
        <f aca="false">FE116*VLOOKUP('Données projet'!$B$16,Paramètres!$A$1:$I$89,3,0)*VLOOKUP('Données projet'!$B$16,Paramètres!$A$1:$I$89,5,0)</f>
        <v>#N/A</v>
      </c>
      <c r="FG116" s="117" t="e">
        <f aca="false">EXP(-1.0587+0.8836*LN(FF116)+0.284)</f>
        <v>#N/A</v>
      </c>
      <c r="FH116" s="128" t="e">
        <f aca="false">(FF116+FG116)*0.475*44/12</f>
        <v>#N/A</v>
      </c>
      <c r="FI116" s="120" t="e">
        <f aca="false">FH116+(EZ116+FA116)*44/12</f>
        <v>#N/A</v>
      </c>
      <c r="FJ116" s="120" t="e">
        <f aca="true">AVERAGE(OFFSET($FI$3,0,0,'Données projet'!$E$16+1,1))-AVERAGE(OFFSET($H$3,0,0,'Données projet'!$E$16+1,1))</f>
        <v>#N/A</v>
      </c>
      <c r="FK116" s="120" t="e">
        <f aca="false">$FK$3</f>
        <v>#N/A</v>
      </c>
      <c r="FL116" s="121" t="n">
        <f aca="false">IF(ISNA(VLOOKUP(A116,'Données projet'!$A$217:$I$237,3,0)),0,VLOOKUP(A116,'Données projet'!$A$217:$I$237,3,0))</f>
        <v>0</v>
      </c>
      <c r="FM116" s="121" t="n">
        <f aca="false">IF(ISNA(VLOOKUP(A116,'Données projet'!$A$217:$I$237,4,0)),0,VLOOKUP(A116,'Données projet'!$A$217:$I$237,4,0))</f>
        <v>0</v>
      </c>
      <c r="FN116" s="122" t="n">
        <f aca="false">IF(ISNA(VLOOKUP(A116,'Données projet'!$A$217:$I$237,5,0)),0%,VLOOKUP(A116,'Données projet'!$A$217:$I$237,5,0)*VLOOKUP('Données projet'!$B$16,Paramètres!$A$1:$I$89,7,0))</f>
        <v>0</v>
      </c>
      <c r="FO116" s="122" t="n">
        <f aca="false">IF(ISNA(VLOOKUP(A116,'Données projet'!$A$217:$I$237,6,0)),0%,VLOOKUP(A116,'Données projet'!$A$217:$I$237,6,0)*VLOOKUP('Données projet'!$B$16,Paramètres!$A$1:$I$89,7,0))</f>
        <v>0</v>
      </c>
      <c r="FP116" s="122" t="n">
        <f aca="false">IF(ISNA(VLOOKUP(A116,'Données projet'!$A$217:$I$237,7,0)),0%,VLOOKUP(A116,'Données projet'!$A$217:$I$237,7,0))</f>
        <v>0</v>
      </c>
      <c r="FQ116" s="129" t="e">
        <f aca="false">EXP(-LN(2)/35)*FQ115+(1-EXP(-LN(2)/35))/(LN(2)/35)*FM116*FN116*VLOOKUP('Données projet'!$B$16,Paramètres!$A$1:$I$89,3,0)*0.475*44/12</f>
        <v>#N/A</v>
      </c>
      <c r="FR116" s="129" t="e">
        <f aca="false">EXP(-LN(2)/25)*FR115+(1-EXP(-LN(2)/25))/(LN(2)/25)*Calculateur!FM116*Calculateur!FO116*VLOOKUP('Données projet'!$B$16,Paramètres!$A$1:$I$89,3,0)*0.475*44/12</f>
        <v>#N/A</v>
      </c>
      <c r="FS116" s="129" t="e">
        <f aca="false">EXP(-LN(2)/2)*FS115+(1-EXP(-LN(2)/2))/(LN(2)/2)*FM116*FP116*VLOOKUP('Données projet'!$B$16,Paramètres!$A$1:$I$89,3,0)*0.475*44/12</f>
        <v>#N/A</v>
      </c>
      <c r="FT116" s="130" t="e">
        <f aca="false">SUM(FQ116:FS116)</f>
        <v>#N/A</v>
      </c>
      <c r="FU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8" t="e">
        <f aca="false">VLOOKUP(A116,'Données projet'!$A$243:$I$263,2,0)</f>
        <v>#N/A</v>
      </c>
      <c r="FX116" s="118" t="e">
        <f aca="false">VLOOKUP(A116,'Données projet'!$A$243:$I$263,9,0)</f>
        <v>#N/A</v>
      </c>
      <c r="FY116" s="118" t="e">
        <f aca="false" t="array" ref="FY116:FY116">INDEX(FX:FX,MIN(IF(ISNUMBER(FX116:FX312),ROW(FX116:FX312),"")))</f>
        <v>#N/A</v>
      </c>
      <c r="FZ116" s="118" t="n">
        <f aca="false">IF('Données projet'!$A$244&gt;35,FZ115+FY116-GH115,IF(A116&lt;'Données projet'!$A$244,$FW$205^A116,IF(A116='Données projet'!$A$244,'Données projet'!$B$244,FZ115+FY116-GH115)))</f>
        <v>0</v>
      </c>
      <c r="GA116" s="125" t="e">
        <f aca="false">FZ116*VLOOKUP('Données projet'!$B$17,Paramètres!$A$1:$I$89,3,0)*VLOOKUP('Données projet'!$B$17,Paramètres!$A$1:$I$89,5,0)</f>
        <v>#N/A</v>
      </c>
      <c r="GB116" s="117" t="e">
        <f aca="false">EXP(-1.0587+0.8836*LN(GA116)+0.284)</f>
        <v>#N/A</v>
      </c>
      <c r="GC116" s="128" t="e">
        <f aca="false">(GA116+GB116)*0.475*44/12</f>
        <v>#N/A</v>
      </c>
      <c r="GD116" s="120" t="e">
        <f aca="false">GC116+(FU116+FV116)*44/12</f>
        <v>#N/A</v>
      </c>
      <c r="GE116" s="120" t="e">
        <f aca="true">AVERAGE(OFFSET($GD$3,0,0,'Données projet'!$E$17+1,1))-AVERAGE(OFFSET($H$3,0,0,'Données projet'!$E$17+1,1))</f>
        <v>#N/A</v>
      </c>
      <c r="GF116" s="120" t="e">
        <f aca="false">$GF$3</f>
        <v>#N/A</v>
      </c>
      <c r="GG116" s="121" t="n">
        <f aca="false">IF(ISNA(VLOOKUP(A116,'Données projet'!$A$243:$I$263,3,0)),0,VLOOKUP(A116,'Données projet'!$A$243:$I$263,3,0))</f>
        <v>0</v>
      </c>
      <c r="GH116" s="121" t="n">
        <f aca="false">IF(ISNA(VLOOKUP(A116,'Données projet'!$A$243:$I$263,4,0)),0,VLOOKUP(A116,'Données projet'!$A$243:$I$263,4,0))</f>
        <v>0</v>
      </c>
      <c r="GI116" s="122" t="n">
        <f aca="false">IF(ISNA(VLOOKUP(A116,'Données projet'!$A$243:$I$263,5,0)),0%,VLOOKUP(A116,'Données projet'!$A$243:$I$263,5,0)*VLOOKUP('Données projet'!$B$17,Paramètres!$A$1:$I$89,7,0))</f>
        <v>0</v>
      </c>
      <c r="GJ116" s="122" t="n">
        <f aca="false">IF(ISNA(VLOOKUP(A116,'Données projet'!$A$243:$I$263,6,0)),0%,VLOOKUP(A116,'Données projet'!$A$243:$I$263,6,0)*VLOOKUP('Données projet'!$B$17,Paramètres!$A$1:$I$89,7,0))</f>
        <v>0</v>
      </c>
      <c r="GK116" s="122" t="n">
        <f aca="false">IF(ISNA(VLOOKUP(A116,'Données projet'!$A$243:$I$263,7,0)),0%,VLOOKUP(A116,'Données projet'!$A$243:$I$263,7,0))</f>
        <v>0</v>
      </c>
      <c r="GL116" s="129" t="e">
        <f aca="false">EXP(-LN(2)/35)*GL115+(1-EXP(-LN(2)/35))/(LN(2)/35)*GH116*GI116*VLOOKUP('Données projet'!$B$17,Paramètres!$A$1:$I$89,3,0)*0.475*44/12</f>
        <v>#N/A</v>
      </c>
      <c r="GM116" s="129" t="e">
        <f aca="false">EXP(-LN(2)/25)*GM115+(1-EXP(-LN(2)/25))/(LN(2)/25)*Calculateur!GH116*Calculateur!GJ116*VLOOKUP('Données projet'!$B$17,Paramètres!$A$1:$I$89,3,0)*0.475*44/12</f>
        <v>#N/A</v>
      </c>
      <c r="GN116" s="129" t="e">
        <f aca="false">EXP(-LN(2)/2)*GN115+(1-EXP(-LN(2)/2))/(LN(2)/2)*GH116*GK116*VLOOKUP('Données projet'!$B$17,Paramètres!$A$1:$I$89,3,0)*0.475*44/12</f>
        <v>#N/A</v>
      </c>
      <c r="GO116" s="129" t="e">
        <f aca="false">SUM(GL116:GN116)</f>
        <v>#N/A</v>
      </c>
      <c r="GP116" s="126" t="n">
        <f aca="false"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8" t="n">
        <f aca="false"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8" t="e">
        <f aca="false">VLOOKUP(A116,'Données projet'!$A$269:$I$289,2,0)</f>
        <v>#N/A</v>
      </c>
      <c r="GS116" s="118" t="e">
        <f aca="false">VLOOKUP(A116,'Données projet'!$A$269:$I$289,9,0)</f>
        <v>#N/A</v>
      </c>
      <c r="GT116" s="118" t="e">
        <f aca="false" t="array" ref="GT116:GT116">INDEX(GS:GS,MIN(IF(ISNUMBER(GS116:GS312),ROW(GS116:GS312),"")))</f>
        <v>#N/A</v>
      </c>
      <c r="GU116" s="118" t="n">
        <f aca="false">IF('Données projet'!$A$270&gt;35,GU115+GT116-HC115,IF(A116&lt;'Données projet'!$A$270,$GR$205^A116,IF(A116='Données projet'!$A$270,'Données projet'!$B$270,GU115+GT116-HC115)))</f>
        <v>0</v>
      </c>
      <c r="GV116" s="125" t="e">
        <f aca="false">GU116*VLOOKUP('Données projet'!$B$18,Paramètres!$A$1:$I$89,3,0)*VLOOKUP('Données projet'!$B$18,Paramètres!$A$1:$I$89,5,0)</f>
        <v>#N/A</v>
      </c>
      <c r="GW116" s="117" t="e">
        <f aca="false">EXP(-1.0587+0.8836*LN(GV116)+0.284)</f>
        <v>#N/A</v>
      </c>
      <c r="GX116" s="128" t="e">
        <f aca="false">(GV116+GW116)*0.475*44/12</f>
        <v>#N/A</v>
      </c>
      <c r="GY116" s="120" t="e">
        <f aca="false">GX116+(GP116+GQ116)*44/12</f>
        <v>#N/A</v>
      </c>
      <c r="GZ116" s="120" t="e">
        <f aca="true">AVERAGE(OFFSET($GY$3,0,0,'Données projet'!$E$18+1,1))-AVERAGE(OFFSET($H$3,0,0,'Données projet'!$E$18+1,1))</f>
        <v>#N/A</v>
      </c>
      <c r="HA116" s="120" t="e">
        <f aca="false">$HA$3</f>
        <v>#N/A</v>
      </c>
      <c r="HB116" s="121" t="n">
        <f aca="false">IF(ISNA(VLOOKUP(A116,'Données projet'!$A$269:$I$289,3,0)),0,VLOOKUP(A116,'Données projet'!$A$269:$I$289,3,0))</f>
        <v>0</v>
      </c>
      <c r="HC116" s="121" t="n">
        <f aca="false">IF(ISNA(VLOOKUP(A116,'Données projet'!$A$269:$I$289,4,0)),0,VLOOKUP(A116,'Données projet'!$A$269:$I$289,4,0))</f>
        <v>0</v>
      </c>
      <c r="HD116" s="122" t="n">
        <f aca="false">IF(ISNA(VLOOKUP(A116,'Données projet'!$A$269:$I$289,5,0)),0%,VLOOKUP(A116,'Données projet'!$A$269:$I$289,5,0)*VLOOKUP('Données projet'!$B$18,Paramètres!$A$1:$I$89,7,0))</f>
        <v>0</v>
      </c>
      <c r="HE116" s="122" t="n">
        <f aca="false">IF(ISNA(VLOOKUP(A116,'Données projet'!$A$269:$I$289,6,0)),0%,VLOOKUP(A116,'Données projet'!$A$269:$I$289,6,0)*VLOOKUP('Données projet'!$B$18,Paramètres!$A$1:$I$89,7,0))</f>
        <v>0</v>
      </c>
      <c r="HF116" s="122" t="n">
        <f aca="false">IF(ISNA(VLOOKUP(A116,'Données projet'!$A$269:$I$289,7,0)),0%,VLOOKUP(A116,'Données projet'!$A$269:$I$289,7,0))</f>
        <v>0</v>
      </c>
      <c r="HG116" s="129" t="e">
        <f aca="false">EXP(-LN(2)/35)*HG115+(1-EXP(-LN(2)/35))/(LN(2)/35)*HC116*HD116*VLOOKUP('Données projet'!$B$18,Paramètres!$A$1:$I$89,3,0)*0.475*44/12</f>
        <v>#N/A</v>
      </c>
      <c r="HH116" s="129" t="e">
        <f aca="false">EXP(-LN(2)/25)*HH115+(1-EXP(-LN(2)/25))/(LN(2)/25)*Calculateur!HC116*Calculateur!HE116*VLOOKUP('Données projet'!$B$18,Paramètres!$A$1:$I$89,3,0)*0.475*44/12</f>
        <v>#N/A</v>
      </c>
      <c r="HI116" s="129" t="e">
        <f aca="false">EXP(-LN(2)/2)*HI115+(1-EXP(-LN(2)/2))/(LN(2)/2)*HC116*HF116*VLOOKUP('Données projet'!$B$18,Paramètres!$A$1:$I$89,3,0)*0.475*44/12</f>
        <v>#N/A</v>
      </c>
      <c r="HJ116" s="130" t="e">
        <f aca="false">SUM(HG116:HI116)</f>
        <v>#N/A</v>
      </c>
    </row>
    <row r="117" customFormat="false" ht="14.25" hidden="false" customHeight="false" outlineLevel="0" collapsed="false">
      <c r="A117" s="112" t="n">
        <f aca="false">A116+1</f>
        <v>114</v>
      </c>
      <c r="B117" s="113" t="n">
        <f aca="false">'Scénario référence'!$B$16*5+'Scénario référence'!$B$17*0+'Scénario référence'!$B$18*5</f>
        <v>0</v>
      </c>
      <c r="C117" s="127" t="n">
        <f aca="false"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4" t="n">
        <f aca="false">IFERROR(EXP(-1.0587+0.8836*LN(C117)+0.284),0)</f>
        <v>0</v>
      </c>
      <c r="E11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7" s="114" t="n">
        <f aca="false">IF(OR('Scénario référence'!$F$8&gt;0,'Scénario référence'!$F$9&gt;0),('Scénario référence'!$F$8+'Scénario référence'!$F$9)*10,0)</f>
        <v>0</v>
      </c>
      <c r="G117" s="114" t="n">
        <f aca="false"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15" t="n">
        <f aca="false">(B117+E117+F117)*44/12+(C117+D117)*0.475*44/12</f>
        <v>256.666666666667</v>
      </c>
      <c r="I117" s="11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7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8" t="e">
        <f aca="false">VLOOKUP(A117,'Données projet'!$A$35:$I$55,2,0)</f>
        <v>#N/A</v>
      </c>
      <c r="L117" s="118" t="e">
        <f aca="false">VLOOKUP(A117,'Données projet'!$A$35:$I$55,9,0)</f>
        <v>#N/A</v>
      </c>
      <c r="M117" s="118" t="e">
        <f aca="false" t="array" ref="M117:M117">INDEX(L:L,MIN(IF(ISNUMBER(L117:L313),ROW(L117:L313),"")))</f>
        <v>#N/A</v>
      </c>
      <c r="N117" s="117" t="n">
        <f aca="false">IF('Données projet'!$A$36&gt;35,N116+M117-V116,IF(A117&lt;'Données projet'!$A$36,$K$205^A117,IF(A117='Données projet'!$A$36,'Données projet'!$B$36,N116+M117-V116)))</f>
        <v>-1.13686837721616E-013</v>
      </c>
      <c r="O117" s="117" t="n">
        <f aca="false">N117*VLOOKUP('Données projet'!$B$9,Paramètres!$A$1:$I$89,3,0)*VLOOKUP('Données projet'!$B$9,Paramètres!$A$1:$I$89,5,0)</f>
        <v>-5.32054400537163E-014</v>
      </c>
      <c r="P117" s="117" t="e">
        <f aca="false">EXP(-1.0587+0.8836*LN(O117)+0.284)</f>
        <v>#VALUE!</v>
      </c>
      <c r="Q117" s="128" t="e">
        <f aca="false">(O117+P117)*0.475*44/12</f>
        <v>#VALUE!</v>
      </c>
      <c r="R117" s="120" t="e">
        <f aca="false">Q117+(I117+J117)*44/12</f>
        <v>#VALUE!</v>
      </c>
      <c r="S117" s="120" t="n">
        <f aca="true">AVERAGE(OFFSET($R$3,0,0,'Données projet'!$E$9+1,1))-AVERAGE(OFFSET($H$3,0,0,'Données projet'!$E$9+1,1))</f>
        <v>319.229030946746</v>
      </c>
      <c r="T117" s="120" t="n">
        <f aca="false">$T$3</f>
        <v>254.586909731428</v>
      </c>
      <c r="U117" s="121" t="n">
        <f aca="false">IF(ISNA(VLOOKUP(A117,'Données projet'!$A$35:$I$55,3,0)),0,VLOOKUP(A117,'Données projet'!$A$35:$I$55,3,0))</f>
        <v>0</v>
      </c>
      <c r="V117" s="121" t="n">
        <f aca="false">IF(ISNA(VLOOKUP(A117,'Données projet'!$A$35:$I$55,4,0)),0,VLOOKUP(A117,'Données projet'!$A$35:$I$55,4,0))</f>
        <v>0</v>
      </c>
      <c r="W117" s="122" t="n">
        <f aca="false">IF(ISNA(VLOOKUP(A117,'Données projet'!$A$35:$I$55,5,0)),0%,VLOOKUP(A117,'Données projet'!$A$35:$I$55,5,0)*VLOOKUP('Données projet'!$B$9,Paramètres!$A$1:$I$89,7,0))</f>
        <v>0</v>
      </c>
      <c r="X117" s="122" t="n">
        <f aca="false">IF(ISNA(VLOOKUP(A117,'Données projet'!$A$35:$I$55,6,0)),0%,VLOOKUP(A117,'Données projet'!$A$35:$I$55,6,0)*VLOOKUP('Données projet'!$B$9,Paramètres!$A$1:$I$89,7,0))</f>
        <v>0</v>
      </c>
      <c r="Y117" s="122" t="n">
        <f aca="false">IF(ISNA(VLOOKUP(A117,'Données projet'!$A$35:$I$55,7,0)),0%,VLOOKUP(A117,'Données projet'!$A$35:$I$55,7,0))</f>
        <v>0</v>
      </c>
      <c r="Z117" s="129" t="n">
        <f aca="false">EXP(-LN(2)/35)*Z116+(1-EXP(-LN(2)/35))/(LN(2)/35)*V117*W117*VLOOKUP('Données projet'!$B$9,Paramètres!$A$1:$I$89,3,0)*0.475*44/12</f>
        <v>1.71961211086678</v>
      </c>
      <c r="AA117" s="129" t="n">
        <f aca="false">EXP(-LN(2)/25)*AA116+(1-EXP(-LN(2)/25))/(LN(2)/25)*Calculateur!V117*Calculateur!X117*VLOOKUP('Données projet'!$B$9,Paramètres!$A$1:$I$89,3,0)*0.475*44/12</f>
        <v>1.08608921616211</v>
      </c>
      <c r="AB117" s="129" t="n">
        <f aca="false">EXP(-LN(2)/2)*AB116+(1-EXP(-LN(2)/2))/(LN(2)/2)*V117*Y117*VLOOKUP('Données projet'!$B$9,Paramètres!$A$1:$I$89,3,0)*0.475*44/12</f>
        <v>2.51091674808741E-012</v>
      </c>
      <c r="AC117" s="130" t="n">
        <f aca="false">SUM(Z117:AB117)</f>
        <v>2.8057013270314</v>
      </c>
      <c r="AD117" s="117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7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8" t="e">
        <f aca="false">VLOOKUP(A117,'Données projet'!$A$61:$I$81,2,0)</f>
        <v>#N/A</v>
      </c>
      <c r="AG117" s="118" t="e">
        <f aca="false">VLOOKUP(A117,'Données projet'!$A$61:$I$81,9,0)</f>
        <v>#N/A</v>
      </c>
      <c r="AH117" s="118" t="e">
        <f aca="false" t="array" ref="AH117:AH117">INDEX(AG:AG,MIN(IF(ISNUMBER(AG117:AG313),ROW(AG117:AG313),"")))</f>
        <v>#N/A</v>
      </c>
      <c r="AI117" s="117" t="n">
        <f aca="false">IF('Données projet'!$A$62&gt;35,AI116+AH117-AQ116,IF(A117&lt;'Données projet'!$A$62,$AF$205^A117,IF(A117='Données projet'!$A$62,'Données projet'!$B$62,AI116+AH117-AQ116)))</f>
        <v>1.13686837721616E-013</v>
      </c>
      <c r="AJ117" s="117" t="n">
        <f aca="false">AI117*VLOOKUP('Données projet'!$B$10,Paramètres!$A$1:$I$89,3,0)*VLOOKUP('Données projet'!$B$10,Paramètres!$A$1:$I$89,5,0)</f>
        <v>6.35509422863834E-014</v>
      </c>
      <c r="AK117" s="117" t="n">
        <f aca="false">EXP(-1.0587+0.8836*LN(AJ117)+0.284)</f>
        <v>1.0064464192544E-012</v>
      </c>
      <c r="AL117" s="128" t="n">
        <f aca="false">(AJ117+AK117)*0.475*44/12</f>
        <v>1.86357873801686E-012</v>
      </c>
      <c r="AM117" s="120" t="n">
        <f aca="false">AL117+(AD117+AE117)*44/12</f>
        <v>293.333333333335</v>
      </c>
      <c r="AN117" s="120" t="n">
        <f aca="true">AVERAGE(OFFSET($AM$3,0,0,'Données projet'!$E$10+1,1))-AVERAGE(OFFSET($H$3,0,0,'Données projet'!$E$10+1,1))</f>
        <v>365.705101827279</v>
      </c>
      <c r="AO117" s="120" t="n">
        <f aca="false">$AO$3</f>
        <v>436.238338449625</v>
      </c>
      <c r="AP117" s="121" t="n">
        <f aca="false">IF(ISNA(VLOOKUP(A117,'Données projet'!$A$61:$I$81,3,0)),0,VLOOKUP(A117,'Données projet'!$A$61:$I$81,3,0))</f>
        <v>0</v>
      </c>
      <c r="AQ117" s="121" t="n">
        <f aca="false">IF(ISNA(VLOOKUP(A117,'Données projet'!$A$61:$I$81,4,0)),0,VLOOKUP(A117,'Données projet'!$A$61:$I$81,4,0))</f>
        <v>0</v>
      </c>
      <c r="AR117" s="122" t="n">
        <f aca="false">IF(ISNA(VLOOKUP(A117,'Données projet'!$A$61:$I$81,5,0)),0%,VLOOKUP(A117,'Données projet'!$A$61:$I$81,5,0)*VLOOKUP('Données projet'!$B$10,Paramètres!$A$1:$I$89,7,0))</f>
        <v>0</v>
      </c>
      <c r="AS117" s="122" t="n">
        <f aca="false">IF(ISNA(VLOOKUP(A117,'Données projet'!$A$61:$I$81,6,0)),0%,VLOOKUP(A117,'Données projet'!$A$61:$I$81,6,0)*VLOOKUP('Données projet'!$B$10,Paramètres!$A$1:$I$89,7,0))</f>
        <v>0</v>
      </c>
      <c r="AT117" s="122" t="n">
        <f aca="false">IF(ISNA(VLOOKUP(A117,'Données projet'!$A$61:$I$81,7,0)),0%,VLOOKUP(A117,'Données projet'!$A$61:$I$81,7,0))</f>
        <v>0</v>
      </c>
      <c r="AU117" s="129" t="n">
        <f aca="false">EXP(-LN(2)/35)*AU116+(1-EXP(-LN(2)/35))/(LN(2)/35)*AQ117*AR117*VLOOKUP('Données projet'!$B$10,Paramètres!$A$1:$I$89,3,0)*0.475*44/12</f>
        <v>0.649097819603503</v>
      </c>
      <c r="AV117" s="129" t="n">
        <f aca="false">EXP(-LN(2)/25)*AV116+(1-EXP(-LN(2)/25))/(LN(2)/25)*Calculateur!AQ117*Calculateur!AS117*VLOOKUP('Données projet'!$B$10,Paramètres!$A$1:$I$89,3,0)*0.475*44/12</f>
        <v>1.28641395183378</v>
      </c>
      <c r="AW117" s="129" t="n">
        <f aca="false">EXP(-LN(2)/2)*AW116+(1-EXP(-LN(2)/2))/(LN(2)/2)*AQ117*AT117*VLOOKUP('Données projet'!$B$10,Paramètres!$A$1:$I$89,3,0)*0.475*44/12</f>
        <v>1.35129691572633E-012</v>
      </c>
      <c r="AX117" s="129" t="n">
        <f aca="false">SUM(AU117:AW117)</f>
        <v>1.93551177143863</v>
      </c>
      <c r="AY117" s="124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8" t="e">
        <f aca="false">VLOOKUP(A117,'Données projet'!$A$87:$I$107,2,0)</f>
        <v>#N/A</v>
      </c>
      <c r="BB117" s="118" t="e">
        <f aca="false">VLOOKUP(A117,'Données projet'!$A$87:$I$107,9,0)</f>
        <v>#N/A</v>
      </c>
      <c r="BC117" s="118" t="e">
        <f aca="false" t="array" ref="BC117:BC117">INDEX(BB:BB,MIN(IF(ISNUMBER(BB117:BB313),ROW(BB117:BB313),"")))</f>
        <v>#N/A</v>
      </c>
      <c r="BD117" s="118" t="n">
        <f aca="false">IF('Données projet'!$A$88&gt;35,BD116+BC117-BL116,IF(A117&lt;'Données projet'!$A$88,$BA$205^A117,IF(A117='Données projet'!$A$88,'Données projet'!$B$88,BD116+BC117-BL116)))</f>
        <v>1.98951966012828E-013</v>
      </c>
      <c r="BE117" s="117" t="n">
        <f aca="false">BD117*VLOOKUP('Données projet'!$B$11,Paramètres!$A$1:$I$89,3,0)*VLOOKUP('Données projet'!$B$11,Paramètres!$A$1:$I$89,5,0)</f>
        <v>1.73804437508807E-013</v>
      </c>
      <c r="BF117" s="117" t="n">
        <f aca="false">EXP(-1.0587+0.8836*LN(BE117)+0.284)</f>
        <v>2.44832936339505E-012</v>
      </c>
      <c r="BG117" s="128" t="n">
        <f aca="false">(BE117+BF117)*0.475*44/12</f>
        <v>4.56688303657421E-012</v>
      </c>
      <c r="BH117" s="120" t="n">
        <f aca="false">BG117+(AY117+AZ117)*44/12</f>
        <v>293.333333333338</v>
      </c>
      <c r="BI117" s="120" t="n">
        <f aca="true">AVERAGE(OFFSET($BH$3,0,0,'Données projet'!$E$11+1,1))-AVERAGE(OFFSET($H$3,0,0,'Données projet'!$E$11+1,1))</f>
        <v>321.235999689929</v>
      </c>
      <c r="BJ117" s="120" t="n">
        <f aca="false">$BJ$3</f>
        <v>388.051958478005</v>
      </c>
      <c r="BK117" s="121" t="n">
        <f aca="false">IF(ISNA(VLOOKUP(A117,'Données projet'!$A$87:$I$107,3,0)),0,VLOOKUP(A117,'Données projet'!$A$87:$I$107,3,0))</f>
        <v>0</v>
      </c>
      <c r="BL117" s="121" t="n">
        <f aca="false">IF(ISNA(VLOOKUP(A117,'Données projet'!$A$87:$I$107,4,0)),0,VLOOKUP(A117,'Données projet'!$A$87:$I$107,4,0))</f>
        <v>0</v>
      </c>
      <c r="BM117" s="122" t="n">
        <f aca="false">IF(ISNA(VLOOKUP(A117,'Données projet'!$A$87:$I$107,5,0)),0%,VLOOKUP(A117,'Données projet'!$A$87:$I$107,5,0)*VLOOKUP('Données projet'!$B$11,Paramètres!$A$1:$I$89,7,0))</f>
        <v>0</v>
      </c>
      <c r="BN117" s="122" t="n">
        <f aca="false">IF(ISNA(VLOOKUP(A117,'Données projet'!$A$87:$I$107,6,0)),0%,VLOOKUP(A117,'Données projet'!$A$87:$I$107,6,0)*VLOOKUP('Données projet'!$B$11,Paramètres!$A$1:$I$89,7,0))</f>
        <v>0</v>
      </c>
      <c r="BO117" s="122" t="n">
        <f aca="false">IF(ISNA(VLOOKUP(A117,'Données projet'!$A$87:$I$107,7,0)),0%,VLOOKUP(A117,'Données projet'!$A$87:$I$107,7,0))</f>
        <v>0</v>
      </c>
      <c r="BP117" s="129" t="n">
        <f aca="false">EXP(-LN(2)/35)*BP116+(1-EXP(-LN(2)/35))/(LN(2)/35)*BL117*BM117*VLOOKUP('Données projet'!$B$11,Paramètres!$A$1:$I$89,3,0)*0.475*44/12</f>
        <v>1.62963884540126</v>
      </c>
      <c r="BQ117" s="129" t="n">
        <f aca="false">EXP(-LN(2)/25)*BQ116+(1-EXP(-LN(2)/25))/(LN(2)/25)*Calculateur!BL117*Calculateur!BN117*VLOOKUP('Données projet'!$B$11,Paramètres!$A$1:$I$89,3,0)*0.475*44/12</f>
        <v>1.31309495376728</v>
      </c>
      <c r="BR117" s="129" t="n">
        <f aca="false">EXP(-LN(2)/2)*BR116+(1-EXP(-LN(2)/2))/(LN(2)/2)*BL117*BO117*VLOOKUP('Données projet'!$B$11,Paramètres!$A$1:$I$89,3,0)*0.475*44/12</f>
        <v>1.37356522766248E-012</v>
      </c>
      <c r="BS117" s="130" t="n">
        <f aca="false">SUM(BP117:BR117)</f>
        <v>2.94273379916991</v>
      </c>
      <c r="BT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8" t="e">
        <f aca="false">VLOOKUP(A117,'Données projet'!$A$113:$I$133,2,0)</f>
        <v>#N/A</v>
      </c>
      <c r="BW117" s="118" t="e">
        <f aca="false">VLOOKUP(A117,'Données projet'!$A$113:$I$133,9,0)</f>
        <v>#N/A</v>
      </c>
      <c r="BX117" s="118" t="e">
        <f aca="false" t="array" ref="BX117:BX117">INDEX(BW:BW,MIN(IF(ISNUMBER(BW117:BW313),ROW(BW117:BW313),"")))</f>
        <v>#N/A</v>
      </c>
      <c r="BY117" s="118" t="n">
        <f aca="false">IF('Données projet'!$A$114&gt;35,BY116+BX117-CG116,IF(A117&lt;'Données projet'!$A$114,$BV$205^A117,IF(A117='Données projet'!$A$114,'Données projet'!$B$114,BY116+BX117-CG116)))</f>
        <v>0</v>
      </c>
      <c r="BZ117" s="117" t="n">
        <f aca="false">BY117*VLOOKUP('Données projet'!$B$12,Paramètres!$A$1:$I$89,3,0)*VLOOKUP('Données projet'!$B$12,Paramètres!$A$1:$I$89,5,0)</f>
        <v>0</v>
      </c>
      <c r="CA117" s="117" t="e">
        <f aca="false">EXP(-1.0587+0.8836*LN(BZ117)+0.284)</f>
        <v>#VALUE!</v>
      </c>
      <c r="CB117" s="128" t="e">
        <f aca="false">(BZ117+CA117)*0.475*44/12</f>
        <v>#VALUE!</v>
      </c>
      <c r="CC117" s="120" t="e">
        <f aca="false">CB117+(BT117+BU117)*44/12</f>
        <v>#VALUE!</v>
      </c>
      <c r="CD117" s="120" t="n">
        <f aca="true">AVERAGE(OFFSET($CC$3,0,0,'Données projet'!$E$12+1,1))-AVERAGE(OFFSET($H$3,0,0,'Données projet'!$E$12+1,1))</f>
        <v>240.228848647662</v>
      </c>
      <c r="CE117" s="120" t="n">
        <f aca="false">$CE$3</f>
        <v>343.237768841432</v>
      </c>
      <c r="CF117" s="121" t="n">
        <f aca="false">IF(ISNA(VLOOKUP(A117,'Données projet'!$A$113:$I$133,3,0)),0,VLOOKUP(A117,'Données projet'!$A$113:$I$133,3,0))</f>
        <v>0</v>
      </c>
      <c r="CG117" s="121" t="n">
        <f aca="false">IF(ISNA(VLOOKUP(A117,'Données projet'!$A$113:$I$133,4,0)),0,VLOOKUP(A117,'Données projet'!$A$113:$I$133,4,0))</f>
        <v>0</v>
      </c>
      <c r="CH117" s="122" t="n">
        <f aca="false">IF(ISNA(VLOOKUP(A117,'Données projet'!$A$113:$I$133,5,0)),0%,VLOOKUP(A117,'Données projet'!$A$113:$I$133,5,0)*VLOOKUP('Données projet'!$B$12,Paramètres!$A$1:$I$89,7,0))</f>
        <v>0</v>
      </c>
      <c r="CI117" s="122" t="n">
        <f aca="false">IF(ISNA(VLOOKUP(A117,'Données projet'!$A$113:$I$133,6,0)),0%,VLOOKUP(A117,'Données projet'!$A$113:$I$133,6,0)*VLOOKUP('Données projet'!$B$12,Paramètres!$A$1:$I$89,7,0))</f>
        <v>0</v>
      </c>
      <c r="CJ117" s="122" t="n">
        <f aca="false">IF(ISNA(VLOOKUP(A117,'Données projet'!$A$113:$I$133,7,0)),0%,VLOOKUP(A117,'Données projet'!$A$113:$I$133,7,0))</f>
        <v>0</v>
      </c>
      <c r="CK117" s="129" t="n">
        <f aca="false">EXP(-LN(2)/35)*CK116+(1-EXP(-LN(2)/35))/(LN(2)/35)*CG117*CH117*VLOOKUP('Données projet'!$B$12,Paramètres!$A$1:$I$89,3,0)*0.475*44/12</f>
        <v>0.997465933597893</v>
      </c>
      <c r="CL117" s="129" t="n">
        <f aca="false">EXP(-LN(2)/25)*CL116+(1-EXP(-LN(2)/25))/(LN(2)/25)*Calculateur!CG117*Calculateur!CI117*VLOOKUP('Données projet'!$B$12,Paramètres!$A$1:$I$89,3,0)*0.475*44/12</f>
        <v>2.3190017032711</v>
      </c>
      <c r="CM117" s="129" t="n">
        <f aca="false">EXP(-LN(2)/2)*CM116+(1-EXP(-LN(2)/2))/(LN(2)/2)*CG117*CJ117*VLOOKUP('Données projet'!$B$12,Paramètres!$A$1:$I$89,3,0)*0.475*44/12</f>
        <v>2.19184391106951E-012</v>
      </c>
      <c r="CN117" s="130" t="n">
        <f aca="false">SUM(CK117:CM117)</f>
        <v>3.31646763687118</v>
      </c>
      <c r="CO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8" t="e">
        <f aca="false">VLOOKUP(A117,'Données projet'!$A$139:$I$159,2,0)</f>
        <v>#N/A</v>
      </c>
      <c r="CR117" s="118" t="e">
        <f aca="false">VLOOKUP(A117,'Données projet'!$A$139:$I$159,9,0)</f>
        <v>#N/A</v>
      </c>
      <c r="CS117" s="118" t="e">
        <f aca="false" t="array" ref="CS117:CS117">INDEX(CR:CR,MIN(IF(ISNUMBER(CR117:CR313),ROW(CR117:CR313),"")))</f>
        <v>#N/A</v>
      </c>
      <c r="CT117" s="118" t="n">
        <f aca="false">IF('Données projet'!$A$140&gt;35,CT116+CS117-DB116,IF(A117&lt;'Données projet'!$A$140,$CQ$205^A117,IF(A117='Données projet'!$A$140,'Données projet'!$B$140,CT116+CS117-DB116)))</f>
        <v>-5.6843418860808E-014</v>
      </c>
      <c r="CU117" s="125" t="n">
        <f aca="false">CT117*VLOOKUP('Données projet'!$B$13,Paramètres!$A$1:$I$89,3,0)*VLOOKUP('Données projet'!$B$13,Paramètres!$A$1:$I$89,5,0)</f>
        <v>-3.10365066980012E-014</v>
      </c>
      <c r="CV117" s="117" t="e">
        <f aca="false">EXP(-1.0587+0.8836*LN(CU117)+0.284)</f>
        <v>#VALUE!</v>
      </c>
      <c r="CW117" s="128" t="e">
        <f aca="false">(CU117+CV117)*0.475*44/12</f>
        <v>#VALUE!</v>
      </c>
      <c r="CX117" s="120" t="e">
        <f aca="false">CW117+(CO117+CP117)*44/12</f>
        <v>#VALUE!</v>
      </c>
      <c r="CY117" s="120" t="n">
        <f aca="true">AVERAGE(OFFSET($CX$3,0,0,'Données projet'!$E$13+1,1))-AVERAGE(OFFSET($H$3,0,0,'Données projet'!$E$13+1,1))</f>
        <v>207.023069645676</v>
      </c>
      <c r="CZ117" s="120" t="n">
        <f aca="false">$CZ$3</f>
        <v>342.068879333518</v>
      </c>
      <c r="DA117" s="121" t="n">
        <f aca="false">IF(ISNA(VLOOKUP(A117,'Données projet'!$A$139:$I$159,3,0)),0,VLOOKUP(A117,'Données projet'!$A$139:$I$159,3,0))</f>
        <v>0</v>
      </c>
      <c r="DB117" s="121" t="n">
        <f aca="false">IF(ISNA(VLOOKUP(A117,'Données projet'!$A$139:$I$159,4,0)),0,VLOOKUP(A117,'Données projet'!$A$139:$I$159,4,0))</f>
        <v>0</v>
      </c>
      <c r="DC117" s="122" t="n">
        <f aca="false">IF(ISNA(VLOOKUP(A117,'Données projet'!$A$139:$I$159,5,0)),0%,VLOOKUP(A117,'Données projet'!$A$139:$I$159,5,0)*VLOOKUP('Données projet'!$B$13,Paramètres!$A$1:$I$89,7,0))</f>
        <v>0</v>
      </c>
      <c r="DD117" s="122" t="n">
        <f aca="false">IF(ISNA(VLOOKUP(A117,'Données projet'!$A$139:$I$159,6,0)),0%,VLOOKUP(A117,'Données projet'!$A$139:$I$159,6,0)*VLOOKUP('Données projet'!$B$13,Paramètres!$A$1:$I$89,7,0))</f>
        <v>0</v>
      </c>
      <c r="DE117" s="122" t="n">
        <f aca="false">IF(ISNA(VLOOKUP(A117,'Données projet'!$A$139:$I$159,7,0)),0%,VLOOKUP(A117,'Données projet'!$A$139:$I$159,7,0))</f>
        <v>0</v>
      </c>
      <c r="DF117" s="129" t="n">
        <f aca="false">EXP(-LN(2)/35)*DF116+(1-EXP(-LN(2)/35))/(LN(2)/35)*DB117*DC117*VLOOKUP('Données projet'!$B$13,Paramètres!$A$1:$I$89,3,0)*0.475*44/12</f>
        <v>1.25153744498604</v>
      </c>
      <c r="DG117" s="129" t="n">
        <f aca="false">EXP(-LN(2)/25)*DG116+(1-EXP(-LN(2)/25))/(LN(2)/25)*Calculateur!DB117*Calculateur!DD117*VLOOKUP('Données projet'!$B$13,Paramètres!$A$1:$I$89,3,0)*0.475*44/12</f>
        <v>3.79060194655014</v>
      </c>
      <c r="DH117" s="129" t="n">
        <f aca="false">EXP(-LN(2)/2)*DH116+(1-EXP(-LN(2)/2))/(LN(2)/2)*DB117*DE117*VLOOKUP('Données projet'!$B$13,Paramètres!$A$1:$I$89,3,0)*0.475*44/12</f>
        <v>3.01817008173676E-012</v>
      </c>
      <c r="DI117" s="130" t="n">
        <f aca="false">SUM(DF117:DH117)</f>
        <v>5.0421393915392</v>
      </c>
      <c r="DJ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8" t="e">
        <f aca="false">VLOOKUP(A117,'Données projet'!$A$165:$I$185,2,0)</f>
        <v>#N/A</v>
      </c>
      <c r="DM117" s="118" t="e">
        <f aca="false">VLOOKUP(A117,'Données projet'!$A$165:$I$185,9,0)</f>
        <v>#N/A</v>
      </c>
      <c r="DN117" s="118" t="e">
        <f aca="false" t="array" ref="DN117:DN117">INDEX(DM:DM,MIN(IF(ISNUMBER(DM117:DM313),ROW(DM117:DM313),"")))</f>
        <v>#N/A</v>
      </c>
      <c r="DO117" s="118" t="n">
        <f aca="false">IF('Données projet'!$A$166&gt;35,DO116+DN117-DW116,IF(A117&lt;'Données projet'!$A$166,$DL$205^A117,IF(A117='Données projet'!$A$166,'Données projet'!$B$166,DO116+DN117-DW116)))</f>
        <v>0</v>
      </c>
      <c r="DP117" s="125" t="n">
        <f aca="false">DO117*VLOOKUP('Données projet'!$B$14,Paramètres!$A$1:$I$89,3,0)*VLOOKUP('Données projet'!$B$14,Paramètres!$A$1:$I$89,5,0)</f>
        <v>0</v>
      </c>
      <c r="DQ117" s="117" t="e">
        <f aca="false">EXP(-1.0587+0.8836*LN(DP117)+0.284)</f>
        <v>#VALUE!</v>
      </c>
      <c r="DR117" s="128" t="e">
        <f aca="false">(DP117+DQ117)*0.475*44/12</f>
        <v>#VALUE!</v>
      </c>
      <c r="DS117" s="120" t="e">
        <f aca="false">DR117+(DJ117+DK117)*44/12</f>
        <v>#VALUE!</v>
      </c>
      <c r="DT117" s="120" t="n">
        <f aca="true">AVERAGE(OFFSET($DS$3,0,0,'Données projet'!$E$14+1,1))-AVERAGE(OFFSET($H$3,0,0,'Données projet'!$E$14+1,1))</f>
        <v>549.432320957297</v>
      </c>
      <c r="DU117" s="120" t="n">
        <f aca="false">$DU$3</f>
        <v>280.26155987301</v>
      </c>
      <c r="DV117" s="121" t="n">
        <f aca="false">IF(ISNA(VLOOKUP(A117,'Données projet'!$A$165:$I$185,3,0)),0,VLOOKUP(A117,'Données projet'!$A$165:$I$185,3,0))</f>
        <v>0</v>
      </c>
      <c r="DW117" s="121" t="n">
        <f aca="false">IF(ISNA(VLOOKUP(A117,'Données projet'!$A$165:$I$185,4,0)),0,VLOOKUP(A117,'Données projet'!$A$165:$I$185,4,0))</f>
        <v>0</v>
      </c>
      <c r="DX117" s="122" t="n">
        <f aca="false">IF(ISNA(VLOOKUP(A117,'Données projet'!$A$165:$I$185,5,0)),0%,VLOOKUP(A117,'Données projet'!$A$165:$I$185,5,0)*VLOOKUP('Données projet'!$B$14,Paramètres!$A$1:$I$89,7,0))</f>
        <v>0</v>
      </c>
      <c r="DY117" s="122" t="n">
        <f aca="false">IF(ISNA(VLOOKUP(A117,'Données projet'!$A$165:$I$185,6,0)),0%,VLOOKUP(A117,'Données projet'!$A$165:$I$185,6,0)*VLOOKUP('Données projet'!$B$14,Paramètres!$A$1:$I$89,7,0))</f>
        <v>0</v>
      </c>
      <c r="DZ117" s="122" t="n">
        <f aca="false">IF(ISNA(VLOOKUP(A117,'Données projet'!$A$165:$I$185,7,0)),0%,VLOOKUP(A117,'Données projet'!$A$165:$I$185,7,0))</f>
        <v>0</v>
      </c>
      <c r="EA117" s="129" t="n">
        <f aca="false">EXP(-LN(2)/35)*EA116+(1-EXP(-LN(2)/35))/(LN(2)/35)*DW117*DX117*VLOOKUP('Données projet'!$B$14,Paramètres!$A$1:$I$89,3,0)*0.475*44/12</f>
        <v>0.455057619477831</v>
      </c>
      <c r="EB117" s="129" t="n">
        <f aca="false">EXP(-LN(2)/25)*EB116+(1-EXP(-LN(2)/25))/(LN(2)/25)*Calculateur!DW117*Calculateur!DY117*VLOOKUP('Données projet'!$B$14,Paramètres!$A$1:$I$89,3,0)*0.475*44/12</f>
        <v>0.755162695014711</v>
      </c>
      <c r="EC117" s="129" t="n">
        <f aca="false">EXP(-LN(2)/2)*EC116+(1-EXP(-LN(2)/2))/(LN(2)/2)*DW117*DZ117*VLOOKUP('Données projet'!$B$14,Paramètres!$A$1:$I$89,3,0)*0.475*44/12</f>
        <v>1.39131419349712E-012</v>
      </c>
      <c r="ED117" s="130" t="n">
        <f aca="false">SUM(EA117:EC117)</f>
        <v>1.21022031449393</v>
      </c>
      <c r="EE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8" t="e">
        <f aca="false">VLOOKUP(A117,'Données projet'!$A$191:$I$211,2,0)</f>
        <v>#N/A</v>
      </c>
      <c r="EH117" s="118" t="e">
        <f aca="false">VLOOKUP(A117,'Données projet'!$A$191:$I$211,9,0)</f>
        <v>#N/A</v>
      </c>
      <c r="EI117" s="118" t="e">
        <f aca="false" t="array" ref="EI117:EI117">INDEX(EH:EH,MIN(IF(ISNUMBER(EH117:EH313),ROW(EH117:EH313),"")))</f>
        <v>#N/A</v>
      </c>
      <c r="EJ117" s="118" t="n">
        <f aca="false">IF('Données projet'!$A$192&gt;35,EJ116+EI117-ER116,IF(A117&lt;'Données projet'!$A$192,$EG$205^A117,IF(A117='Données projet'!$A$192,'Données projet'!$B$192,EJ116+EI117-ER116)))</f>
        <v>0</v>
      </c>
      <c r="EK117" s="125" t="e">
        <f aca="false">EJ117*VLOOKUP('Données projet'!$B$15,Paramètres!$A$1:$I$89,3,0)*VLOOKUP('Données projet'!$B$15,Paramètres!$A$1:$I$89,5,0)</f>
        <v>#N/A</v>
      </c>
      <c r="EL117" s="117" t="e">
        <f aca="false">EXP(-1.0587+0.8836*LN(EK117)+0.284)</f>
        <v>#N/A</v>
      </c>
      <c r="EM117" s="128" t="e">
        <f aca="false">(EK117+EL117)*0.475*44/12</f>
        <v>#N/A</v>
      </c>
      <c r="EN117" s="120" t="e">
        <f aca="false">EM117+(EE117+EF117)*44/12</f>
        <v>#N/A</v>
      </c>
      <c r="EO117" s="120" t="e">
        <f aca="true">AVERAGE(OFFSET($EN$3,0,0,'Données projet'!$E$15+1,1))-AVERAGE(OFFSET($H$3,0,0,'Données projet'!$E$15+1,1))</f>
        <v>#N/A</v>
      </c>
      <c r="EP117" s="120" t="e">
        <f aca="false">$EP$3</f>
        <v>#N/A</v>
      </c>
      <c r="EQ117" s="121" t="n">
        <f aca="false">IF(ISNA(VLOOKUP(A117,'Données projet'!$A$191:$I$211,3,0)),0,VLOOKUP(A117,'Données projet'!$A$191:$I$211,3,0))</f>
        <v>0</v>
      </c>
      <c r="ER117" s="121" t="n">
        <f aca="false">IF(ISNA(VLOOKUP(A117,'Données projet'!$A$191:$I$211,4,0)),0,VLOOKUP(A117,'Données projet'!$A$191:$I$211,4,0))</f>
        <v>0</v>
      </c>
      <c r="ES117" s="122" t="n">
        <f aca="false">IF(ISNA(VLOOKUP(A117,'Données projet'!$A$191:$I$211,5,0)),0%,VLOOKUP(A117,'Données projet'!$A$191:$I$211,5,0)*VLOOKUP('Données projet'!$B$15,Paramètres!$A$1:$I$89,7,0))</f>
        <v>0</v>
      </c>
      <c r="ET117" s="122" t="n">
        <f aca="false">IF(ISNA(VLOOKUP(A117,'Données projet'!$A$191:$I$211,6,0)),0%,VLOOKUP(A117,'Données projet'!$A$191:$I$211,6,0)*VLOOKUP('Données projet'!$B$15,Paramètres!$A$1:$I$89,7,0))</f>
        <v>0</v>
      </c>
      <c r="EU117" s="122" t="n">
        <f aca="false">IF(ISNA(VLOOKUP(A117,'Données projet'!$A$191:$I$211,7,0)),0%,VLOOKUP(A117,'Données projet'!$A$191:$I$211,7,0))</f>
        <v>0</v>
      </c>
      <c r="EV117" s="129" t="e">
        <f aca="false">EXP(-LN(2)/35)*EV116+(1-EXP(-LN(2)/35))/(LN(2)/35)*ER117*ES117*VLOOKUP('Données projet'!$B$15,Paramètres!$A$1:$I$89,3,0)*0.475*44/12</f>
        <v>#N/A</v>
      </c>
      <c r="EW117" s="129" t="e">
        <f aca="false">EXP(-LN(2)/25)*EW116+(1-EXP(-LN(2)/25))/(LN(2)/25)*Calculateur!ER117*Calculateur!ET117*VLOOKUP('Données projet'!$B$15,Paramètres!$A$1:$I$89,3,0)*0.475*44/12</f>
        <v>#N/A</v>
      </c>
      <c r="EX117" s="129" t="e">
        <f aca="false">EXP(-LN(2)/2)*EX116+(1-EXP(-LN(2)/2))/(LN(2)/2)*ER117*EU117*VLOOKUP('Données projet'!$B$15,Paramètres!$A$1:$I$89,3,0)*0.475*44/12</f>
        <v>#N/A</v>
      </c>
      <c r="EY117" s="130" t="e">
        <f aca="false">SUM(EV117:EX117)</f>
        <v>#N/A</v>
      </c>
      <c r="EZ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8" t="e">
        <f aca="false">VLOOKUP(A117,'Données projet'!$A$217:$I$237,2,0)</f>
        <v>#N/A</v>
      </c>
      <c r="FC117" s="118" t="e">
        <f aca="false">VLOOKUP(A117,'Données projet'!$A$217:$I$237,9,0)</f>
        <v>#N/A</v>
      </c>
      <c r="FD117" s="118" t="e">
        <f aca="false" t="array" ref="FD117:FD117">INDEX(FC:FC,MIN(IF(ISNUMBER(FC117:FC313),ROW(FC117:FC313),"")))</f>
        <v>#N/A</v>
      </c>
      <c r="FE117" s="118" t="n">
        <f aca="false">IF('Données projet'!$A$218&gt;35,FE116+FD117-FM116,IF(A117&lt;'Données projet'!$A$218,$FB$205^A117,IF(A117='Données projet'!$A$218,'Données projet'!$B$218,FE116+FD117-FM116)))</f>
        <v>0</v>
      </c>
      <c r="FF117" s="125" t="e">
        <f aca="false">FE117*VLOOKUP('Données projet'!$B$16,Paramètres!$A$1:$I$89,3,0)*VLOOKUP('Données projet'!$B$16,Paramètres!$A$1:$I$89,5,0)</f>
        <v>#N/A</v>
      </c>
      <c r="FG117" s="117" t="e">
        <f aca="false">EXP(-1.0587+0.8836*LN(FF117)+0.284)</f>
        <v>#N/A</v>
      </c>
      <c r="FH117" s="128" t="e">
        <f aca="false">(FF117+FG117)*0.475*44/12</f>
        <v>#N/A</v>
      </c>
      <c r="FI117" s="120" t="e">
        <f aca="false">FH117+(EZ117+FA117)*44/12</f>
        <v>#N/A</v>
      </c>
      <c r="FJ117" s="120" t="e">
        <f aca="true">AVERAGE(OFFSET($FI$3,0,0,'Données projet'!$E$16+1,1))-AVERAGE(OFFSET($H$3,0,0,'Données projet'!$E$16+1,1))</f>
        <v>#N/A</v>
      </c>
      <c r="FK117" s="120" t="e">
        <f aca="false">$FK$3</f>
        <v>#N/A</v>
      </c>
      <c r="FL117" s="121" t="n">
        <f aca="false">IF(ISNA(VLOOKUP(A117,'Données projet'!$A$217:$I$237,3,0)),0,VLOOKUP(A117,'Données projet'!$A$217:$I$237,3,0))</f>
        <v>0</v>
      </c>
      <c r="FM117" s="121" t="n">
        <f aca="false">IF(ISNA(VLOOKUP(A117,'Données projet'!$A$217:$I$237,4,0)),0,VLOOKUP(A117,'Données projet'!$A$217:$I$237,4,0))</f>
        <v>0</v>
      </c>
      <c r="FN117" s="122" t="n">
        <f aca="false">IF(ISNA(VLOOKUP(A117,'Données projet'!$A$217:$I$237,5,0)),0%,VLOOKUP(A117,'Données projet'!$A$217:$I$237,5,0)*VLOOKUP('Données projet'!$B$16,Paramètres!$A$1:$I$89,7,0))</f>
        <v>0</v>
      </c>
      <c r="FO117" s="122" t="n">
        <f aca="false">IF(ISNA(VLOOKUP(A117,'Données projet'!$A$217:$I$237,6,0)),0%,VLOOKUP(A117,'Données projet'!$A$217:$I$237,6,0)*VLOOKUP('Données projet'!$B$16,Paramètres!$A$1:$I$89,7,0))</f>
        <v>0</v>
      </c>
      <c r="FP117" s="122" t="n">
        <f aca="false">IF(ISNA(VLOOKUP(A117,'Données projet'!$A$217:$I$237,7,0)),0%,VLOOKUP(A117,'Données projet'!$A$217:$I$237,7,0))</f>
        <v>0</v>
      </c>
      <c r="FQ117" s="129" t="e">
        <f aca="false">EXP(-LN(2)/35)*FQ116+(1-EXP(-LN(2)/35))/(LN(2)/35)*FM117*FN117*VLOOKUP('Données projet'!$B$16,Paramètres!$A$1:$I$89,3,0)*0.475*44/12</f>
        <v>#N/A</v>
      </c>
      <c r="FR117" s="129" t="e">
        <f aca="false">EXP(-LN(2)/25)*FR116+(1-EXP(-LN(2)/25))/(LN(2)/25)*Calculateur!FM117*Calculateur!FO117*VLOOKUP('Données projet'!$B$16,Paramètres!$A$1:$I$89,3,0)*0.475*44/12</f>
        <v>#N/A</v>
      </c>
      <c r="FS117" s="129" t="e">
        <f aca="false">EXP(-LN(2)/2)*FS116+(1-EXP(-LN(2)/2))/(LN(2)/2)*FM117*FP117*VLOOKUP('Données projet'!$B$16,Paramètres!$A$1:$I$89,3,0)*0.475*44/12</f>
        <v>#N/A</v>
      </c>
      <c r="FT117" s="130" t="e">
        <f aca="false">SUM(FQ117:FS117)</f>
        <v>#N/A</v>
      </c>
      <c r="FU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8" t="e">
        <f aca="false">VLOOKUP(A117,'Données projet'!$A$243:$I$263,2,0)</f>
        <v>#N/A</v>
      </c>
      <c r="FX117" s="118" t="e">
        <f aca="false">VLOOKUP(A117,'Données projet'!$A$243:$I$263,9,0)</f>
        <v>#N/A</v>
      </c>
      <c r="FY117" s="118" t="e">
        <f aca="false" t="array" ref="FY117:FY117">INDEX(FX:FX,MIN(IF(ISNUMBER(FX117:FX313),ROW(FX117:FX313),"")))</f>
        <v>#N/A</v>
      </c>
      <c r="FZ117" s="118" t="n">
        <f aca="false">IF('Données projet'!$A$244&gt;35,FZ116+FY117-GH116,IF(A117&lt;'Données projet'!$A$244,$FW$205^A117,IF(A117='Données projet'!$A$244,'Données projet'!$B$244,FZ116+FY117-GH116)))</f>
        <v>0</v>
      </c>
      <c r="GA117" s="125" t="e">
        <f aca="false">FZ117*VLOOKUP('Données projet'!$B$17,Paramètres!$A$1:$I$89,3,0)*VLOOKUP('Données projet'!$B$17,Paramètres!$A$1:$I$89,5,0)</f>
        <v>#N/A</v>
      </c>
      <c r="GB117" s="117" t="e">
        <f aca="false">EXP(-1.0587+0.8836*LN(GA117)+0.284)</f>
        <v>#N/A</v>
      </c>
      <c r="GC117" s="128" t="e">
        <f aca="false">(GA117+GB117)*0.475*44/12</f>
        <v>#N/A</v>
      </c>
      <c r="GD117" s="120" t="e">
        <f aca="false">GC117+(FU117+FV117)*44/12</f>
        <v>#N/A</v>
      </c>
      <c r="GE117" s="120" t="e">
        <f aca="true">AVERAGE(OFFSET($GD$3,0,0,'Données projet'!$E$17+1,1))-AVERAGE(OFFSET($H$3,0,0,'Données projet'!$E$17+1,1))</f>
        <v>#N/A</v>
      </c>
      <c r="GF117" s="120" t="e">
        <f aca="false">$GF$3</f>
        <v>#N/A</v>
      </c>
      <c r="GG117" s="121" t="n">
        <f aca="false">IF(ISNA(VLOOKUP(A117,'Données projet'!$A$243:$I$263,3,0)),0,VLOOKUP(A117,'Données projet'!$A$243:$I$263,3,0))</f>
        <v>0</v>
      </c>
      <c r="GH117" s="121" t="n">
        <f aca="false">IF(ISNA(VLOOKUP(A117,'Données projet'!$A$243:$I$263,4,0)),0,VLOOKUP(A117,'Données projet'!$A$243:$I$263,4,0))</f>
        <v>0</v>
      </c>
      <c r="GI117" s="122" t="n">
        <f aca="false">IF(ISNA(VLOOKUP(A117,'Données projet'!$A$243:$I$263,5,0)),0%,VLOOKUP(A117,'Données projet'!$A$243:$I$263,5,0)*VLOOKUP('Données projet'!$B$17,Paramètres!$A$1:$I$89,7,0))</f>
        <v>0</v>
      </c>
      <c r="GJ117" s="122" t="n">
        <f aca="false">IF(ISNA(VLOOKUP(A117,'Données projet'!$A$243:$I$263,6,0)),0%,VLOOKUP(A117,'Données projet'!$A$243:$I$263,6,0)*VLOOKUP('Données projet'!$B$17,Paramètres!$A$1:$I$89,7,0))</f>
        <v>0</v>
      </c>
      <c r="GK117" s="122" t="n">
        <f aca="false">IF(ISNA(VLOOKUP(A117,'Données projet'!$A$243:$I$263,7,0)),0%,VLOOKUP(A117,'Données projet'!$A$243:$I$263,7,0))</f>
        <v>0</v>
      </c>
      <c r="GL117" s="129" t="e">
        <f aca="false">EXP(-LN(2)/35)*GL116+(1-EXP(-LN(2)/35))/(LN(2)/35)*GH117*GI117*VLOOKUP('Données projet'!$B$17,Paramètres!$A$1:$I$89,3,0)*0.475*44/12</f>
        <v>#N/A</v>
      </c>
      <c r="GM117" s="129" t="e">
        <f aca="false">EXP(-LN(2)/25)*GM116+(1-EXP(-LN(2)/25))/(LN(2)/25)*Calculateur!GH117*Calculateur!GJ117*VLOOKUP('Données projet'!$B$17,Paramètres!$A$1:$I$89,3,0)*0.475*44/12</f>
        <v>#N/A</v>
      </c>
      <c r="GN117" s="129" t="e">
        <f aca="false">EXP(-LN(2)/2)*GN116+(1-EXP(-LN(2)/2))/(LN(2)/2)*GH117*GK117*VLOOKUP('Données projet'!$B$17,Paramètres!$A$1:$I$89,3,0)*0.475*44/12</f>
        <v>#N/A</v>
      </c>
      <c r="GO117" s="129" t="e">
        <f aca="false">SUM(GL117:GN117)</f>
        <v>#N/A</v>
      </c>
      <c r="GP117" s="126" t="n">
        <f aca="false"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8" t="n">
        <f aca="false"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8" t="e">
        <f aca="false">VLOOKUP(A117,'Données projet'!$A$269:$I$289,2,0)</f>
        <v>#N/A</v>
      </c>
      <c r="GS117" s="118" t="e">
        <f aca="false">VLOOKUP(A117,'Données projet'!$A$269:$I$289,9,0)</f>
        <v>#N/A</v>
      </c>
      <c r="GT117" s="118" t="e">
        <f aca="false" t="array" ref="GT117:GT117">INDEX(GS:GS,MIN(IF(ISNUMBER(GS117:GS313),ROW(GS117:GS313),"")))</f>
        <v>#N/A</v>
      </c>
      <c r="GU117" s="118" t="n">
        <f aca="false">IF('Données projet'!$A$270&gt;35,GU116+GT117-HC116,IF(A117&lt;'Données projet'!$A$270,$GR$205^A117,IF(A117='Données projet'!$A$270,'Données projet'!$B$270,GU116+GT117-HC116)))</f>
        <v>0</v>
      </c>
      <c r="GV117" s="125" t="e">
        <f aca="false">GU117*VLOOKUP('Données projet'!$B$18,Paramètres!$A$1:$I$89,3,0)*VLOOKUP('Données projet'!$B$18,Paramètres!$A$1:$I$89,5,0)</f>
        <v>#N/A</v>
      </c>
      <c r="GW117" s="117" t="e">
        <f aca="false">EXP(-1.0587+0.8836*LN(GV117)+0.284)</f>
        <v>#N/A</v>
      </c>
      <c r="GX117" s="128" t="e">
        <f aca="false">(GV117+GW117)*0.475*44/12</f>
        <v>#N/A</v>
      </c>
      <c r="GY117" s="120" t="e">
        <f aca="false">GX117+(GP117+GQ117)*44/12</f>
        <v>#N/A</v>
      </c>
      <c r="GZ117" s="120" t="e">
        <f aca="true">AVERAGE(OFFSET($GY$3,0,0,'Données projet'!$E$18+1,1))-AVERAGE(OFFSET($H$3,0,0,'Données projet'!$E$18+1,1))</f>
        <v>#N/A</v>
      </c>
      <c r="HA117" s="120" t="e">
        <f aca="false">$HA$3</f>
        <v>#N/A</v>
      </c>
      <c r="HB117" s="121" t="n">
        <f aca="false">IF(ISNA(VLOOKUP(A117,'Données projet'!$A$269:$I$289,3,0)),0,VLOOKUP(A117,'Données projet'!$A$269:$I$289,3,0))</f>
        <v>0</v>
      </c>
      <c r="HC117" s="121" t="n">
        <f aca="false">IF(ISNA(VLOOKUP(A117,'Données projet'!$A$269:$I$289,4,0)),0,VLOOKUP(A117,'Données projet'!$A$269:$I$289,4,0))</f>
        <v>0</v>
      </c>
      <c r="HD117" s="122" t="n">
        <f aca="false">IF(ISNA(VLOOKUP(A117,'Données projet'!$A$269:$I$289,5,0)),0%,VLOOKUP(A117,'Données projet'!$A$269:$I$289,5,0)*VLOOKUP('Données projet'!$B$18,Paramètres!$A$1:$I$89,7,0))</f>
        <v>0</v>
      </c>
      <c r="HE117" s="122" t="n">
        <f aca="false">IF(ISNA(VLOOKUP(A117,'Données projet'!$A$269:$I$289,6,0)),0%,VLOOKUP(A117,'Données projet'!$A$269:$I$289,6,0)*VLOOKUP('Données projet'!$B$18,Paramètres!$A$1:$I$89,7,0))</f>
        <v>0</v>
      </c>
      <c r="HF117" s="122" t="n">
        <f aca="false">IF(ISNA(VLOOKUP(A117,'Données projet'!$A$269:$I$289,7,0)),0%,VLOOKUP(A117,'Données projet'!$A$269:$I$289,7,0))</f>
        <v>0</v>
      </c>
      <c r="HG117" s="129" t="e">
        <f aca="false">EXP(-LN(2)/35)*HG116+(1-EXP(-LN(2)/35))/(LN(2)/35)*HC117*HD117*VLOOKUP('Données projet'!$B$18,Paramètres!$A$1:$I$89,3,0)*0.475*44/12</f>
        <v>#N/A</v>
      </c>
      <c r="HH117" s="129" t="e">
        <f aca="false">EXP(-LN(2)/25)*HH116+(1-EXP(-LN(2)/25))/(LN(2)/25)*Calculateur!HC117*Calculateur!HE117*VLOOKUP('Données projet'!$B$18,Paramètres!$A$1:$I$89,3,0)*0.475*44/12</f>
        <v>#N/A</v>
      </c>
      <c r="HI117" s="129" t="e">
        <f aca="false">EXP(-LN(2)/2)*HI116+(1-EXP(-LN(2)/2))/(LN(2)/2)*HC117*HF117*VLOOKUP('Données projet'!$B$18,Paramètres!$A$1:$I$89,3,0)*0.475*44/12</f>
        <v>#N/A</v>
      </c>
      <c r="HJ117" s="130" t="e">
        <f aca="false">SUM(HG117:HI117)</f>
        <v>#N/A</v>
      </c>
    </row>
    <row r="118" customFormat="false" ht="14.25" hidden="false" customHeight="false" outlineLevel="0" collapsed="false">
      <c r="A118" s="112" t="n">
        <f aca="false">A117+1</f>
        <v>115</v>
      </c>
      <c r="B118" s="113" t="n">
        <f aca="false">'Scénario référence'!$B$16*5+'Scénario référence'!$B$17*0+'Scénario référence'!$B$18*5</f>
        <v>0</v>
      </c>
      <c r="C118" s="127" t="n">
        <f aca="false"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4" t="n">
        <f aca="false">IFERROR(EXP(-1.0587+0.8836*LN(C118)+0.284),0)</f>
        <v>0</v>
      </c>
      <c r="E11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8" s="114" t="n">
        <f aca="false">IF(OR('Scénario référence'!$F$8&gt;0,'Scénario référence'!$F$9&gt;0),('Scénario référence'!$F$8+'Scénario référence'!$F$9)*10,0)</f>
        <v>0</v>
      </c>
      <c r="G118" s="114" t="n">
        <f aca="false"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15" t="n">
        <f aca="false">(B118+E118+F118)*44/12+(C118+D118)*0.475*44/12</f>
        <v>256.666666666667</v>
      </c>
      <c r="I118" s="11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7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8" t="e">
        <f aca="false">VLOOKUP(A118,'Données projet'!$A$35:$I$55,2,0)</f>
        <v>#N/A</v>
      </c>
      <c r="L118" s="118" t="e">
        <f aca="false">VLOOKUP(A118,'Données projet'!$A$35:$I$55,9,0)</f>
        <v>#N/A</v>
      </c>
      <c r="M118" s="118" t="e">
        <f aca="false" t="array" ref="M118:M118">INDEX(L:L,MIN(IF(ISNUMBER(L118:L314),ROW(L118:L314),"")))</f>
        <v>#N/A</v>
      </c>
      <c r="N118" s="117" t="n">
        <f aca="false">IF('Données projet'!$A$36&gt;35,N117+M118-V117,IF(A118&lt;'Données projet'!$A$36,$K$205^A118,IF(A118='Données projet'!$A$36,'Données projet'!$B$36,N117+M118-V117)))</f>
        <v>-1.13686837721616E-013</v>
      </c>
      <c r="O118" s="117" t="n">
        <f aca="false">N118*VLOOKUP('Données projet'!$B$9,Paramètres!$A$1:$I$89,3,0)*VLOOKUP('Données projet'!$B$9,Paramètres!$A$1:$I$89,5,0)</f>
        <v>-5.32054400537163E-014</v>
      </c>
      <c r="P118" s="117" t="e">
        <f aca="false">EXP(-1.0587+0.8836*LN(O118)+0.284)</f>
        <v>#VALUE!</v>
      </c>
      <c r="Q118" s="128" t="e">
        <f aca="false">(O118+P118)*0.475*44/12</f>
        <v>#VALUE!</v>
      </c>
      <c r="R118" s="120" t="e">
        <f aca="false">Q118+(I118+J118)*44/12</f>
        <v>#VALUE!</v>
      </c>
      <c r="S118" s="120" t="n">
        <f aca="true">AVERAGE(OFFSET($R$3,0,0,'Données projet'!$E$9+1,1))-AVERAGE(OFFSET($H$3,0,0,'Données projet'!$E$9+1,1))</f>
        <v>319.229030946746</v>
      </c>
      <c r="T118" s="120" t="n">
        <f aca="false">$T$3</f>
        <v>254.586909731428</v>
      </c>
      <c r="U118" s="121" t="n">
        <f aca="false">IF(ISNA(VLOOKUP(A118,'Données projet'!$A$35:$I$55,3,0)),0,VLOOKUP(A118,'Données projet'!$A$35:$I$55,3,0))</f>
        <v>0</v>
      </c>
      <c r="V118" s="121" t="n">
        <f aca="false">IF(ISNA(VLOOKUP(A118,'Données projet'!$A$35:$I$55,4,0)),0,VLOOKUP(A118,'Données projet'!$A$35:$I$55,4,0))</f>
        <v>0</v>
      </c>
      <c r="W118" s="122" t="n">
        <f aca="false">IF(ISNA(VLOOKUP(A118,'Données projet'!$A$35:$I$55,5,0)),0%,VLOOKUP(A118,'Données projet'!$A$35:$I$55,5,0)*VLOOKUP('Données projet'!$B$9,Paramètres!$A$1:$I$89,7,0))</f>
        <v>0</v>
      </c>
      <c r="X118" s="122" t="n">
        <f aca="false">IF(ISNA(VLOOKUP(A118,'Données projet'!$A$35:$I$55,6,0)),0%,VLOOKUP(A118,'Données projet'!$A$35:$I$55,6,0)*VLOOKUP('Données projet'!$B$9,Paramètres!$A$1:$I$89,7,0))</f>
        <v>0</v>
      </c>
      <c r="Y118" s="122" t="n">
        <f aca="false">IF(ISNA(VLOOKUP(A118,'Données projet'!$A$35:$I$55,7,0)),0%,VLOOKUP(A118,'Données projet'!$A$35:$I$55,7,0))</f>
        <v>0</v>
      </c>
      <c r="Z118" s="129" t="n">
        <f aca="false">EXP(-LN(2)/35)*Z117+(1-EXP(-LN(2)/35))/(LN(2)/35)*V118*W118*VLOOKUP('Données projet'!$B$9,Paramètres!$A$1:$I$89,3,0)*0.475*44/12</f>
        <v>1.6858915662325</v>
      </c>
      <c r="AA118" s="129" t="n">
        <f aca="false">EXP(-LN(2)/25)*AA117+(1-EXP(-LN(2)/25))/(LN(2)/25)*Calculateur!V118*Calculateur!X118*VLOOKUP('Données projet'!$B$9,Paramètres!$A$1:$I$89,3,0)*0.475*44/12</f>
        <v>1.0563900494312</v>
      </c>
      <c r="AB118" s="129" t="n">
        <f aca="false">EXP(-LN(2)/2)*AB117+(1-EXP(-LN(2)/2))/(LN(2)/2)*V118*Y118*VLOOKUP('Données projet'!$B$9,Paramètres!$A$1:$I$89,3,0)*0.475*44/12</f>
        <v>1.77548625956748E-012</v>
      </c>
      <c r="AC118" s="130" t="n">
        <f aca="false">SUM(Z118:AB118)</f>
        <v>2.74228161566548</v>
      </c>
      <c r="AD118" s="117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7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8" t="e">
        <f aca="false">VLOOKUP(A118,'Données projet'!$A$61:$I$81,2,0)</f>
        <v>#N/A</v>
      </c>
      <c r="AG118" s="118" t="e">
        <f aca="false">VLOOKUP(A118,'Données projet'!$A$61:$I$81,9,0)</f>
        <v>#N/A</v>
      </c>
      <c r="AH118" s="118" t="e">
        <f aca="false" t="array" ref="AH118:AH118">INDEX(AG:AG,MIN(IF(ISNUMBER(AG118:AG314),ROW(AG118:AG314),"")))</f>
        <v>#N/A</v>
      </c>
      <c r="AI118" s="117" t="n">
        <f aca="false">IF('Données projet'!$A$62&gt;35,AI117+AH118-AQ117,IF(A118&lt;'Données projet'!$A$62,$AF$205^A118,IF(A118='Données projet'!$A$62,'Données projet'!$B$62,AI117+AH118-AQ117)))</f>
        <v>1.13686837721616E-013</v>
      </c>
      <c r="AJ118" s="117" t="n">
        <f aca="false">AI118*VLOOKUP('Données projet'!$B$10,Paramètres!$A$1:$I$89,3,0)*VLOOKUP('Données projet'!$B$10,Paramètres!$A$1:$I$89,5,0)</f>
        <v>6.35509422863834E-014</v>
      </c>
      <c r="AK118" s="117" t="n">
        <f aca="false">EXP(-1.0587+0.8836*LN(AJ118)+0.284)</f>
        <v>1.0064464192544E-012</v>
      </c>
      <c r="AL118" s="128" t="n">
        <f aca="false">(AJ118+AK118)*0.475*44/12</f>
        <v>1.86357873801686E-012</v>
      </c>
      <c r="AM118" s="120" t="n">
        <f aca="false">AL118+(AD118+AE118)*44/12</f>
        <v>293.333333333335</v>
      </c>
      <c r="AN118" s="120" t="n">
        <f aca="true">AVERAGE(OFFSET($AM$3,0,0,'Données projet'!$E$10+1,1))-AVERAGE(OFFSET($H$3,0,0,'Données projet'!$E$10+1,1))</f>
        <v>365.705101827279</v>
      </c>
      <c r="AO118" s="120" t="n">
        <f aca="false">$AO$3</f>
        <v>436.238338449625</v>
      </c>
      <c r="AP118" s="121" t="n">
        <f aca="false">IF(ISNA(VLOOKUP(A118,'Données projet'!$A$61:$I$81,3,0)),0,VLOOKUP(A118,'Données projet'!$A$61:$I$81,3,0))</f>
        <v>0</v>
      </c>
      <c r="AQ118" s="121" t="n">
        <f aca="false">IF(ISNA(VLOOKUP(A118,'Données projet'!$A$61:$I$81,4,0)),0,VLOOKUP(A118,'Données projet'!$A$61:$I$81,4,0))</f>
        <v>0</v>
      </c>
      <c r="AR118" s="122" t="n">
        <f aca="false">IF(ISNA(VLOOKUP(A118,'Données projet'!$A$61:$I$81,5,0)),0%,VLOOKUP(A118,'Données projet'!$A$61:$I$81,5,0)*VLOOKUP('Données projet'!$B$10,Paramètres!$A$1:$I$89,7,0))</f>
        <v>0</v>
      </c>
      <c r="AS118" s="122" t="n">
        <f aca="false">IF(ISNA(VLOOKUP(A118,'Données projet'!$A$61:$I$81,6,0)),0%,VLOOKUP(A118,'Données projet'!$A$61:$I$81,6,0)*VLOOKUP('Données projet'!$B$10,Paramètres!$A$1:$I$89,7,0))</f>
        <v>0</v>
      </c>
      <c r="AT118" s="122" t="n">
        <f aca="false">IF(ISNA(VLOOKUP(A118,'Données projet'!$A$61:$I$81,7,0)),0%,VLOOKUP(A118,'Données projet'!$A$61:$I$81,7,0))</f>
        <v>0</v>
      </c>
      <c r="AU118" s="129" t="n">
        <f aca="false">EXP(-LN(2)/35)*AU117+(1-EXP(-LN(2)/35))/(LN(2)/35)*AQ118*AR118*VLOOKUP('Données projet'!$B$10,Paramètres!$A$1:$I$89,3,0)*0.475*44/12</f>
        <v>0.636369407271655</v>
      </c>
      <c r="AV118" s="129" t="n">
        <f aca="false">EXP(-LN(2)/25)*AV117+(1-EXP(-LN(2)/25))/(LN(2)/25)*Calculateur!AQ118*Calculateur!AS118*VLOOKUP('Données projet'!$B$10,Paramètres!$A$1:$I$89,3,0)*0.475*44/12</f>
        <v>1.25123689467132</v>
      </c>
      <c r="AW118" s="129" t="n">
        <f aca="false">EXP(-LN(2)/2)*AW117+(1-EXP(-LN(2)/2))/(LN(2)/2)*AQ118*AT118*VLOOKUP('Données projet'!$B$10,Paramètres!$A$1:$I$89,3,0)*0.475*44/12</f>
        <v>9.55511212506556E-013</v>
      </c>
      <c r="AX118" s="129" t="n">
        <f aca="false">SUM(AU118:AW118)</f>
        <v>1.88760630194393</v>
      </c>
      <c r="AY118" s="124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8" t="e">
        <f aca="false">VLOOKUP(A118,'Données projet'!$A$87:$I$107,2,0)</f>
        <v>#N/A</v>
      </c>
      <c r="BB118" s="118" t="e">
        <f aca="false">VLOOKUP(A118,'Données projet'!$A$87:$I$107,9,0)</f>
        <v>#N/A</v>
      </c>
      <c r="BC118" s="118" t="e">
        <f aca="false" t="array" ref="BC118:BC118">INDEX(BB:BB,MIN(IF(ISNUMBER(BB118:BB314),ROW(BB118:BB314),"")))</f>
        <v>#N/A</v>
      </c>
      <c r="BD118" s="118" t="n">
        <f aca="false">IF('Données projet'!$A$88&gt;35,BD117+BC118-BL117,IF(A118&lt;'Données projet'!$A$88,$BA$205^A118,IF(A118='Données projet'!$A$88,'Données projet'!$B$88,BD117+BC118-BL117)))</f>
        <v>1.98951966012828E-013</v>
      </c>
      <c r="BE118" s="117" t="n">
        <f aca="false">BD118*VLOOKUP('Données projet'!$B$11,Paramètres!$A$1:$I$89,3,0)*VLOOKUP('Données projet'!$B$11,Paramètres!$A$1:$I$89,5,0)</f>
        <v>1.73804437508807E-013</v>
      </c>
      <c r="BF118" s="117" t="n">
        <f aca="false">EXP(-1.0587+0.8836*LN(BE118)+0.284)</f>
        <v>2.44832936339505E-012</v>
      </c>
      <c r="BG118" s="128" t="n">
        <f aca="false">(BE118+BF118)*0.475*44/12</f>
        <v>4.56688303657421E-012</v>
      </c>
      <c r="BH118" s="120" t="n">
        <f aca="false">BG118+(AY118+AZ118)*44/12</f>
        <v>293.333333333338</v>
      </c>
      <c r="BI118" s="120" t="n">
        <f aca="true">AVERAGE(OFFSET($BH$3,0,0,'Données projet'!$E$11+1,1))-AVERAGE(OFFSET($H$3,0,0,'Données projet'!$E$11+1,1))</f>
        <v>321.235999689929</v>
      </c>
      <c r="BJ118" s="120" t="n">
        <f aca="false">$BJ$3</f>
        <v>388.051958478005</v>
      </c>
      <c r="BK118" s="121" t="n">
        <f aca="false">IF(ISNA(VLOOKUP(A118,'Données projet'!$A$87:$I$107,3,0)),0,VLOOKUP(A118,'Données projet'!$A$87:$I$107,3,0))</f>
        <v>0</v>
      </c>
      <c r="BL118" s="121" t="n">
        <f aca="false">IF(ISNA(VLOOKUP(A118,'Données projet'!$A$87:$I$107,4,0)),0,VLOOKUP(A118,'Données projet'!$A$87:$I$107,4,0))</f>
        <v>0</v>
      </c>
      <c r="BM118" s="122" t="n">
        <f aca="false">IF(ISNA(VLOOKUP(A118,'Données projet'!$A$87:$I$107,5,0)),0%,VLOOKUP(A118,'Données projet'!$A$87:$I$107,5,0)*VLOOKUP('Données projet'!$B$11,Paramètres!$A$1:$I$89,7,0))</f>
        <v>0</v>
      </c>
      <c r="BN118" s="122" t="n">
        <f aca="false">IF(ISNA(VLOOKUP(A118,'Données projet'!$A$87:$I$107,6,0)),0%,VLOOKUP(A118,'Données projet'!$A$87:$I$107,6,0)*VLOOKUP('Données projet'!$B$11,Paramètres!$A$1:$I$89,7,0))</f>
        <v>0</v>
      </c>
      <c r="BO118" s="122" t="n">
        <f aca="false">IF(ISNA(VLOOKUP(A118,'Données projet'!$A$87:$I$107,7,0)),0%,VLOOKUP(A118,'Données projet'!$A$87:$I$107,7,0))</f>
        <v>0</v>
      </c>
      <c r="BP118" s="129" t="n">
        <f aca="false">EXP(-LN(2)/35)*BP117+(1-EXP(-LN(2)/35))/(LN(2)/35)*BL118*BM118*VLOOKUP('Données projet'!$B$11,Paramètres!$A$1:$I$89,3,0)*0.475*44/12</f>
        <v>1.59768262162449</v>
      </c>
      <c r="BQ118" s="129" t="n">
        <f aca="false">EXP(-LN(2)/25)*BQ117+(1-EXP(-LN(2)/25))/(LN(2)/25)*Calculateur!BL118*Calculateur!BN118*VLOOKUP('Données projet'!$B$11,Paramètres!$A$1:$I$89,3,0)*0.475*44/12</f>
        <v>1.27718830320385</v>
      </c>
      <c r="BR118" s="129" t="n">
        <f aca="false">EXP(-LN(2)/2)*BR117+(1-EXP(-LN(2)/2))/(LN(2)/2)*BL118*BO118*VLOOKUP('Données projet'!$B$11,Paramètres!$A$1:$I$89,3,0)*0.475*44/12</f>
        <v>9.71257286882182E-013</v>
      </c>
      <c r="BS118" s="130" t="n">
        <f aca="false">SUM(BP118:BR118)</f>
        <v>2.87487092482931</v>
      </c>
      <c r="BT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8" t="e">
        <f aca="false">VLOOKUP(A118,'Données projet'!$A$113:$I$133,2,0)</f>
        <v>#N/A</v>
      </c>
      <c r="BW118" s="118" t="e">
        <f aca="false">VLOOKUP(A118,'Données projet'!$A$113:$I$133,9,0)</f>
        <v>#N/A</v>
      </c>
      <c r="BX118" s="118" t="e">
        <f aca="false" t="array" ref="BX118:BX118">INDEX(BW:BW,MIN(IF(ISNUMBER(BW118:BW314),ROW(BW118:BW314),"")))</f>
        <v>#N/A</v>
      </c>
      <c r="BY118" s="118" t="n">
        <f aca="false">IF('Données projet'!$A$114&gt;35,BY117+BX118-CG117,IF(A118&lt;'Données projet'!$A$114,$BV$205^A118,IF(A118='Données projet'!$A$114,'Données projet'!$B$114,BY117+BX118-CG117)))</f>
        <v>0</v>
      </c>
      <c r="BZ118" s="117" t="n">
        <f aca="false">BY118*VLOOKUP('Données projet'!$B$12,Paramètres!$A$1:$I$89,3,0)*VLOOKUP('Données projet'!$B$12,Paramètres!$A$1:$I$89,5,0)</f>
        <v>0</v>
      </c>
      <c r="CA118" s="117" t="e">
        <f aca="false">EXP(-1.0587+0.8836*LN(BZ118)+0.284)</f>
        <v>#VALUE!</v>
      </c>
      <c r="CB118" s="128" t="e">
        <f aca="false">(BZ118+CA118)*0.475*44/12</f>
        <v>#VALUE!</v>
      </c>
      <c r="CC118" s="120" t="e">
        <f aca="false">CB118+(BT118+BU118)*44/12</f>
        <v>#VALUE!</v>
      </c>
      <c r="CD118" s="120" t="n">
        <f aca="true">AVERAGE(OFFSET($CC$3,0,0,'Données projet'!$E$12+1,1))-AVERAGE(OFFSET($H$3,0,0,'Données projet'!$E$12+1,1))</f>
        <v>240.228848647662</v>
      </c>
      <c r="CE118" s="120" t="n">
        <f aca="false">$CE$3</f>
        <v>343.237768841432</v>
      </c>
      <c r="CF118" s="121" t="n">
        <f aca="false">IF(ISNA(VLOOKUP(A118,'Données projet'!$A$113:$I$133,3,0)),0,VLOOKUP(A118,'Données projet'!$A$113:$I$133,3,0))</f>
        <v>0</v>
      </c>
      <c r="CG118" s="121" t="n">
        <f aca="false">IF(ISNA(VLOOKUP(A118,'Données projet'!$A$113:$I$133,4,0)),0,VLOOKUP(A118,'Données projet'!$A$113:$I$133,4,0))</f>
        <v>0</v>
      </c>
      <c r="CH118" s="122" t="n">
        <f aca="false">IF(ISNA(VLOOKUP(A118,'Données projet'!$A$113:$I$133,5,0)),0%,VLOOKUP(A118,'Données projet'!$A$113:$I$133,5,0)*VLOOKUP('Données projet'!$B$12,Paramètres!$A$1:$I$89,7,0))</f>
        <v>0</v>
      </c>
      <c r="CI118" s="122" t="n">
        <f aca="false">IF(ISNA(VLOOKUP(A118,'Données projet'!$A$113:$I$133,6,0)),0%,VLOOKUP(A118,'Données projet'!$A$113:$I$133,6,0)*VLOOKUP('Données projet'!$B$12,Paramètres!$A$1:$I$89,7,0))</f>
        <v>0</v>
      </c>
      <c r="CJ118" s="122" t="n">
        <f aca="false">IF(ISNA(VLOOKUP(A118,'Données projet'!$A$113:$I$133,7,0)),0%,VLOOKUP(A118,'Données projet'!$A$113:$I$133,7,0))</f>
        <v>0</v>
      </c>
      <c r="CK118" s="129" t="n">
        <f aca="false">EXP(-LN(2)/35)*CK117+(1-EXP(-LN(2)/35))/(LN(2)/35)*CG118*CH118*VLOOKUP('Données projet'!$B$12,Paramètres!$A$1:$I$89,3,0)*0.475*44/12</f>
        <v>0.977906235034184</v>
      </c>
      <c r="CL118" s="129" t="n">
        <f aca="false">EXP(-LN(2)/25)*CL117+(1-EXP(-LN(2)/25))/(LN(2)/25)*Calculateur!CG118*Calculateur!CI118*VLOOKUP('Données projet'!$B$12,Paramètres!$A$1:$I$89,3,0)*0.475*44/12</f>
        <v>2.25558847974415</v>
      </c>
      <c r="CM118" s="129" t="n">
        <f aca="false">EXP(-LN(2)/2)*CM117+(1-EXP(-LN(2)/2))/(LN(2)/2)*CG118*CJ118*VLOOKUP('Données projet'!$B$12,Paramètres!$A$1:$I$89,3,0)*0.475*44/12</f>
        <v>1.5498676928197E-012</v>
      </c>
      <c r="CN118" s="130" t="n">
        <f aca="false">SUM(CK118:CM118)</f>
        <v>3.23349471477988</v>
      </c>
      <c r="CO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8" t="e">
        <f aca="false">VLOOKUP(A118,'Données projet'!$A$139:$I$159,2,0)</f>
        <v>#N/A</v>
      </c>
      <c r="CR118" s="118" t="e">
        <f aca="false">VLOOKUP(A118,'Données projet'!$A$139:$I$159,9,0)</f>
        <v>#N/A</v>
      </c>
      <c r="CS118" s="118" t="e">
        <f aca="false" t="array" ref="CS118:CS118">INDEX(CR:CR,MIN(IF(ISNUMBER(CR118:CR314),ROW(CR118:CR314),"")))</f>
        <v>#N/A</v>
      </c>
      <c r="CT118" s="118" t="n">
        <f aca="false">IF('Données projet'!$A$140&gt;35,CT117+CS118-DB117,IF(A118&lt;'Données projet'!$A$140,$CQ$205^A118,IF(A118='Données projet'!$A$140,'Données projet'!$B$140,CT117+CS118-DB117)))</f>
        <v>-5.6843418860808E-014</v>
      </c>
      <c r="CU118" s="125" t="n">
        <f aca="false">CT118*VLOOKUP('Données projet'!$B$13,Paramètres!$A$1:$I$89,3,0)*VLOOKUP('Données projet'!$B$13,Paramètres!$A$1:$I$89,5,0)</f>
        <v>-3.10365066980012E-014</v>
      </c>
      <c r="CV118" s="117" t="e">
        <f aca="false">EXP(-1.0587+0.8836*LN(CU118)+0.284)</f>
        <v>#VALUE!</v>
      </c>
      <c r="CW118" s="128" t="e">
        <f aca="false">(CU118+CV118)*0.475*44/12</f>
        <v>#VALUE!</v>
      </c>
      <c r="CX118" s="120" t="e">
        <f aca="false">CW118+(CO118+CP118)*44/12</f>
        <v>#VALUE!</v>
      </c>
      <c r="CY118" s="120" t="n">
        <f aca="true">AVERAGE(OFFSET($CX$3,0,0,'Données projet'!$E$13+1,1))-AVERAGE(OFFSET($H$3,0,0,'Données projet'!$E$13+1,1))</f>
        <v>207.023069645676</v>
      </c>
      <c r="CZ118" s="120" t="n">
        <f aca="false">$CZ$3</f>
        <v>342.068879333518</v>
      </c>
      <c r="DA118" s="121" t="n">
        <f aca="false">IF(ISNA(VLOOKUP(A118,'Données projet'!$A$139:$I$159,3,0)),0,VLOOKUP(A118,'Données projet'!$A$139:$I$159,3,0))</f>
        <v>0</v>
      </c>
      <c r="DB118" s="121" t="n">
        <f aca="false">IF(ISNA(VLOOKUP(A118,'Données projet'!$A$139:$I$159,4,0)),0,VLOOKUP(A118,'Données projet'!$A$139:$I$159,4,0))</f>
        <v>0</v>
      </c>
      <c r="DC118" s="122" t="n">
        <f aca="false">IF(ISNA(VLOOKUP(A118,'Données projet'!$A$139:$I$159,5,0)),0%,VLOOKUP(A118,'Données projet'!$A$139:$I$159,5,0)*VLOOKUP('Données projet'!$B$13,Paramètres!$A$1:$I$89,7,0))</f>
        <v>0</v>
      </c>
      <c r="DD118" s="122" t="n">
        <f aca="false">IF(ISNA(VLOOKUP(A118,'Données projet'!$A$139:$I$159,6,0)),0%,VLOOKUP(A118,'Données projet'!$A$139:$I$159,6,0)*VLOOKUP('Données projet'!$B$13,Paramètres!$A$1:$I$89,7,0))</f>
        <v>0</v>
      </c>
      <c r="DE118" s="122" t="n">
        <f aca="false">IF(ISNA(VLOOKUP(A118,'Données projet'!$A$139:$I$159,7,0)),0%,VLOOKUP(A118,'Données projet'!$A$139:$I$159,7,0))</f>
        <v>0</v>
      </c>
      <c r="DF118" s="129" t="n">
        <f aca="false">EXP(-LN(2)/35)*DF117+(1-EXP(-LN(2)/35))/(LN(2)/35)*DB118*DC118*VLOOKUP('Données projet'!$B$13,Paramètres!$A$1:$I$89,3,0)*0.475*44/12</f>
        <v>1.22699555905233</v>
      </c>
      <c r="DG118" s="129" t="n">
        <f aca="false">EXP(-LN(2)/25)*DG117+(1-EXP(-LN(2)/25))/(LN(2)/25)*Calculateur!DB118*Calculateur!DD118*VLOOKUP('Données projet'!$B$13,Paramètres!$A$1:$I$89,3,0)*0.475*44/12</f>
        <v>3.68694773698264</v>
      </c>
      <c r="DH118" s="129" t="n">
        <f aca="false">EXP(-LN(2)/2)*DH117+(1-EXP(-LN(2)/2))/(LN(2)/2)*DB118*DE118*VLOOKUP('Données projet'!$B$13,Paramètres!$A$1:$I$89,3,0)*0.475*44/12</f>
        <v>2.13416853157042E-012</v>
      </c>
      <c r="DI118" s="130" t="n">
        <f aca="false">SUM(DF118:DH118)</f>
        <v>4.9139432960371</v>
      </c>
      <c r="DJ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8" t="e">
        <f aca="false">VLOOKUP(A118,'Données projet'!$A$165:$I$185,2,0)</f>
        <v>#N/A</v>
      </c>
      <c r="DM118" s="118" t="e">
        <f aca="false">VLOOKUP(A118,'Données projet'!$A$165:$I$185,9,0)</f>
        <v>#N/A</v>
      </c>
      <c r="DN118" s="118" t="e">
        <f aca="false" t="array" ref="DN118:DN118">INDEX(DM:DM,MIN(IF(ISNUMBER(DM118:DM314),ROW(DM118:DM314),"")))</f>
        <v>#N/A</v>
      </c>
      <c r="DO118" s="118" t="n">
        <f aca="false">IF('Données projet'!$A$166&gt;35,DO117+DN118-DW117,IF(A118&lt;'Données projet'!$A$166,$DL$205^A118,IF(A118='Données projet'!$A$166,'Données projet'!$B$166,DO117+DN118-DW117)))</f>
        <v>0</v>
      </c>
      <c r="DP118" s="125" t="n">
        <f aca="false">DO118*VLOOKUP('Données projet'!$B$14,Paramètres!$A$1:$I$89,3,0)*VLOOKUP('Données projet'!$B$14,Paramètres!$A$1:$I$89,5,0)</f>
        <v>0</v>
      </c>
      <c r="DQ118" s="117" t="e">
        <f aca="false">EXP(-1.0587+0.8836*LN(DP118)+0.284)</f>
        <v>#VALUE!</v>
      </c>
      <c r="DR118" s="128" t="e">
        <f aca="false">(DP118+DQ118)*0.475*44/12</f>
        <v>#VALUE!</v>
      </c>
      <c r="DS118" s="120" t="e">
        <f aca="false">DR118+(DJ118+DK118)*44/12</f>
        <v>#VALUE!</v>
      </c>
      <c r="DT118" s="120" t="n">
        <f aca="true">AVERAGE(OFFSET($DS$3,0,0,'Données projet'!$E$14+1,1))-AVERAGE(OFFSET($H$3,0,0,'Données projet'!$E$14+1,1))</f>
        <v>549.432320957297</v>
      </c>
      <c r="DU118" s="120" t="n">
        <f aca="false">$DU$3</f>
        <v>280.26155987301</v>
      </c>
      <c r="DV118" s="121" t="n">
        <f aca="false">IF(ISNA(VLOOKUP(A118,'Données projet'!$A$165:$I$185,3,0)),0,VLOOKUP(A118,'Données projet'!$A$165:$I$185,3,0))</f>
        <v>0</v>
      </c>
      <c r="DW118" s="121" t="n">
        <f aca="false">IF(ISNA(VLOOKUP(A118,'Données projet'!$A$165:$I$185,4,0)),0,VLOOKUP(A118,'Données projet'!$A$165:$I$185,4,0))</f>
        <v>0</v>
      </c>
      <c r="DX118" s="122" t="n">
        <f aca="false">IF(ISNA(VLOOKUP(A118,'Données projet'!$A$165:$I$185,5,0)),0%,VLOOKUP(A118,'Données projet'!$A$165:$I$185,5,0)*VLOOKUP('Données projet'!$B$14,Paramètres!$A$1:$I$89,7,0))</f>
        <v>0</v>
      </c>
      <c r="DY118" s="122" t="n">
        <f aca="false">IF(ISNA(VLOOKUP(A118,'Données projet'!$A$165:$I$185,6,0)),0%,VLOOKUP(A118,'Données projet'!$A$165:$I$185,6,0)*VLOOKUP('Données projet'!$B$14,Paramètres!$A$1:$I$89,7,0))</f>
        <v>0</v>
      </c>
      <c r="DZ118" s="122" t="n">
        <f aca="false">IF(ISNA(VLOOKUP(A118,'Données projet'!$A$165:$I$185,7,0)),0%,VLOOKUP(A118,'Données projet'!$A$165:$I$185,7,0))</f>
        <v>0</v>
      </c>
      <c r="EA118" s="129" t="n">
        <f aca="false">EXP(-LN(2)/35)*EA117+(1-EXP(-LN(2)/35))/(LN(2)/35)*DW118*DX118*VLOOKUP('Données projet'!$B$14,Paramètres!$A$1:$I$89,3,0)*0.475*44/12</f>
        <v>0.446134217117612</v>
      </c>
      <c r="EB118" s="129" t="n">
        <f aca="false">EXP(-LN(2)/25)*EB117+(1-EXP(-LN(2)/25))/(LN(2)/25)*Calculateur!DW118*Calculateur!DY118*VLOOKUP('Données projet'!$B$14,Paramètres!$A$1:$I$89,3,0)*0.475*44/12</f>
        <v>0.734512731407254</v>
      </c>
      <c r="EC118" s="129" t="n">
        <f aca="false">EXP(-LN(2)/2)*EC117+(1-EXP(-LN(2)/2))/(LN(2)/2)*DW118*DZ118*VLOOKUP('Données projet'!$B$14,Paramètres!$A$1:$I$89,3,0)*0.475*44/12</f>
        <v>9.83807700982904E-013</v>
      </c>
      <c r="ED118" s="130" t="n">
        <f aca="false">SUM(EA118:EC118)</f>
        <v>1.18064694852585</v>
      </c>
      <c r="EE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8" t="e">
        <f aca="false">VLOOKUP(A118,'Données projet'!$A$191:$I$211,2,0)</f>
        <v>#N/A</v>
      </c>
      <c r="EH118" s="118" t="e">
        <f aca="false">VLOOKUP(A118,'Données projet'!$A$191:$I$211,9,0)</f>
        <v>#N/A</v>
      </c>
      <c r="EI118" s="118" t="e">
        <f aca="false" t="array" ref="EI118:EI118">INDEX(EH:EH,MIN(IF(ISNUMBER(EH118:EH314),ROW(EH118:EH314),"")))</f>
        <v>#N/A</v>
      </c>
      <c r="EJ118" s="118" t="n">
        <f aca="false">IF('Données projet'!$A$192&gt;35,EJ117+EI118-ER117,IF(A118&lt;'Données projet'!$A$192,$EG$205^A118,IF(A118='Données projet'!$A$192,'Données projet'!$B$192,EJ117+EI118-ER117)))</f>
        <v>0</v>
      </c>
      <c r="EK118" s="125" t="e">
        <f aca="false">EJ118*VLOOKUP('Données projet'!$B$15,Paramètres!$A$1:$I$89,3,0)*VLOOKUP('Données projet'!$B$15,Paramètres!$A$1:$I$89,5,0)</f>
        <v>#N/A</v>
      </c>
      <c r="EL118" s="117" t="e">
        <f aca="false">EXP(-1.0587+0.8836*LN(EK118)+0.284)</f>
        <v>#N/A</v>
      </c>
      <c r="EM118" s="128" t="e">
        <f aca="false">(EK118+EL118)*0.475*44/12</f>
        <v>#N/A</v>
      </c>
      <c r="EN118" s="120" t="e">
        <f aca="false">EM118+(EE118+EF118)*44/12</f>
        <v>#N/A</v>
      </c>
      <c r="EO118" s="120" t="e">
        <f aca="true">AVERAGE(OFFSET($EN$3,0,0,'Données projet'!$E$15+1,1))-AVERAGE(OFFSET($H$3,0,0,'Données projet'!$E$15+1,1))</f>
        <v>#N/A</v>
      </c>
      <c r="EP118" s="120" t="e">
        <f aca="false">$EP$3</f>
        <v>#N/A</v>
      </c>
      <c r="EQ118" s="121" t="n">
        <f aca="false">IF(ISNA(VLOOKUP(A118,'Données projet'!$A$191:$I$211,3,0)),0,VLOOKUP(A118,'Données projet'!$A$191:$I$211,3,0))</f>
        <v>0</v>
      </c>
      <c r="ER118" s="121" t="n">
        <f aca="false">IF(ISNA(VLOOKUP(A118,'Données projet'!$A$191:$I$211,4,0)),0,VLOOKUP(A118,'Données projet'!$A$191:$I$211,4,0))</f>
        <v>0</v>
      </c>
      <c r="ES118" s="122" t="n">
        <f aca="false">IF(ISNA(VLOOKUP(A118,'Données projet'!$A$191:$I$211,5,0)),0%,VLOOKUP(A118,'Données projet'!$A$191:$I$211,5,0)*VLOOKUP('Données projet'!$B$15,Paramètres!$A$1:$I$89,7,0))</f>
        <v>0</v>
      </c>
      <c r="ET118" s="122" t="n">
        <f aca="false">IF(ISNA(VLOOKUP(A118,'Données projet'!$A$191:$I$211,6,0)),0%,VLOOKUP(A118,'Données projet'!$A$191:$I$211,6,0)*VLOOKUP('Données projet'!$B$15,Paramètres!$A$1:$I$89,7,0))</f>
        <v>0</v>
      </c>
      <c r="EU118" s="122" t="n">
        <f aca="false">IF(ISNA(VLOOKUP(A118,'Données projet'!$A$191:$I$211,7,0)),0%,VLOOKUP(A118,'Données projet'!$A$191:$I$211,7,0))</f>
        <v>0</v>
      </c>
      <c r="EV118" s="129" t="e">
        <f aca="false">EXP(-LN(2)/35)*EV117+(1-EXP(-LN(2)/35))/(LN(2)/35)*ER118*ES118*VLOOKUP('Données projet'!$B$15,Paramètres!$A$1:$I$89,3,0)*0.475*44/12</f>
        <v>#N/A</v>
      </c>
      <c r="EW118" s="129" t="e">
        <f aca="false">EXP(-LN(2)/25)*EW117+(1-EXP(-LN(2)/25))/(LN(2)/25)*Calculateur!ER118*Calculateur!ET118*VLOOKUP('Données projet'!$B$15,Paramètres!$A$1:$I$89,3,0)*0.475*44/12</f>
        <v>#N/A</v>
      </c>
      <c r="EX118" s="129" t="e">
        <f aca="false">EXP(-LN(2)/2)*EX117+(1-EXP(-LN(2)/2))/(LN(2)/2)*ER118*EU118*VLOOKUP('Données projet'!$B$15,Paramètres!$A$1:$I$89,3,0)*0.475*44/12</f>
        <v>#N/A</v>
      </c>
      <c r="EY118" s="130" t="e">
        <f aca="false">SUM(EV118:EX118)</f>
        <v>#N/A</v>
      </c>
      <c r="EZ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8" t="e">
        <f aca="false">VLOOKUP(A118,'Données projet'!$A$217:$I$237,2,0)</f>
        <v>#N/A</v>
      </c>
      <c r="FC118" s="118" t="e">
        <f aca="false">VLOOKUP(A118,'Données projet'!$A$217:$I$237,9,0)</f>
        <v>#N/A</v>
      </c>
      <c r="FD118" s="118" t="e">
        <f aca="false" t="array" ref="FD118:FD118">INDEX(FC:FC,MIN(IF(ISNUMBER(FC118:FC314),ROW(FC118:FC314),"")))</f>
        <v>#N/A</v>
      </c>
      <c r="FE118" s="118" t="n">
        <f aca="false">IF('Données projet'!$A$218&gt;35,FE117+FD118-FM117,IF(A118&lt;'Données projet'!$A$218,$FB$205^A118,IF(A118='Données projet'!$A$218,'Données projet'!$B$218,FE117+FD118-FM117)))</f>
        <v>0</v>
      </c>
      <c r="FF118" s="125" t="e">
        <f aca="false">FE118*VLOOKUP('Données projet'!$B$16,Paramètres!$A$1:$I$89,3,0)*VLOOKUP('Données projet'!$B$16,Paramètres!$A$1:$I$89,5,0)</f>
        <v>#N/A</v>
      </c>
      <c r="FG118" s="117" t="e">
        <f aca="false">EXP(-1.0587+0.8836*LN(FF118)+0.284)</f>
        <v>#N/A</v>
      </c>
      <c r="FH118" s="128" t="e">
        <f aca="false">(FF118+FG118)*0.475*44/12</f>
        <v>#N/A</v>
      </c>
      <c r="FI118" s="120" t="e">
        <f aca="false">FH118+(EZ118+FA118)*44/12</f>
        <v>#N/A</v>
      </c>
      <c r="FJ118" s="120" t="e">
        <f aca="true">AVERAGE(OFFSET($FI$3,0,0,'Données projet'!$E$16+1,1))-AVERAGE(OFFSET($H$3,0,0,'Données projet'!$E$16+1,1))</f>
        <v>#N/A</v>
      </c>
      <c r="FK118" s="120" t="e">
        <f aca="false">$FK$3</f>
        <v>#N/A</v>
      </c>
      <c r="FL118" s="121" t="n">
        <f aca="false">IF(ISNA(VLOOKUP(A118,'Données projet'!$A$217:$I$237,3,0)),0,VLOOKUP(A118,'Données projet'!$A$217:$I$237,3,0))</f>
        <v>0</v>
      </c>
      <c r="FM118" s="121" t="n">
        <f aca="false">IF(ISNA(VLOOKUP(A118,'Données projet'!$A$217:$I$237,4,0)),0,VLOOKUP(A118,'Données projet'!$A$217:$I$237,4,0))</f>
        <v>0</v>
      </c>
      <c r="FN118" s="122" t="n">
        <f aca="false">IF(ISNA(VLOOKUP(A118,'Données projet'!$A$217:$I$237,5,0)),0%,VLOOKUP(A118,'Données projet'!$A$217:$I$237,5,0)*VLOOKUP('Données projet'!$B$16,Paramètres!$A$1:$I$89,7,0))</f>
        <v>0</v>
      </c>
      <c r="FO118" s="122" t="n">
        <f aca="false">IF(ISNA(VLOOKUP(A118,'Données projet'!$A$217:$I$237,6,0)),0%,VLOOKUP(A118,'Données projet'!$A$217:$I$237,6,0)*VLOOKUP('Données projet'!$B$16,Paramètres!$A$1:$I$89,7,0))</f>
        <v>0</v>
      </c>
      <c r="FP118" s="122" t="n">
        <f aca="false">IF(ISNA(VLOOKUP(A118,'Données projet'!$A$217:$I$237,7,0)),0%,VLOOKUP(A118,'Données projet'!$A$217:$I$237,7,0))</f>
        <v>0</v>
      </c>
      <c r="FQ118" s="129" t="e">
        <f aca="false">EXP(-LN(2)/35)*FQ117+(1-EXP(-LN(2)/35))/(LN(2)/35)*FM118*FN118*VLOOKUP('Données projet'!$B$16,Paramètres!$A$1:$I$89,3,0)*0.475*44/12</f>
        <v>#N/A</v>
      </c>
      <c r="FR118" s="129" t="e">
        <f aca="false">EXP(-LN(2)/25)*FR117+(1-EXP(-LN(2)/25))/(LN(2)/25)*Calculateur!FM118*Calculateur!FO118*VLOOKUP('Données projet'!$B$16,Paramètres!$A$1:$I$89,3,0)*0.475*44/12</f>
        <v>#N/A</v>
      </c>
      <c r="FS118" s="129" t="e">
        <f aca="false">EXP(-LN(2)/2)*FS117+(1-EXP(-LN(2)/2))/(LN(2)/2)*FM118*FP118*VLOOKUP('Données projet'!$B$16,Paramètres!$A$1:$I$89,3,0)*0.475*44/12</f>
        <v>#N/A</v>
      </c>
      <c r="FT118" s="130" t="e">
        <f aca="false">SUM(FQ118:FS118)</f>
        <v>#N/A</v>
      </c>
      <c r="FU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8" t="e">
        <f aca="false">VLOOKUP(A118,'Données projet'!$A$243:$I$263,2,0)</f>
        <v>#N/A</v>
      </c>
      <c r="FX118" s="118" t="e">
        <f aca="false">VLOOKUP(A118,'Données projet'!$A$243:$I$263,9,0)</f>
        <v>#N/A</v>
      </c>
      <c r="FY118" s="118" t="e">
        <f aca="false" t="array" ref="FY118:FY118">INDEX(FX:FX,MIN(IF(ISNUMBER(FX118:FX314),ROW(FX118:FX314),"")))</f>
        <v>#N/A</v>
      </c>
      <c r="FZ118" s="118" t="n">
        <f aca="false">IF('Données projet'!$A$244&gt;35,FZ117+FY118-GH117,IF(A118&lt;'Données projet'!$A$244,$FW$205^A118,IF(A118='Données projet'!$A$244,'Données projet'!$B$244,FZ117+FY118-GH117)))</f>
        <v>0</v>
      </c>
      <c r="GA118" s="125" t="e">
        <f aca="false">FZ118*VLOOKUP('Données projet'!$B$17,Paramètres!$A$1:$I$89,3,0)*VLOOKUP('Données projet'!$B$17,Paramètres!$A$1:$I$89,5,0)</f>
        <v>#N/A</v>
      </c>
      <c r="GB118" s="117" t="e">
        <f aca="false">EXP(-1.0587+0.8836*LN(GA118)+0.284)</f>
        <v>#N/A</v>
      </c>
      <c r="GC118" s="128" t="e">
        <f aca="false">(GA118+GB118)*0.475*44/12</f>
        <v>#N/A</v>
      </c>
      <c r="GD118" s="120" t="e">
        <f aca="false">GC118+(FU118+FV118)*44/12</f>
        <v>#N/A</v>
      </c>
      <c r="GE118" s="120" t="e">
        <f aca="true">AVERAGE(OFFSET($GD$3,0,0,'Données projet'!$E$17+1,1))-AVERAGE(OFFSET($H$3,0,0,'Données projet'!$E$17+1,1))</f>
        <v>#N/A</v>
      </c>
      <c r="GF118" s="120" t="e">
        <f aca="false">$GF$3</f>
        <v>#N/A</v>
      </c>
      <c r="GG118" s="121" t="n">
        <f aca="false">IF(ISNA(VLOOKUP(A118,'Données projet'!$A$243:$I$263,3,0)),0,VLOOKUP(A118,'Données projet'!$A$243:$I$263,3,0))</f>
        <v>0</v>
      </c>
      <c r="GH118" s="121" t="n">
        <f aca="false">IF(ISNA(VLOOKUP(A118,'Données projet'!$A$243:$I$263,4,0)),0,VLOOKUP(A118,'Données projet'!$A$243:$I$263,4,0))</f>
        <v>0</v>
      </c>
      <c r="GI118" s="122" t="n">
        <f aca="false">IF(ISNA(VLOOKUP(A118,'Données projet'!$A$243:$I$263,5,0)),0%,VLOOKUP(A118,'Données projet'!$A$243:$I$263,5,0)*VLOOKUP('Données projet'!$B$17,Paramètres!$A$1:$I$89,7,0))</f>
        <v>0</v>
      </c>
      <c r="GJ118" s="122" t="n">
        <f aca="false">IF(ISNA(VLOOKUP(A118,'Données projet'!$A$243:$I$263,6,0)),0%,VLOOKUP(A118,'Données projet'!$A$243:$I$263,6,0)*VLOOKUP('Données projet'!$B$17,Paramètres!$A$1:$I$89,7,0))</f>
        <v>0</v>
      </c>
      <c r="GK118" s="122" t="n">
        <f aca="false">IF(ISNA(VLOOKUP(A118,'Données projet'!$A$243:$I$263,7,0)),0%,VLOOKUP(A118,'Données projet'!$A$243:$I$263,7,0))</f>
        <v>0</v>
      </c>
      <c r="GL118" s="129" t="e">
        <f aca="false">EXP(-LN(2)/35)*GL117+(1-EXP(-LN(2)/35))/(LN(2)/35)*GH118*GI118*VLOOKUP('Données projet'!$B$17,Paramètres!$A$1:$I$89,3,0)*0.475*44/12</f>
        <v>#N/A</v>
      </c>
      <c r="GM118" s="129" t="e">
        <f aca="false">EXP(-LN(2)/25)*GM117+(1-EXP(-LN(2)/25))/(LN(2)/25)*Calculateur!GH118*Calculateur!GJ118*VLOOKUP('Données projet'!$B$17,Paramètres!$A$1:$I$89,3,0)*0.475*44/12</f>
        <v>#N/A</v>
      </c>
      <c r="GN118" s="129" t="e">
        <f aca="false">EXP(-LN(2)/2)*GN117+(1-EXP(-LN(2)/2))/(LN(2)/2)*GH118*GK118*VLOOKUP('Données projet'!$B$17,Paramètres!$A$1:$I$89,3,0)*0.475*44/12</f>
        <v>#N/A</v>
      </c>
      <c r="GO118" s="129" t="e">
        <f aca="false">SUM(GL118:GN118)</f>
        <v>#N/A</v>
      </c>
      <c r="GP118" s="126" t="n">
        <f aca="false"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8" t="n">
        <f aca="false"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8" t="e">
        <f aca="false">VLOOKUP(A118,'Données projet'!$A$269:$I$289,2,0)</f>
        <v>#N/A</v>
      </c>
      <c r="GS118" s="118" t="e">
        <f aca="false">VLOOKUP(A118,'Données projet'!$A$269:$I$289,9,0)</f>
        <v>#N/A</v>
      </c>
      <c r="GT118" s="118" t="e">
        <f aca="false" t="array" ref="GT118:GT118">INDEX(GS:GS,MIN(IF(ISNUMBER(GS118:GS314),ROW(GS118:GS314),"")))</f>
        <v>#N/A</v>
      </c>
      <c r="GU118" s="118" t="n">
        <f aca="false">IF('Données projet'!$A$270&gt;35,GU117+GT118-HC117,IF(A118&lt;'Données projet'!$A$270,$GR$205^A118,IF(A118='Données projet'!$A$270,'Données projet'!$B$270,GU117+GT118-HC117)))</f>
        <v>0</v>
      </c>
      <c r="GV118" s="125" t="e">
        <f aca="false">GU118*VLOOKUP('Données projet'!$B$18,Paramètres!$A$1:$I$89,3,0)*VLOOKUP('Données projet'!$B$18,Paramètres!$A$1:$I$89,5,0)</f>
        <v>#N/A</v>
      </c>
      <c r="GW118" s="117" t="e">
        <f aca="false">EXP(-1.0587+0.8836*LN(GV118)+0.284)</f>
        <v>#N/A</v>
      </c>
      <c r="GX118" s="128" t="e">
        <f aca="false">(GV118+GW118)*0.475*44/12</f>
        <v>#N/A</v>
      </c>
      <c r="GY118" s="120" t="e">
        <f aca="false">GX118+(GP118+GQ118)*44/12</f>
        <v>#N/A</v>
      </c>
      <c r="GZ118" s="120" t="e">
        <f aca="true">AVERAGE(OFFSET($GY$3,0,0,'Données projet'!$E$18+1,1))-AVERAGE(OFFSET($H$3,0,0,'Données projet'!$E$18+1,1))</f>
        <v>#N/A</v>
      </c>
      <c r="HA118" s="120" t="e">
        <f aca="false">$HA$3</f>
        <v>#N/A</v>
      </c>
      <c r="HB118" s="121" t="n">
        <f aca="false">IF(ISNA(VLOOKUP(A118,'Données projet'!$A$269:$I$289,3,0)),0,VLOOKUP(A118,'Données projet'!$A$269:$I$289,3,0))</f>
        <v>0</v>
      </c>
      <c r="HC118" s="121" t="n">
        <f aca="false">IF(ISNA(VLOOKUP(A118,'Données projet'!$A$269:$I$289,4,0)),0,VLOOKUP(A118,'Données projet'!$A$269:$I$289,4,0))</f>
        <v>0</v>
      </c>
      <c r="HD118" s="122" t="n">
        <f aca="false">IF(ISNA(VLOOKUP(A118,'Données projet'!$A$269:$I$289,5,0)),0%,VLOOKUP(A118,'Données projet'!$A$269:$I$289,5,0)*VLOOKUP('Données projet'!$B$18,Paramètres!$A$1:$I$89,7,0))</f>
        <v>0</v>
      </c>
      <c r="HE118" s="122" t="n">
        <f aca="false">IF(ISNA(VLOOKUP(A118,'Données projet'!$A$269:$I$289,6,0)),0%,VLOOKUP(A118,'Données projet'!$A$269:$I$289,6,0)*VLOOKUP('Données projet'!$B$18,Paramètres!$A$1:$I$89,7,0))</f>
        <v>0</v>
      </c>
      <c r="HF118" s="122" t="n">
        <f aca="false">IF(ISNA(VLOOKUP(A118,'Données projet'!$A$269:$I$289,7,0)),0%,VLOOKUP(A118,'Données projet'!$A$269:$I$289,7,0))</f>
        <v>0</v>
      </c>
      <c r="HG118" s="129" t="e">
        <f aca="false">EXP(-LN(2)/35)*HG117+(1-EXP(-LN(2)/35))/(LN(2)/35)*HC118*HD118*VLOOKUP('Données projet'!$B$18,Paramètres!$A$1:$I$89,3,0)*0.475*44/12</f>
        <v>#N/A</v>
      </c>
      <c r="HH118" s="129" t="e">
        <f aca="false">EXP(-LN(2)/25)*HH117+(1-EXP(-LN(2)/25))/(LN(2)/25)*Calculateur!HC118*Calculateur!HE118*VLOOKUP('Données projet'!$B$18,Paramètres!$A$1:$I$89,3,0)*0.475*44/12</f>
        <v>#N/A</v>
      </c>
      <c r="HI118" s="129" t="e">
        <f aca="false">EXP(-LN(2)/2)*HI117+(1-EXP(-LN(2)/2))/(LN(2)/2)*HC118*HF118*VLOOKUP('Données projet'!$B$18,Paramètres!$A$1:$I$89,3,0)*0.475*44/12</f>
        <v>#N/A</v>
      </c>
      <c r="HJ118" s="130" t="e">
        <f aca="false">SUM(HG118:HI118)</f>
        <v>#N/A</v>
      </c>
    </row>
    <row r="119" customFormat="false" ht="14.25" hidden="false" customHeight="false" outlineLevel="0" collapsed="false">
      <c r="A119" s="112" t="n">
        <f aca="false">A118+1</f>
        <v>116</v>
      </c>
      <c r="B119" s="113" t="n">
        <f aca="false">'Scénario référence'!$B$16*5+'Scénario référence'!$B$17*0+'Scénario référence'!$B$18*5</f>
        <v>0</v>
      </c>
      <c r="C119" s="127" t="n">
        <f aca="false"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4" t="n">
        <f aca="false">IFERROR(EXP(-1.0587+0.8836*LN(C119)+0.284),0)</f>
        <v>0</v>
      </c>
      <c r="E11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19" s="114" t="n">
        <f aca="false">IF(OR('Scénario référence'!$F$8&gt;0,'Scénario référence'!$F$9&gt;0),('Scénario référence'!$F$8+'Scénario référence'!$F$9)*10,0)</f>
        <v>0</v>
      </c>
      <c r="G119" s="114" t="n">
        <f aca="false"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15" t="n">
        <f aca="false">(B119+E119+F119)*44/12+(C119+D119)*0.475*44/12</f>
        <v>256.666666666667</v>
      </c>
      <c r="I119" s="11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7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8" t="e">
        <f aca="false">VLOOKUP(A119,'Données projet'!$A$35:$I$55,2,0)</f>
        <v>#N/A</v>
      </c>
      <c r="L119" s="118" t="e">
        <f aca="false">VLOOKUP(A119,'Données projet'!$A$35:$I$55,9,0)</f>
        <v>#N/A</v>
      </c>
      <c r="M119" s="118" t="e">
        <f aca="false" t="array" ref="M119:M119">INDEX(L:L,MIN(IF(ISNUMBER(L119:L315),ROW(L119:L315),"")))</f>
        <v>#N/A</v>
      </c>
      <c r="N119" s="117" t="n">
        <f aca="false">IF('Données projet'!$A$36&gt;35,N118+M119-V118,IF(A119&lt;'Données projet'!$A$36,$K$205^A119,IF(A119='Données projet'!$A$36,'Données projet'!$B$36,N118+M119-V118)))</f>
        <v>-1.13686837721616E-013</v>
      </c>
      <c r="O119" s="117" t="n">
        <f aca="false">N119*VLOOKUP('Données projet'!$B$9,Paramètres!$A$1:$I$89,3,0)*VLOOKUP('Données projet'!$B$9,Paramètres!$A$1:$I$89,5,0)</f>
        <v>-5.32054400537163E-014</v>
      </c>
      <c r="P119" s="117" t="e">
        <f aca="false">EXP(-1.0587+0.8836*LN(O119)+0.284)</f>
        <v>#VALUE!</v>
      </c>
      <c r="Q119" s="128" t="e">
        <f aca="false">(O119+P119)*0.475*44/12</f>
        <v>#VALUE!</v>
      </c>
      <c r="R119" s="120" t="e">
        <f aca="false">Q119+(I119+J119)*44/12</f>
        <v>#VALUE!</v>
      </c>
      <c r="S119" s="120" t="n">
        <f aca="true">AVERAGE(OFFSET($R$3,0,0,'Données projet'!$E$9+1,1))-AVERAGE(OFFSET($H$3,0,0,'Données projet'!$E$9+1,1))</f>
        <v>319.229030946746</v>
      </c>
      <c r="T119" s="120" t="n">
        <f aca="false">$T$3</f>
        <v>254.586909731428</v>
      </c>
      <c r="U119" s="121" t="n">
        <f aca="false">IF(ISNA(VLOOKUP(A119,'Données projet'!$A$35:$I$55,3,0)),0,VLOOKUP(A119,'Données projet'!$A$35:$I$55,3,0))</f>
        <v>0</v>
      </c>
      <c r="V119" s="121" t="n">
        <f aca="false">IF(ISNA(VLOOKUP(A119,'Données projet'!$A$35:$I$55,4,0)),0,VLOOKUP(A119,'Données projet'!$A$35:$I$55,4,0))</f>
        <v>0</v>
      </c>
      <c r="W119" s="122" t="n">
        <f aca="false">IF(ISNA(VLOOKUP(A119,'Données projet'!$A$35:$I$55,5,0)),0%,VLOOKUP(A119,'Données projet'!$A$35:$I$55,5,0)*VLOOKUP('Données projet'!$B$9,Paramètres!$A$1:$I$89,7,0))</f>
        <v>0</v>
      </c>
      <c r="X119" s="122" t="n">
        <f aca="false">IF(ISNA(VLOOKUP(A119,'Données projet'!$A$35:$I$55,6,0)),0%,VLOOKUP(A119,'Données projet'!$A$35:$I$55,6,0)*VLOOKUP('Données projet'!$B$9,Paramètres!$A$1:$I$89,7,0))</f>
        <v>0</v>
      </c>
      <c r="Y119" s="122" t="n">
        <f aca="false">IF(ISNA(VLOOKUP(A119,'Données projet'!$A$35:$I$55,7,0)),0%,VLOOKUP(A119,'Données projet'!$A$35:$I$55,7,0))</f>
        <v>0</v>
      </c>
      <c r="Z119" s="129" t="n">
        <f aca="false">EXP(-LN(2)/35)*Z118+(1-EXP(-LN(2)/35))/(LN(2)/35)*V119*W119*VLOOKUP('Données projet'!$B$9,Paramètres!$A$1:$I$89,3,0)*0.475*44/12</f>
        <v>1.652832260911</v>
      </c>
      <c r="AA119" s="129" t="n">
        <f aca="false">EXP(-LN(2)/25)*AA118+(1-EXP(-LN(2)/25))/(LN(2)/25)*Calculateur!V119*Calculateur!X119*VLOOKUP('Données projet'!$B$9,Paramètres!$A$1:$I$89,3,0)*0.475*44/12</f>
        <v>1.02750300797637</v>
      </c>
      <c r="AB119" s="129" t="n">
        <f aca="false">EXP(-LN(2)/2)*AB118+(1-EXP(-LN(2)/2))/(LN(2)/2)*V119*Y119*VLOOKUP('Données projet'!$B$9,Paramètres!$A$1:$I$89,3,0)*0.475*44/12</f>
        <v>1.2554583740437E-012</v>
      </c>
      <c r="AC119" s="130" t="n">
        <f aca="false">SUM(Z119:AB119)</f>
        <v>2.68033526888863</v>
      </c>
      <c r="AD119" s="117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7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8" t="e">
        <f aca="false">VLOOKUP(A119,'Données projet'!$A$61:$I$81,2,0)</f>
        <v>#N/A</v>
      </c>
      <c r="AG119" s="118" t="e">
        <f aca="false">VLOOKUP(A119,'Données projet'!$A$61:$I$81,9,0)</f>
        <v>#N/A</v>
      </c>
      <c r="AH119" s="118" t="e">
        <f aca="false" t="array" ref="AH119:AH119">INDEX(AG:AG,MIN(IF(ISNUMBER(AG119:AG315),ROW(AG119:AG315),"")))</f>
        <v>#N/A</v>
      </c>
      <c r="AI119" s="117" t="n">
        <f aca="false">IF('Données projet'!$A$62&gt;35,AI118+AH119-AQ118,IF(A119&lt;'Données projet'!$A$62,$AF$205^A119,IF(A119='Données projet'!$A$62,'Données projet'!$B$62,AI118+AH119-AQ118)))</f>
        <v>1.13686837721616E-013</v>
      </c>
      <c r="AJ119" s="117" t="n">
        <f aca="false">AI119*VLOOKUP('Données projet'!$B$10,Paramètres!$A$1:$I$89,3,0)*VLOOKUP('Données projet'!$B$10,Paramètres!$A$1:$I$89,5,0)</f>
        <v>6.35509422863834E-014</v>
      </c>
      <c r="AK119" s="117" t="n">
        <f aca="false">EXP(-1.0587+0.8836*LN(AJ119)+0.284)</f>
        <v>1.0064464192544E-012</v>
      </c>
      <c r="AL119" s="128" t="n">
        <f aca="false">(AJ119+AK119)*0.475*44/12</f>
        <v>1.86357873801686E-012</v>
      </c>
      <c r="AM119" s="120" t="n">
        <f aca="false">AL119+(AD119+AE119)*44/12</f>
        <v>293.333333333335</v>
      </c>
      <c r="AN119" s="120" t="n">
        <f aca="true">AVERAGE(OFFSET($AM$3,0,0,'Données projet'!$E$10+1,1))-AVERAGE(OFFSET($H$3,0,0,'Données projet'!$E$10+1,1))</f>
        <v>365.705101827279</v>
      </c>
      <c r="AO119" s="120" t="n">
        <f aca="false">$AO$3</f>
        <v>436.238338449625</v>
      </c>
      <c r="AP119" s="121" t="n">
        <f aca="false">IF(ISNA(VLOOKUP(A119,'Données projet'!$A$61:$I$81,3,0)),0,VLOOKUP(A119,'Données projet'!$A$61:$I$81,3,0))</f>
        <v>0</v>
      </c>
      <c r="AQ119" s="121" t="n">
        <f aca="false">IF(ISNA(VLOOKUP(A119,'Données projet'!$A$61:$I$81,4,0)),0,VLOOKUP(A119,'Données projet'!$A$61:$I$81,4,0))</f>
        <v>0</v>
      </c>
      <c r="AR119" s="122" t="n">
        <f aca="false">IF(ISNA(VLOOKUP(A119,'Données projet'!$A$61:$I$81,5,0)),0%,VLOOKUP(A119,'Données projet'!$A$61:$I$81,5,0)*VLOOKUP('Données projet'!$B$10,Paramètres!$A$1:$I$89,7,0))</f>
        <v>0</v>
      </c>
      <c r="AS119" s="122" t="n">
        <f aca="false">IF(ISNA(VLOOKUP(A119,'Données projet'!$A$61:$I$81,6,0)),0%,VLOOKUP(A119,'Données projet'!$A$61:$I$81,6,0)*VLOOKUP('Données projet'!$B$10,Paramètres!$A$1:$I$89,7,0))</f>
        <v>0</v>
      </c>
      <c r="AT119" s="122" t="n">
        <f aca="false">IF(ISNA(VLOOKUP(A119,'Données projet'!$A$61:$I$81,7,0)),0%,VLOOKUP(A119,'Données projet'!$A$61:$I$81,7,0))</f>
        <v>0</v>
      </c>
      <c r="AU119" s="129" t="n">
        <f aca="false">EXP(-LN(2)/35)*AU118+(1-EXP(-LN(2)/35))/(LN(2)/35)*AQ119*AR119*VLOOKUP('Données projet'!$B$10,Paramètres!$A$1:$I$89,3,0)*0.475*44/12</f>
        <v>0.62389059134207</v>
      </c>
      <c r="AV119" s="129" t="n">
        <f aca="false">EXP(-LN(2)/25)*AV118+(1-EXP(-LN(2)/25))/(LN(2)/25)*Calculateur!AQ119*Calculateur!AS119*VLOOKUP('Données projet'!$B$10,Paramètres!$A$1:$I$89,3,0)*0.475*44/12</f>
        <v>1.21702175598684</v>
      </c>
      <c r="AW119" s="129" t="n">
        <f aca="false">EXP(-LN(2)/2)*AW118+(1-EXP(-LN(2)/2))/(LN(2)/2)*AQ119*AT119*VLOOKUP('Données projet'!$B$10,Paramètres!$A$1:$I$89,3,0)*0.475*44/12</f>
        <v>6.75648457863166E-013</v>
      </c>
      <c r="AX119" s="129" t="n">
        <f aca="false">SUM(AU119:AW119)</f>
        <v>1.84091234732959</v>
      </c>
      <c r="AY119" s="124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8" t="e">
        <f aca="false">VLOOKUP(A119,'Données projet'!$A$87:$I$107,2,0)</f>
        <v>#N/A</v>
      </c>
      <c r="BB119" s="118" t="e">
        <f aca="false">VLOOKUP(A119,'Données projet'!$A$87:$I$107,9,0)</f>
        <v>#N/A</v>
      </c>
      <c r="BC119" s="118" t="e">
        <f aca="false" t="array" ref="BC119:BC119">INDEX(BB:BB,MIN(IF(ISNUMBER(BB119:BB315),ROW(BB119:BB315),"")))</f>
        <v>#N/A</v>
      </c>
      <c r="BD119" s="118" t="n">
        <f aca="false">IF('Données projet'!$A$88&gt;35,BD118+BC119-BL118,IF(A119&lt;'Données projet'!$A$88,$BA$205^A119,IF(A119='Données projet'!$A$88,'Données projet'!$B$88,BD118+BC119-BL118)))</f>
        <v>1.98951966012828E-013</v>
      </c>
      <c r="BE119" s="117" t="n">
        <f aca="false">BD119*VLOOKUP('Données projet'!$B$11,Paramètres!$A$1:$I$89,3,0)*VLOOKUP('Données projet'!$B$11,Paramètres!$A$1:$I$89,5,0)</f>
        <v>1.73804437508807E-013</v>
      </c>
      <c r="BF119" s="117" t="n">
        <f aca="false">EXP(-1.0587+0.8836*LN(BE119)+0.284)</f>
        <v>2.44832936339505E-012</v>
      </c>
      <c r="BG119" s="128" t="n">
        <f aca="false">(BE119+BF119)*0.475*44/12</f>
        <v>4.56688303657421E-012</v>
      </c>
      <c r="BH119" s="120" t="n">
        <f aca="false">BG119+(AY119+AZ119)*44/12</f>
        <v>293.333333333338</v>
      </c>
      <c r="BI119" s="120" t="n">
        <f aca="true">AVERAGE(OFFSET($BH$3,0,0,'Données projet'!$E$11+1,1))-AVERAGE(OFFSET($H$3,0,0,'Données projet'!$E$11+1,1))</f>
        <v>321.235999689929</v>
      </c>
      <c r="BJ119" s="120" t="n">
        <f aca="false">$BJ$3</f>
        <v>388.051958478005</v>
      </c>
      <c r="BK119" s="121" t="n">
        <f aca="false">IF(ISNA(VLOOKUP(A119,'Données projet'!$A$87:$I$107,3,0)),0,VLOOKUP(A119,'Données projet'!$A$87:$I$107,3,0))</f>
        <v>0</v>
      </c>
      <c r="BL119" s="121" t="n">
        <f aca="false">IF(ISNA(VLOOKUP(A119,'Données projet'!$A$87:$I$107,4,0)),0,VLOOKUP(A119,'Données projet'!$A$87:$I$107,4,0))</f>
        <v>0</v>
      </c>
      <c r="BM119" s="122" t="n">
        <f aca="false">IF(ISNA(VLOOKUP(A119,'Données projet'!$A$87:$I$107,5,0)),0%,VLOOKUP(A119,'Données projet'!$A$87:$I$107,5,0)*VLOOKUP('Données projet'!$B$11,Paramètres!$A$1:$I$89,7,0))</f>
        <v>0</v>
      </c>
      <c r="BN119" s="122" t="n">
        <f aca="false">IF(ISNA(VLOOKUP(A119,'Données projet'!$A$87:$I$107,6,0)),0%,VLOOKUP(A119,'Données projet'!$A$87:$I$107,6,0)*VLOOKUP('Données projet'!$B$11,Paramètres!$A$1:$I$89,7,0))</f>
        <v>0</v>
      </c>
      <c r="BO119" s="122" t="n">
        <f aca="false">IF(ISNA(VLOOKUP(A119,'Données projet'!$A$87:$I$107,7,0)),0%,VLOOKUP(A119,'Données projet'!$A$87:$I$107,7,0))</f>
        <v>0</v>
      </c>
      <c r="BP119" s="129" t="n">
        <f aca="false">EXP(-LN(2)/35)*BP118+(1-EXP(-LN(2)/35))/(LN(2)/35)*BL119*BM119*VLOOKUP('Données projet'!$B$11,Paramètres!$A$1:$I$89,3,0)*0.475*44/12</f>
        <v>1.56635303990461</v>
      </c>
      <c r="BQ119" s="129" t="n">
        <f aca="false">EXP(-LN(2)/25)*BQ118+(1-EXP(-LN(2)/25))/(LN(2)/25)*Calculateur!BL119*Calculateur!BN119*VLOOKUP('Données projet'!$B$11,Paramètres!$A$1:$I$89,3,0)*0.475*44/12</f>
        <v>1.24226352188833</v>
      </c>
      <c r="BR119" s="129" t="n">
        <f aca="false">EXP(-LN(2)/2)*BR118+(1-EXP(-LN(2)/2))/(LN(2)/2)*BL119*BO119*VLOOKUP('Données projet'!$B$11,Paramètres!$A$1:$I$89,3,0)*0.475*44/12</f>
        <v>6.86782613831239E-013</v>
      </c>
      <c r="BS119" s="130" t="n">
        <f aca="false">SUM(BP119:BR119)</f>
        <v>2.80861656179362</v>
      </c>
      <c r="BT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8" t="e">
        <f aca="false">VLOOKUP(A119,'Données projet'!$A$113:$I$133,2,0)</f>
        <v>#N/A</v>
      </c>
      <c r="BW119" s="118" t="e">
        <f aca="false">VLOOKUP(A119,'Données projet'!$A$113:$I$133,9,0)</f>
        <v>#N/A</v>
      </c>
      <c r="BX119" s="118" t="e">
        <f aca="false" t="array" ref="BX119:BX119">INDEX(BW:BW,MIN(IF(ISNUMBER(BW119:BW315),ROW(BW119:BW315),"")))</f>
        <v>#N/A</v>
      </c>
      <c r="BY119" s="118" t="n">
        <f aca="false">IF('Données projet'!$A$114&gt;35,BY118+BX119-CG118,IF(A119&lt;'Données projet'!$A$114,$BV$205^A119,IF(A119='Données projet'!$A$114,'Données projet'!$B$114,BY118+BX119-CG118)))</f>
        <v>0</v>
      </c>
      <c r="BZ119" s="117" t="n">
        <f aca="false">BY119*VLOOKUP('Données projet'!$B$12,Paramètres!$A$1:$I$89,3,0)*VLOOKUP('Données projet'!$B$12,Paramètres!$A$1:$I$89,5,0)</f>
        <v>0</v>
      </c>
      <c r="CA119" s="117" t="e">
        <f aca="false">EXP(-1.0587+0.8836*LN(BZ119)+0.284)</f>
        <v>#VALUE!</v>
      </c>
      <c r="CB119" s="128" t="e">
        <f aca="false">(BZ119+CA119)*0.475*44/12</f>
        <v>#VALUE!</v>
      </c>
      <c r="CC119" s="120" t="e">
        <f aca="false">CB119+(BT119+BU119)*44/12</f>
        <v>#VALUE!</v>
      </c>
      <c r="CD119" s="120" t="n">
        <f aca="true">AVERAGE(OFFSET($CC$3,0,0,'Données projet'!$E$12+1,1))-AVERAGE(OFFSET($H$3,0,0,'Données projet'!$E$12+1,1))</f>
        <v>240.228848647662</v>
      </c>
      <c r="CE119" s="120" t="n">
        <f aca="false">$CE$3</f>
        <v>343.237768841432</v>
      </c>
      <c r="CF119" s="121" t="n">
        <f aca="false">IF(ISNA(VLOOKUP(A119,'Données projet'!$A$113:$I$133,3,0)),0,VLOOKUP(A119,'Données projet'!$A$113:$I$133,3,0))</f>
        <v>0</v>
      </c>
      <c r="CG119" s="121" t="n">
        <f aca="false">IF(ISNA(VLOOKUP(A119,'Données projet'!$A$113:$I$133,4,0)),0,VLOOKUP(A119,'Données projet'!$A$113:$I$133,4,0))</f>
        <v>0</v>
      </c>
      <c r="CH119" s="122" t="n">
        <f aca="false">IF(ISNA(VLOOKUP(A119,'Données projet'!$A$113:$I$133,5,0)),0%,VLOOKUP(A119,'Données projet'!$A$113:$I$133,5,0)*VLOOKUP('Données projet'!$B$12,Paramètres!$A$1:$I$89,7,0))</f>
        <v>0</v>
      </c>
      <c r="CI119" s="122" t="n">
        <f aca="false">IF(ISNA(VLOOKUP(A119,'Données projet'!$A$113:$I$133,6,0)),0%,VLOOKUP(A119,'Données projet'!$A$113:$I$133,6,0)*VLOOKUP('Données projet'!$B$12,Paramètres!$A$1:$I$89,7,0))</f>
        <v>0</v>
      </c>
      <c r="CJ119" s="122" t="n">
        <f aca="false">IF(ISNA(VLOOKUP(A119,'Données projet'!$A$113:$I$133,7,0)),0%,VLOOKUP(A119,'Données projet'!$A$113:$I$133,7,0))</f>
        <v>0</v>
      </c>
      <c r="CK119" s="129" t="n">
        <f aca="false">EXP(-LN(2)/35)*CK118+(1-EXP(-LN(2)/35))/(LN(2)/35)*CG119*CH119*VLOOKUP('Données projet'!$B$12,Paramètres!$A$1:$I$89,3,0)*0.475*44/12</f>
        <v>0.958730090229071</v>
      </c>
      <c r="CL119" s="129" t="n">
        <f aca="false">EXP(-LN(2)/25)*CL118+(1-EXP(-LN(2)/25))/(LN(2)/25)*Calculateur!CG119*Calculateur!CI119*VLOOKUP('Données projet'!$B$12,Paramètres!$A$1:$I$89,3,0)*0.475*44/12</f>
        <v>2.1939092941493</v>
      </c>
      <c r="CM119" s="129" t="n">
        <f aca="false">EXP(-LN(2)/2)*CM118+(1-EXP(-LN(2)/2))/(LN(2)/2)*CG119*CJ119*VLOOKUP('Données projet'!$B$12,Paramètres!$A$1:$I$89,3,0)*0.475*44/12</f>
        <v>1.09592195553476E-012</v>
      </c>
      <c r="CN119" s="130" t="n">
        <f aca="false">SUM(CK119:CM119)</f>
        <v>3.15263938437947</v>
      </c>
      <c r="CO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8" t="e">
        <f aca="false">VLOOKUP(A119,'Données projet'!$A$139:$I$159,2,0)</f>
        <v>#N/A</v>
      </c>
      <c r="CR119" s="118" t="e">
        <f aca="false">VLOOKUP(A119,'Données projet'!$A$139:$I$159,9,0)</f>
        <v>#N/A</v>
      </c>
      <c r="CS119" s="118" t="e">
        <f aca="false" t="array" ref="CS119:CS119">INDEX(CR:CR,MIN(IF(ISNUMBER(CR119:CR315),ROW(CR119:CR315),"")))</f>
        <v>#N/A</v>
      </c>
      <c r="CT119" s="118" t="n">
        <f aca="false">IF('Données projet'!$A$140&gt;35,CT118+CS119-DB118,IF(A119&lt;'Données projet'!$A$140,$CQ$205^A119,IF(A119='Données projet'!$A$140,'Données projet'!$B$140,CT118+CS119-DB118)))</f>
        <v>-5.6843418860808E-014</v>
      </c>
      <c r="CU119" s="125" t="n">
        <f aca="false">CT119*VLOOKUP('Données projet'!$B$13,Paramètres!$A$1:$I$89,3,0)*VLOOKUP('Données projet'!$B$13,Paramètres!$A$1:$I$89,5,0)</f>
        <v>-3.10365066980012E-014</v>
      </c>
      <c r="CV119" s="117" t="e">
        <f aca="false">EXP(-1.0587+0.8836*LN(CU119)+0.284)</f>
        <v>#VALUE!</v>
      </c>
      <c r="CW119" s="128" t="e">
        <f aca="false">(CU119+CV119)*0.475*44/12</f>
        <v>#VALUE!</v>
      </c>
      <c r="CX119" s="120" t="e">
        <f aca="false">CW119+(CO119+CP119)*44/12</f>
        <v>#VALUE!</v>
      </c>
      <c r="CY119" s="120" t="n">
        <f aca="true">AVERAGE(OFFSET($CX$3,0,0,'Données projet'!$E$13+1,1))-AVERAGE(OFFSET($H$3,0,0,'Données projet'!$E$13+1,1))</f>
        <v>207.023069645676</v>
      </c>
      <c r="CZ119" s="120" t="n">
        <f aca="false">$CZ$3</f>
        <v>342.068879333518</v>
      </c>
      <c r="DA119" s="121" t="n">
        <f aca="false">IF(ISNA(VLOOKUP(A119,'Données projet'!$A$139:$I$159,3,0)),0,VLOOKUP(A119,'Données projet'!$A$139:$I$159,3,0))</f>
        <v>0</v>
      </c>
      <c r="DB119" s="121" t="n">
        <f aca="false">IF(ISNA(VLOOKUP(A119,'Données projet'!$A$139:$I$159,4,0)),0,VLOOKUP(A119,'Données projet'!$A$139:$I$159,4,0))</f>
        <v>0</v>
      </c>
      <c r="DC119" s="122" t="n">
        <f aca="false">IF(ISNA(VLOOKUP(A119,'Données projet'!$A$139:$I$159,5,0)),0%,VLOOKUP(A119,'Données projet'!$A$139:$I$159,5,0)*VLOOKUP('Données projet'!$B$13,Paramètres!$A$1:$I$89,7,0))</f>
        <v>0</v>
      </c>
      <c r="DD119" s="122" t="n">
        <f aca="false">IF(ISNA(VLOOKUP(A119,'Données projet'!$A$139:$I$159,6,0)),0%,VLOOKUP(A119,'Données projet'!$A$139:$I$159,6,0)*VLOOKUP('Données projet'!$B$13,Paramètres!$A$1:$I$89,7,0))</f>
        <v>0</v>
      </c>
      <c r="DE119" s="122" t="n">
        <f aca="false">IF(ISNA(VLOOKUP(A119,'Données projet'!$A$139:$I$159,7,0)),0%,VLOOKUP(A119,'Données projet'!$A$139:$I$159,7,0))</f>
        <v>0</v>
      </c>
      <c r="DF119" s="129" t="n">
        <f aca="false">EXP(-LN(2)/35)*DF118+(1-EXP(-LN(2)/35))/(LN(2)/35)*DB119*DC119*VLOOKUP('Données projet'!$B$13,Paramètres!$A$1:$I$89,3,0)*0.475*44/12</f>
        <v>1.2029349245327</v>
      </c>
      <c r="DG119" s="129" t="n">
        <f aca="false">EXP(-LN(2)/25)*DG118+(1-EXP(-LN(2)/25))/(LN(2)/25)*Calculateur!DB119*Calculateur!DD119*VLOOKUP('Données projet'!$B$13,Paramètres!$A$1:$I$89,3,0)*0.475*44/12</f>
        <v>3.58612795722669</v>
      </c>
      <c r="DH119" s="129" t="n">
        <f aca="false">EXP(-LN(2)/2)*DH118+(1-EXP(-LN(2)/2))/(LN(2)/2)*DB119*DE119*VLOOKUP('Données projet'!$B$13,Paramètres!$A$1:$I$89,3,0)*0.475*44/12</f>
        <v>1.50908504086838E-012</v>
      </c>
      <c r="DI119" s="130" t="n">
        <f aca="false">SUM(DF119:DH119)</f>
        <v>4.7890628817609</v>
      </c>
      <c r="DJ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8" t="e">
        <f aca="false">VLOOKUP(A119,'Données projet'!$A$165:$I$185,2,0)</f>
        <v>#N/A</v>
      </c>
      <c r="DM119" s="118" t="e">
        <f aca="false">VLOOKUP(A119,'Données projet'!$A$165:$I$185,9,0)</f>
        <v>#N/A</v>
      </c>
      <c r="DN119" s="118" t="e">
        <f aca="false" t="array" ref="DN119:DN119">INDEX(DM:DM,MIN(IF(ISNUMBER(DM119:DM315),ROW(DM119:DM315),"")))</f>
        <v>#N/A</v>
      </c>
      <c r="DO119" s="118" t="n">
        <f aca="false">IF('Données projet'!$A$166&gt;35,DO118+DN119-DW118,IF(A119&lt;'Données projet'!$A$166,$DL$205^A119,IF(A119='Données projet'!$A$166,'Données projet'!$B$166,DO118+DN119-DW118)))</f>
        <v>0</v>
      </c>
      <c r="DP119" s="125" t="n">
        <f aca="false">DO119*VLOOKUP('Données projet'!$B$14,Paramètres!$A$1:$I$89,3,0)*VLOOKUP('Données projet'!$B$14,Paramètres!$A$1:$I$89,5,0)</f>
        <v>0</v>
      </c>
      <c r="DQ119" s="117" t="e">
        <f aca="false">EXP(-1.0587+0.8836*LN(DP119)+0.284)</f>
        <v>#VALUE!</v>
      </c>
      <c r="DR119" s="128" t="e">
        <f aca="false">(DP119+DQ119)*0.475*44/12</f>
        <v>#VALUE!</v>
      </c>
      <c r="DS119" s="120" t="e">
        <f aca="false">DR119+(DJ119+DK119)*44/12</f>
        <v>#VALUE!</v>
      </c>
      <c r="DT119" s="120" t="n">
        <f aca="true">AVERAGE(OFFSET($DS$3,0,0,'Données projet'!$E$14+1,1))-AVERAGE(OFFSET($H$3,0,0,'Données projet'!$E$14+1,1))</f>
        <v>549.432320957297</v>
      </c>
      <c r="DU119" s="120" t="n">
        <f aca="false">$DU$3</f>
        <v>280.26155987301</v>
      </c>
      <c r="DV119" s="121" t="n">
        <f aca="false">IF(ISNA(VLOOKUP(A119,'Données projet'!$A$165:$I$185,3,0)),0,VLOOKUP(A119,'Données projet'!$A$165:$I$185,3,0))</f>
        <v>0</v>
      </c>
      <c r="DW119" s="121" t="n">
        <f aca="false">IF(ISNA(VLOOKUP(A119,'Données projet'!$A$165:$I$185,4,0)),0,VLOOKUP(A119,'Données projet'!$A$165:$I$185,4,0))</f>
        <v>0</v>
      </c>
      <c r="DX119" s="122" t="n">
        <f aca="false">IF(ISNA(VLOOKUP(A119,'Données projet'!$A$165:$I$185,5,0)),0%,VLOOKUP(A119,'Données projet'!$A$165:$I$185,5,0)*VLOOKUP('Données projet'!$B$14,Paramètres!$A$1:$I$89,7,0))</f>
        <v>0</v>
      </c>
      <c r="DY119" s="122" t="n">
        <f aca="false">IF(ISNA(VLOOKUP(A119,'Données projet'!$A$165:$I$185,6,0)),0%,VLOOKUP(A119,'Données projet'!$A$165:$I$185,6,0)*VLOOKUP('Données projet'!$B$14,Paramètres!$A$1:$I$89,7,0))</f>
        <v>0</v>
      </c>
      <c r="DZ119" s="122" t="n">
        <f aca="false">IF(ISNA(VLOOKUP(A119,'Données projet'!$A$165:$I$185,7,0)),0%,VLOOKUP(A119,'Données projet'!$A$165:$I$185,7,0))</f>
        <v>0</v>
      </c>
      <c r="EA119" s="129" t="n">
        <f aca="false">EXP(-LN(2)/35)*EA118+(1-EXP(-LN(2)/35))/(LN(2)/35)*DW119*DX119*VLOOKUP('Données projet'!$B$14,Paramètres!$A$1:$I$89,3,0)*0.475*44/12</f>
        <v>0.437385797234939</v>
      </c>
      <c r="EB119" s="129" t="n">
        <f aca="false">EXP(-LN(2)/25)*EB118+(1-EXP(-LN(2)/25))/(LN(2)/25)*Calculateur!DW119*Calculateur!DY119*VLOOKUP('Données projet'!$B$14,Paramètres!$A$1:$I$89,3,0)*0.475*44/12</f>
        <v>0.714427442140577</v>
      </c>
      <c r="EC119" s="129" t="n">
        <f aca="false">EXP(-LN(2)/2)*EC118+(1-EXP(-LN(2)/2))/(LN(2)/2)*DW119*DZ119*VLOOKUP('Données projet'!$B$14,Paramètres!$A$1:$I$89,3,0)*0.475*44/12</f>
        <v>6.95657096748559E-013</v>
      </c>
      <c r="ED119" s="130" t="n">
        <f aca="false">SUM(EA119:EC119)</f>
        <v>1.15181323937621</v>
      </c>
      <c r="EE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8" t="e">
        <f aca="false">VLOOKUP(A119,'Données projet'!$A$191:$I$211,2,0)</f>
        <v>#N/A</v>
      </c>
      <c r="EH119" s="118" t="e">
        <f aca="false">VLOOKUP(A119,'Données projet'!$A$191:$I$211,9,0)</f>
        <v>#N/A</v>
      </c>
      <c r="EI119" s="118" t="e">
        <f aca="false" t="array" ref="EI119:EI119">INDEX(EH:EH,MIN(IF(ISNUMBER(EH119:EH315),ROW(EH119:EH315),"")))</f>
        <v>#N/A</v>
      </c>
      <c r="EJ119" s="118" t="n">
        <f aca="false">IF('Données projet'!$A$192&gt;35,EJ118+EI119-ER118,IF(A119&lt;'Données projet'!$A$192,$EG$205^A119,IF(A119='Données projet'!$A$192,'Données projet'!$B$192,EJ118+EI119-ER118)))</f>
        <v>0</v>
      </c>
      <c r="EK119" s="125" t="e">
        <f aca="false">EJ119*VLOOKUP('Données projet'!$B$15,Paramètres!$A$1:$I$89,3,0)*VLOOKUP('Données projet'!$B$15,Paramètres!$A$1:$I$89,5,0)</f>
        <v>#N/A</v>
      </c>
      <c r="EL119" s="117" t="e">
        <f aca="false">EXP(-1.0587+0.8836*LN(EK119)+0.284)</f>
        <v>#N/A</v>
      </c>
      <c r="EM119" s="128" t="e">
        <f aca="false">(EK119+EL119)*0.475*44/12</f>
        <v>#N/A</v>
      </c>
      <c r="EN119" s="120" t="e">
        <f aca="false">EM119+(EE119+EF119)*44/12</f>
        <v>#N/A</v>
      </c>
      <c r="EO119" s="120" t="e">
        <f aca="true">AVERAGE(OFFSET($EN$3,0,0,'Données projet'!$E$15+1,1))-AVERAGE(OFFSET($H$3,0,0,'Données projet'!$E$15+1,1))</f>
        <v>#N/A</v>
      </c>
      <c r="EP119" s="120" t="e">
        <f aca="false">$EP$3</f>
        <v>#N/A</v>
      </c>
      <c r="EQ119" s="121" t="n">
        <f aca="false">IF(ISNA(VLOOKUP(A119,'Données projet'!$A$191:$I$211,3,0)),0,VLOOKUP(A119,'Données projet'!$A$191:$I$211,3,0))</f>
        <v>0</v>
      </c>
      <c r="ER119" s="121" t="n">
        <f aca="false">IF(ISNA(VLOOKUP(A119,'Données projet'!$A$191:$I$211,4,0)),0,VLOOKUP(A119,'Données projet'!$A$191:$I$211,4,0))</f>
        <v>0</v>
      </c>
      <c r="ES119" s="122" t="n">
        <f aca="false">IF(ISNA(VLOOKUP(A119,'Données projet'!$A$191:$I$211,5,0)),0%,VLOOKUP(A119,'Données projet'!$A$191:$I$211,5,0)*VLOOKUP('Données projet'!$B$15,Paramètres!$A$1:$I$89,7,0))</f>
        <v>0</v>
      </c>
      <c r="ET119" s="122" t="n">
        <f aca="false">IF(ISNA(VLOOKUP(A119,'Données projet'!$A$191:$I$211,6,0)),0%,VLOOKUP(A119,'Données projet'!$A$191:$I$211,6,0)*VLOOKUP('Données projet'!$B$15,Paramètres!$A$1:$I$89,7,0))</f>
        <v>0</v>
      </c>
      <c r="EU119" s="122" t="n">
        <f aca="false">IF(ISNA(VLOOKUP(A119,'Données projet'!$A$191:$I$211,7,0)),0%,VLOOKUP(A119,'Données projet'!$A$191:$I$211,7,0))</f>
        <v>0</v>
      </c>
      <c r="EV119" s="129" t="e">
        <f aca="false">EXP(-LN(2)/35)*EV118+(1-EXP(-LN(2)/35))/(LN(2)/35)*ER119*ES119*VLOOKUP('Données projet'!$B$15,Paramètres!$A$1:$I$89,3,0)*0.475*44/12</f>
        <v>#N/A</v>
      </c>
      <c r="EW119" s="129" t="e">
        <f aca="false">EXP(-LN(2)/25)*EW118+(1-EXP(-LN(2)/25))/(LN(2)/25)*Calculateur!ER119*Calculateur!ET119*VLOOKUP('Données projet'!$B$15,Paramètres!$A$1:$I$89,3,0)*0.475*44/12</f>
        <v>#N/A</v>
      </c>
      <c r="EX119" s="129" t="e">
        <f aca="false">EXP(-LN(2)/2)*EX118+(1-EXP(-LN(2)/2))/(LN(2)/2)*ER119*EU119*VLOOKUP('Données projet'!$B$15,Paramètres!$A$1:$I$89,3,0)*0.475*44/12</f>
        <v>#N/A</v>
      </c>
      <c r="EY119" s="130" t="e">
        <f aca="false">SUM(EV119:EX119)</f>
        <v>#N/A</v>
      </c>
      <c r="EZ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8" t="e">
        <f aca="false">VLOOKUP(A119,'Données projet'!$A$217:$I$237,2,0)</f>
        <v>#N/A</v>
      </c>
      <c r="FC119" s="118" t="e">
        <f aca="false">VLOOKUP(A119,'Données projet'!$A$217:$I$237,9,0)</f>
        <v>#N/A</v>
      </c>
      <c r="FD119" s="118" t="e">
        <f aca="false" t="array" ref="FD119:FD119">INDEX(FC:FC,MIN(IF(ISNUMBER(FC119:FC315),ROW(FC119:FC315),"")))</f>
        <v>#N/A</v>
      </c>
      <c r="FE119" s="118" t="n">
        <f aca="false">IF('Données projet'!$A$218&gt;35,FE118+FD119-FM118,IF(A119&lt;'Données projet'!$A$218,$FB$205^A119,IF(A119='Données projet'!$A$218,'Données projet'!$B$218,FE118+FD119-FM118)))</f>
        <v>0</v>
      </c>
      <c r="FF119" s="125" t="e">
        <f aca="false">FE119*VLOOKUP('Données projet'!$B$16,Paramètres!$A$1:$I$89,3,0)*VLOOKUP('Données projet'!$B$16,Paramètres!$A$1:$I$89,5,0)</f>
        <v>#N/A</v>
      </c>
      <c r="FG119" s="117" t="e">
        <f aca="false">EXP(-1.0587+0.8836*LN(FF119)+0.284)</f>
        <v>#N/A</v>
      </c>
      <c r="FH119" s="128" t="e">
        <f aca="false">(FF119+FG119)*0.475*44/12</f>
        <v>#N/A</v>
      </c>
      <c r="FI119" s="120" t="e">
        <f aca="false">FH119+(EZ119+FA119)*44/12</f>
        <v>#N/A</v>
      </c>
      <c r="FJ119" s="120" t="e">
        <f aca="true">AVERAGE(OFFSET($FI$3,0,0,'Données projet'!$E$16+1,1))-AVERAGE(OFFSET($H$3,0,0,'Données projet'!$E$16+1,1))</f>
        <v>#N/A</v>
      </c>
      <c r="FK119" s="120" t="e">
        <f aca="false">$FK$3</f>
        <v>#N/A</v>
      </c>
      <c r="FL119" s="121" t="n">
        <f aca="false">IF(ISNA(VLOOKUP(A119,'Données projet'!$A$217:$I$237,3,0)),0,VLOOKUP(A119,'Données projet'!$A$217:$I$237,3,0))</f>
        <v>0</v>
      </c>
      <c r="FM119" s="121" t="n">
        <f aca="false">IF(ISNA(VLOOKUP(A119,'Données projet'!$A$217:$I$237,4,0)),0,VLOOKUP(A119,'Données projet'!$A$217:$I$237,4,0))</f>
        <v>0</v>
      </c>
      <c r="FN119" s="122" t="n">
        <f aca="false">IF(ISNA(VLOOKUP(A119,'Données projet'!$A$217:$I$237,5,0)),0%,VLOOKUP(A119,'Données projet'!$A$217:$I$237,5,0)*VLOOKUP('Données projet'!$B$16,Paramètres!$A$1:$I$89,7,0))</f>
        <v>0</v>
      </c>
      <c r="FO119" s="122" t="n">
        <f aca="false">IF(ISNA(VLOOKUP(A119,'Données projet'!$A$217:$I$237,6,0)),0%,VLOOKUP(A119,'Données projet'!$A$217:$I$237,6,0)*VLOOKUP('Données projet'!$B$16,Paramètres!$A$1:$I$89,7,0))</f>
        <v>0</v>
      </c>
      <c r="FP119" s="122" t="n">
        <f aca="false">IF(ISNA(VLOOKUP(A119,'Données projet'!$A$217:$I$237,7,0)),0%,VLOOKUP(A119,'Données projet'!$A$217:$I$237,7,0))</f>
        <v>0</v>
      </c>
      <c r="FQ119" s="129" t="e">
        <f aca="false">EXP(-LN(2)/35)*FQ118+(1-EXP(-LN(2)/35))/(LN(2)/35)*FM119*FN119*VLOOKUP('Données projet'!$B$16,Paramètres!$A$1:$I$89,3,0)*0.475*44/12</f>
        <v>#N/A</v>
      </c>
      <c r="FR119" s="129" t="e">
        <f aca="false">EXP(-LN(2)/25)*FR118+(1-EXP(-LN(2)/25))/(LN(2)/25)*Calculateur!FM119*Calculateur!FO119*VLOOKUP('Données projet'!$B$16,Paramètres!$A$1:$I$89,3,0)*0.475*44/12</f>
        <v>#N/A</v>
      </c>
      <c r="FS119" s="129" t="e">
        <f aca="false">EXP(-LN(2)/2)*FS118+(1-EXP(-LN(2)/2))/(LN(2)/2)*FM119*FP119*VLOOKUP('Données projet'!$B$16,Paramètres!$A$1:$I$89,3,0)*0.475*44/12</f>
        <v>#N/A</v>
      </c>
      <c r="FT119" s="130" t="e">
        <f aca="false">SUM(FQ119:FS119)</f>
        <v>#N/A</v>
      </c>
      <c r="FU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8" t="e">
        <f aca="false">VLOOKUP(A119,'Données projet'!$A$243:$I$263,2,0)</f>
        <v>#N/A</v>
      </c>
      <c r="FX119" s="118" t="e">
        <f aca="false">VLOOKUP(A119,'Données projet'!$A$243:$I$263,9,0)</f>
        <v>#N/A</v>
      </c>
      <c r="FY119" s="118" t="e">
        <f aca="false" t="array" ref="FY119:FY119">INDEX(FX:FX,MIN(IF(ISNUMBER(FX119:FX315),ROW(FX119:FX315),"")))</f>
        <v>#N/A</v>
      </c>
      <c r="FZ119" s="118" t="n">
        <f aca="false">IF('Données projet'!$A$244&gt;35,FZ118+FY119-GH118,IF(A119&lt;'Données projet'!$A$244,$FW$205^A119,IF(A119='Données projet'!$A$244,'Données projet'!$B$244,FZ118+FY119-GH118)))</f>
        <v>0</v>
      </c>
      <c r="GA119" s="125" t="e">
        <f aca="false">FZ119*VLOOKUP('Données projet'!$B$17,Paramètres!$A$1:$I$89,3,0)*VLOOKUP('Données projet'!$B$17,Paramètres!$A$1:$I$89,5,0)</f>
        <v>#N/A</v>
      </c>
      <c r="GB119" s="117" t="e">
        <f aca="false">EXP(-1.0587+0.8836*LN(GA119)+0.284)</f>
        <v>#N/A</v>
      </c>
      <c r="GC119" s="128" t="e">
        <f aca="false">(GA119+GB119)*0.475*44/12</f>
        <v>#N/A</v>
      </c>
      <c r="GD119" s="120" t="e">
        <f aca="false">GC119+(FU119+FV119)*44/12</f>
        <v>#N/A</v>
      </c>
      <c r="GE119" s="120" t="e">
        <f aca="true">AVERAGE(OFFSET($GD$3,0,0,'Données projet'!$E$17+1,1))-AVERAGE(OFFSET($H$3,0,0,'Données projet'!$E$17+1,1))</f>
        <v>#N/A</v>
      </c>
      <c r="GF119" s="120" t="e">
        <f aca="false">$GF$3</f>
        <v>#N/A</v>
      </c>
      <c r="GG119" s="121" t="n">
        <f aca="false">IF(ISNA(VLOOKUP(A119,'Données projet'!$A$243:$I$263,3,0)),0,VLOOKUP(A119,'Données projet'!$A$243:$I$263,3,0))</f>
        <v>0</v>
      </c>
      <c r="GH119" s="121" t="n">
        <f aca="false">IF(ISNA(VLOOKUP(A119,'Données projet'!$A$243:$I$263,4,0)),0,VLOOKUP(A119,'Données projet'!$A$243:$I$263,4,0))</f>
        <v>0</v>
      </c>
      <c r="GI119" s="122" t="n">
        <f aca="false">IF(ISNA(VLOOKUP(A119,'Données projet'!$A$243:$I$263,5,0)),0%,VLOOKUP(A119,'Données projet'!$A$243:$I$263,5,0)*VLOOKUP('Données projet'!$B$17,Paramètres!$A$1:$I$89,7,0))</f>
        <v>0</v>
      </c>
      <c r="GJ119" s="122" t="n">
        <f aca="false">IF(ISNA(VLOOKUP(A119,'Données projet'!$A$243:$I$263,6,0)),0%,VLOOKUP(A119,'Données projet'!$A$243:$I$263,6,0)*VLOOKUP('Données projet'!$B$17,Paramètres!$A$1:$I$89,7,0))</f>
        <v>0</v>
      </c>
      <c r="GK119" s="122" t="n">
        <f aca="false">IF(ISNA(VLOOKUP(A119,'Données projet'!$A$243:$I$263,7,0)),0%,VLOOKUP(A119,'Données projet'!$A$243:$I$263,7,0))</f>
        <v>0</v>
      </c>
      <c r="GL119" s="129" t="e">
        <f aca="false">EXP(-LN(2)/35)*GL118+(1-EXP(-LN(2)/35))/(LN(2)/35)*GH119*GI119*VLOOKUP('Données projet'!$B$17,Paramètres!$A$1:$I$89,3,0)*0.475*44/12</f>
        <v>#N/A</v>
      </c>
      <c r="GM119" s="129" t="e">
        <f aca="false">EXP(-LN(2)/25)*GM118+(1-EXP(-LN(2)/25))/(LN(2)/25)*Calculateur!GH119*Calculateur!GJ119*VLOOKUP('Données projet'!$B$17,Paramètres!$A$1:$I$89,3,0)*0.475*44/12</f>
        <v>#N/A</v>
      </c>
      <c r="GN119" s="129" t="e">
        <f aca="false">EXP(-LN(2)/2)*GN118+(1-EXP(-LN(2)/2))/(LN(2)/2)*GH119*GK119*VLOOKUP('Données projet'!$B$17,Paramètres!$A$1:$I$89,3,0)*0.475*44/12</f>
        <v>#N/A</v>
      </c>
      <c r="GO119" s="129" t="e">
        <f aca="false">SUM(GL119:GN119)</f>
        <v>#N/A</v>
      </c>
      <c r="GP119" s="126" t="n">
        <f aca="false"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8" t="n">
        <f aca="false"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8" t="e">
        <f aca="false">VLOOKUP(A119,'Données projet'!$A$269:$I$289,2,0)</f>
        <v>#N/A</v>
      </c>
      <c r="GS119" s="118" t="e">
        <f aca="false">VLOOKUP(A119,'Données projet'!$A$269:$I$289,9,0)</f>
        <v>#N/A</v>
      </c>
      <c r="GT119" s="118" t="e">
        <f aca="false" t="array" ref="GT119:GT119">INDEX(GS:GS,MIN(IF(ISNUMBER(GS119:GS315),ROW(GS119:GS315),"")))</f>
        <v>#N/A</v>
      </c>
      <c r="GU119" s="118" t="n">
        <f aca="false">IF('Données projet'!$A$270&gt;35,GU118+GT119-HC118,IF(A119&lt;'Données projet'!$A$270,$GR$205^A119,IF(A119='Données projet'!$A$270,'Données projet'!$B$270,GU118+GT119-HC118)))</f>
        <v>0</v>
      </c>
      <c r="GV119" s="125" t="e">
        <f aca="false">GU119*VLOOKUP('Données projet'!$B$18,Paramètres!$A$1:$I$89,3,0)*VLOOKUP('Données projet'!$B$18,Paramètres!$A$1:$I$89,5,0)</f>
        <v>#N/A</v>
      </c>
      <c r="GW119" s="117" t="e">
        <f aca="false">EXP(-1.0587+0.8836*LN(GV119)+0.284)</f>
        <v>#N/A</v>
      </c>
      <c r="GX119" s="128" t="e">
        <f aca="false">(GV119+GW119)*0.475*44/12</f>
        <v>#N/A</v>
      </c>
      <c r="GY119" s="120" t="e">
        <f aca="false">GX119+(GP119+GQ119)*44/12</f>
        <v>#N/A</v>
      </c>
      <c r="GZ119" s="120" t="e">
        <f aca="true">AVERAGE(OFFSET($GY$3,0,0,'Données projet'!$E$18+1,1))-AVERAGE(OFFSET($H$3,0,0,'Données projet'!$E$18+1,1))</f>
        <v>#N/A</v>
      </c>
      <c r="HA119" s="120" t="e">
        <f aca="false">$HA$3</f>
        <v>#N/A</v>
      </c>
      <c r="HB119" s="121" t="n">
        <f aca="false">IF(ISNA(VLOOKUP(A119,'Données projet'!$A$269:$I$289,3,0)),0,VLOOKUP(A119,'Données projet'!$A$269:$I$289,3,0))</f>
        <v>0</v>
      </c>
      <c r="HC119" s="121" t="n">
        <f aca="false">IF(ISNA(VLOOKUP(A119,'Données projet'!$A$269:$I$289,4,0)),0,VLOOKUP(A119,'Données projet'!$A$269:$I$289,4,0))</f>
        <v>0</v>
      </c>
      <c r="HD119" s="122" t="n">
        <f aca="false">IF(ISNA(VLOOKUP(A119,'Données projet'!$A$269:$I$289,5,0)),0%,VLOOKUP(A119,'Données projet'!$A$269:$I$289,5,0)*VLOOKUP('Données projet'!$B$18,Paramètres!$A$1:$I$89,7,0))</f>
        <v>0</v>
      </c>
      <c r="HE119" s="122" t="n">
        <f aca="false">IF(ISNA(VLOOKUP(A119,'Données projet'!$A$269:$I$289,6,0)),0%,VLOOKUP(A119,'Données projet'!$A$269:$I$289,6,0)*VLOOKUP('Données projet'!$B$18,Paramètres!$A$1:$I$89,7,0))</f>
        <v>0</v>
      </c>
      <c r="HF119" s="122" t="n">
        <f aca="false">IF(ISNA(VLOOKUP(A119,'Données projet'!$A$269:$I$289,7,0)),0%,VLOOKUP(A119,'Données projet'!$A$269:$I$289,7,0))</f>
        <v>0</v>
      </c>
      <c r="HG119" s="129" t="e">
        <f aca="false">EXP(-LN(2)/35)*HG118+(1-EXP(-LN(2)/35))/(LN(2)/35)*HC119*HD119*VLOOKUP('Données projet'!$B$18,Paramètres!$A$1:$I$89,3,0)*0.475*44/12</f>
        <v>#N/A</v>
      </c>
      <c r="HH119" s="129" t="e">
        <f aca="false">EXP(-LN(2)/25)*HH118+(1-EXP(-LN(2)/25))/(LN(2)/25)*Calculateur!HC119*Calculateur!HE119*VLOOKUP('Données projet'!$B$18,Paramètres!$A$1:$I$89,3,0)*0.475*44/12</f>
        <v>#N/A</v>
      </c>
      <c r="HI119" s="129" t="e">
        <f aca="false">EXP(-LN(2)/2)*HI118+(1-EXP(-LN(2)/2))/(LN(2)/2)*HC119*HF119*VLOOKUP('Données projet'!$B$18,Paramètres!$A$1:$I$89,3,0)*0.475*44/12</f>
        <v>#N/A</v>
      </c>
      <c r="HJ119" s="130" t="e">
        <f aca="false">SUM(HG119:HI119)</f>
        <v>#N/A</v>
      </c>
    </row>
    <row r="120" customFormat="false" ht="14.25" hidden="false" customHeight="false" outlineLevel="0" collapsed="false">
      <c r="A120" s="112" t="n">
        <f aca="false">A119+1</f>
        <v>117</v>
      </c>
      <c r="B120" s="113" t="n">
        <f aca="false">'Scénario référence'!$B$16*5+'Scénario référence'!$B$17*0+'Scénario référence'!$B$18*5</f>
        <v>0</v>
      </c>
      <c r="C120" s="127" t="n">
        <f aca="false"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4" t="n">
        <f aca="false">IFERROR(EXP(-1.0587+0.8836*LN(C120)+0.284),0)</f>
        <v>0</v>
      </c>
      <c r="E12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0" s="114" t="n">
        <f aca="false">IF(OR('Scénario référence'!$F$8&gt;0,'Scénario référence'!$F$9&gt;0),('Scénario référence'!$F$8+'Scénario référence'!$F$9)*10,0)</f>
        <v>0</v>
      </c>
      <c r="G120" s="114" t="n">
        <f aca="false"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15" t="n">
        <f aca="false">(B120+E120+F120)*44/12+(C120+D120)*0.475*44/12</f>
        <v>256.666666666667</v>
      </c>
      <c r="I120" s="11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7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8" t="e">
        <f aca="false">VLOOKUP(A120,'Données projet'!$A$35:$I$55,2,0)</f>
        <v>#N/A</v>
      </c>
      <c r="L120" s="118" t="e">
        <f aca="false">VLOOKUP(A120,'Données projet'!$A$35:$I$55,9,0)</f>
        <v>#N/A</v>
      </c>
      <c r="M120" s="118" t="e">
        <f aca="false" t="array" ref="M120:M120">INDEX(L:L,MIN(IF(ISNUMBER(L120:L316),ROW(L120:L316),"")))</f>
        <v>#N/A</v>
      </c>
      <c r="N120" s="117" t="n">
        <f aca="false">IF('Données projet'!$A$36&gt;35,N119+M120-V119,IF(A120&lt;'Données projet'!$A$36,$K$205^A120,IF(A120='Données projet'!$A$36,'Données projet'!$B$36,N119+M120-V119)))</f>
        <v>-1.13686837721616E-013</v>
      </c>
      <c r="O120" s="117" t="n">
        <f aca="false">N120*VLOOKUP('Données projet'!$B$9,Paramètres!$A$1:$I$89,3,0)*VLOOKUP('Données projet'!$B$9,Paramètres!$A$1:$I$89,5,0)</f>
        <v>-5.32054400537163E-014</v>
      </c>
      <c r="P120" s="117" t="e">
        <f aca="false">EXP(-1.0587+0.8836*LN(O120)+0.284)</f>
        <v>#VALUE!</v>
      </c>
      <c r="Q120" s="128" t="e">
        <f aca="false">(O120+P120)*0.475*44/12</f>
        <v>#VALUE!</v>
      </c>
      <c r="R120" s="120" t="e">
        <f aca="false">Q120+(I120+J120)*44/12</f>
        <v>#VALUE!</v>
      </c>
      <c r="S120" s="120" t="n">
        <f aca="true">AVERAGE(OFFSET($R$3,0,0,'Données projet'!$E$9+1,1))-AVERAGE(OFFSET($H$3,0,0,'Données projet'!$E$9+1,1))</f>
        <v>319.229030946746</v>
      </c>
      <c r="T120" s="120" t="n">
        <f aca="false">$T$3</f>
        <v>254.586909731428</v>
      </c>
      <c r="U120" s="121" t="n">
        <f aca="false">IF(ISNA(VLOOKUP(A120,'Données projet'!$A$35:$I$55,3,0)),0,VLOOKUP(A120,'Données projet'!$A$35:$I$55,3,0))</f>
        <v>0</v>
      </c>
      <c r="V120" s="121" t="n">
        <f aca="false">IF(ISNA(VLOOKUP(A120,'Données projet'!$A$35:$I$55,4,0)),0,VLOOKUP(A120,'Données projet'!$A$35:$I$55,4,0))</f>
        <v>0</v>
      </c>
      <c r="W120" s="122" t="n">
        <f aca="false">IF(ISNA(VLOOKUP(A120,'Données projet'!$A$35:$I$55,5,0)),0%,VLOOKUP(A120,'Données projet'!$A$35:$I$55,5,0)*VLOOKUP('Données projet'!$B$9,Paramètres!$A$1:$I$89,7,0))</f>
        <v>0</v>
      </c>
      <c r="X120" s="122" t="n">
        <f aca="false">IF(ISNA(VLOOKUP(A120,'Données projet'!$A$35:$I$55,6,0)),0%,VLOOKUP(A120,'Données projet'!$A$35:$I$55,6,0)*VLOOKUP('Données projet'!$B$9,Paramètres!$A$1:$I$89,7,0))</f>
        <v>0</v>
      </c>
      <c r="Y120" s="122" t="n">
        <f aca="false">IF(ISNA(VLOOKUP(A120,'Données projet'!$A$35:$I$55,7,0)),0%,VLOOKUP(A120,'Données projet'!$A$35:$I$55,7,0))</f>
        <v>0</v>
      </c>
      <c r="Z120" s="129" t="n">
        <f aca="false">EXP(-LN(2)/35)*Z119+(1-EXP(-LN(2)/35))/(LN(2)/35)*V120*W120*VLOOKUP('Données projet'!$B$9,Paramètres!$A$1:$I$89,3,0)*0.475*44/12</f>
        <v>1.62042122840267</v>
      </c>
      <c r="AA120" s="129" t="n">
        <f aca="false">EXP(-LN(2)/25)*AA119+(1-EXP(-LN(2)/25))/(LN(2)/25)*Calculateur!V120*Calculateur!X120*VLOOKUP('Données projet'!$B$9,Paramètres!$A$1:$I$89,3,0)*0.475*44/12</f>
        <v>0.999405884189221</v>
      </c>
      <c r="AB120" s="129" t="n">
        <f aca="false">EXP(-LN(2)/2)*AB119+(1-EXP(-LN(2)/2))/(LN(2)/2)*V120*Y120*VLOOKUP('Données projet'!$B$9,Paramètres!$A$1:$I$89,3,0)*0.475*44/12</f>
        <v>8.8774312978374E-013</v>
      </c>
      <c r="AC120" s="130" t="n">
        <f aca="false">SUM(Z120:AB120)</f>
        <v>2.61982711259278</v>
      </c>
      <c r="AD120" s="117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7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8" t="e">
        <f aca="false">VLOOKUP(A120,'Données projet'!$A$61:$I$81,2,0)</f>
        <v>#N/A</v>
      </c>
      <c r="AG120" s="118" t="e">
        <f aca="false">VLOOKUP(A120,'Données projet'!$A$61:$I$81,9,0)</f>
        <v>#N/A</v>
      </c>
      <c r="AH120" s="118" t="e">
        <f aca="false" t="array" ref="AH120:AH120">INDEX(AG:AG,MIN(IF(ISNUMBER(AG120:AG316),ROW(AG120:AG316),"")))</f>
        <v>#N/A</v>
      </c>
      <c r="AI120" s="117" t="n">
        <f aca="false">IF('Données projet'!$A$62&gt;35,AI119+AH120-AQ119,IF(A120&lt;'Données projet'!$A$62,$AF$205^A120,IF(A120='Données projet'!$A$62,'Données projet'!$B$62,AI119+AH120-AQ119)))</f>
        <v>1.13686837721616E-013</v>
      </c>
      <c r="AJ120" s="117" t="n">
        <f aca="false">AI120*VLOOKUP('Données projet'!$B$10,Paramètres!$A$1:$I$89,3,0)*VLOOKUP('Données projet'!$B$10,Paramètres!$A$1:$I$89,5,0)</f>
        <v>6.35509422863834E-014</v>
      </c>
      <c r="AK120" s="117" t="n">
        <f aca="false">EXP(-1.0587+0.8836*LN(AJ120)+0.284)</f>
        <v>1.0064464192544E-012</v>
      </c>
      <c r="AL120" s="128" t="n">
        <f aca="false">(AJ120+AK120)*0.475*44/12</f>
        <v>1.86357873801686E-012</v>
      </c>
      <c r="AM120" s="120" t="n">
        <f aca="false">AL120+(AD120+AE120)*44/12</f>
        <v>293.333333333335</v>
      </c>
      <c r="AN120" s="120" t="n">
        <f aca="true">AVERAGE(OFFSET($AM$3,0,0,'Données projet'!$E$10+1,1))-AVERAGE(OFFSET($H$3,0,0,'Données projet'!$E$10+1,1))</f>
        <v>365.705101827279</v>
      </c>
      <c r="AO120" s="120" t="n">
        <f aca="false">$AO$3</f>
        <v>436.238338449625</v>
      </c>
      <c r="AP120" s="121" t="n">
        <f aca="false">IF(ISNA(VLOOKUP(A120,'Données projet'!$A$61:$I$81,3,0)),0,VLOOKUP(A120,'Données projet'!$A$61:$I$81,3,0))</f>
        <v>0</v>
      </c>
      <c r="AQ120" s="121" t="n">
        <f aca="false">IF(ISNA(VLOOKUP(A120,'Données projet'!$A$61:$I$81,4,0)),0,VLOOKUP(A120,'Données projet'!$A$61:$I$81,4,0))</f>
        <v>0</v>
      </c>
      <c r="AR120" s="122" t="n">
        <f aca="false">IF(ISNA(VLOOKUP(A120,'Données projet'!$A$61:$I$81,5,0)),0%,VLOOKUP(A120,'Données projet'!$A$61:$I$81,5,0)*VLOOKUP('Données projet'!$B$10,Paramètres!$A$1:$I$89,7,0))</f>
        <v>0</v>
      </c>
      <c r="AS120" s="122" t="n">
        <f aca="false">IF(ISNA(VLOOKUP(A120,'Données projet'!$A$61:$I$81,6,0)),0%,VLOOKUP(A120,'Données projet'!$A$61:$I$81,6,0)*VLOOKUP('Données projet'!$B$10,Paramètres!$A$1:$I$89,7,0))</f>
        <v>0</v>
      </c>
      <c r="AT120" s="122" t="n">
        <f aca="false">IF(ISNA(VLOOKUP(A120,'Données projet'!$A$61:$I$81,7,0)),0%,VLOOKUP(A120,'Données projet'!$A$61:$I$81,7,0))</f>
        <v>0</v>
      </c>
      <c r="AU120" s="129" t="n">
        <f aca="false">EXP(-LN(2)/35)*AU119+(1-EXP(-LN(2)/35))/(LN(2)/35)*AQ120*AR120*VLOOKUP('Données projet'!$B$10,Paramètres!$A$1:$I$89,3,0)*0.475*44/12</f>
        <v>0.611656477381538</v>
      </c>
      <c r="AV120" s="129" t="n">
        <f aca="false">EXP(-LN(2)/25)*AV119+(1-EXP(-LN(2)/25))/(LN(2)/25)*Calculateur!AQ120*Calculateur!AS120*VLOOKUP('Données projet'!$B$10,Paramètres!$A$1:$I$89,3,0)*0.475*44/12</f>
        <v>1.18374223206899</v>
      </c>
      <c r="AW120" s="129" t="n">
        <f aca="false">EXP(-LN(2)/2)*AW119+(1-EXP(-LN(2)/2))/(LN(2)/2)*AQ120*AT120*VLOOKUP('Données projet'!$B$10,Paramètres!$A$1:$I$89,3,0)*0.475*44/12</f>
        <v>4.77755606253278E-013</v>
      </c>
      <c r="AX120" s="129" t="n">
        <f aca="false">SUM(AU120:AW120)</f>
        <v>1.795398709451</v>
      </c>
      <c r="AY120" s="124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8" t="e">
        <f aca="false">VLOOKUP(A120,'Données projet'!$A$87:$I$107,2,0)</f>
        <v>#N/A</v>
      </c>
      <c r="BB120" s="118" t="e">
        <f aca="false">VLOOKUP(A120,'Données projet'!$A$87:$I$107,9,0)</f>
        <v>#N/A</v>
      </c>
      <c r="BC120" s="118" t="e">
        <f aca="false" t="array" ref="BC120:BC120">INDEX(BB:BB,MIN(IF(ISNUMBER(BB120:BB316),ROW(BB120:BB316),"")))</f>
        <v>#N/A</v>
      </c>
      <c r="BD120" s="118" t="n">
        <f aca="false">IF('Données projet'!$A$88&gt;35,BD119+BC120-BL119,IF(A120&lt;'Données projet'!$A$88,$BA$205^A120,IF(A120='Données projet'!$A$88,'Données projet'!$B$88,BD119+BC120-BL119)))</f>
        <v>1.98951966012828E-013</v>
      </c>
      <c r="BE120" s="117" t="n">
        <f aca="false">BD120*VLOOKUP('Données projet'!$B$11,Paramètres!$A$1:$I$89,3,0)*VLOOKUP('Données projet'!$B$11,Paramètres!$A$1:$I$89,5,0)</f>
        <v>1.73804437508807E-013</v>
      </c>
      <c r="BF120" s="117" t="n">
        <f aca="false">EXP(-1.0587+0.8836*LN(BE120)+0.284)</f>
        <v>2.44832936339505E-012</v>
      </c>
      <c r="BG120" s="128" t="n">
        <f aca="false">(BE120+BF120)*0.475*44/12</f>
        <v>4.56688303657421E-012</v>
      </c>
      <c r="BH120" s="120" t="n">
        <f aca="false">BG120+(AY120+AZ120)*44/12</f>
        <v>293.333333333338</v>
      </c>
      <c r="BI120" s="120" t="n">
        <f aca="true">AVERAGE(OFFSET($BH$3,0,0,'Données projet'!$E$11+1,1))-AVERAGE(OFFSET($H$3,0,0,'Données projet'!$E$11+1,1))</f>
        <v>321.235999689929</v>
      </c>
      <c r="BJ120" s="120" t="n">
        <f aca="false">$BJ$3</f>
        <v>388.051958478005</v>
      </c>
      <c r="BK120" s="121" t="n">
        <f aca="false">IF(ISNA(VLOOKUP(A120,'Données projet'!$A$87:$I$107,3,0)),0,VLOOKUP(A120,'Données projet'!$A$87:$I$107,3,0))</f>
        <v>0</v>
      </c>
      <c r="BL120" s="121" t="n">
        <f aca="false">IF(ISNA(VLOOKUP(A120,'Données projet'!$A$87:$I$107,4,0)),0,VLOOKUP(A120,'Données projet'!$A$87:$I$107,4,0))</f>
        <v>0</v>
      </c>
      <c r="BM120" s="122" t="n">
        <f aca="false">IF(ISNA(VLOOKUP(A120,'Données projet'!$A$87:$I$107,5,0)),0%,VLOOKUP(A120,'Données projet'!$A$87:$I$107,5,0)*VLOOKUP('Données projet'!$B$11,Paramètres!$A$1:$I$89,7,0))</f>
        <v>0</v>
      </c>
      <c r="BN120" s="122" t="n">
        <f aca="false">IF(ISNA(VLOOKUP(A120,'Données projet'!$A$87:$I$107,6,0)),0%,VLOOKUP(A120,'Données projet'!$A$87:$I$107,6,0)*VLOOKUP('Données projet'!$B$11,Paramètres!$A$1:$I$89,7,0))</f>
        <v>0</v>
      </c>
      <c r="BO120" s="122" t="n">
        <f aca="false">IF(ISNA(VLOOKUP(A120,'Données projet'!$A$87:$I$107,7,0)),0%,VLOOKUP(A120,'Données projet'!$A$87:$I$107,7,0))</f>
        <v>0</v>
      </c>
      <c r="BP120" s="129" t="n">
        <f aca="false">EXP(-LN(2)/35)*BP119+(1-EXP(-LN(2)/35))/(LN(2)/35)*BL120*BM120*VLOOKUP('Données projet'!$B$11,Paramètres!$A$1:$I$89,3,0)*0.475*44/12</f>
        <v>1.5356378121731</v>
      </c>
      <c r="BQ120" s="129" t="n">
        <f aca="false">EXP(-LN(2)/25)*BQ119+(1-EXP(-LN(2)/25))/(LN(2)/25)*Calculateur!BL120*Calculateur!BN120*VLOOKUP('Données projet'!$B$11,Paramètres!$A$1:$I$89,3,0)*0.475*44/12</f>
        <v>1.20829376055449</v>
      </c>
      <c r="BR120" s="129" t="n">
        <f aca="false">EXP(-LN(2)/2)*BR119+(1-EXP(-LN(2)/2))/(LN(2)/2)*BL120*BO120*VLOOKUP('Données projet'!$B$11,Paramètres!$A$1:$I$89,3,0)*0.475*44/12</f>
        <v>4.85628643441091E-013</v>
      </c>
      <c r="BS120" s="130" t="n">
        <f aca="false">SUM(BP120:BR120)</f>
        <v>2.74393157272808</v>
      </c>
      <c r="BT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8" t="e">
        <f aca="false">VLOOKUP(A120,'Données projet'!$A$113:$I$133,2,0)</f>
        <v>#N/A</v>
      </c>
      <c r="BW120" s="118" t="e">
        <f aca="false">VLOOKUP(A120,'Données projet'!$A$113:$I$133,9,0)</f>
        <v>#N/A</v>
      </c>
      <c r="BX120" s="118" t="e">
        <f aca="false" t="array" ref="BX120:BX120">INDEX(BW:BW,MIN(IF(ISNUMBER(BW120:BW316),ROW(BW120:BW316),"")))</f>
        <v>#N/A</v>
      </c>
      <c r="BY120" s="118" t="n">
        <f aca="false">IF('Données projet'!$A$114&gt;35,BY119+BX120-CG119,IF(A120&lt;'Données projet'!$A$114,$BV$205^A120,IF(A120='Données projet'!$A$114,'Données projet'!$B$114,BY119+BX120-CG119)))</f>
        <v>0</v>
      </c>
      <c r="BZ120" s="117" t="n">
        <f aca="false">BY120*VLOOKUP('Données projet'!$B$12,Paramètres!$A$1:$I$89,3,0)*VLOOKUP('Données projet'!$B$12,Paramètres!$A$1:$I$89,5,0)</f>
        <v>0</v>
      </c>
      <c r="CA120" s="117" t="e">
        <f aca="false">EXP(-1.0587+0.8836*LN(BZ120)+0.284)</f>
        <v>#VALUE!</v>
      </c>
      <c r="CB120" s="128" t="e">
        <f aca="false">(BZ120+CA120)*0.475*44/12</f>
        <v>#VALUE!</v>
      </c>
      <c r="CC120" s="120" t="e">
        <f aca="false">CB120+(BT120+BU120)*44/12</f>
        <v>#VALUE!</v>
      </c>
      <c r="CD120" s="120" t="n">
        <f aca="true">AVERAGE(OFFSET($CC$3,0,0,'Données projet'!$E$12+1,1))-AVERAGE(OFFSET($H$3,0,0,'Données projet'!$E$12+1,1))</f>
        <v>240.228848647662</v>
      </c>
      <c r="CE120" s="120" t="n">
        <f aca="false">$CE$3</f>
        <v>343.237768841432</v>
      </c>
      <c r="CF120" s="121" t="n">
        <f aca="false">IF(ISNA(VLOOKUP(A120,'Données projet'!$A$113:$I$133,3,0)),0,VLOOKUP(A120,'Données projet'!$A$113:$I$133,3,0))</f>
        <v>0</v>
      </c>
      <c r="CG120" s="121" t="n">
        <f aca="false">IF(ISNA(VLOOKUP(A120,'Données projet'!$A$113:$I$133,4,0)),0,VLOOKUP(A120,'Données projet'!$A$113:$I$133,4,0))</f>
        <v>0</v>
      </c>
      <c r="CH120" s="122" t="n">
        <f aca="false">IF(ISNA(VLOOKUP(A120,'Données projet'!$A$113:$I$133,5,0)),0%,VLOOKUP(A120,'Données projet'!$A$113:$I$133,5,0)*VLOOKUP('Données projet'!$B$12,Paramètres!$A$1:$I$89,7,0))</f>
        <v>0</v>
      </c>
      <c r="CI120" s="122" t="n">
        <f aca="false">IF(ISNA(VLOOKUP(A120,'Données projet'!$A$113:$I$133,6,0)),0%,VLOOKUP(A120,'Données projet'!$A$113:$I$133,6,0)*VLOOKUP('Données projet'!$B$12,Paramètres!$A$1:$I$89,7,0))</f>
        <v>0</v>
      </c>
      <c r="CJ120" s="122" t="n">
        <f aca="false">IF(ISNA(VLOOKUP(A120,'Données projet'!$A$113:$I$133,7,0)),0%,VLOOKUP(A120,'Données projet'!$A$113:$I$133,7,0))</f>
        <v>0</v>
      </c>
      <c r="CK120" s="129" t="n">
        <f aca="false">EXP(-LN(2)/35)*CK119+(1-EXP(-LN(2)/35))/(LN(2)/35)*CG120*CH120*VLOOKUP('Données projet'!$B$12,Paramètres!$A$1:$I$89,3,0)*0.475*44/12</f>
        <v>0.939929977927294</v>
      </c>
      <c r="CL120" s="129" t="n">
        <f aca="false">EXP(-LN(2)/25)*CL119+(1-EXP(-LN(2)/25))/(LN(2)/25)*Calculateur!CG120*Calculateur!CI120*VLOOKUP('Données projet'!$B$12,Paramètres!$A$1:$I$89,3,0)*0.475*44/12</f>
        <v>2.13391672912811</v>
      </c>
      <c r="CM120" s="129" t="n">
        <f aca="false">EXP(-LN(2)/2)*CM119+(1-EXP(-LN(2)/2))/(LN(2)/2)*CG120*CJ120*VLOOKUP('Données projet'!$B$12,Paramètres!$A$1:$I$89,3,0)*0.475*44/12</f>
        <v>7.74933846409848E-013</v>
      </c>
      <c r="CN120" s="130" t="n">
        <f aca="false">SUM(CK120:CM120)</f>
        <v>3.07384670705618</v>
      </c>
      <c r="CO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8" t="e">
        <f aca="false">VLOOKUP(A120,'Données projet'!$A$139:$I$159,2,0)</f>
        <v>#N/A</v>
      </c>
      <c r="CR120" s="118" t="e">
        <f aca="false">VLOOKUP(A120,'Données projet'!$A$139:$I$159,9,0)</f>
        <v>#N/A</v>
      </c>
      <c r="CS120" s="118" t="e">
        <f aca="false" t="array" ref="CS120:CS120">INDEX(CR:CR,MIN(IF(ISNUMBER(CR120:CR316),ROW(CR120:CR316),"")))</f>
        <v>#N/A</v>
      </c>
      <c r="CT120" s="118" t="n">
        <f aca="false">IF('Données projet'!$A$140&gt;35,CT119+CS120-DB119,IF(A120&lt;'Données projet'!$A$140,$CQ$205^A120,IF(A120='Données projet'!$A$140,'Données projet'!$B$140,CT119+CS120-DB119)))</f>
        <v>-5.6843418860808E-014</v>
      </c>
      <c r="CU120" s="125" t="n">
        <f aca="false">CT120*VLOOKUP('Données projet'!$B$13,Paramètres!$A$1:$I$89,3,0)*VLOOKUP('Données projet'!$B$13,Paramètres!$A$1:$I$89,5,0)</f>
        <v>-3.10365066980012E-014</v>
      </c>
      <c r="CV120" s="117" t="e">
        <f aca="false">EXP(-1.0587+0.8836*LN(CU120)+0.284)</f>
        <v>#VALUE!</v>
      </c>
      <c r="CW120" s="128" t="e">
        <f aca="false">(CU120+CV120)*0.475*44/12</f>
        <v>#VALUE!</v>
      </c>
      <c r="CX120" s="120" t="e">
        <f aca="false">CW120+(CO120+CP120)*44/12</f>
        <v>#VALUE!</v>
      </c>
      <c r="CY120" s="120" t="n">
        <f aca="true">AVERAGE(OFFSET($CX$3,0,0,'Données projet'!$E$13+1,1))-AVERAGE(OFFSET($H$3,0,0,'Données projet'!$E$13+1,1))</f>
        <v>207.023069645676</v>
      </c>
      <c r="CZ120" s="120" t="n">
        <f aca="false">$CZ$3</f>
        <v>342.068879333518</v>
      </c>
      <c r="DA120" s="121" t="n">
        <f aca="false">IF(ISNA(VLOOKUP(A120,'Données projet'!$A$139:$I$159,3,0)),0,VLOOKUP(A120,'Données projet'!$A$139:$I$159,3,0))</f>
        <v>0</v>
      </c>
      <c r="DB120" s="121" t="n">
        <f aca="false">IF(ISNA(VLOOKUP(A120,'Données projet'!$A$139:$I$159,4,0)),0,VLOOKUP(A120,'Données projet'!$A$139:$I$159,4,0))</f>
        <v>0</v>
      </c>
      <c r="DC120" s="122" t="n">
        <f aca="false">IF(ISNA(VLOOKUP(A120,'Données projet'!$A$139:$I$159,5,0)),0%,VLOOKUP(A120,'Données projet'!$A$139:$I$159,5,0)*VLOOKUP('Données projet'!$B$13,Paramètres!$A$1:$I$89,7,0))</f>
        <v>0</v>
      </c>
      <c r="DD120" s="122" t="n">
        <f aca="false">IF(ISNA(VLOOKUP(A120,'Données projet'!$A$139:$I$159,6,0)),0%,VLOOKUP(A120,'Données projet'!$A$139:$I$159,6,0)*VLOOKUP('Données projet'!$B$13,Paramètres!$A$1:$I$89,7,0))</f>
        <v>0</v>
      </c>
      <c r="DE120" s="122" t="n">
        <f aca="false">IF(ISNA(VLOOKUP(A120,'Données projet'!$A$139:$I$159,7,0)),0%,VLOOKUP(A120,'Données projet'!$A$139:$I$159,7,0))</f>
        <v>0</v>
      </c>
      <c r="DF120" s="129" t="n">
        <f aca="false">EXP(-LN(2)/35)*DF119+(1-EXP(-LN(2)/35))/(LN(2)/35)*DB120*DC120*VLOOKUP('Données projet'!$B$13,Paramètres!$A$1:$I$89,3,0)*0.475*44/12</f>
        <v>1.17934610438047</v>
      </c>
      <c r="DG120" s="129" t="n">
        <f aca="false">EXP(-LN(2)/25)*DG119+(1-EXP(-LN(2)/25))/(LN(2)/25)*Calculateur!DB120*Calculateur!DD120*VLOOKUP('Données projet'!$B$13,Paramètres!$A$1:$I$89,3,0)*0.475*44/12</f>
        <v>3.48806509965005</v>
      </c>
      <c r="DH120" s="129" t="n">
        <f aca="false">EXP(-LN(2)/2)*DH119+(1-EXP(-LN(2)/2))/(LN(2)/2)*DB120*DE120*VLOOKUP('Données projet'!$B$13,Paramètres!$A$1:$I$89,3,0)*0.475*44/12</f>
        <v>1.06708426578521E-012</v>
      </c>
      <c r="DI120" s="130" t="n">
        <f aca="false">SUM(DF120:DH120)</f>
        <v>4.66741120403159</v>
      </c>
      <c r="DJ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8" t="e">
        <f aca="false">VLOOKUP(A120,'Données projet'!$A$165:$I$185,2,0)</f>
        <v>#N/A</v>
      </c>
      <c r="DM120" s="118" t="e">
        <f aca="false">VLOOKUP(A120,'Données projet'!$A$165:$I$185,9,0)</f>
        <v>#N/A</v>
      </c>
      <c r="DN120" s="118" t="e">
        <f aca="false" t="array" ref="DN120:DN120">INDEX(DM:DM,MIN(IF(ISNUMBER(DM120:DM316),ROW(DM120:DM316),"")))</f>
        <v>#N/A</v>
      </c>
      <c r="DO120" s="118" t="n">
        <f aca="false">IF('Données projet'!$A$166&gt;35,DO119+DN120-DW119,IF(A120&lt;'Données projet'!$A$166,$DL$205^A120,IF(A120='Données projet'!$A$166,'Données projet'!$B$166,DO119+DN120-DW119)))</f>
        <v>0</v>
      </c>
      <c r="DP120" s="125" t="n">
        <f aca="false">DO120*VLOOKUP('Données projet'!$B$14,Paramètres!$A$1:$I$89,3,0)*VLOOKUP('Données projet'!$B$14,Paramètres!$A$1:$I$89,5,0)</f>
        <v>0</v>
      </c>
      <c r="DQ120" s="117" t="e">
        <f aca="false">EXP(-1.0587+0.8836*LN(DP120)+0.284)</f>
        <v>#VALUE!</v>
      </c>
      <c r="DR120" s="128" t="e">
        <f aca="false">(DP120+DQ120)*0.475*44/12</f>
        <v>#VALUE!</v>
      </c>
      <c r="DS120" s="120" t="e">
        <f aca="false">DR120+(DJ120+DK120)*44/12</f>
        <v>#VALUE!</v>
      </c>
      <c r="DT120" s="120" t="n">
        <f aca="true">AVERAGE(OFFSET($DS$3,0,0,'Données projet'!$E$14+1,1))-AVERAGE(OFFSET($H$3,0,0,'Données projet'!$E$14+1,1))</f>
        <v>549.432320957297</v>
      </c>
      <c r="DU120" s="120" t="n">
        <f aca="false">$DU$3</f>
        <v>280.26155987301</v>
      </c>
      <c r="DV120" s="121" t="n">
        <f aca="false">IF(ISNA(VLOOKUP(A120,'Données projet'!$A$165:$I$185,3,0)),0,VLOOKUP(A120,'Données projet'!$A$165:$I$185,3,0))</f>
        <v>0</v>
      </c>
      <c r="DW120" s="121" t="n">
        <f aca="false">IF(ISNA(VLOOKUP(A120,'Données projet'!$A$165:$I$185,4,0)),0,VLOOKUP(A120,'Données projet'!$A$165:$I$185,4,0))</f>
        <v>0</v>
      </c>
      <c r="DX120" s="122" t="n">
        <f aca="false">IF(ISNA(VLOOKUP(A120,'Données projet'!$A$165:$I$185,5,0)),0%,VLOOKUP(A120,'Données projet'!$A$165:$I$185,5,0)*VLOOKUP('Données projet'!$B$14,Paramètres!$A$1:$I$89,7,0))</f>
        <v>0</v>
      </c>
      <c r="DY120" s="122" t="n">
        <f aca="false">IF(ISNA(VLOOKUP(A120,'Données projet'!$A$165:$I$185,6,0)),0%,VLOOKUP(A120,'Données projet'!$A$165:$I$185,6,0)*VLOOKUP('Données projet'!$B$14,Paramètres!$A$1:$I$89,7,0))</f>
        <v>0</v>
      </c>
      <c r="DZ120" s="122" t="n">
        <f aca="false">IF(ISNA(VLOOKUP(A120,'Données projet'!$A$165:$I$185,7,0)),0%,VLOOKUP(A120,'Données projet'!$A$165:$I$185,7,0))</f>
        <v>0</v>
      </c>
      <c r="EA120" s="129" t="n">
        <f aca="false">EXP(-LN(2)/35)*EA119+(1-EXP(-LN(2)/35))/(LN(2)/35)*DW120*DX120*VLOOKUP('Données projet'!$B$14,Paramètres!$A$1:$I$89,3,0)*0.475*44/12</f>
        <v>0.428808928530156</v>
      </c>
      <c r="EB120" s="129" t="n">
        <f aca="false">EXP(-LN(2)/25)*EB119+(1-EXP(-LN(2)/25))/(LN(2)/25)*Calculateur!DW120*Calculateur!DY120*VLOOKUP('Données projet'!$B$14,Paramètres!$A$1:$I$89,3,0)*0.475*44/12</f>
        <v>0.694891386165136</v>
      </c>
      <c r="EC120" s="129" t="n">
        <f aca="false">EXP(-LN(2)/2)*EC119+(1-EXP(-LN(2)/2))/(LN(2)/2)*DW120*DZ120*VLOOKUP('Données projet'!$B$14,Paramètres!$A$1:$I$89,3,0)*0.475*44/12</f>
        <v>4.91903850491452E-013</v>
      </c>
      <c r="ED120" s="130" t="n">
        <f aca="false">SUM(EA120:EC120)</f>
        <v>1.12370031469578</v>
      </c>
      <c r="EE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8" t="e">
        <f aca="false">VLOOKUP(A120,'Données projet'!$A$191:$I$211,2,0)</f>
        <v>#N/A</v>
      </c>
      <c r="EH120" s="118" t="e">
        <f aca="false">VLOOKUP(A120,'Données projet'!$A$191:$I$211,9,0)</f>
        <v>#N/A</v>
      </c>
      <c r="EI120" s="118" t="e">
        <f aca="false" t="array" ref="EI120:EI120">INDEX(EH:EH,MIN(IF(ISNUMBER(EH120:EH316),ROW(EH120:EH316),"")))</f>
        <v>#N/A</v>
      </c>
      <c r="EJ120" s="118" t="n">
        <f aca="false">IF('Données projet'!$A$192&gt;35,EJ119+EI120-ER119,IF(A120&lt;'Données projet'!$A$192,$EG$205^A120,IF(A120='Données projet'!$A$192,'Données projet'!$B$192,EJ119+EI120-ER119)))</f>
        <v>0</v>
      </c>
      <c r="EK120" s="125" t="e">
        <f aca="false">EJ120*VLOOKUP('Données projet'!$B$15,Paramètres!$A$1:$I$89,3,0)*VLOOKUP('Données projet'!$B$15,Paramètres!$A$1:$I$89,5,0)</f>
        <v>#N/A</v>
      </c>
      <c r="EL120" s="117" t="e">
        <f aca="false">EXP(-1.0587+0.8836*LN(EK120)+0.284)</f>
        <v>#N/A</v>
      </c>
      <c r="EM120" s="128" t="e">
        <f aca="false">(EK120+EL120)*0.475*44/12</f>
        <v>#N/A</v>
      </c>
      <c r="EN120" s="120" t="e">
        <f aca="false">EM120+(EE120+EF120)*44/12</f>
        <v>#N/A</v>
      </c>
      <c r="EO120" s="120" t="e">
        <f aca="true">AVERAGE(OFFSET($EN$3,0,0,'Données projet'!$E$15+1,1))-AVERAGE(OFFSET($H$3,0,0,'Données projet'!$E$15+1,1))</f>
        <v>#N/A</v>
      </c>
      <c r="EP120" s="120" t="e">
        <f aca="false">$EP$3</f>
        <v>#N/A</v>
      </c>
      <c r="EQ120" s="121" t="n">
        <f aca="false">IF(ISNA(VLOOKUP(A120,'Données projet'!$A$191:$I$211,3,0)),0,VLOOKUP(A120,'Données projet'!$A$191:$I$211,3,0))</f>
        <v>0</v>
      </c>
      <c r="ER120" s="121" t="n">
        <f aca="false">IF(ISNA(VLOOKUP(A120,'Données projet'!$A$191:$I$211,4,0)),0,VLOOKUP(A120,'Données projet'!$A$191:$I$211,4,0))</f>
        <v>0</v>
      </c>
      <c r="ES120" s="122" t="n">
        <f aca="false">IF(ISNA(VLOOKUP(A120,'Données projet'!$A$191:$I$211,5,0)),0%,VLOOKUP(A120,'Données projet'!$A$191:$I$211,5,0)*VLOOKUP('Données projet'!$B$15,Paramètres!$A$1:$I$89,7,0))</f>
        <v>0</v>
      </c>
      <c r="ET120" s="122" t="n">
        <f aca="false">IF(ISNA(VLOOKUP(A120,'Données projet'!$A$191:$I$211,6,0)),0%,VLOOKUP(A120,'Données projet'!$A$191:$I$211,6,0)*VLOOKUP('Données projet'!$B$15,Paramètres!$A$1:$I$89,7,0))</f>
        <v>0</v>
      </c>
      <c r="EU120" s="122" t="n">
        <f aca="false">IF(ISNA(VLOOKUP(A120,'Données projet'!$A$191:$I$211,7,0)),0%,VLOOKUP(A120,'Données projet'!$A$191:$I$211,7,0))</f>
        <v>0</v>
      </c>
      <c r="EV120" s="129" t="e">
        <f aca="false">EXP(-LN(2)/35)*EV119+(1-EXP(-LN(2)/35))/(LN(2)/35)*ER120*ES120*VLOOKUP('Données projet'!$B$15,Paramètres!$A$1:$I$89,3,0)*0.475*44/12</f>
        <v>#N/A</v>
      </c>
      <c r="EW120" s="129" t="e">
        <f aca="false">EXP(-LN(2)/25)*EW119+(1-EXP(-LN(2)/25))/(LN(2)/25)*Calculateur!ER120*Calculateur!ET120*VLOOKUP('Données projet'!$B$15,Paramètres!$A$1:$I$89,3,0)*0.475*44/12</f>
        <v>#N/A</v>
      </c>
      <c r="EX120" s="129" t="e">
        <f aca="false">EXP(-LN(2)/2)*EX119+(1-EXP(-LN(2)/2))/(LN(2)/2)*ER120*EU120*VLOOKUP('Données projet'!$B$15,Paramètres!$A$1:$I$89,3,0)*0.475*44/12</f>
        <v>#N/A</v>
      </c>
      <c r="EY120" s="130" t="e">
        <f aca="false">SUM(EV120:EX120)</f>
        <v>#N/A</v>
      </c>
      <c r="EZ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8" t="e">
        <f aca="false">VLOOKUP(A120,'Données projet'!$A$217:$I$237,2,0)</f>
        <v>#N/A</v>
      </c>
      <c r="FC120" s="118" t="e">
        <f aca="false">VLOOKUP(A120,'Données projet'!$A$217:$I$237,9,0)</f>
        <v>#N/A</v>
      </c>
      <c r="FD120" s="118" t="e">
        <f aca="false" t="array" ref="FD120:FD120">INDEX(FC:FC,MIN(IF(ISNUMBER(FC120:FC316),ROW(FC120:FC316),"")))</f>
        <v>#N/A</v>
      </c>
      <c r="FE120" s="118" t="n">
        <f aca="false">IF('Données projet'!$A$218&gt;35,FE119+FD120-FM119,IF(A120&lt;'Données projet'!$A$218,$FB$205^A120,IF(A120='Données projet'!$A$218,'Données projet'!$B$218,FE119+FD120-FM119)))</f>
        <v>0</v>
      </c>
      <c r="FF120" s="125" t="e">
        <f aca="false">FE120*VLOOKUP('Données projet'!$B$16,Paramètres!$A$1:$I$89,3,0)*VLOOKUP('Données projet'!$B$16,Paramètres!$A$1:$I$89,5,0)</f>
        <v>#N/A</v>
      </c>
      <c r="FG120" s="117" t="e">
        <f aca="false">EXP(-1.0587+0.8836*LN(FF120)+0.284)</f>
        <v>#N/A</v>
      </c>
      <c r="FH120" s="128" t="e">
        <f aca="false">(FF120+FG120)*0.475*44/12</f>
        <v>#N/A</v>
      </c>
      <c r="FI120" s="120" t="e">
        <f aca="false">FH120+(EZ120+FA120)*44/12</f>
        <v>#N/A</v>
      </c>
      <c r="FJ120" s="120" t="e">
        <f aca="true">AVERAGE(OFFSET($FI$3,0,0,'Données projet'!$E$16+1,1))-AVERAGE(OFFSET($H$3,0,0,'Données projet'!$E$16+1,1))</f>
        <v>#N/A</v>
      </c>
      <c r="FK120" s="120" t="e">
        <f aca="false">$FK$3</f>
        <v>#N/A</v>
      </c>
      <c r="FL120" s="121" t="n">
        <f aca="false">IF(ISNA(VLOOKUP(A120,'Données projet'!$A$217:$I$237,3,0)),0,VLOOKUP(A120,'Données projet'!$A$217:$I$237,3,0))</f>
        <v>0</v>
      </c>
      <c r="FM120" s="121" t="n">
        <f aca="false">IF(ISNA(VLOOKUP(A120,'Données projet'!$A$217:$I$237,4,0)),0,VLOOKUP(A120,'Données projet'!$A$217:$I$237,4,0))</f>
        <v>0</v>
      </c>
      <c r="FN120" s="122" t="n">
        <f aca="false">IF(ISNA(VLOOKUP(A120,'Données projet'!$A$217:$I$237,5,0)),0%,VLOOKUP(A120,'Données projet'!$A$217:$I$237,5,0)*VLOOKUP('Données projet'!$B$16,Paramètres!$A$1:$I$89,7,0))</f>
        <v>0</v>
      </c>
      <c r="FO120" s="122" t="n">
        <f aca="false">IF(ISNA(VLOOKUP(A120,'Données projet'!$A$217:$I$237,6,0)),0%,VLOOKUP(A120,'Données projet'!$A$217:$I$237,6,0)*VLOOKUP('Données projet'!$B$16,Paramètres!$A$1:$I$89,7,0))</f>
        <v>0</v>
      </c>
      <c r="FP120" s="122" t="n">
        <f aca="false">IF(ISNA(VLOOKUP(A120,'Données projet'!$A$217:$I$237,7,0)),0%,VLOOKUP(A120,'Données projet'!$A$217:$I$237,7,0))</f>
        <v>0</v>
      </c>
      <c r="FQ120" s="129" t="e">
        <f aca="false">EXP(-LN(2)/35)*FQ119+(1-EXP(-LN(2)/35))/(LN(2)/35)*FM120*FN120*VLOOKUP('Données projet'!$B$16,Paramètres!$A$1:$I$89,3,0)*0.475*44/12</f>
        <v>#N/A</v>
      </c>
      <c r="FR120" s="129" t="e">
        <f aca="false">EXP(-LN(2)/25)*FR119+(1-EXP(-LN(2)/25))/(LN(2)/25)*Calculateur!FM120*Calculateur!FO120*VLOOKUP('Données projet'!$B$16,Paramètres!$A$1:$I$89,3,0)*0.475*44/12</f>
        <v>#N/A</v>
      </c>
      <c r="FS120" s="129" t="e">
        <f aca="false">EXP(-LN(2)/2)*FS119+(1-EXP(-LN(2)/2))/(LN(2)/2)*FM120*FP120*VLOOKUP('Données projet'!$B$16,Paramètres!$A$1:$I$89,3,0)*0.475*44/12</f>
        <v>#N/A</v>
      </c>
      <c r="FT120" s="130" t="e">
        <f aca="false">SUM(FQ120:FS120)</f>
        <v>#N/A</v>
      </c>
      <c r="FU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8" t="e">
        <f aca="false">VLOOKUP(A120,'Données projet'!$A$243:$I$263,2,0)</f>
        <v>#N/A</v>
      </c>
      <c r="FX120" s="118" t="e">
        <f aca="false">VLOOKUP(A120,'Données projet'!$A$243:$I$263,9,0)</f>
        <v>#N/A</v>
      </c>
      <c r="FY120" s="118" t="e">
        <f aca="false" t="array" ref="FY120:FY120">INDEX(FX:FX,MIN(IF(ISNUMBER(FX120:FX316),ROW(FX120:FX316),"")))</f>
        <v>#N/A</v>
      </c>
      <c r="FZ120" s="118" t="n">
        <f aca="false">IF('Données projet'!$A$244&gt;35,FZ119+FY120-GH119,IF(A120&lt;'Données projet'!$A$244,$FW$205^A120,IF(A120='Données projet'!$A$244,'Données projet'!$B$244,FZ119+FY120-GH119)))</f>
        <v>0</v>
      </c>
      <c r="GA120" s="125" t="e">
        <f aca="false">FZ120*VLOOKUP('Données projet'!$B$17,Paramètres!$A$1:$I$89,3,0)*VLOOKUP('Données projet'!$B$17,Paramètres!$A$1:$I$89,5,0)</f>
        <v>#N/A</v>
      </c>
      <c r="GB120" s="117" t="e">
        <f aca="false">EXP(-1.0587+0.8836*LN(GA120)+0.284)</f>
        <v>#N/A</v>
      </c>
      <c r="GC120" s="128" t="e">
        <f aca="false">(GA120+GB120)*0.475*44/12</f>
        <v>#N/A</v>
      </c>
      <c r="GD120" s="120" t="e">
        <f aca="false">GC120+(FU120+FV120)*44/12</f>
        <v>#N/A</v>
      </c>
      <c r="GE120" s="120" t="e">
        <f aca="true">AVERAGE(OFFSET($GD$3,0,0,'Données projet'!$E$17+1,1))-AVERAGE(OFFSET($H$3,0,0,'Données projet'!$E$17+1,1))</f>
        <v>#N/A</v>
      </c>
      <c r="GF120" s="120" t="e">
        <f aca="false">$GF$3</f>
        <v>#N/A</v>
      </c>
      <c r="GG120" s="121" t="n">
        <f aca="false">IF(ISNA(VLOOKUP(A120,'Données projet'!$A$243:$I$263,3,0)),0,VLOOKUP(A120,'Données projet'!$A$243:$I$263,3,0))</f>
        <v>0</v>
      </c>
      <c r="GH120" s="121" t="n">
        <f aca="false">IF(ISNA(VLOOKUP(A120,'Données projet'!$A$243:$I$263,4,0)),0,VLOOKUP(A120,'Données projet'!$A$243:$I$263,4,0))</f>
        <v>0</v>
      </c>
      <c r="GI120" s="122" t="n">
        <f aca="false">IF(ISNA(VLOOKUP(A120,'Données projet'!$A$243:$I$263,5,0)),0%,VLOOKUP(A120,'Données projet'!$A$243:$I$263,5,0)*VLOOKUP('Données projet'!$B$17,Paramètres!$A$1:$I$89,7,0))</f>
        <v>0</v>
      </c>
      <c r="GJ120" s="122" t="n">
        <f aca="false">IF(ISNA(VLOOKUP(A120,'Données projet'!$A$243:$I$263,6,0)),0%,VLOOKUP(A120,'Données projet'!$A$243:$I$263,6,0)*VLOOKUP('Données projet'!$B$17,Paramètres!$A$1:$I$89,7,0))</f>
        <v>0</v>
      </c>
      <c r="GK120" s="122" t="n">
        <f aca="false">IF(ISNA(VLOOKUP(A120,'Données projet'!$A$243:$I$263,7,0)),0%,VLOOKUP(A120,'Données projet'!$A$243:$I$263,7,0))</f>
        <v>0</v>
      </c>
      <c r="GL120" s="129" t="e">
        <f aca="false">EXP(-LN(2)/35)*GL119+(1-EXP(-LN(2)/35))/(LN(2)/35)*GH120*GI120*VLOOKUP('Données projet'!$B$17,Paramètres!$A$1:$I$89,3,0)*0.475*44/12</f>
        <v>#N/A</v>
      </c>
      <c r="GM120" s="129" t="e">
        <f aca="false">EXP(-LN(2)/25)*GM119+(1-EXP(-LN(2)/25))/(LN(2)/25)*Calculateur!GH120*Calculateur!GJ120*VLOOKUP('Données projet'!$B$17,Paramètres!$A$1:$I$89,3,0)*0.475*44/12</f>
        <v>#N/A</v>
      </c>
      <c r="GN120" s="129" t="e">
        <f aca="false">EXP(-LN(2)/2)*GN119+(1-EXP(-LN(2)/2))/(LN(2)/2)*GH120*GK120*VLOOKUP('Données projet'!$B$17,Paramètres!$A$1:$I$89,3,0)*0.475*44/12</f>
        <v>#N/A</v>
      </c>
      <c r="GO120" s="129" t="e">
        <f aca="false">SUM(GL120:GN120)</f>
        <v>#N/A</v>
      </c>
      <c r="GP120" s="126" t="n">
        <f aca="false"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8" t="n">
        <f aca="false"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8" t="e">
        <f aca="false">VLOOKUP(A120,'Données projet'!$A$269:$I$289,2,0)</f>
        <v>#N/A</v>
      </c>
      <c r="GS120" s="118" t="e">
        <f aca="false">VLOOKUP(A120,'Données projet'!$A$269:$I$289,9,0)</f>
        <v>#N/A</v>
      </c>
      <c r="GT120" s="118" t="e">
        <f aca="false" t="array" ref="GT120:GT120">INDEX(GS:GS,MIN(IF(ISNUMBER(GS120:GS316),ROW(GS120:GS316),"")))</f>
        <v>#N/A</v>
      </c>
      <c r="GU120" s="118" t="n">
        <f aca="false">IF('Données projet'!$A$270&gt;35,GU119+GT120-HC119,IF(A120&lt;'Données projet'!$A$270,$GR$205^A120,IF(A120='Données projet'!$A$270,'Données projet'!$B$270,GU119+GT120-HC119)))</f>
        <v>0</v>
      </c>
      <c r="GV120" s="125" t="e">
        <f aca="false">GU120*VLOOKUP('Données projet'!$B$18,Paramètres!$A$1:$I$89,3,0)*VLOOKUP('Données projet'!$B$18,Paramètres!$A$1:$I$89,5,0)</f>
        <v>#N/A</v>
      </c>
      <c r="GW120" s="117" t="e">
        <f aca="false">EXP(-1.0587+0.8836*LN(GV120)+0.284)</f>
        <v>#N/A</v>
      </c>
      <c r="GX120" s="128" t="e">
        <f aca="false">(GV120+GW120)*0.475*44/12</f>
        <v>#N/A</v>
      </c>
      <c r="GY120" s="120" t="e">
        <f aca="false">GX120+(GP120+GQ120)*44/12</f>
        <v>#N/A</v>
      </c>
      <c r="GZ120" s="120" t="e">
        <f aca="true">AVERAGE(OFFSET($GY$3,0,0,'Données projet'!$E$18+1,1))-AVERAGE(OFFSET($H$3,0,0,'Données projet'!$E$18+1,1))</f>
        <v>#N/A</v>
      </c>
      <c r="HA120" s="120" t="e">
        <f aca="false">$HA$3</f>
        <v>#N/A</v>
      </c>
      <c r="HB120" s="121" t="n">
        <f aca="false">IF(ISNA(VLOOKUP(A120,'Données projet'!$A$269:$I$289,3,0)),0,VLOOKUP(A120,'Données projet'!$A$269:$I$289,3,0))</f>
        <v>0</v>
      </c>
      <c r="HC120" s="121" t="n">
        <f aca="false">IF(ISNA(VLOOKUP(A120,'Données projet'!$A$269:$I$289,4,0)),0,VLOOKUP(A120,'Données projet'!$A$269:$I$289,4,0))</f>
        <v>0</v>
      </c>
      <c r="HD120" s="122" t="n">
        <f aca="false">IF(ISNA(VLOOKUP(A120,'Données projet'!$A$269:$I$289,5,0)),0%,VLOOKUP(A120,'Données projet'!$A$269:$I$289,5,0)*VLOOKUP('Données projet'!$B$18,Paramètres!$A$1:$I$89,7,0))</f>
        <v>0</v>
      </c>
      <c r="HE120" s="122" t="n">
        <f aca="false">IF(ISNA(VLOOKUP(A120,'Données projet'!$A$269:$I$289,6,0)),0%,VLOOKUP(A120,'Données projet'!$A$269:$I$289,6,0)*VLOOKUP('Données projet'!$B$18,Paramètres!$A$1:$I$89,7,0))</f>
        <v>0</v>
      </c>
      <c r="HF120" s="122" t="n">
        <f aca="false">IF(ISNA(VLOOKUP(A120,'Données projet'!$A$269:$I$289,7,0)),0%,VLOOKUP(A120,'Données projet'!$A$269:$I$289,7,0))</f>
        <v>0</v>
      </c>
      <c r="HG120" s="129" t="e">
        <f aca="false">EXP(-LN(2)/35)*HG119+(1-EXP(-LN(2)/35))/(LN(2)/35)*HC120*HD120*VLOOKUP('Données projet'!$B$18,Paramètres!$A$1:$I$89,3,0)*0.475*44/12</f>
        <v>#N/A</v>
      </c>
      <c r="HH120" s="129" t="e">
        <f aca="false">EXP(-LN(2)/25)*HH119+(1-EXP(-LN(2)/25))/(LN(2)/25)*Calculateur!HC120*Calculateur!HE120*VLOOKUP('Données projet'!$B$18,Paramètres!$A$1:$I$89,3,0)*0.475*44/12</f>
        <v>#N/A</v>
      </c>
      <c r="HI120" s="129" t="e">
        <f aca="false">EXP(-LN(2)/2)*HI119+(1-EXP(-LN(2)/2))/(LN(2)/2)*HC120*HF120*VLOOKUP('Données projet'!$B$18,Paramètres!$A$1:$I$89,3,0)*0.475*44/12</f>
        <v>#N/A</v>
      </c>
      <c r="HJ120" s="130" t="e">
        <f aca="false">SUM(HG120:HI120)</f>
        <v>#N/A</v>
      </c>
    </row>
    <row r="121" customFormat="false" ht="14.25" hidden="false" customHeight="false" outlineLevel="0" collapsed="false">
      <c r="A121" s="112" t="n">
        <f aca="false">A120+1</f>
        <v>118</v>
      </c>
      <c r="B121" s="113" t="n">
        <f aca="false">'Scénario référence'!$B$16*5+'Scénario référence'!$B$17*0+'Scénario référence'!$B$18*5</f>
        <v>0</v>
      </c>
      <c r="C121" s="127" t="n">
        <f aca="false"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4" t="n">
        <f aca="false">IFERROR(EXP(-1.0587+0.8836*LN(C121)+0.284),0)</f>
        <v>0</v>
      </c>
      <c r="E12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1" s="114" t="n">
        <f aca="false">IF(OR('Scénario référence'!$F$8&gt;0,'Scénario référence'!$F$9&gt;0),('Scénario référence'!$F$8+'Scénario référence'!$F$9)*10,0)</f>
        <v>0</v>
      </c>
      <c r="G121" s="114" t="n">
        <f aca="false"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15" t="n">
        <f aca="false">(B121+E121+F121)*44/12+(C121+D121)*0.475*44/12</f>
        <v>256.666666666667</v>
      </c>
      <c r="I121" s="11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7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8" t="e">
        <f aca="false">VLOOKUP(A121,'Données projet'!$A$35:$I$55,2,0)</f>
        <v>#N/A</v>
      </c>
      <c r="L121" s="118" t="e">
        <f aca="false">VLOOKUP(A121,'Données projet'!$A$35:$I$55,9,0)</f>
        <v>#N/A</v>
      </c>
      <c r="M121" s="118" t="e">
        <f aca="false" t="array" ref="M121:M121">INDEX(L:L,MIN(IF(ISNUMBER(L121:L317),ROW(L121:L317),"")))</f>
        <v>#N/A</v>
      </c>
      <c r="N121" s="117" t="n">
        <f aca="false">IF('Données projet'!$A$36&gt;35,N120+M121-V120,IF(A121&lt;'Données projet'!$A$36,$K$205^A121,IF(A121='Données projet'!$A$36,'Données projet'!$B$36,N120+M121-V120)))</f>
        <v>-1.13686837721616E-013</v>
      </c>
      <c r="O121" s="117" t="n">
        <f aca="false">N121*VLOOKUP('Données projet'!$B$9,Paramètres!$A$1:$I$89,3,0)*VLOOKUP('Données projet'!$B$9,Paramètres!$A$1:$I$89,5,0)</f>
        <v>-5.32054400537163E-014</v>
      </c>
      <c r="P121" s="117" t="e">
        <f aca="false">EXP(-1.0587+0.8836*LN(O121)+0.284)</f>
        <v>#VALUE!</v>
      </c>
      <c r="Q121" s="128" t="e">
        <f aca="false">(O121+P121)*0.475*44/12</f>
        <v>#VALUE!</v>
      </c>
      <c r="R121" s="120" t="e">
        <f aca="false">Q121+(I121+J121)*44/12</f>
        <v>#VALUE!</v>
      </c>
      <c r="S121" s="120" t="n">
        <f aca="true">AVERAGE(OFFSET($R$3,0,0,'Données projet'!$E$9+1,1))-AVERAGE(OFFSET($H$3,0,0,'Données projet'!$E$9+1,1))</f>
        <v>319.229030946746</v>
      </c>
      <c r="T121" s="120" t="n">
        <f aca="false">$T$3</f>
        <v>254.586909731428</v>
      </c>
      <c r="U121" s="121" t="n">
        <f aca="false">IF(ISNA(VLOOKUP(A121,'Données projet'!$A$35:$I$55,3,0)),0,VLOOKUP(A121,'Données projet'!$A$35:$I$55,3,0))</f>
        <v>0</v>
      </c>
      <c r="V121" s="121" t="n">
        <f aca="false">IF(ISNA(VLOOKUP(A121,'Données projet'!$A$35:$I$55,4,0)),0,VLOOKUP(A121,'Données projet'!$A$35:$I$55,4,0))</f>
        <v>0</v>
      </c>
      <c r="W121" s="122" t="n">
        <f aca="false">IF(ISNA(VLOOKUP(A121,'Données projet'!$A$35:$I$55,5,0)),0%,VLOOKUP(A121,'Données projet'!$A$35:$I$55,5,0)*VLOOKUP('Données projet'!$B$9,Paramètres!$A$1:$I$89,7,0))</f>
        <v>0</v>
      </c>
      <c r="X121" s="122" t="n">
        <f aca="false">IF(ISNA(VLOOKUP(A121,'Données projet'!$A$35:$I$55,6,0)),0%,VLOOKUP(A121,'Données projet'!$A$35:$I$55,6,0)*VLOOKUP('Données projet'!$B$9,Paramètres!$A$1:$I$89,7,0))</f>
        <v>0</v>
      </c>
      <c r="Y121" s="122" t="n">
        <f aca="false">IF(ISNA(VLOOKUP(A121,'Données projet'!$A$35:$I$55,7,0)),0%,VLOOKUP(A121,'Données projet'!$A$35:$I$55,7,0))</f>
        <v>0</v>
      </c>
      <c r="Z121" s="129" t="n">
        <f aca="false">EXP(-LN(2)/35)*Z120+(1-EXP(-LN(2)/35))/(LN(2)/35)*V121*W121*VLOOKUP('Données projet'!$B$9,Paramètres!$A$1:$I$89,3,0)*0.475*44/12</f>
        <v>1.58864575647306</v>
      </c>
      <c r="AA121" s="129" t="n">
        <f aca="false">EXP(-LN(2)/25)*AA120+(1-EXP(-LN(2)/25))/(LN(2)/25)*Calculateur!V121*Calculateur!X121*VLOOKUP('Données projet'!$B$9,Paramètres!$A$1:$I$89,3,0)*0.475*44/12</f>
        <v>0.972077077729595</v>
      </c>
      <c r="AB121" s="129" t="n">
        <f aca="false">EXP(-LN(2)/2)*AB120+(1-EXP(-LN(2)/2))/(LN(2)/2)*V121*Y121*VLOOKUP('Données projet'!$B$9,Paramètres!$A$1:$I$89,3,0)*0.475*44/12</f>
        <v>6.27729187021852E-013</v>
      </c>
      <c r="AC121" s="130" t="n">
        <f aca="false">SUM(Z121:AB121)</f>
        <v>2.56072283420328</v>
      </c>
      <c r="AD121" s="117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7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8" t="e">
        <f aca="false">VLOOKUP(A121,'Données projet'!$A$61:$I$81,2,0)</f>
        <v>#N/A</v>
      </c>
      <c r="AG121" s="118" t="e">
        <f aca="false">VLOOKUP(A121,'Données projet'!$A$61:$I$81,9,0)</f>
        <v>#N/A</v>
      </c>
      <c r="AH121" s="118" t="e">
        <f aca="false" t="array" ref="AH121:AH121">INDEX(AG:AG,MIN(IF(ISNUMBER(AG121:AG317),ROW(AG121:AG317),"")))</f>
        <v>#N/A</v>
      </c>
      <c r="AI121" s="117" t="n">
        <f aca="false">IF('Données projet'!$A$62&gt;35,AI120+AH121-AQ120,IF(A121&lt;'Données projet'!$A$62,$AF$205^A121,IF(A121='Données projet'!$A$62,'Données projet'!$B$62,AI120+AH121-AQ120)))</f>
        <v>1.13686837721616E-013</v>
      </c>
      <c r="AJ121" s="117" t="n">
        <f aca="false">AI121*VLOOKUP('Données projet'!$B$10,Paramètres!$A$1:$I$89,3,0)*VLOOKUP('Données projet'!$B$10,Paramètres!$A$1:$I$89,5,0)</f>
        <v>6.35509422863834E-014</v>
      </c>
      <c r="AK121" s="117" t="n">
        <f aca="false">EXP(-1.0587+0.8836*LN(AJ121)+0.284)</f>
        <v>1.0064464192544E-012</v>
      </c>
      <c r="AL121" s="128" t="n">
        <f aca="false">(AJ121+AK121)*0.475*44/12</f>
        <v>1.86357873801686E-012</v>
      </c>
      <c r="AM121" s="120" t="n">
        <f aca="false">AL121+(AD121+AE121)*44/12</f>
        <v>293.333333333335</v>
      </c>
      <c r="AN121" s="120" t="n">
        <f aca="true">AVERAGE(OFFSET($AM$3,0,0,'Données projet'!$E$10+1,1))-AVERAGE(OFFSET($H$3,0,0,'Données projet'!$E$10+1,1))</f>
        <v>365.705101827279</v>
      </c>
      <c r="AO121" s="120" t="n">
        <f aca="false">$AO$3</f>
        <v>436.238338449625</v>
      </c>
      <c r="AP121" s="121" t="n">
        <f aca="false">IF(ISNA(VLOOKUP(A121,'Données projet'!$A$61:$I$81,3,0)),0,VLOOKUP(A121,'Données projet'!$A$61:$I$81,3,0))</f>
        <v>0</v>
      </c>
      <c r="AQ121" s="121" t="n">
        <f aca="false">IF(ISNA(VLOOKUP(A121,'Données projet'!$A$61:$I$81,4,0)),0,VLOOKUP(A121,'Données projet'!$A$61:$I$81,4,0))</f>
        <v>0</v>
      </c>
      <c r="AR121" s="122" t="n">
        <f aca="false">IF(ISNA(VLOOKUP(A121,'Données projet'!$A$61:$I$81,5,0)),0%,VLOOKUP(A121,'Données projet'!$A$61:$I$81,5,0)*VLOOKUP('Données projet'!$B$10,Paramètres!$A$1:$I$89,7,0))</f>
        <v>0</v>
      </c>
      <c r="AS121" s="122" t="n">
        <f aca="false">IF(ISNA(VLOOKUP(A121,'Données projet'!$A$61:$I$81,6,0)),0%,VLOOKUP(A121,'Données projet'!$A$61:$I$81,6,0)*VLOOKUP('Données projet'!$B$10,Paramètres!$A$1:$I$89,7,0))</f>
        <v>0</v>
      </c>
      <c r="AT121" s="122" t="n">
        <f aca="false">IF(ISNA(VLOOKUP(A121,'Données projet'!$A$61:$I$81,7,0)),0%,VLOOKUP(A121,'Données projet'!$A$61:$I$81,7,0))</f>
        <v>0</v>
      </c>
      <c r="AU121" s="129" t="n">
        <f aca="false">EXP(-LN(2)/35)*AU120+(1-EXP(-LN(2)/35))/(LN(2)/35)*AQ121*AR121*VLOOKUP('Données projet'!$B$10,Paramètres!$A$1:$I$89,3,0)*0.475*44/12</f>
        <v>0.599662266933699</v>
      </c>
      <c r="AV121" s="129" t="n">
        <f aca="false">EXP(-LN(2)/25)*AV120+(1-EXP(-LN(2)/25))/(LN(2)/25)*Calculateur!AQ121*Calculateur!AS121*VLOOKUP('Données projet'!$B$10,Paramètres!$A$1:$I$89,3,0)*0.475*44/12</f>
        <v>1.15137273848276</v>
      </c>
      <c r="AW121" s="129" t="n">
        <f aca="false">EXP(-LN(2)/2)*AW120+(1-EXP(-LN(2)/2))/(LN(2)/2)*AQ121*AT121*VLOOKUP('Données projet'!$B$10,Paramètres!$A$1:$I$89,3,0)*0.475*44/12</f>
        <v>3.37824228931583E-013</v>
      </c>
      <c r="AX121" s="129" t="n">
        <f aca="false">SUM(AU121:AW121)</f>
        <v>1.7510350054168</v>
      </c>
      <c r="AY121" s="124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8" t="e">
        <f aca="false">VLOOKUP(A121,'Données projet'!$A$87:$I$107,2,0)</f>
        <v>#N/A</v>
      </c>
      <c r="BB121" s="118" t="e">
        <f aca="false">VLOOKUP(A121,'Données projet'!$A$87:$I$107,9,0)</f>
        <v>#N/A</v>
      </c>
      <c r="BC121" s="118" t="e">
        <f aca="false" t="array" ref="BC121:BC121">INDEX(BB:BB,MIN(IF(ISNUMBER(BB121:BB317),ROW(BB121:BB317),"")))</f>
        <v>#N/A</v>
      </c>
      <c r="BD121" s="118" t="n">
        <f aca="false">IF('Données projet'!$A$88&gt;35,BD120+BC121-BL120,IF(A121&lt;'Données projet'!$A$88,$BA$205^A121,IF(A121='Données projet'!$A$88,'Données projet'!$B$88,BD120+BC121-BL120)))</f>
        <v>1.98951966012828E-013</v>
      </c>
      <c r="BE121" s="117" t="n">
        <f aca="false">BD121*VLOOKUP('Données projet'!$B$11,Paramètres!$A$1:$I$89,3,0)*VLOOKUP('Données projet'!$B$11,Paramètres!$A$1:$I$89,5,0)</f>
        <v>1.73804437508807E-013</v>
      </c>
      <c r="BF121" s="117" t="n">
        <f aca="false">EXP(-1.0587+0.8836*LN(BE121)+0.284)</f>
        <v>2.44832936339505E-012</v>
      </c>
      <c r="BG121" s="128" t="n">
        <f aca="false">(BE121+BF121)*0.475*44/12</f>
        <v>4.56688303657421E-012</v>
      </c>
      <c r="BH121" s="120" t="n">
        <f aca="false">BG121+(AY121+AZ121)*44/12</f>
        <v>293.333333333338</v>
      </c>
      <c r="BI121" s="120" t="n">
        <f aca="true">AVERAGE(OFFSET($BH$3,0,0,'Données projet'!$E$11+1,1))-AVERAGE(OFFSET($H$3,0,0,'Données projet'!$E$11+1,1))</f>
        <v>321.235999689929</v>
      </c>
      <c r="BJ121" s="120" t="n">
        <f aca="false">$BJ$3</f>
        <v>388.051958478005</v>
      </c>
      <c r="BK121" s="121" t="n">
        <f aca="false">IF(ISNA(VLOOKUP(A121,'Données projet'!$A$87:$I$107,3,0)),0,VLOOKUP(A121,'Données projet'!$A$87:$I$107,3,0))</f>
        <v>0</v>
      </c>
      <c r="BL121" s="121" t="n">
        <f aca="false">IF(ISNA(VLOOKUP(A121,'Données projet'!$A$87:$I$107,4,0)),0,VLOOKUP(A121,'Données projet'!$A$87:$I$107,4,0))</f>
        <v>0</v>
      </c>
      <c r="BM121" s="122" t="n">
        <f aca="false">IF(ISNA(VLOOKUP(A121,'Données projet'!$A$87:$I$107,5,0)),0%,VLOOKUP(A121,'Données projet'!$A$87:$I$107,5,0)*VLOOKUP('Données projet'!$B$11,Paramètres!$A$1:$I$89,7,0))</f>
        <v>0</v>
      </c>
      <c r="BN121" s="122" t="n">
        <f aca="false">IF(ISNA(VLOOKUP(A121,'Données projet'!$A$87:$I$107,6,0)),0%,VLOOKUP(A121,'Données projet'!$A$87:$I$107,6,0)*VLOOKUP('Données projet'!$B$11,Paramètres!$A$1:$I$89,7,0))</f>
        <v>0</v>
      </c>
      <c r="BO121" s="122" t="n">
        <f aca="false">IF(ISNA(VLOOKUP(A121,'Données projet'!$A$87:$I$107,7,0)),0%,VLOOKUP(A121,'Données projet'!$A$87:$I$107,7,0))</f>
        <v>0</v>
      </c>
      <c r="BP121" s="129" t="n">
        <f aca="false">EXP(-LN(2)/35)*BP120+(1-EXP(-LN(2)/35))/(LN(2)/35)*BL121*BM121*VLOOKUP('Données projet'!$B$11,Paramètres!$A$1:$I$89,3,0)*0.475*44/12</f>
        <v>1.50552489132296</v>
      </c>
      <c r="BQ121" s="129" t="n">
        <f aca="false">EXP(-LN(2)/25)*BQ120+(1-EXP(-LN(2)/25))/(LN(2)/25)*Calculateur!BL121*Calculateur!BN121*VLOOKUP('Données projet'!$B$11,Paramètres!$A$1:$I$89,3,0)*0.475*44/12</f>
        <v>1.17525290413073</v>
      </c>
      <c r="BR121" s="129" t="n">
        <f aca="false">EXP(-LN(2)/2)*BR120+(1-EXP(-LN(2)/2))/(LN(2)/2)*BL121*BO121*VLOOKUP('Données projet'!$B$11,Paramètres!$A$1:$I$89,3,0)*0.475*44/12</f>
        <v>3.4339130691562E-013</v>
      </c>
      <c r="BS121" s="130" t="n">
        <f aca="false">SUM(BP121:BR121)</f>
        <v>2.68077779545403</v>
      </c>
      <c r="BT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8" t="e">
        <f aca="false">VLOOKUP(A121,'Données projet'!$A$113:$I$133,2,0)</f>
        <v>#N/A</v>
      </c>
      <c r="BW121" s="118" t="e">
        <f aca="false">VLOOKUP(A121,'Données projet'!$A$113:$I$133,9,0)</f>
        <v>#N/A</v>
      </c>
      <c r="BX121" s="118" t="e">
        <f aca="false" t="array" ref="BX121:BX121">INDEX(BW:BW,MIN(IF(ISNUMBER(BW121:BW317),ROW(BW121:BW317),"")))</f>
        <v>#N/A</v>
      </c>
      <c r="BY121" s="118" t="n">
        <f aca="false">IF('Données projet'!$A$114&gt;35,BY120+BX121-CG120,IF(A121&lt;'Données projet'!$A$114,$BV$205^A121,IF(A121='Données projet'!$A$114,'Données projet'!$B$114,BY120+BX121-CG120)))</f>
        <v>0</v>
      </c>
      <c r="BZ121" s="117" t="n">
        <f aca="false">BY121*VLOOKUP('Données projet'!$B$12,Paramètres!$A$1:$I$89,3,0)*VLOOKUP('Données projet'!$B$12,Paramètres!$A$1:$I$89,5,0)</f>
        <v>0</v>
      </c>
      <c r="CA121" s="117" t="e">
        <f aca="false">EXP(-1.0587+0.8836*LN(BZ121)+0.284)</f>
        <v>#VALUE!</v>
      </c>
      <c r="CB121" s="128" t="e">
        <f aca="false">(BZ121+CA121)*0.475*44/12</f>
        <v>#VALUE!</v>
      </c>
      <c r="CC121" s="120" t="e">
        <f aca="false">CB121+(BT121+BU121)*44/12</f>
        <v>#VALUE!</v>
      </c>
      <c r="CD121" s="120" t="n">
        <f aca="true">AVERAGE(OFFSET($CC$3,0,0,'Données projet'!$E$12+1,1))-AVERAGE(OFFSET($H$3,0,0,'Données projet'!$E$12+1,1))</f>
        <v>240.228848647662</v>
      </c>
      <c r="CE121" s="120" t="n">
        <f aca="false">$CE$3</f>
        <v>343.237768841432</v>
      </c>
      <c r="CF121" s="121" t="n">
        <f aca="false">IF(ISNA(VLOOKUP(A121,'Données projet'!$A$113:$I$133,3,0)),0,VLOOKUP(A121,'Données projet'!$A$113:$I$133,3,0))</f>
        <v>0</v>
      </c>
      <c r="CG121" s="121" t="n">
        <f aca="false">IF(ISNA(VLOOKUP(A121,'Données projet'!$A$113:$I$133,4,0)),0,VLOOKUP(A121,'Données projet'!$A$113:$I$133,4,0))</f>
        <v>0</v>
      </c>
      <c r="CH121" s="122" t="n">
        <f aca="false">IF(ISNA(VLOOKUP(A121,'Données projet'!$A$113:$I$133,5,0)),0%,VLOOKUP(A121,'Données projet'!$A$113:$I$133,5,0)*VLOOKUP('Données projet'!$B$12,Paramètres!$A$1:$I$89,7,0))</f>
        <v>0</v>
      </c>
      <c r="CI121" s="122" t="n">
        <f aca="false">IF(ISNA(VLOOKUP(A121,'Données projet'!$A$113:$I$133,6,0)),0%,VLOOKUP(A121,'Données projet'!$A$113:$I$133,6,0)*VLOOKUP('Données projet'!$B$12,Paramètres!$A$1:$I$89,7,0))</f>
        <v>0</v>
      </c>
      <c r="CJ121" s="122" t="n">
        <f aca="false">IF(ISNA(VLOOKUP(A121,'Données projet'!$A$113:$I$133,7,0)),0%,VLOOKUP(A121,'Données projet'!$A$113:$I$133,7,0))</f>
        <v>0</v>
      </c>
      <c r="CK121" s="129" t="n">
        <f aca="false">EXP(-LN(2)/35)*CK120+(1-EXP(-LN(2)/35))/(LN(2)/35)*CG121*CH121*VLOOKUP('Données projet'!$B$12,Paramètres!$A$1:$I$89,3,0)*0.475*44/12</f>
        <v>0.921498524360817</v>
      </c>
      <c r="CL121" s="129" t="n">
        <f aca="false">EXP(-LN(2)/25)*CL120+(1-EXP(-LN(2)/25))/(LN(2)/25)*Calculateur!CG121*Calculateur!CI121*VLOOKUP('Données projet'!$B$12,Paramètres!$A$1:$I$89,3,0)*0.475*44/12</f>
        <v>2.0755646639523</v>
      </c>
      <c r="CM121" s="129" t="n">
        <f aca="false">EXP(-LN(2)/2)*CM120+(1-EXP(-LN(2)/2))/(LN(2)/2)*CG121*CJ121*VLOOKUP('Données projet'!$B$12,Paramètres!$A$1:$I$89,3,0)*0.475*44/12</f>
        <v>5.47960977767378E-013</v>
      </c>
      <c r="CN121" s="130" t="n">
        <f aca="false">SUM(CK121:CM121)</f>
        <v>2.99706318831367</v>
      </c>
      <c r="CO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8" t="e">
        <f aca="false">VLOOKUP(A121,'Données projet'!$A$139:$I$159,2,0)</f>
        <v>#N/A</v>
      </c>
      <c r="CR121" s="118" t="e">
        <f aca="false">VLOOKUP(A121,'Données projet'!$A$139:$I$159,9,0)</f>
        <v>#N/A</v>
      </c>
      <c r="CS121" s="118" t="e">
        <f aca="false" t="array" ref="CS121:CS121">INDEX(CR:CR,MIN(IF(ISNUMBER(CR121:CR317),ROW(CR121:CR317),"")))</f>
        <v>#N/A</v>
      </c>
      <c r="CT121" s="118" t="n">
        <f aca="false">IF('Données projet'!$A$140&gt;35,CT120+CS121-DB120,IF(A121&lt;'Données projet'!$A$140,$CQ$205^A121,IF(A121='Données projet'!$A$140,'Données projet'!$B$140,CT120+CS121-DB120)))</f>
        <v>-5.6843418860808E-014</v>
      </c>
      <c r="CU121" s="125" t="n">
        <f aca="false">CT121*VLOOKUP('Données projet'!$B$13,Paramètres!$A$1:$I$89,3,0)*VLOOKUP('Données projet'!$B$13,Paramètres!$A$1:$I$89,5,0)</f>
        <v>-3.10365066980012E-014</v>
      </c>
      <c r="CV121" s="117" t="e">
        <f aca="false">EXP(-1.0587+0.8836*LN(CU121)+0.284)</f>
        <v>#VALUE!</v>
      </c>
      <c r="CW121" s="128" t="e">
        <f aca="false">(CU121+CV121)*0.475*44/12</f>
        <v>#VALUE!</v>
      </c>
      <c r="CX121" s="120" t="e">
        <f aca="false">CW121+(CO121+CP121)*44/12</f>
        <v>#VALUE!</v>
      </c>
      <c r="CY121" s="120" t="n">
        <f aca="true">AVERAGE(OFFSET($CX$3,0,0,'Données projet'!$E$13+1,1))-AVERAGE(OFFSET($H$3,0,0,'Données projet'!$E$13+1,1))</f>
        <v>207.023069645676</v>
      </c>
      <c r="CZ121" s="120" t="n">
        <f aca="false">$CZ$3</f>
        <v>342.068879333518</v>
      </c>
      <c r="DA121" s="121" t="n">
        <f aca="false">IF(ISNA(VLOOKUP(A121,'Données projet'!$A$139:$I$159,3,0)),0,VLOOKUP(A121,'Données projet'!$A$139:$I$159,3,0))</f>
        <v>0</v>
      </c>
      <c r="DB121" s="121" t="n">
        <f aca="false">IF(ISNA(VLOOKUP(A121,'Données projet'!$A$139:$I$159,4,0)),0,VLOOKUP(A121,'Données projet'!$A$139:$I$159,4,0))</f>
        <v>0</v>
      </c>
      <c r="DC121" s="122" t="n">
        <f aca="false">IF(ISNA(VLOOKUP(A121,'Données projet'!$A$139:$I$159,5,0)),0%,VLOOKUP(A121,'Données projet'!$A$139:$I$159,5,0)*VLOOKUP('Données projet'!$B$13,Paramètres!$A$1:$I$89,7,0))</f>
        <v>0</v>
      </c>
      <c r="DD121" s="122" t="n">
        <f aca="false">IF(ISNA(VLOOKUP(A121,'Données projet'!$A$139:$I$159,6,0)),0%,VLOOKUP(A121,'Données projet'!$A$139:$I$159,6,0)*VLOOKUP('Données projet'!$B$13,Paramètres!$A$1:$I$89,7,0))</f>
        <v>0</v>
      </c>
      <c r="DE121" s="122" t="n">
        <f aca="false">IF(ISNA(VLOOKUP(A121,'Données projet'!$A$139:$I$159,7,0)),0%,VLOOKUP(A121,'Données projet'!$A$139:$I$159,7,0))</f>
        <v>0</v>
      </c>
      <c r="DF121" s="129" t="n">
        <f aca="false">EXP(-LN(2)/35)*DF120+(1-EXP(-LN(2)/35))/(LN(2)/35)*DB121*DC121*VLOOKUP('Données projet'!$B$13,Paramètres!$A$1:$I$89,3,0)*0.475*44/12</f>
        <v>1.15621984660367</v>
      </c>
      <c r="DG121" s="129" t="n">
        <f aca="false">EXP(-LN(2)/25)*DG120+(1-EXP(-LN(2)/25))/(LN(2)/25)*Calculateur!DB121*Calculateur!DD121*VLOOKUP('Données projet'!$B$13,Paramètres!$A$1:$I$89,3,0)*0.475*44/12</f>
        <v>3.39268377607075</v>
      </c>
      <c r="DH121" s="129" t="n">
        <f aca="false">EXP(-LN(2)/2)*DH120+(1-EXP(-LN(2)/2))/(LN(2)/2)*DB121*DE121*VLOOKUP('Données projet'!$B$13,Paramètres!$A$1:$I$89,3,0)*0.475*44/12</f>
        <v>7.54542520434191E-013</v>
      </c>
      <c r="DI121" s="130" t="n">
        <f aca="false">SUM(DF121:DH121)</f>
        <v>4.54890362267517</v>
      </c>
      <c r="DJ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8" t="e">
        <f aca="false">VLOOKUP(A121,'Données projet'!$A$165:$I$185,2,0)</f>
        <v>#N/A</v>
      </c>
      <c r="DM121" s="118" t="e">
        <f aca="false">VLOOKUP(A121,'Données projet'!$A$165:$I$185,9,0)</f>
        <v>#N/A</v>
      </c>
      <c r="DN121" s="118" t="e">
        <f aca="false" t="array" ref="DN121:DN121">INDEX(DM:DM,MIN(IF(ISNUMBER(DM121:DM317),ROW(DM121:DM317),"")))</f>
        <v>#N/A</v>
      </c>
      <c r="DO121" s="118" t="n">
        <f aca="false">IF('Données projet'!$A$166&gt;35,DO120+DN121-DW120,IF(A121&lt;'Données projet'!$A$166,$DL$205^A121,IF(A121='Données projet'!$A$166,'Données projet'!$B$166,DO120+DN121-DW120)))</f>
        <v>0</v>
      </c>
      <c r="DP121" s="125" t="n">
        <f aca="false">DO121*VLOOKUP('Données projet'!$B$14,Paramètres!$A$1:$I$89,3,0)*VLOOKUP('Données projet'!$B$14,Paramètres!$A$1:$I$89,5,0)</f>
        <v>0</v>
      </c>
      <c r="DQ121" s="117" t="e">
        <f aca="false">EXP(-1.0587+0.8836*LN(DP121)+0.284)</f>
        <v>#VALUE!</v>
      </c>
      <c r="DR121" s="128" t="e">
        <f aca="false">(DP121+DQ121)*0.475*44/12</f>
        <v>#VALUE!</v>
      </c>
      <c r="DS121" s="120" t="e">
        <f aca="false">DR121+(DJ121+DK121)*44/12</f>
        <v>#VALUE!</v>
      </c>
      <c r="DT121" s="120" t="n">
        <f aca="true">AVERAGE(OFFSET($DS$3,0,0,'Données projet'!$E$14+1,1))-AVERAGE(OFFSET($H$3,0,0,'Données projet'!$E$14+1,1))</f>
        <v>549.432320957297</v>
      </c>
      <c r="DU121" s="120" t="n">
        <f aca="false">$DU$3</f>
        <v>280.26155987301</v>
      </c>
      <c r="DV121" s="121" t="n">
        <f aca="false">IF(ISNA(VLOOKUP(A121,'Données projet'!$A$165:$I$185,3,0)),0,VLOOKUP(A121,'Données projet'!$A$165:$I$185,3,0))</f>
        <v>0</v>
      </c>
      <c r="DW121" s="121" t="n">
        <f aca="false">IF(ISNA(VLOOKUP(A121,'Données projet'!$A$165:$I$185,4,0)),0,VLOOKUP(A121,'Données projet'!$A$165:$I$185,4,0))</f>
        <v>0</v>
      </c>
      <c r="DX121" s="122" t="n">
        <f aca="false">IF(ISNA(VLOOKUP(A121,'Données projet'!$A$165:$I$185,5,0)),0%,VLOOKUP(A121,'Données projet'!$A$165:$I$185,5,0)*VLOOKUP('Données projet'!$B$14,Paramètres!$A$1:$I$89,7,0))</f>
        <v>0</v>
      </c>
      <c r="DY121" s="122" t="n">
        <f aca="false">IF(ISNA(VLOOKUP(A121,'Données projet'!$A$165:$I$185,6,0)),0%,VLOOKUP(A121,'Données projet'!$A$165:$I$185,6,0)*VLOOKUP('Données projet'!$B$14,Paramètres!$A$1:$I$89,7,0))</f>
        <v>0</v>
      </c>
      <c r="DZ121" s="122" t="n">
        <f aca="false">IF(ISNA(VLOOKUP(A121,'Données projet'!$A$165:$I$185,7,0)),0%,VLOOKUP(A121,'Données projet'!$A$165:$I$185,7,0))</f>
        <v>0</v>
      </c>
      <c r="EA121" s="129" t="n">
        <f aca="false">EXP(-LN(2)/35)*EA120+(1-EXP(-LN(2)/35))/(LN(2)/35)*DW121*DX121*VLOOKUP('Données projet'!$B$14,Paramètres!$A$1:$I$89,3,0)*0.475*44/12</f>
        <v>0.4204002469893</v>
      </c>
      <c r="EB121" s="129" t="n">
        <f aca="false">EXP(-LN(2)/25)*EB120+(1-EXP(-LN(2)/25))/(LN(2)/25)*Calculateur!DW121*Calculateur!DY121*VLOOKUP('Données projet'!$B$14,Paramètres!$A$1:$I$89,3,0)*0.475*44/12</f>
        <v>0.675889544667701</v>
      </c>
      <c r="EC121" s="129" t="n">
        <f aca="false">EXP(-LN(2)/2)*EC120+(1-EXP(-LN(2)/2))/(LN(2)/2)*DW121*DZ121*VLOOKUP('Données projet'!$B$14,Paramètres!$A$1:$I$89,3,0)*0.475*44/12</f>
        <v>3.47828548374279E-013</v>
      </c>
      <c r="ED121" s="130" t="n">
        <f aca="false">SUM(EA121:EC121)</f>
        <v>1.09628979165735</v>
      </c>
      <c r="EE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8" t="e">
        <f aca="false">VLOOKUP(A121,'Données projet'!$A$191:$I$211,2,0)</f>
        <v>#N/A</v>
      </c>
      <c r="EH121" s="118" t="e">
        <f aca="false">VLOOKUP(A121,'Données projet'!$A$191:$I$211,9,0)</f>
        <v>#N/A</v>
      </c>
      <c r="EI121" s="118" t="e">
        <f aca="false" t="array" ref="EI121:EI121">INDEX(EH:EH,MIN(IF(ISNUMBER(EH121:EH317),ROW(EH121:EH317),"")))</f>
        <v>#N/A</v>
      </c>
      <c r="EJ121" s="118" t="n">
        <f aca="false">IF('Données projet'!$A$192&gt;35,EJ120+EI121-ER120,IF(A121&lt;'Données projet'!$A$192,$EG$205^A121,IF(A121='Données projet'!$A$192,'Données projet'!$B$192,EJ120+EI121-ER120)))</f>
        <v>0</v>
      </c>
      <c r="EK121" s="125" t="e">
        <f aca="false">EJ121*VLOOKUP('Données projet'!$B$15,Paramètres!$A$1:$I$89,3,0)*VLOOKUP('Données projet'!$B$15,Paramètres!$A$1:$I$89,5,0)</f>
        <v>#N/A</v>
      </c>
      <c r="EL121" s="117" t="e">
        <f aca="false">EXP(-1.0587+0.8836*LN(EK121)+0.284)</f>
        <v>#N/A</v>
      </c>
      <c r="EM121" s="128" t="e">
        <f aca="false">(EK121+EL121)*0.475*44/12</f>
        <v>#N/A</v>
      </c>
      <c r="EN121" s="120" t="e">
        <f aca="false">EM121+(EE121+EF121)*44/12</f>
        <v>#N/A</v>
      </c>
      <c r="EO121" s="120" t="e">
        <f aca="true">AVERAGE(OFFSET($EN$3,0,0,'Données projet'!$E$15+1,1))-AVERAGE(OFFSET($H$3,0,0,'Données projet'!$E$15+1,1))</f>
        <v>#N/A</v>
      </c>
      <c r="EP121" s="120" t="e">
        <f aca="false">$EP$3</f>
        <v>#N/A</v>
      </c>
      <c r="EQ121" s="121" t="n">
        <f aca="false">IF(ISNA(VLOOKUP(A121,'Données projet'!$A$191:$I$211,3,0)),0,VLOOKUP(A121,'Données projet'!$A$191:$I$211,3,0))</f>
        <v>0</v>
      </c>
      <c r="ER121" s="121" t="n">
        <f aca="false">IF(ISNA(VLOOKUP(A121,'Données projet'!$A$191:$I$211,4,0)),0,VLOOKUP(A121,'Données projet'!$A$191:$I$211,4,0))</f>
        <v>0</v>
      </c>
      <c r="ES121" s="122" t="n">
        <f aca="false">IF(ISNA(VLOOKUP(A121,'Données projet'!$A$191:$I$211,5,0)),0%,VLOOKUP(A121,'Données projet'!$A$191:$I$211,5,0)*VLOOKUP('Données projet'!$B$15,Paramètres!$A$1:$I$89,7,0))</f>
        <v>0</v>
      </c>
      <c r="ET121" s="122" t="n">
        <f aca="false">IF(ISNA(VLOOKUP(A121,'Données projet'!$A$191:$I$211,6,0)),0%,VLOOKUP(A121,'Données projet'!$A$191:$I$211,6,0)*VLOOKUP('Données projet'!$B$15,Paramètres!$A$1:$I$89,7,0))</f>
        <v>0</v>
      </c>
      <c r="EU121" s="122" t="n">
        <f aca="false">IF(ISNA(VLOOKUP(A121,'Données projet'!$A$191:$I$211,7,0)),0%,VLOOKUP(A121,'Données projet'!$A$191:$I$211,7,0))</f>
        <v>0</v>
      </c>
      <c r="EV121" s="129" t="e">
        <f aca="false">EXP(-LN(2)/35)*EV120+(1-EXP(-LN(2)/35))/(LN(2)/35)*ER121*ES121*VLOOKUP('Données projet'!$B$15,Paramètres!$A$1:$I$89,3,0)*0.475*44/12</f>
        <v>#N/A</v>
      </c>
      <c r="EW121" s="129" t="e">
        <f aca="false">EXP(-LN(2)/25)*EW120+(1-EXP(-LN(2)/25))/(LN(2)/25)*Calculateur!ER121*Calculateur!ET121*VLOOKUP('Données projet'!$B$15,Paramètres!$A$1:$I$89,3,0)*0.475*44/12</f>
        <v>#N/A</v>
      </c>
      <c r="EX121" s="129" t="e">
        <f aca="false">EXP(-LN(2)/2)*EX120+(1-EXP(-LN(2)/2))/(LN(2)/2)*ER121*EU121*VLOOKUP('Données projet'!$B$15,Paramètres!$A$1:$I$89,3,0)*0.475*44/12</f>
        <v>#N/A</v>
      </c>
      <c r="EY121" s="130" t="e">
        <f aca="false">SUM(EV121:EX121)</f>
        <v>#N/A</v>
      </c>
      <c r="EZ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8" t="e">
        <f aca="false">VLOOKUP(A121,'Données projet'!$A$217:$I$237,2,0)</f>
        <v>#N/A</v>
      </c>
      <c r="FC121" s="118" t="e">
        <f aca="false">VLOOKUP(A121,'Données projet'!$A$217:$I$237,9,0)</f>
        <v>#N/A</v>
      </c>
      <c r="FD121" s="118" t="e">
        <f aca="false" t="array" ref="FD121:FD121">INDEX(FC:FC,MIN(IF(ISNUMBER(FC121:FC317),ROW(FC121:FC317),"")))</f>
        <v>#N/A</v>
      </c>
      <c r="FE121" s="118" t="n">
        <f aca="false">IF('Données projet'!$A$218&gt;35,FE120+FD121-FM120,IF(A121&lt;'Données projet'!$A$218,$FB$205^A121,IF(A121='Données projet'!$A$218,'Données projet'!$B$218,FE120+FD121-FM120)))</f>
        <v>0</v>
      </c>
      <c r="FF121" s="125" t="e">
        <f aca="false">FE121*VLOOKUP('Données projet'!$B$16,Paramètres!$A$1:$I$89,3,0)*VLOOKUP('Données projet'!$B$16,Paramètres!$A$1:$I$89,5,0)</f>
        <v>#N/A</v>
      </c>
      <c r="FG121" s="117" t="e">
        <f aca="false">EXP(-1.0587+0.8836*LN(FF121)+0.284)</f>
        <v>#N/A</v>
      </c>
      <c r="FH121" s="128" t="e">
        <f aca="false">(FF121+FG121)*0.475*44/12</f>
        <v>#N/A</v>
      </c>
      <c r="FI121" s="120" t="e">
        <f aca="false">FH121+(EZ121+FA121)*44/12</f>
        <v>#N/A</v>
      </c>
      <c r="FJ121" s="120" t="e">
        <f aca="true">AVERAGE(OFFSET($FI$3,0,0,'Données projet'!$E$16+1,1))-AVERAGE(OFFSET($H$3,0,0,'Données projet'!$E$16+1,1))</f>
        <v>#N/A</v>
      </c>
      <c r="FK121" s="120" t="e">
        <f aca="false">$FK$3</f>
        <v>#N/A</v>
      </c>
      <c r="FL121" s="121" t="n">
        <f aca="false">IF(ISNA(VLOOKUP(A121,'Données projet'!$A$217:$I$237,3,0)),0,VLOOKUP(A121,'Données projet'!$A$217:$I$237,3,0))</f>
        <v>0</v>
      </c>
      <c r="FM121" s="121" t="n">
        <f aca="false">IF(ISNA(VLOOKUP(A121,'Données projet'!$A$217:$I$237,4,0)),0,VLOOKUP(A121,'Données projet'!$A$217:$I$237,4,0))</f>
        <v>0</v>
      </c>
      <c r="FN121" s="122" t="n">
        <f aca="false">IF(ISNA(VLOOKUP(A121,'Données projet'!$A$217:$I$237,5,0)),0%,VLOOKUP(A121,'Données projet'!$A$217:$I$237,5,0)*VLOOKUP('Données projet'!$B$16,Paramètres!$A$1:$I$89,7,0))</f>
        <v>0</v>
      </c>
      <c r="FO121" s="122" t="n">
        <f aca="false">IF(ISNA(VLOOKUP(A121,'Données projet'!$A$217:$I$237,6,0)),0%,VLOOKUP(A121,'Données projet'!$A$217:$I$237,6,0)*VLOOKUP('Données projet'!$B$16,Paramètres!$A$1:$I$89,7,0))</f>
        <v>0</v>
      </c>
      <c r="FP121" s="122" t="n">
        <f aca="false">IF(ISNA(VLOOKUP(A121,'Données projet'!$A$217:$I$237,7,0)),0%,VLOOKUP(A121,'Données projet'!$A$217:$I$237,7,0))</f>
        <v>0</v>
      </c>
      <c r="FQ121" s="129" t="e">
        <f aca="false">EXP(-LN(2)/35)*FQ120+(1-EXP(-LN(2)/35))/(LN(2)/35)*FM121*FN121*VLOOKUP('Données projet'!$B$16,Paramètres!$A$1:$I$89,3,0)*0.475*44/12</f>
        <v>#N/A</v>
      </c>
      <c r="FR121" s="129" t="e">
        <f aca="false">EXP(-LN(2)/25)*FR120+(1-EXP(-LN(2)/25))/(LN(2)/25)*Calculateur!FM121*Calculateur!FO121*VLOOKUP('Données projet'!$B$16,Paramètres!$A$1:$I$89,3,0)*0.475*44/12</f>
        <v>#N/A</v>
      </c>
      <c r="FS121" s="129" t="e">
        <f aca="false">EXP(-LN(2)/2)*FS120+(1-EXP(-LN(2)/2))/(LN(2)/2)*FM121*FP121*VLOOKUP('Données projet'!$B$16,Paramètres!$A$1:$I$89,3,0)*0.475*44/12</f>
        <v>#N/A</v>
      </c>
      <c r="FT121" s="130" t="e">
        <f aca="false">SUM(FQ121:FS121)</f>
        <v>#N/A</v>
      </c>
      <c r="FU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8" t="e">
        <f aca="false">VLOOKUP(A121,'Données projet'!$A$243:$I$263,2,0)</f>
        <v>#N/A</v>
      </c>
      <c r="FX121" s="118" t="e">
        <f aca="false">VLOOKUP(A121,'Données projet'!$A$243:$I$263,9,0)</f>
        <v>#N/A</v>
      </c>
      <c r="FY121" s="118" t="e">
        <f aca="false" t="array" ref="FY121:FY121">INDEX(FX:FX,MIN(IF(ISNUMBER(FX121:FX317),ROW(FX121:FX317),"")))</f>
        <v>#N/A</v>
      </c>
      <c r="FZ121" s="118" t="n">
        <f aca="false">IF('Données projet'!$A$244&gt;35,FZ120+FY121-GH120,IF(A121&lt;'Données projet'!$A$244,$FW$205^A121,IF(A121='Données projet'!$A$244,'Données projet'!$B$244,FZ120+FY121-GH120)))</f>
        <v>0</v>
      </c>
      <c r="GA121" s="125" t="e">
        <f aca="false">FZ121*VLOOKUP('Données projet'!$B$17,Paramètres!$A$1:$I$89,3,0)*VLOOKUP('Données projet'!$B$17,Paramètres!$A$1:$I$89,5,0)</f>
        <v>#N/A</v>
      </c>
      <c r="GB121" s="117" t="e">
        <f aca="false">EXP(-1.0587+0.8836*LN(GA121)+0.284)</f>
        <v>#N/A</v>
      </c>
      <c r="GC121" s="128" t="e">
        <f aca="false">(GA121+GB121)*0.475*44/12</f>
        <v>#N/A</v>
      </c>
      <c r="GD121" s="120" t="e">
        <f aca="false">GC121+(FU121+FV121)*44/12</f>
        <v>#N/A</v>
      </c>
      <c r="GE121" s="120" t="e">
        <f aca="true">AVERAGE(OFFSET($GD$3,0,0,'Données projet'!$E$17+1,1))-AVERAGE(OFFSET($H$3,0,0,'Données projet'!$E$17+1,1))</f>
        <v>#N/A</v>
      </c>
      <c r="GF121" s="120" t="e">
        <f aca="false">$GF$3</f>
        <v>#N/A</v>
      </c>
      <c r="GG121" s="121" t="n">
        <f aca="false">IF(ISNA(VLOOKUP(A121,'Données projet'!$A$243:$I$263,3,0)),0,VLOOKUP(A121,'Données projet'!$A$243:$I$263,3,0))</f>
        <v>0</v>
      </c>
      <c r="GH121" s="121" t="n">
        <f aca="false">IF(ISNA(VLOOKUP(A121,'Données projet'!$A$243:$I$263,4,0)),0,VLOOKUP(A121,'Données projet'!$A$243:$I$263,4,0))</f>
        <v>0</v>
      </c>
      <c r="GI121" s="122" t="n">
        <f aca="false">IF(ISNA(VLOOKUP(A121,'Données projet'!$A$243:$I$263,5,0)),0%,VLOOKUP(A121,'Données projet'!$A$243:$I$263,5,0)*VLOOKUP('Données projet'!$B$17,Paramètres!$A$1:$I$89,7,0))</f>
        <v>0</v>
      </c>
      <c r="GJ121" s="122" t="n">
        <f aca="false">IF(ISNA(VLOOKUP(A121,'Données projet'!$A$243:$I$263,6,0)),0%,VLOOKUP(A121,'Données projet'!$A$243:$I$263,6,0)*VLOOKUP('Données projet'!$B$17,Paramètres!$A$1:$I$89,7,0))</f>
        <v>0</v>
      </c>
      <c r="GK121" s="122" t="n">
        <f aca="false">IF(ISNA(VLOOKUP(A121,'Données projet'!$A$243:$I$263,7,0)),0%,VLOOKUP(A121,'Données projet'!$A$243:$I$263,7,0))</f>
        <v>0</v>
      </c>
      <c r="GL121" s="129" t="e">
        <f aca="false">EXP(-LN(2)/35)*GL120+(1-EXP(-LN(2)/35))/(LN(2)/35)*GH121*GI121*VLOOKUP('Données projet'!$B$17,Paramètres!$A$1:$I$89,3,0)*0.475*44/12</f>
        <v>#N/A</v>
      </c>
      <c r="GM121" s="129" t="e">
        <f aca="false">EXP(-LN(2)/25)*GM120+(1-EXP(-LN(2)/25))/(LN(2)/25)*Calculateur!GH121*Calculateur!GJ121*VLOOKUP('Données projet'!$B$17,Paramètres!$A$1:$I$89,3,0)*0.475*44/12</f>
        <v>#N/A</v>
      </c>
      <c r="GN121" s="129" t="e">
        <f aca="false">EXP(-LN(2)/2)*GN120+(1-EXP(-LN(2)/2))/(LN(2)/2)*GH121*GK121*VLOOKUP('Données projet'!$B$17,Paramètres!$A$1:$I$89,3,0)*0.475*44/12</f>
        <v>#N/A</v>
      </c>
      <c r="GO121" s="129" t="e">
        <f aca="false">SUM(GL121:GN121)</f>
        <v>#N/A</v>
      </c>
      <c r="GP121" s="126" t="n">
        <f aca="false"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8" t="n">
        <f aca="false"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8" t="e">
        <f aca="false">VLOOKUP(A121,'Données projet'!$A$269:$I$289,2,0)</f>
        <v>#N/A</v>
      </c>
      <c r="GS121" s="118" t="e">
        <f aca="false">VLOOKUP(A121,'Données projet'!$A$269:$I$289,9,0)</f>
        <v>#N/A</v>
      </c>
      <c r="GT121" s="118" t="e">
        <f aca="false" t="array" ref="GT121:GT121">INDEX(GS:GS,MIN(IF(ISNUMBER(GS121:GS317),ROW(GS121:GS317),"")))</f>
        <v>#N/A</v>
      </c>
      <c r="GU121" s="118" t="n">
        <f aca="false">IF('Données projet'!$A$270&gt;35,GU120+GT121-HC120,IF(A121&lt;'Données projet'!$A$270,$GR$205^A121,IF(A121='Données projet'!$A$270,'Données projet'!$B$270,GU120+GT121-HC120)))</f>
        <v>0</v>
      </c>
      <c r="GV121" s="125" t="e">
        <f aca="false">GU121*VLOOKUP('Données projet'!$B$18,Paramètres!$A$1:$I$89,3,0)*VLOOKUP('Données projet'!$B$18,Paramètres!$A$1:$I$89,5,0)</f>
        <v>#N/A</v>
      </c>
      <c r="GW121" s="117" t="e">
        <f aca="false">EXP(-1.0587+0.8836*LN(GV121)+0.284)</f>
        <v>#N/A</v>
      </c>
      <c r="GX121" s="128" t="e">
        <f aca="false">(GV121+GW121)*0.475*44/12</f>
        <v>#N/A</v>
      </c>
      <c r="GY121" s="120" t="e">
        <f aca="false">GX121+(GP121+GQ121)*44/12</f>
        <v>#N/A</v>
      </c>
      <c r="GZ121" s="120" t="e">
        <f aca="true">AVERAGE(OFFSET($GY$3,0,0,'Données projet'!$E$18+1,1))-AVERAGE(OFFSET($H$3,0,0,'Données projet'!$E$18+1,1))</f>
        <v>#N/A</v>
      </c>
      <c r="HA121" s="120" t="e">
        <f aca="false">$HA$3</f>
        <v>#N/A</v>
      </c>
      <c r="HB121" s="121" t="n">
        <f aca="false">IF(ISNA(VLOOKUP(A121,'Données projet'!$A$269:$I$289,3,0)),0,VLOOKUP(A121,'Données projet'!$A$269:$I$289,3,0))</f>
        <v>0</v>
      </c>
      <c r="HC121" s="121" t="n">
        <f aca="false">IF(ISNA(VLOOKUP(A121,'Données projet'!$A$269:$I$289,4,0)),0,VLOOKUP(A121,'Données projet'!$A$269:$I$289,4,0))</f>
        <v>0</v>
      </c>
      <c r="HD121" s="122" t="n">
        <f aca="false">IF(ISNA(VLOOKUP(A121,'Données projet'!$A$269:$I$289,5,0)),0%,VLOOKUP(A121,'Données projet'!$A$269:$I$289,5,0)*VLOOKUP('Données projet'!$B$18,Paramètres!$A$1:$I$89,7,0))</f>
        <v>0</v>
      </c>
      <c r="HE121" s="122" t="n">
        <f aca="false">IF(ISNA(VLOOKUP(A121,'Données projet'!$A$269:$I$289,6,0)),0%,VLOOKUP(A121,'Données projet'!$A$269:$I$289,6,0)*VLOOKUP('Données projet'!$B$18,Paramètres!$A$1:$I$89,7,0))</f>
        <v>0</v>
      </c>
      <c r="HF121" s="122" t="n">
        <f aca="false">IF(ISNA(VLOOKUP(A121,'Données projet'!$A$269:$I$289,7,0)),0%,VLOOKUP(A121,'Données projet'!$A$269:$I$289,7,0))</f>
        <v>0</v>
      </c>
      <c r="HG121" s="129" t="e">
        <f aca="false">EXP(-LN(2)/35)*HG120+(1-EXP(-LN(2)/35))/(LN(2)/35)*HC121*HD121*VLOOKUP('Données projet'!$B$18,Paramètres!$A$1:$I$89,3,0)*0.475*44/12</f>
        <v>#N/A</v>
      </c>
      <c r="HH121" s="129" t="e">
        <f aca="false">EXP(-LN(2)/25)*HH120+(1-EXP(-LN(2)/25))/(LN(2)/25)*Calculateur!HC121*Calculateur!HE121*VLOOKUP('Données projet'!$B$18,Paramètres!$A$1:$I$89,3,0)*0.475*44/12</f>
        <v>#N/A</v>
      </c>
      <c r="HI121" s="129" t="e">
        <f aca="false">EXP(-LN(2)/2)*HI120+(1-EXP(-LN(2)/2))/(LN(2)/2)*HC121*HF121*VLOOKUP('Données projet'!$B$18,Paramètres!$A$1:$I$89,3,0)*0.475*44/12</f>
        <v>#N/A</v>
      </c>
      <c r="HJ121" s="130" t="e">
        <f aca="false">SUM(HG121:HI121)</f>
        <v>#N/A</v>
      </c>
    </row>
    <row r="122" customFormat="false" ht="14.25" hidden="false" customHeight="false" outlineLevel="0" collapsed="false">
      <c r="A122" s="112" t="n">
        <f aca="false">A121+1</f>
        <v>119</v>
      </c>
      <c r="B122" s="113" t="n">
        <f aca="false">'Scénario référence'!$B$16*5+'Scénario référence'!$B$17*0+'Scénario référence'!$B$18*5</f>
        <v>0</v>
      </c>
      <c r="C122" s="127" t="n">
        <f aca="false"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4" t="n">
        <f aca="false">IFERROR(EXP(-1.0587+0.8836*LN(C122)+0.284),0)</f>
        <v>0</v>
      </c>
      <c r="E12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2" s="114" t="n">
        <f aca="false">IF(OR('Scénario référence'!$F$8&gt;0,'Scénario référence'!$F$9&gt;0),('Scénario référence'!$F$8+'Scénario référence'!$F$9)*10,0)</f>
        <v>0</v>
      </c>
      <c r="G122" s="114" t="n">
        <f aca="false"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15" t="n">
        <f aca="false">(B122+E122+F122)*44/12+(C122+D122)*0.475*44/12</f>
        <v>256.666666666667</v>
      </c>
      <c r="I122" s="11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7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8" t="e">
        <f aca="false">VLOOKUP(A122,'Données projet'!$A$35:$I$55,2,0)</f>
        <v>#N/A</v>
      </c>
      <c r="L122" s="118" t="e">
        <f aca="false">VLOOKUP(A122,'Données projet'!$A$35:$I$55,9,0)</f>
        <v>#N/A</v>
      </c>
      <c r="M122" s="118" t="e">
        <f aca="false" t="array" ref="M122:M122">INDEX(L:L,MIN(IF(ISNUMBER(L122:L318),ROW(L122:L318),"")))</f>
        <v>#N/A</v>
      </c>
      <c r="N122" s="117" t="n">
        <f aca="false">IF('Données projet'!$A$36&gt;35,N121+M122-V121,IF(A122&lt;'Données projet'!$A$36,$K$205^A122,IF(A122='Données projet'!$A$36,'Données projet'!$B$36,N121+M122-V121)))</f>
        <v>-1.13686837721616E-013</v>
      </c>
      <c r="O122" s="117" t="n">
        <f aca="false">N122*VLOOKUP('Données projet'!$B$9,Paramètres!$A$1:$I$89,3,0)*VLOOKUP('Données projet'!$B$9,Paramètres!$A$1:$I$89,5,0)</f>
        <v>-5.32054400537163E-014</v>
      </c>
      <c r="P122" s="117" t="e">
        <f aca="false">EXP(-1.0587+0.8836*LN(O122)+0.284)</f>
        <v>#VALUE!</v>
      </c>
      <c r="Q122" s="128" t="e">
        <f aca="false">(O122+P122)*0.475*44/12</f>
        <v>#VALUE!</v>
      </c>
      <c r="R122" s="120" t="e">
        <f aca="false">Q122+(I122+J122)*44/12</f>
        <v>#VALUE!</v>
      </c>
      <c r="S122" s="120" t="n">
        <f aca="true">AVERAGE(OFFSET($R$3,0,0,'Données projet'!$E$9+1,1))-AVERAGE(OFFSET($H$3,0,0,'Données projet'!$E$9+1,1))</f>
        <v>319.229030946746</v>
      </c>
      <c r="T122" s="120" t="n">
        <f aca="false">$T$3</f>
        <v>254.586909731428</v>
      </c>
      <c r="U122" s="121" t="n">
        <f aca="false">IF(ISNA(VLOOKUP(A122,'Données projet'!$A$35:$I$55,3,0)),0,VLOOKUP(A122,'Données projet'!$A$35:$I$55,3,0))</f>
        <v>0</v>
      </c>
      <c r="V122" s="121" t="n">
        <f aca="false">IF(ISNA(VLOOKUP(A122,'Données projet'!$A$35:$I$55,4,0)),0,VLOOKUP(A122,'Données projet'!$A$35:$I$55,4,0))</f>
        <v>0</v>
      </c>
      <c r="W122" s="122" t="n">
        <f aca="false">IF(ISNA(VLOOKUP(A122,'Données projet'!$A$35:$I$55,5,0)),0%,VLOOKUP(A122,'Données projet'!$A$35:$I$55,5,0)*VLOOKUP('Données projet'!$B$9,Paramètres!$A$1:$I$89,7,0))</f>
        <v>0</v>
      </c>
      <c r="X122" s="122" t="n">
        <f aca="false">IF(ISNA(VLOOKUP(A122,'Données projet'!$A$35:$I$55,6,0)),0%,VLOOKUP(A122,'Données projet'!$A$35:$I$55,6,0)*VLOOKUP('Données projet'!$B$9,Paramètres!$A$1:$I$89,7,0))</f>
        <v>0</v>
      </c>
      <c r="Y122" s="122" t="n">
        <f aca="false">IF(ISNA(VLOOKUP(A122,'Données projet'!$A$35:$I$55,7,0)),0%,VLOOKUP(A122,'Données projet'!$A$35:$I$55,7,0))</f>
        <v>0</v>
      </c>
      <c r="Z122" s="129" t="n">
        <f aca="false">EXP(-LN(2)/35)*Z121+(1-EXP(-LN(2)/35))/(LN(2)/35)*V122*W122*VLOOKUP('Données projet'!$B$9,Paramètres!$A$1:$I$89,3,0)*0.475*44/12</f>
        <v>1.55749338216685</v>
      </c>
      <c r="AA122" s="129" t="n">
        <f aca="false">EXP(-LN(2)/25)*AA121+(1-EXP(-LN(2)/25))/(LN(2)/25)*Calculateur!V122*Calculateur!X122*VLOOKUP('Données projet'!$B$9,Paramètres!$A$1:$I$89,3,0)*0.475*44/12</f>
        <v>0.945495578919767</v>
      </c>
      <c r="AB122" s="129" t="n">
        <f aca="false">EXP(-LN(2)/2)*AB121+(1-EXP(-LN(2)/2))/(LN(2)/2)*V122*Y122*VLOOKUP('Données projet'!$B$9,Paramètres!$A$1:$I$89,3,0)*0.475*44/12</f>
        <v>4.4387156489187E-013</v>
      </c>
      <c r="AC122" s="130" t="n">
        <f aca="false">SUM(Z122:AB122)</f>
        <v>2.50298896108706</v>
      </c>
      <c r="AD122" s="117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7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8" t="e">
        <f aca="false">VLOOKUP(A122,'Données projet'!$A$61:$I$81,2,0)</f>
        <v>#N/A</v>
      </c>
      <c r="AG122" s="118" t="e">
        <f aca="false">VLOOKUP(A122,'Données projet'!$A$61:$I$81,9,0)</f>
        <v>#N/A</v>
      </c>
      <c r="AH122" s="118" t="e">
        <f aca="false" t="array" ref="AH122:AH122">INDEX(AG:AG,MIN(IF(ISNUMBER(AG122:AG318),ROW(AG122:AG318),"")))</f>
        <v>#N/A</v>
      </c>
      <c r="AI122" s="117" t="n">
        <f aca="false">IF('Données projet'!$A$62&gt;35,AI121+AH122-AQ121,IF(A122&lt;'Données projet'!$A$62,$AF$205^A122,IF(A122='Données projet'!$A$62,'Données projet'!$B$62,AI121+AH122-AQ121)))</f>
        <v>1.13686837721616E-013</v>
      </c>
      <c r="AJ122" s="117" t="n">
        <f aca="false">AI122*VLOOKUP('Données projet'!$B$10,Paramètres!$A$1:$I$89,3,0)*VLOOKUP('Données projet'!$B$10,Paramètres!$A$1:$I$89,5,0)</f>
        <v>6.35509422863834E-014</v>
      </c>
      <c r="AK122" s="117" t="n">
        <f aca="false">EXP(-1.0587+0.8836*LN(AJ122)+0.284)</f>
        <v>1.0064464192544E-012</v>
      </c>
      <c r="AL122" s="128" t="n">
        <f aca="false">(AJ122+AK122)*0.475*44/12</f>
        <v>1.86357873801686E-012</v>
      </c>
      <c r="AM122" s="120" t="n">
        <f aca="false">AL122+(AD122+AE122)*44/12</f>
        <v>293.333333333335</v>
      </c>
      <c r="AN122" s="120" t="n">
        <f aca="true">AVERAGE(OFFSET($AM$3,0,0,'Données projet'!$E$10+1,1))-AVERAGE(OFFSET($H$3,0,0,'Données projet'!$E$10+1,1))</f>
        <v>365.705101827279</v>
      </c>
      <c r="AO122" s="120" t="n">
        <f aca="false">$AO$3</f>
        <v>436.238338449625</v>
      </c>
      <c r="AP122" s="121" t="n">
        <f aca="false">IF(ISNA(VLOOKUP(A122,'Données projet'!$A$61:$I$81,3,0)),0,VLOOKUP(A122,'Données projet'!$A$61:$I$81,3,0))</f>
        <v>0</v>
      </c>
      <c r="AQ122" s="121" t="n">
        <f aca="false">IF(ISNA(VLOOKUP(A122,'Données projet'!$A$61:$I$81,4,0)),0,VLOOKUP(A122,'Données projet'!$A$61:$I$81,4,0))</f>
        <v>0</v>
      </c>
      <c r="AR122" s="122" t="n">
        <f aca="false">IF(ISNA(VLOOKUP(A122,'Données projet'!$A$61:$I$81,5,0)),0%,VLOOKUP(A122,'Données projet'!$A$61:$I$81,5,0)*VLOOKUP('Données projet'!$B$10,Paramètres!$A$1:$I$89,7,0))</f>
        <v>0</v>
      </c>
      <c r="AS122" s="122" t="n">
        <f aca="false">IF(ISNA(VLOOKUP(A122,'Données projet'!$A$61:$I$81,6,0)),0%,VLOOKUP(A122,'Données projet'!$A$61:$I$81,6,0)*VLOOKUP('Données projet'!$B$10,Paramètres!$A$1:$I$89,7,0))</f>
        <v>0</v>
      </c>
      <c r="AT122" s="122" t="n">
        <f aca="false">IF(ISNA(VLOOKUP(A122,'Données projet'!$A$61:$I$81,7,0)),0%,VLOOKUP(A122,'Données projet'!$A$61:$I$81,7,0))</f>
        <v>0</v>
      </c>
      <c r="AU122" s="129" t="n">
        <f aca="false">EXP(-LN(2)/35)*AU121+(1-EXP(-LN(2)/35))/(LN(2)/35)*AQ122*AR122*VLOOKUP('Données projet'!$B$10,Paramètres!$A$1:$I$89,3,0)*0.475*44/12</f>
        <v>0.587903255636997</v>
      </c>
      <c r="AV122" s="129" t="n">
        <f aca="false">EXP(-LN(2)/25)*AV121+(1-EXP(-LN(2)/25))/(LN(2)/25)*Calculateur!AQ122*Calculateur!AS122*VLOOKUP('Données projet'!$B$10,Paramètres!$A$1:$I$89,3,0)*0.475*44/12</f>
        <v>1.11988839040089</v>
      </c>
      <c r="AW122" s="129" t="n">
        <f aca="false">EXP(-LN(2)/2)*AW121+(1-EXP(-LN(2)/2))/(LN(2)/2)*AQ122*AT122*VLOOKUP('Données projet'!$B$10,Paramètres!$A$1:$I$89,3,0)*0.475*44/12</f>
        <v>2.38877803126639E-013</v>
      </c>
      <c r="AX122" s="129" t="n">
        <f aca="false">SUM(AU122:AW122)</f>
        <v>1.70779164603813</v>
      </c>
      <c r="AY122" s="124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8" t="e">
        <f aca="false">VLOOKUP(A122,'Données projet'!$A$87:$I$107,2,0)</f>
        <v>#N/A</v>
      </c>
      <c r="BB122" s="118" t="e">
        <f aca="false">VLOOKUP(A122,'Données projet'!$A$87:$I$107,9,0)</f>
        <v>#N/A</v>
      </c>
      <c r="BC122" s="118" t="e">
        <f aca="false" t="array" ref="BC122:BC122">INDEX(BB:BB,MIN(IF(ISNUMBER(BB122:BB318),ROW(BB122:BB318),"")))</f>
        <v>#N/A</v>
      </c>
      <c r="BD122" s="118" t="n">
        <f aca="false">IF('Données projet'!$A$88&gt;35,BD121+BC122-BL121,IF(A122&lt;'Données projet'!$A$88,$BA$205^A122,IF(A122='Données projet'!$A$88,'Données projet'!$B$88,BD121+BC122-BL121)))</f>
        <v>1.98951966012828E-013</v>
      </c>
      <c r="BE122" s="117" t="n">
        <f aca="false">BD122*VLOOKUP('Données projet'!$B$11,Paramètres!$A$1:$I$89,3,0)*VLOOKUP('Données projet'!$B$11,Paramètres!$A$1:$I$89,5,0)</f>
        <v>1.73804437508807E-013</v>
      </c>
      <c r="BF122" s="117" t="n">
        <f aca="false">EXP(-1.0587+0.8836*LN(BE122)+0.284)</f>
        <v>2.44832936339505E-012</v>
      </c>
      <c r="BG122" s="128" t="n">
        <f aca="false">(BE122+BF122)*0.475*44/12</f>
        <v>4.56688303657421E-012</v>
      </c>
      <c r="BH122" s="120" t="n">
        <f aca="false">BG122+(AY122+AZ122)*44/12</f>
        <v>293.333333333338</v>
      </c>
      <c r="BI122" s="120" t="n">
        <f aca="true">AVERAGE(OFFSET($BH$3,0,0,'Données projet'!$E$11+1,1))-AVERAGE(OFFSET($H$3,0,0,'Données projet'!$E$11+1,1))</f>
        <v>321.235999689929</v>
      </c>
      <c r="BJ122" s="120" t="n">
        <f aca="false">$BJ$3</f>
        <v>388.051958478005</v>
      </c>
      <c r="BK122" s="121" t="n">
        <f aca="false">IF(ISNA(VLOOKUP(A122,'Données projet'!$A$87:$I$107,3,0)),0,VLOOKUP(A122,'Données projet'!$A$87:$I$107,3,0))</f>
        <v>0</v>
      </c>
      <c r="BL122" s="121" t="n">
        <f aca="false">IF(ISNA(VLOOKUP(A122,'Données projet'!$A$87:$I$107,4,0)),0,VLOOKUP(A122,'Données projet'!$A$87:$I$107,4,0))</f>
        <v>0</v>
      </c>
      <c r="BM122" s="122" t="n">
        <f aca="false">IF(ISNA(VLOOKUP(A122,'Données projet'!$A$87:$I$107,5,0)),0%,VLOOKUP(A122,'Données projet'!$A$87:$I$107,5,0)*VLOOKUP('Données projet'!$B$11,Paramètres!$A$1:$I$89,7,0))</f>
        <v>0</v>
      </c>
      <c r="BN122" s="122" t="n">
        <f aca="false">IF(ISNA(VLOOKUP(A122,'Données projet'!$A$87:$I$107,6,0)),0%,VLOOKUP(A122,'Données projet'!$A$87:$I$107,6,0)*VLOOKUP('Données projet'!$B$11,Paramètres!$A$1:$I$89,7,0))</f>
        <v>0</v>
      </c>
      <c r="BO122" s="122" t="n">
        <f aca="false">IF(ISNA(VLOOKUP(A122,'Données projet'!$A$87:$I$107,7,0)),0%,VLOOKUP(A122,'Données projet'!$A$87:$I$107,7,0))</f>
        <v>0</v>
      </c>
      <c r="BP122" s="129" t="n">
        <f aca="false">EXP(-LN(2)/35)*BP121+(1-EXP(-LN(2)/35))/(LN(2)/35)*BL122*BM122*VLOOKUP('Données projet'!$B$11,Paramètres!$A$1:$I$89,3,0)*0.475*44/12</f>
        <v>1.47600246648363</v>
      </c>
      <c r="BQ122" s="129" t="n">
        <f aca="false">EXP(-LN(2)/25)*BQ121+(1-EXP(-LN(2)/25))/(LN(2)/25)*Calculateur!BL122*Calculateur!BN122*VLOOKUP('Données projet'!$B$11,Paramètres!$A$1:$I$89,3,0)*0.475*44/12</f>
        <v>1.14311555166341</v>
      </c>
      <c r="BR122" s="129" t="n">
        <f aca="false">EXP(-LN(2)/2)*BR121+(1-EXP(-LN(2)/2))/(LN(2)/2)*BL122*BO122*VLOOKUP('Données projet'!$B$11,Paramètres!$A$1:$I$89,3,0)*0.475*44/12</f>
        <v>2.42814321720546E-013</v>
      </c>
      <c r="BS122" s="130" t="n">
        <f aca="false">SUM(BP122:BR122)</f>
        <v>2.61911801814728</v>
      </c>
      <c r="BT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8" t="e">
        <f aca="false">VLOOKUP(A122,'Données projet'!$A$113:$I$133,2,0)</f>
        <v>#N/A</v>
      </c>
      <c r="BW122" s="118" t="e">
        <f aca="false">VLOOKUP(A122,'Données projet'!$A$113:$I$133,9,0)</f>
        <v>#N/A</v>
      </c>
      <c r="BX122" s="118" t="e">
        <f aca="false" t="array" ref="BX122:BX122">INDEX(BW:BW,MIN(IF(ISNUMBER(BW122:BW318),ROW(BW122:BW318),"")))</f>
        <v>#N/A</v>
      </c>
      <c r="BY122" s="118" t="n">
        <f aca="false">IF('Données projet'!$A$114&gt;35,BY121+BX122-CG121,IF(A122&lt;'Données projet'!$A$114,$BV$205^A122,IF(A122='Données projet'!$A$114,'Données projet'!$B$114,BY121+BX122-CG121)))</f>
        <v>0</v>
      </c>
      <c r="BZ122" s="117" t="n">
        <f aca="false">BY122*VLOOKUP('Données projet'!$B$12,Paramètres!$A$1:$I$89,3,0)*VLOOKUP('Données projet'!$B$12,Paramètres!$A$1:$I$89,5,0)</f>
        <v>0</v>
      </c>
      <c r="CA122" s="117" t="e">
        <f aca="false">EXP(-1.0587+0.8836*LN(BZ122)+0.284)</f>
        <v>#VALUE!</v>
      </c>
      <c r="CB122" s="128" t="e">
        <f aca="false">(BZ122+CA122)*0.475*44/12</f>
        <v>#VALUE!</v>
      </c>
      <c r="CC122" s="120" t="e">
        <f aca="false">CB122+(BT122+BU122)*44/12</f>
        <v>#VALUE!</v>
      </c>
      <c r="CD122" s="120" t="n">
        <f aca="true">AVERAGE(OFFSET($CC$3,0,0,'Données projet'!$E$12+1,1))-AVERAGE(OFFSET($H$3,0,0,'Données projet'!$E$12+1,1))</f>
        <v>240.228848647662</v>
      </c>
      <c r="CE122" s="120" t="n">
        <f aca="false">$CE$3</f>
        <v>343.237768841432</v>
      </c>
      <c r="CF122" s="121" t="n">
        <f aca="false">IF(ISNA(VLOOKUP(A122,'Données projet'!$A$113:$I$133,3,0)),0,VLOOKUP(A122,'Données projet'!$A$113:$I$133,3,0))</f>
        <v>0</v>
      </c>
      <c r="CG122" s="121" t="n">
        <f aca="false">IF(ISNA(VLOOKUP(A122,'Données projet'!$A$113:$I$133,4,0)),0,VLOOKUP(A122,'Données projet'!$A$113:$I$133,4,0))</f>
        <v>0</v>
      </c>
      <c r="CH122" s="122" t="n">
        <f aca="false">IF(ISNA(VLOOKUP(A122,'Données projet'!$A$113:$I$133,5,0)),0%,VLOOKUP(A122,'Données projet'!$A$113:$I$133,5,0)*VLOOKUP('Données projet'!$B$12,Paramètres!$A$1:$I$89,7,0))</f>
        <v>0</v>
      </c>
      <c r="CI122" s="122" t="n">
        <f aca="false">IF(ISNA(VLOOKUP(A122,'Données projet'!$A$113:$I$133,6,0)),0%,VLOOKUP(A122,'Données projet'!$A$113:$I$133,6,0)*VLOOKUP('Données projet'!$B$12,Paramètres!$A$1:$I$89,7,0))</f>
        <v>0</v>
      </c>
      <c r="CJ122" s="122" t="n">
        <f aca="false">IF(ISNA(VLOOKUP(A122,'Données projet'!$A$113:$I$133,7,0)),0%,VLOOKUP(A122,'Données projet'!$A$113:$I$133,7,0))</f>
        <v>0</v>
      </c>
      <c r="CK122" s="129" t="n">
        <f aca="false">EXP(-LN(2)/35)*CK121+(1-EXP(-LN(2)/35))/(LN(2)/35)*CG122*CH122*VLOOKUP('Données projet'!$B$12,Paramètres!$A$1:$I$89,3,0)*0.475*44/12</f>
        <v>0.903428500356703</v>
      </c>
      <c r="CL122" s="129" t="n">
        <f aca="false">EXP(-LN(2)/25)*CL121+(1-EXP(-LN(2)/25))/(LN(2)/25)*Calculateur!CG122*Calculateur!CI122*VLOOKUP('Données projet'!$B$12,Paramètres!$A$1:$I$89,3,0)*0.475*44/12</f>
        <v>2.01880823906732</v>
      </c>
      <c r="CM122" s="129" t="n">
        <f aca="false">EXP(-LN(2)/2)*CM121+(1-EXP(-LN(2)/2))/(LN(2)/2)*CG122*CJ122*VLOOKUP('Données projet'!$B$12,Paramètres!$A$1:$I$89,3,0)*0.475*44/12</f>
        <v>3.87466923204924E-013</v>
      </c>
      <c r="CN122" s="130" t="n">
        <f aca="false">SUM(CK122:CM122)</f>
        <v>2.92223673942441</v>
      </c>
      <c r="CO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8" t="e">
        <f aca="false">VLOOKUP(A122,'Données projet'!$A$139:$I$159,2,0)</f>
        <v>#N/A</v>
      </c>
      <c r="CR122" s="118" t="e">
        <f aca="false">VLOOKUP(A122,'Données projet'!$A$139:$I$159,9,0)</f>
        <v>#N/A</v>
      </c>
      <c r="CS122" s="118" t="e">
        <f aca="false" t="array" ref="CS122:CS122">INDEX(CR:CR,MIN(IF(ISNUMBER(CR122:CR318),ROW(CR122:CR318),"")))</f>
        <v>#N/A</v>
      </c>
      <c r="CT122" s="118" t="n">
        <f aca="false">IF('Données projet'!$A$140&gt;35,CT121+CS122-DB121,IF(A122&lt;'Données projet'!$A$140,$CQ$205^A122,IF(A122='Données projet'!$A$140,'Données projet'!$B$140,CT121+CS122-DB121)))</f>
        <v>-5.6843418860808E-014</v>
      </c>
      <c r="CU122" s="125" t="n">
        <f aca="false">CT122*VLOOKUP('Données projet'!$B$13,Paramètres!$A$1:$I$89,3,0)*VLOOKUP('Données projet'!$B$13,Paramètres!$A$1:$I$89,5,0)</f>
        <v>-3.10365066980012E-014</v>
      </c>
      <c r="CV122" s="117" t="e">
        <f aca="false">EXP(-1.0587+0.8836*LN(CU122)+0.284)</f>
        <v>#VALUE!</v>
      </c>
      <c r="CW122" s="128" t="e">
        <f aca="false">(CU122+CV122)*0.475*44/12</f>
        <v>#VALUE!</v>
      </c>
      <c r="CX122" s="120" t="e">
        <f aca="false">CW122+(CO122+CP122)*44/12</f>
        <v>#VALUE!</v>
      </c>
      <c r="CY122" s="120" t="n">
        <f aca="true">AVERAGE(OFFSET($CX$3,0,0,'Données projet'!$E$13+1,1))-AVERAGE(OFFSET($H$3,0,0,'Données projet'!$E$13+1,1))</f>
        <v>207.023069645676</v>
      </c>
      <c r="CZ122" s="120" t="n">
        <f aca="false">$CZ$3</f>
        <v>342.068879333518</v>
      </c>
      <c r="DA122" s="121" t="n">
        <f aca="false">IF(ISNA(VLOOKUP(A122,'Données projet'!$A$139:$I$159,3,0)),0,VLOOKUP(A122,'Données projet'!$A$139:$I$159,3,0))</f>
        <v>0</v>
      </c>
      <c r="DB122" s="121" t="n">
        <f aca="false">IF(ISNA(VLOOKUP(A122,'Données projet'!$A$139:$I$159,4,0)),0,VLOOKUP(A122,'Données projet'!$A$139:$I$159,4,0))</f>
        <v>0</v>
      </c>
      <c r="DC122" s="122" t="n">
        <f aca="false">IF(ISNA(VLOOKUP(A122,'Données projet'!$A$139:$I$159,5,0)),0%,VLOOKUP(A122,'Données projet'!$A$139:$I$159,5,0)*VLOOKUP('Données projet'!$B$13,Paramètres!$A$1:$I$89,7,0))</f>
        <v>0</v>
      </c>
      <c r="DD122" s="122" t="n">
        <f aca="false">IF(ISNA(VLOOKUP(A122,'Données projet'!$A$139:$I$159,6,0)),0%,VLOOKUP(A122,'Données projet'!$A$139:$I$159,6,0)*VLOOKUP('Données projet'!$B$13,Paramètres!$A$1:$I$89,7,0))</f>
        <v>0</v>
      </c>
      <c r="DE122" s="122" t="n">
        <f aca="false">IF(ISNA(VLOOKUP(A122,'Données projet'!$A$139:$I$159,7,0)),0%,VLOOKUP(A122,'Données projet'!$A$139:$I$159,7,0))</f>
        <v>0</v>
      </c>
      <c r="DF122" s="129" t="n">
        <f aca="false">EXP(-LN(2)/35)*DF121+(1-EXP(-LN(2)/35))/(LN(2)/35)*DB122*DC122*VLOOKUP('Données projet'!$B$13,Paramètres!$A$1:$I$89,3,0)*0.475*44/12</f>
        <v>1.13354708063624</v>
      </c>
      <c r="DG122" s="129" t="n">
        <f aca="false">EXP(-LN(2)/25)*DG121+(1-EXP(-LN(2)/25))/(LN(2)/25)*Calculateur!DB122*Calculateur!DD122*VLOOKUP('Données projet'!$B$13,Paramètres!$A$1:$I$89,3,0)*0.475*44/12</f>
        <v>3.29991065980061</v>
      </c>
      <c r="DH122" s="129" t="n">
        <f aca="false">EXP(-LN(2)/2)*DH121+(1-EXP(-LN(2)/2))/(LN(2)/2)*DB122*DE122*VLOOKUP('Données projet'!$B$13,Paramètres!$A$1:$I$89,3,0)*0.475*44/12</f>
        <v>5.33542132892605E-013</v>
      </c>
      <c r="DI122" s="130" t="n">
        <f aca="false">SUM(DF122:DH122)</f>
        <v>4.43345774043739</v>
      </c>
      <c r="DJ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8" t="e">
        <f aca="false">VLOOKUP(A122,'Données projet'!$A$165:$I$185,2,0)</f>
        <v>#N/A</v>
      </c>
      <c r="DM122" s="118" t="e">
        <f aca="false">VLOOKUP(A122,'Données projet'!$A$165:$I$185,9,0)</f>
        <v>#N/A</v>
      </c>
      <c r="DN122" s="118" t="e">
        <f aca="false" t="array" ref="DN122:DN122">INDEX(DM:DM,MIN(IF(ISNUMBER(DM122:DM318),ROW(DM122:DM318),"")))</f>
        <v>#N/A</v>
      </c>
      <c r="DO122" s="118" t="n">
        <f aca="false">IF('Données projet'!$A$166&gt;35,DO121+DN122-DW121,IF(A122&lt;'Données projet'!$A$166,$DL$205^A122,IF(A122='Données projet'!$A$166,'Données projet'!$B$166,DO121+DN122-DW121)))</f>
        <v>0</v>
      </c>
      <c r="DP122" s="125" t="n">
        <f aca="false">DO122*VLOOKUP('Données projet'!$B$14,Paramètres!$A$1:$I$89,3,0)*VLOOKUP('Données projet'!$B$14,Paramètres!$A$1:$I$89,5,0)</f>
        <v>0</v>
      </c>
      <c r="DQ122" s="117" t="e">
        <f aca="false">EXP(-1.0587+0.8836*LN(DP122)+0.284)</f>
        <v>#VALUE!</v>
      </c>
      <c r="DR122" s="128" t="e">
        <f aca="false">(DP122+DQ122)*0.475*44/12</f>
        <v>#VALUE!</v>
      </c>
      <c r="DS122" s="120" t="e">
        <f aca="false">DR122+(DJ122+DK122)*44/12</f>
        <v>#VALUE!</v>
      </c>
      <c r="DT122" s="120" t="n">
        <f aca="true">AVERAGE(OFFSET($DS$3,0,0,'Données projet'!$E$14+1,1))-AVERAGE(OFFSET($H$3,0,0,'Données projet'!$E$14+1,1))</f>
        <v>549.432320957297</v>
      </c>
      <c r="DU122" s="120" t="n">
        <f aca="false">$DU$3</f>
        <v>280.26155987301</v>
      </c>
      <c r="DV122" s="121" t="n">
        <f aca="false">IF(ISNA(VLOOKUP(A122,'Données projet'!$A$165:$I$185,3,0)),0,VLOOKUP(A122,'Données projet'!$A$165:$I$185,3,0))</f>
        <v>0</v>
      </c>
      <c r="DW122" s="121" t="n">
        <f aca="false">IF(ISNA(VLOOKUP(A122,'Données projet'!$A$165:$I$185,4,0)),0,VLOOKUP(A122,'Données projet'!$A$165:$I$185,4,0))</f>
        <v>0</v>
      </c>
      <c r="DX122" s="122" t="n">
        <f aca="false">IF(ISNA(VLOOKUP(A122,'Données projet'!$A$165:$I$185,5,0)),0%,VLOOKUP(A122,'Données projet'!$A$165:$I$185,5,0)*VLOOKUP('Données projet'!$B$14,Paramètres!$A$1:$I$89,7,0))</f>
        <v>0</v>
      </c>
      <c r="DY122" s="122" t="n">
        <f aca="false">IF(ISNA(VLOOKUP(A122,'Données projet'!$A$165:$I$185,6,0)),0%,VLOOKUP(A122,'Données projet'!$A$165:$I$185,6,0)*VLOOKUP('Données projet'!$B$14,Paramètres!$A$1:$I$89,7,0))</f>
        <v>0</v>
      </c>
      <c r="DZ122" s="122" t="n">
        <f aca="false">IF(ISNA(VLOOKUP(A122,'Données projet'!$A$165:$I$185,7,0)),0%,VLOOKUP(A122,'Données projet'!$A$165:$I$185,7,0))</f>
        <v>0</v>
      </c>
      <c r="EA122" s="129" t="n">
        <f aca="false">EXP(-LN(2)/35)*EA121+(1-EXP(-LN(2)/35))/(LN(2)/35)*DW122*DX122*VLOOKUP('Données projet'!$B$14,Paramètres!$A$1:$I$89,3,0)*0.475*44/12</f>
        <v>0.412156454564672</v>
      </c>
      <c r="EB122" s="129" t="n">
        <f aca="false">EXP(-LN(2)/25)*EB121+(1-EXP(-LN(2)/25))/(LN(2)/25)*Calculateur!DW122*Calculateur!DY122*VLOOKUP('Données projet'!$B$14,Paramètres!$A$1:$I$89,3,0)*0.475*44/12</f>
        <v>0.657407309525276</v>
      </c>
      <c r="EC122" s="129" t="n">
        <f aca="false">EXP(-LN(2)/2)*EC121+(1-EXP(-LN(2)/2))/(LN(2)/2)*DW122*DZ122*VLOOKUP('Données projet'!$B$14,Paramètres!$A$1:$I$89,3,0)*0.475*44/12</f>
        <v>2.45951925245726E-013</v>
      </c>
      <c r="ED122" s="130" t="n">
        <f aca="false">SUM(EA122:EC122)</f>
        <v>1.06956376409019</v>
      </c>
      <c r="EE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8" t="e">
        <f aca="false">VLOOKUP(A122,'Données projet'!$A$191:$I$211,2,0)</f>
        <v>#N/A</v>
      </c>
      <c r="EH122" s="118" t="e">
        <f aca="false">VLOOKUP(A122,'Données projet'!$A$191:$I$211,9,0)</f>
        <v>#N/A</v>
      </c>
      <c r="EI122" s="118" t="e">
        <f aca="false" t="array" ref="EI122:EI122">INDEX(EH:EH,MIN(IF(ISNUMBER(EH122:EH318),ROW(EH122:EH318),"")))</f>
        <v>#N/A</v>
      </c>
      <c r="EJ122" s="118" t="n">
        <f aca="false">IF('Données projet'!$A$192&gt;35,EJ121+EI122-ER121,IF(A122&lt;'Données projet'!$A$192,$EG$205^A122,IF(A122='Données projet'!$A$192,'Données projet'!$B$192,EJ121+EI122-ER121)))</f>
        <v>0</v>
      </c>
      <c r="EK122" s="125" t="e">
        <f aca="false">EJ122*VLOOKUP('Données projet'!$B$15,Paramètres!$A$1:$I$89,3,0)*VLOOKUP('Données projet'!$B$15,Paramètres!$A$1:$I$89,5,0)</f>
        <v>#N/A</v>
      </c>
      <c r="EL122" s="117" t="e">
        <f aca="false">EXP(-1.0587+0.8836*LN(EK122)+0.284)</f>
        <v>#N/A</v>
      </c>
      <c r="EM122" s="128" t="e">
        <f aca="false">(EK122+EL122)*0.475*44/12</f>
        <v>#N/A</v>
      </c>
      <c r="EN122" s="120" t="e">
        <f aca="false">EM122+(EE122+EF122)*44/12</f>
        <v>#N/A</v>
      </c>
      <c r="EO122" s="120" t="e">
        <f aca="true">AVERAGE(OFFSET($EN$3,0,0,'Données projet'!$E$15+1,1))-AVERAGE(OFFSET($H$3,0,0,'Données projet'!$E$15+1,1))</f>
        <v>#N/A</v>
      </c>
      <c r="EP122" s="120" t="e">
        <f aca="false">$EP$3</f>
        <v>#N/A</v>
      </c>
      <c r="EQ122" s="121" t="n">
        <f aca="false">IF(ISNA(VLOOKUP(A122,'Données projet'!$A$191:$I$211,3,0)),0,VLOOKUP(A122,'Données projet'!$A$191:$I$211,3,0))</f>
        <v>0</v>
      </c>
      <c r="ER122" s="121" t="n">
        <f aca="false">IF(ISNA(VLOOKUP(A122,'Données projet'!$A$191:$I$211,4,0)),0,VLOOKUP(A122,'Données projet'!$A$191:$I$211,4,0))</f>
        <v>0</v>
      </c>
      <c r="ES122" s="122" t="n">
        <f aca="false">IF(ISNA(VLOOKUP(A122,'Données projet'!$A$191:$I$211,5,0)),0%,VLOOKUP(A122,'Données projet'!$A$191:$I$211,5,0)*VLOOKUP('Données projet'!$B$15,Paramètres!$A$1:$I$89,7,0))</f>
        <v>0</v>
      </c>
      <c r="ET122" s="122" t="n">
        <f aca="false">IF(ISNA(VLOOKUP(A122,'Données projet'!$A$191:$I$211,6,0)),0%,VLOOKUP(A122,'Données projet'!$A$191:$I$211,6,0)*VLOOKUP('Données projet'!$B$15,Paramètres!$A$1:$I$89,7,0))</f>
        <v>0</v>
      </c>
      <c r="EU122" s="122" t="n">
        <f aca="false">IF(ISNA(VLOOKUP(A122,'Données projet'!$A$191:$I$211,7,0)),0%,VLOOKUP(A122,'Données projet'!$A$191:$I$211,7,0))</f>
        <v>0</v>
      </c>
      <c r="EV122" s="129" t="e">
        <f aca="false">EXP(-LN(2)/35)*EV121+(1-EXP(-LN(2)/35))/(LN(2)/35)*ER122*ES122*VLOOKUP('Données projet'!$B$15,Paramètres!$A$1:$I$89,3,0)*0.475*44/12</f>
        <v>#N/A</v>
      </c>
      <c r="EW122" s="129" t="e">
        <f aca="false">EXP(-LN(2)/25)*EW121+(1-EXP(-LN(2)/25))/(LN(2)/25)*Calculateur!ER122*Calculateur!ET122*VLOOKUP('Données projet'!$B$15,Paramètres!$A$1:$I$89,3,0)*0.475*44/12</f>
        <v>#N/A</v>
      </c>
      <c r="EX122" s="129" t="e">
        <f aca="false">EXP(-LN(2)/2)*EX121+(1-EXP(-LN(2)/2))/(LN(2)/2)*ER122*EU122*VLOOKUP('Données projet'!$B$15,Paramètres!$A$1:$I$89,3,0)*0.475*44/12</f>
        <v>#N/A</v>
      </c>
      <c r="EY122" s="130" t="e">
        <f aca="false">SUM(EV122:EX122)</f>
        <v>#N/A</v>
      </c>
      <c r="EZ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8" t="e">
        <f aca="false">VLOOKUP(A122,'Données projet'!$A$217:$I$237,2,0)</f>
        <v>#N/A</v>
      </c>
      <c r="FC122" s="118" t="e">
        <f aca="false">VLOOKUP(A122,'Données projet'!$A$217:$I$237,9,0)</f>
        <v>#N/A</v>
      </c>
      <c r="FD122" s="118" t="e">
        <f aca="false" t="array" ref="FD122:FD122">INDEX(FC:FC,MIN(IF(ISNUMBER(FC122:FC318),ROW(FC122:FC318),"")))</f>
        <v>#N/A</v>
      </c>
      <c r="FE122" s="118" t="n">
        <f aca="false">IF('Données projet'!$A$218&gt;35,FE121+FD122-FM121,IF(A122&lt;'Données projet'!$A$218,$FB$205^A122,IF(A122='Données projet'!$A$218,'Données projet'!$B$218,FE121+FD122-FM121)))</f>
        <v>0</v>
      </c>
      <c r="FF122" s="125" t="e">
        <f aca="false">FE122*VLOOKUP('Données projet'!$B$16,Paramètres!$A$1:$I$89,3,0)*VLOOKUP('Données projet'!$B$16,Paramètres!$A$1:$I$89,5,0)</f>
        <v>#N/A</v>
      </c>
      <c r="FG122" s="117" t="e">
        <f aca="false">EXP(-1.0587+0.8836*LN(FF122)+0.284)</f>
        <v>#N/A</v>
      </c>
      <c r="FH122" s="128" t="e">
        <f aca="false">(FF122+FG122)*0.475*44/12</f>
        <v>#N/A</v>
      </c>
      <c r="FI122" s="120" t="e">
        <f aca="false">FH122+(EZ122+FA122)*44/12</f>
        <v>#N/A</v>
      </c>
      <c r="FJ122" s="120" t="e">
        <f aca="true">AVERAGE(OFFSET($FI$3,0,0,'Données projet'!$E$16+1,1))-AVERAGE(OFFSET($H$3,0,0,'Données projet'!$E$16+1,1))</f>
        <v>#N/A</v>
      </c>
      <c r="FK122" s="120" t="e">
        <f aca="false">$FK$3</f>
        <v>#N/A</v>
      </c>
      <c r="FL122" s="121" t="n">
        <f aca="false">IF(ISNA(VLOOKUP(A122,'Données projet'!$A$217:$I$237,3,0)),0,VLOOKUP(A122,'Données projet'!$A$217:$I$237,3,0))</f>
        <v>0</v>
      </c>
      <c r="FM122" s="121" t="n">
        <f aca="false">IF(ISNA(VLOOKUP(A122,'Données projet'!$A$217:$I$237,4,0)),0,VLOOKUP(A122,'Données projet'!$A$217:$I$237,4,0))</f>
        <v>0</v>
      </c>
      <c r="FN122" s="122" t="n">
        <f aca="false">IF(ISNA(VLOOKUP(A122,'Données projet'!$A$217:$I$237,5,0)),0%,VLOOKUP(A122,'Données projet'!$A$217:$I$237,5,0)*VLOOKUP('Données projet'!$B$16,Paramètres!$A$1:$I$89,7,0))</f>
        <v>0</v>
      </c>
      <c r="FO122" s="122" t="n">
        <f aca="false">IF(ISNA(VLOOKUP(A122,'Données projet'!$A$217:$I$237,6,0)),0%,VLOOKUP(A122,'Données projet'!$A$217:$I$237,6,0)*VLOOKUP('Données projet'!$B$16,Paramètres!$A$1:$I$89,7,0))</f>
        <v>0</v>
      </c>
      <c r="FP122" s="122" t="n">
        <f aca="false">IF(ISNA(VLOOKUP(A122,'Données projet'!$A$217:$I$237,7,0)),0%,VLOOKUP(A122,'Données projet'!$A$217:$I$237,7,0))</f>
        <v>0</v>
      </c>
      <c r="FQ122" s="129" t="e">
        <f aca="false">EXP(-LN(2)/35)*FQ121+(1-EXP(-LN(2)/35))/(LN(2)/35)*FM122*FN122*VLOOKUP('Données projet'!$B$16,Paramètres!$A$1:$I$89,3,0)*0.475*44/12</f>
        <v>#N/A</v>
      </c>
      <c r="FR122" s="129" t="e">
        <f aca="false">EXP(-LN(2)/25)*FR121+(1-EXP(-LN(2)/25))/(LN(2)/25)*Calculateur!FM122*Calculateur!FO122*VLOOKUP('Données projet'!$B$16,Paramètres!$A$1:$I$89,3,0)*0.475*44/12</f>
        <v>#N/A</v>
      </c>
      <c r="FS122" s="129" t="e">
        <f aca="false">EXP(-LN(2)/2)*FS121+(1-EXP(-LN(2)/2))/(LN(2)/2)*FM122*FP122*VLOOKUP('Données projet'!$B$16,Paramètres!$A$1:$I$89,3,0)*0.475*44/12</f>
        <v>#N/A</v>
      </c>
      <c r="FT122" s="130" t="e">
        <f aca="false">SUM(FQ122:FS122)</f>
        <v>#N/A</v>
      </c>
      <c r="FU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8" t="e">
        <f aca="false">VLOOKUP(A122,'Données projet'!$A$243:$I$263,2,0)</f>
        <v>#N/A</v>
      </c>
      <c r="FX122" s="118" t="e">
        <f aca="false">VLOOKUP(A122,'Données projet'!$A$243:$I$263,9,0)</f>
        <v>#N/A</v>
      </c>
      <c r="FY122" s="118" t="e">
        <f aca="false" t="array" ref="FY122:FY122">INDEX(FX:FX,MIN(IF(ISNUMBER(FX122:FX318),ROW(FX122:FX318),"")))</f>
        <v>#N/A</v>
      </c>
      <c r="FZ122" s="118" t="n">
        <f aca="false">IF('Données projet'!$A$244&gt;35,FZ121+FY122-GH121,IF(A122&lt;'Données projet'!$A$244,$FW$205^A122,IF(A122='Données projet'!$A$244,'Données projet'!$B$244,FZ121+FY122-GH121)))</f>
        <v>0</v>
      </c>
      <c r="GA122" s="125" t="e">
        <f aca="false">FZ122*VLOOKUP('Données projet'!$B$17,Paramètres!$A$1:$I$89,3,0)*VLOOKUP('Données projet'!$B$17,Paramètres!$A$1:$I$89,5,0)</f>
        <v>#N/A</v>
      </c>
      <c r="GB122" s="117" t="e">
        <f aca="false">EXP(-1.0587+0.8836*LN(GA122)+0.284)</f>
        <v>#N/A</v>
      </c>
      <c r="GC122" s="128" t="e">
        <f aca="false">(GA122+GB122)*0.475*44/12</f>
        <v>#N/A</v>
      </c>
      <c r="GD122" s="120" t="e">
        <f aca="false">GC122+(FU122+FV122)*44/12</f>
        <v>#N/A</v>
      </c>
      <c r="GE122" s="120" t="e">
        <f aca="true">AVERAGE(OFFSET($GD$3,0,0,'Données projet'!$E$17+1,1))-AVERAGE(OFFSET($H$3,0,0,'Données projet'!$E$17+1,1))</f>
        <v>#N/A</v>
      </c>
      <c r="GF122" s="120" t="e">
        <f aca="false">$GF$3</f>
        <v>#N/A</v>
      </c>
      <c r="GG122" s="121" t="n">
        <f aca="false">IF(ISNA(VLOOKUP(A122,'Données projet'!$A$243:$I$263,3,0)),0,VLOOKUP(A122,'Données projet'!$A$243:$I$263,3,0))</f>
        <v>0</v>
      </c>
      <c r="GH122" s="121" t="n">
        <f aca="false">IF(ISNA(VLOOKUP(A122,'Données projet'!$A$243:$I$263,4,0)),0,VLOOKUP(A122,'Données projet'!$A$243:$I$263,4,0))</f>
        <v>0</v>
      </c>
      <c r="GI122" s="122" t="n">
        <f aca="false">IF(ISNA(VLOOKUP(A122,'Données projet'!$A$243:$I$263,5,0)),0%,VLOOKUP(A122,'Données projet'!$A$243:$I$263,5,0)*VLOOKUP('Données projet'!$B$17,Paramètres!$A$1:$I$89,7,0))</f>
        <v>0</v>
      </c>
      <c r="GJ122" s="122" t="n">
        <f aca="false">IF(ISNA(VLOOKUP(A122,'Données projet'!$A$243:$I$263,6,0)),0%,VLOOKUP(A122,'Données projet'!$A$243:$I$263,6,0)*VLOOKUP('Données projet'!$B$17,Paramètres!$A$1:$I$89,7,0))</f>
        <v>0</v>
      </c>
      <c r="GK122" s="122" t="n">
        <f aca="false">IF(ISNA(VLOOKUP(A122,'Données projet'!$A$243:$I$263,7,0)),0%,VLOOKUP(A122,'Données projet'!$A$243:$I$263,7,0))</f>
        <v>0</v>
      </c>
      <c r="GL122" s="129" t="e">
        <f aca="false">EXP(-LN(2)/35)*GL121+(1-EXP(-LN(2)/35))/(LN(2)/35)*GH122*GI122*VLOOKUP('Données projet'!$B$17,Paramètres!$A$1:$I$89,3,0)*0.475*44/12</f>
        <v>#N/A</v>
      </c>
      <c r="GM122" s="129" t="e">
        <f aca="false">EXP(-LN(2)/25)*GM121+(1-EXP(-LN(2)/25))/(LN(2)/25)*Calculateur!GH122*Calculateur!GJ122*VLOOKUP('Données projet'!$B$17,Paramètres!$A$1:$I$89,3,0)*0.475*44/12</f>
        <v>#N/A</v>
      </c>
      <c r="GN122" s="129" t="e">
        <f aca="false">EXP(-LN(2)/2)*GN121+(1-EXP(-LN(2)/2))/(LN(2)/2)*GH122*GK122*VLOOKUP('Données projet'!$B$17,Paramètres!$A$1:$I$89,3,0)*0.475*44/12</f>
        <v>#N/A</v>
      </c>
      <c r="GO122" s="129" t="e">
        <f aca="false">SUM(GL122:GN122)</f>
        <v>#N/A</v>
      </c>
      <c r="GP122" s="126" t="n">
        <f aca="false"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8" t="n">
        <f aca="false"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8" t="e">
        <f aca="false">VLOOKUP(A122,'Données projet'!$A$269:$I$289,2,0)</f>
        <v>#N/A</v>
      </c>
      <c r="GS122" s="118" t="e">
        <f aca="false">VLOOKUP(A122,'Données projet'!$A$269:$I$289,9,0)</f>
        <v>#N/A</v>
      </c>
      <c r="GT122" s="118" t="e">
        <f aca="false" t="array" ref="GT122:GT122">INDEX(GS:GS,MIN(IF(ISNUMBER(GS122:GS318),ROW(GS122:GS318),"")))</f>
        <v>#N/A</v>
      </c>
      <c r="GU122" s="118" t="n">
        <f aca="false">IF('Données projet'!$A$270&gt;35,GU121+GT122-HC121,IF(A122&lt;'Données projet'!$A$270,$GR$205^A122,IF(A122='Données projet'!$A$270,'Données projet'!$B$270,GU121+GT122-HC121)))</f>
        <v>0</v>
      </c>
      <c r="GV122" s="125" t="e">
        <f aca="false">GU122*VLOOKUP('Données projet'!$B$18,Paramètres!$A$1:$I$89,3,0)*VLOOKUP('Données projet'!$B$18,Paramètres!$A$1:$I$89,5,0)</f>
        <v>#N/A</v>
      </c>
      <c r="GW122" s="117" t="e">
        <f aca="false">EXP(-1.0587+0.8836*LN(GV122)+0.284)</f>
        <v>#N/A</v>
      </c>
      <c r="GX122" s="128" t="e">
        <f aca="false">(GV122+GW122)*0.475*44/12</f>
        <v>#N/A</v>
      </c>
      <c r="GY122" s="120" t="e">
        <f aca="false">GX122+(GP122+GQ122)*44/12</f>
        <v>#N/A</v>
      </c>
      <c r="GZ122" s="120" t="e">
        <f aca="true">AVERAGE(OFFSET($GY$3,0,0,'Données projet'!$E$18+1,1))-AVERAGE(OFFSET($H$3,0,0,'Données projet'!$E$18+1,1))</f>
        <v>#N/A</v>
      </c>
      <c r="HA122" s="120" t="e">
        <f aca="false">$HA$3</f>
        <v>#N/A</v>
      </c>
      <c r="HB122" s="121" t="n">
        <f aca="false">IF(ISNA(VLOOKUP(A122,'Données projet'!$A$269:$I$289,3,0)),0,VLOOKUP(A122,'Données projet'!$A$269:$I$289,3,0))</f>
        <v>0</v>
      </c>
      <c r="HC122" s="121" t="n">
        <f aca="false">IF(ISNA(VLOOKUP(A122,'Données projet'!$A$269:$I$289,4,0)),0,VLOOKUP(A122,'Données projet'!$A$269:$I$289,4,0))</f>
        <v>0</v>
      </c>
      <c r="HD122" s="122" t="n">
        <f aca="false">IF(ISNA(VLOOKUP(A122,'Données projet'!$A$269:$I$289,5,0)),0%,VLOOKUP(A122,'Données projet'!$A$269:$I$289,5,0)*VLOOKUP('Données projet'!$B$18,Paramètres!$A$1:$I$89,7,0))</f>
        <v>0</v>
      </c>
      <c r="HE122" s="122" t="n">
        <f aca="false">IF(ISNA(VLOOKUP(A122,'Données projet'!$A$269:$I$289,6,0)),0%,VLOOKUP(A122,'Données projet'!$A$269:$I$289,6,0)*VLOOKUP('Données projet'!$B$18,Paramètres!$A$1:$I$89,7,0))</f>
        <v>0</v>
      </c>
      <c r="HF122" s="122" t="n">
        <f aca="false">IF(ISNA(VLOOKUP(A122,'Données projet'!$A$269:$I$289,7,0)),0%,VLOOKUP(A122,'Données projet'!$A$269:$I$289,7,0))</f>
        <v>0</v>
      </c>
      <c r="HG122" s="129" t="e">
        <f aca="false">EXP(-LN(2)/35)*HG121+(1-EXP(-LN(2)/35))/(LN(2)/35)*HC122*HD122*VLOOKUP('Données projet'!$B$18,Paramètres!$A$1:$I$89,3,0)*0.475*44/12</f>
        <v>#N/A</v>
      </c>
      <c r="HH122" s="129" t="e">
        <f aca="false">EXP(-LN(2)/25)*HH121+(1-EXP(-LN(2)/25))/(LN(2)/25)*Calculateur!HC122*Calculateur!HE122*VLOOKUP('Données projet'!$B$18,Paramètres!$A$1:$I$89,3,0)*0.475*44/12</f>
        <v>#N/A</v>
      </c>
      <c r="HI122" s="129" t="e">
        <f aca="false">EXP(-LN(2)/2)*HI121+(1-EXP(-LN(2)/2))/(LN(2)/2)*HC122*HF122*VLOOKUP('Données projet'!$B$18,Paramètres!$A$1:$I$89,3,0)*0.475*44/12</f>
        <v>#N/A</v>
      </c>
      <c r="HJ122" s="130" t="e">
        <f aca="false">SUM(HG122:HI122)</f>
        <v>#N/A</v>
      </c>
    </row>
    <row r="123" customFormat="false" ht="14.25" hidden="false" customHeight="false" outlineLevel="0" collapsed="false">
      <c r="A123" s="112" t="n">
        <f aca="false">A122+1</f>
        <v>120</v>
      </c>
      <c r="B123" s="113" t="n">
        <f aca="false">'Scénario référence'!$B$16*5+'Scénario référence'!$B$17*0+'Scénario référence'!$B$18*5</f>
        <v>0</v>
      </c>
      <c r="C123" s="127" t="n">
        <f aca="false"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4" t="n">
        <f aca="false">IFERROR(EXP(-1.0587+0.8836*LN(C123)+0.284),0)</f>
        <v>0</v>
      </c>
      <c r="E12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3" s="114" t="n">
        <f aca="false">IF(OR('Scénario référence'!$F$8&gt;0,'Scénario référence'!$F$9&gt;0),('Scénario référence'!$F$8+'Scénario référence'!$F$9)*10,0)</f>
        <v>0</v>
      </c>
      <c r="G123" s="114" t="n">
        <f aca="false"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15" t="n">
        <f aca="false">(B123+E123+F123)*44/12+(C123+D123)*0.475*44/12</f>
        <v>256.666666666667</v>
      </c>
      <c r="I123" s="11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7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8" t="e">
        <f aca="false">VLOOKUP(A123,'Données projet'!$A$35:$I$55,2,0)</f>
        <v>#N/A</v>
      </c>
      <c r="L123" s="118" t="e">
        <f aca="false">VLOOKUP(A123,'Données projet'!$A$35:$I$55,9,0)</f>
        <v>#N/A</v>
      </c>
      <c r="M123" s="118" t="e">
        <f aca="false" t="array" ref="M123:M123">INDEX(L:L,MIN(IF(ISNUMBER(L123:L319),ROW(L123:L319),"")))</f>
        <v>#N/A</v>
      </c>
      <c r="N123" s="117" t="n">
        <f aca="false">IF('Données projet'!$A$36&gt;35,N122+M123-V122,IF(A123&lt;'Données projet'!$A$36,$K$205^A123,IF(A123='Données projet'!$A$36,'Données projet'!$B$36,N122+M123-V122)))</f>
        <v>-1.13686837721616E-013</v>
      </c>
      <c r="O123" s="117" t="n">
        <f aca="false">N123*VLOOKUP('Données projet'!$B$9,Paramètres!$A$1:$I$89,3,0)*VLOOKUP('Données projet'!$B$9,Paramètres!$A$1:$I$89,5,0)</f>
        <v>-5.32054400537163E-014</v>
      </c>
      <c r="P123" s="117" t="e">
        <f aca="false">EXP(-1.0587+0.8836*LN(O123)+0.284)</f>
        <v>#VALUE!</v>
      </c>
      <c r="Q123" s="128" t="e">
        <f aca="false">(O123+P123)*0.475*44/12</f>
        <v>#VALUE!</v>
      </c>
      <c r="R123" s="120" t="e">
        <f aca="false">Q123+(I123+J123)*44/12</f>
        <v>#VALUE!</v>
      </c>
      <c r="S123" s="120" t="n">
        <f aca="true">AVERAGE(OFFSET($R$3,0,0,'Données projet'!$E$9+1,1))-AVERAGE(OFFSET($H$3,0,0,'Données projet'!$E$9+1,1))</f>
        <v>319.229030946746</v>
      </c>
      <c r="T123" s="120" t="n">
        <f aca="false">$T$3</f>
        <v>254.586909731428</v>
      </c>
      <c r="U123" s="121" t="n">
        <f aca="false">IF(ISNA(VLOOKUP(A123,'Données projet'!$A$35:$I$55,3,0)),0,VLOOKUP(A123,'Données projet'!$A$35:$I$55,3,0))</f>
        <v>0</v>
      </c>
      <c r="V123" s="121" t="n">
        <f aca="false">IF(ISNA(VLOOKUP(A123,'Données projet'!$A$35:$I$55,4,0)),0,VLOOKUP(A123,'Données projet'!$A$35:$I$55,4,0))</f>
        <v>0</v>
      </c>
      <c r="W123" s="122" t="n">
        <f aca="false">IF(ISNA(VLOOKUP(A123,'Données projet'!$A$35:$I$55,5,0)),0%,VLOOKUP(A123,'Données projet'!$A$35:$I$55,5,0)*VLOOKUP('Données projet'!$B$9,Paramètres!$A$1:$I$89,7,0))</f>
        <v>0</v>
      </c>
      <c r="X123" s="122" t="n">
        <f aca="false">IF(ISNA(VLOOKUP(A123,'Données projet'!$A$35:$I$55,6,0)),0%,VLOOKUP(A123,'Données projet'!$A$35:$I$55,6,0)*VLOOKUP('Données projet'!$B$9,Paramètres!$A$1:$I$89,7,0))</f>
        <v>0</v>
      </c>
      <c r="Y123" s="122" t="n">
        <f aca="false">IF(ISNA(VLOOKUP(A123,'Données projet'!$A$35:$I$55,7,0)),0%,VLOOKUP(A123,'Données projet'!$A$35:$I$55,7,0))</f>
        <v>0</v>
      </c>
      <c r="Z123" s="129" t="n">
        <f aca="false">EXP(-LN(2)/35)*Z122+(1-EXP(-LN(2)/35))/(LN(2)/35)*V123*W123*VLOOKUP('Données projet'!$B$9,Paramètres!$A$1:$I$89,3,0)*0.475*44/12</f>
        <v>1.52695188691972</v>
      </c>
      <c r="AA123" s="129" t="n">
        <f aca="false">EXP(-LN(2)/25)*AA122+(1-EXP(-LN(2)/25))/(LN(2)/25)*Calculateur!V123*Calculateur!X123*VLOOKUP('Données projet'!$B$9,Paramètres!$A$1:$I$89,3,0)*0.475*44/12</f>
        <v>0.919640952592755</v>
      </c>
      <c r="AB123" s="129" t="n">
        <f aca="false">EXP(-LN(2)/2)*AB122+(1-EXP(-LN(2)/2))/(LN(2)/2)*V123*Y123*VLOOKUP('Données projet'!$B$9,Paramètres!$A$1:$I$89,3,0)*0.475*44/12</f>
        <v>3.13864593510926E-013</v>
      </c>
      <c r="AC123" s="130" t="n">
        <f aca="false">SUM(Z123:AB123)</f>
        <v>2.44659283951279</v>
      </c>
      <c r="AD123" s="117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7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8" t="e">
        <f aca="false">VLOOKUP(A123,'Données projet'!$A$61:$I$81,2,0)</f>
        <v>#N/A</v>
      </c>
      <c r="AG123" s="118" t="e">
        <f aca="false">VLOOKUP(A123,'Données projet'!$A$61:$I$81,9,0)</f>
        <v>#N/A</v>
      </c>
      <c r="AH123" s="118" t="e">
        <f aca="false" t="array" ref="AH123:AH123">INDEX(AG:AG,MIN(IF(ISNUMBER(AG123:AG319),ROW(AG123:AG319),"")))</f>
        <v>#N/A</v>
      </c>
      <c r="AI123" s="117" t="n">
        <f aca="false">IF('Données projet'!$A$62&gt;35,AI122+AH123-AQ122,IF(A123&lt;'Données projet'!$A$62,$AF$205^A123,IF(A123='Données projet'!$A$62,'Données projet'!$B$62,AI122+AH123-AQ122)))</f>
        <v>1.13686837721616E-013</v>
      </c>
      <c r="AJ123" s="117" t="n">
        <f aca="false">AI123*VLOOKUP('Données projet'!$B$10,Paramètres!$A$1:$I$89,3,0)*VLOOKUP('Données projet'!$B$10,Paramètres!$A$1:$I$89,5,0)</f>
        <v>6.35509422863834E-014</v>
      </c>
      <c r="AK123" s="117" t="n">
        <f aca="false">EXP(-1.0587+0.8836*LN(AJ123)+0.284)</f>
        <v>1.0064464192544E-012</v>
      </c>
      <c r="AL123" s="128" t="n">
        <f aca="false">(AJ123+AK123)*0.475*44/12</f>
        <v>1.86357873801686E-012</v>
      </c>
      <c r="AM123" s="120" t="n">
        <f aca="false">AL123+(AD123+AE123)*44/12</f>
        <v>293.333333333335</v>
      </c>
      <c r="AN123" s="120" t="n">
        <f aca="true">AVERAGE(OFFSET($AM$3,0,0,'Données projet'!$E$10+1,1))-AVERAGE(OFFSET($H$3,0,0,'Données projet'!$E$10+1,1))</f>
        <v>365.705101827279</v>
      </c>
      <c r="AO123" s="120" t="n">
        <f aca="false">$AO$3</f>
        <v>436.238338449625</v>
      </c>
      <c r="AP123" s="121" t="n">
        <f aca="false">IF(ISNA(VLOOKUP(A123,'Données projet'!$A$61:$I$81,3,0)),0,VLOOKUP(A123,'Données projet'!$A$61:$I$81,3,0))</f>
        <v>0</v>
      </c>
      <c r="AQ123" s="121" t="n">
        <f aca="false">IF(ISNA(VLOOKUP(A123,'Données projet'!$A$61:$I$81,4,0)),0,VLOOKUP(A123,'Données projet'!$A$61:$I$81,4,0))</f>
        <v>0</v>
      </c>
      <c r="AR123" s="122" t="n">
        <f aca="false">IF(ISNA(VLOOKUP(A123,'Données projet'!$A$61:$I$81,5,0)),0%,VLOOKUP(A123,'Données projet'!$A$61:$I$81,5,0)*VLOOKUP('Données projet'!$B$10,Paramètres!$A$1:$I$89,7,0))</f>
        <v>0</v>
      </c>
      <c r="AS123" s="122" t="n">
        <f aca="false">IF(ISNA(VLOOKUP(A123,'Données projet'!$A$61:$I$81,6,0)),0%,VLOOKUP(A123,'Données projet'!$A$61:$I$81,6,0)*VLOOKUP('Données projet'!$B$10,Paramètres!$A$1:$I$89,7,0))</f>
        <v>0</v>
      </c>
      <c r="AT123" s="122" t="n">
        <f aca="false">IF(ISNA(VLOOKUP(A123,'Données projet'!$A$61:$I$81,7,0)),0%,VLOOKUP(A123,'Données projet'!$A$61:$I$81,7,0))</f>
        <v>0</v>
      </c>
      <c r="AU123" s="129" t="n">
        <f aca="false">EXP(-LN(2)/35)*AU122+(1-EXP(-LN(2)/35))/(LN(2)/35)*AQ123*AR123*VLOOKUP('Données projet'!$B$10,Paramètres!$A$1:$I$89,3,0)*0.475*44/12</f>
        <v>0.576374831379534</v>
      </c>
      <c r="AV123" s="129" t="n">
        <f aca="false">EXP(-LN(2)/25)*AV122+(1-EXP(-LN(2)/25))/(LN(2)/25)*Calculateur!AQ123*Calculateur!AS123*VLOOKUP('Données projet'!$B$10,Paramètres!$A$1:$I$89,3,0)*0.475*44/12</f>
        <v>1.08926498347301</v>
      </c>
      <c r="AW123" s="129" t="n">
        <f aca="false">EXP(-LN(2)/2)*AW122+(1-EXP(-LN(2)/2))/(LN(2)/2)*AQ123*AT123*VLOOKUP('Données projet'!$B$10,Paramètres!$A$1:$I$89,3,0)*0.475*44/12</f>
        <v>1.68912114465792E-013</v>
      </c>
      <c r="AX123" s="129" t="n">
        <f aca="false">SUM(AU123:AW123)</f>
        <v>1.66563981485271</v>
      </c>
      <c r="AY123" s="124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8" t="e">
        <f aca="false">VLOOKUP(A123,'Données projet'!$A$87:$I$107,2,0)</f>
        <v>#N/A</v>
      </c>
      <c r="BB123" s="118" t="e">
        <f aca="false">VLOOKUP(A123,'Données projet'!$A$87:$I$107,9,0)</f>
        <v>#N/A</v>
      </c>
      <c r="BC123" s="118" t="e">
        <f aca="false" t="array" ref="BC123:BC123">INDEX(BB:BB,MIN(IF(ISNUMBER(BB123:BB319),ROW(BB123:BB319),"")))</f>
        <v>#N/A</v>
      </c>
      <c r="BD123" s="118" t="n">
        <f aca="false">IF('Données projet'!$A$88&gt;35,BD122+BC123-BL122,IF(A123&lt;'Données projet'!$A$88,$BA$205^A123,IF(A123='Données projet'!$A$88,'Données projet'!$B$88,BD122+BC123-BL122)))</f>
        <v>1.98951966012828E-013</v>
      </c>
      <c r="BE123" s="117" t="n">
        <f aca="false">BD123*VLOOKUP('Données projet'!$B$11,Paramètres!$A$1:$I$89,3,0)*VLOOKUP('Données projet'!$B$11,Paramètres!$A$1:$I$89,5,0)</f>
        <v>1.73804437508807E-013</v>
      </c>
      <c r="BF123" s="117" t="n">
        <f aca="false">EXP(-1.0587+0.8836*LN(BE123)+0.284)</f>
        <v>2.44832936339505E-012</v>
      </c>
      <c r="BG123" s="128" t="n">
        <f aca="false">(BE123+BF123)*0.475*44/12</f>
        <v>4.56688303657421E-012</v>
      </c>
      <c r="BH123" s="120" t="n">
        <f aca="false">BG123+(AY123+AZ123)*44/12</f>
        <v>293.333333333338</v>
      </c>
      <c r="BI123" s="120" t="n">
        <f aca="true">AVERAGE(OFFSET($BH$3,0,0,'Données projet'!$E$11+1,1))-AVERAGE(OFFSET($H$3,0,0,'Données projet'!$E$11+1,1))</f>
        <v>321.235999689929</v>
      </c>
      <c r="BJ123" s="120" t="n">
        <f aca="false">$BJ$3</f>
        <v>388.051958478005</v>
      </c>
      <c r="BK123" s="121" t="n">
        <f aca="false">IF(ISNA(VLOOKUP(A123,'Données projet'!$A$87:$I$107,3,0)),0,VLOOKUP(A123,'Données projet'!$A$87:$I$107,3,0))</f>
        <v>0</v>
      </c>
      <c r="BL123" s="121" t="n">
        <f aca="false">IF(ISNA(VLOOKUP(A123,'Données projet'!$A$87:$I$107,4,0)),0,VLOOKUP(A123,'Données projet'!$A$87:$I$107,4,0))</f>
        <v>0</v>
      </c>
      <c r="BM123" s="122" t="n">
        <f aca="false">IF(ISNA(VLOOKUP(A123,'Données projet'!$A$87:$I$107,5,0)),0%,VLOOKUP(A123,'Données projet'!$A$87:$I$107,5,0)*VLOOKUP('Données projet'!$B$11,Paramètres!$A$1:$I$89,7,0))</f>
        <v>0</v>
      </c>
      <c r="BN123" s="122" t="n">
        <f aca="false">IF(ISNA(VLOOKUP(A123,'Données projet'!$A$87:$I$107,6,0)),0%,VLOOKUP(A123,'Données projet'!$A$87:$I$107,6,0)*VLOOKUP('Données projet'!$B$11,Paramètres!$A$1:$I$89,7,0))</f>
        <v>0</v>
      </c>
      <c r="BO123" s="122" t="n">
        <f aca="false">IF(ISNA(VLOOKUP(A123,'Données projet'!$A$87:$I$107,7,0)),0%,VLOOKUP(A123,'Données projet'!$A$87:$I$107,7,0))</f>
        <v>0</v>
      </c>
      <c r="BP123" s="129" t="n">
        <f aca="false">EXP(-LN(2)/35)*BP122+(1-EXP(-LN(2)/35))/(LN(2)/35)*BL123*BM123*VLOOKUP('Données projet'!$B$11,Paramètres!$A$1:$I$89,3,0)*0.475*44/12</f>
        <v>1.44705895838849</v>
      </c>
      <c r="BQ123" s="129" t="n">
        <f aca="false">EXP(-LN(2)/25)*BQ122+(1-EXP(-LN(2)/25))/(LN(2)/25)*Calculateur!BL123*Calculateur!BN123*VLOOKUP('Données projet'!$B$11,Paramètres!$A$1:$I$89,3,0)*0.475*44/12</f>
        <v>1.11185699678934</v>
      </c>
      <c r="BR123" s="129" t="n">
        <f aca="false">EXP(-LN(2)/2)*BR122+(1-EXP(-LN(2)/2))/(LN(2)/2)*BL123*BO123*VLOOKUP('Données projet'!$B$11,Paramètres!$A$1:$I$89,3,0)*0.475*44/12</f>
        <v>1.7169565345781E-013</v>
      </c>
      <c r="BS123" s="130" t="n">
        <f aca="false">SUM(BP123:BR123)</f>
        <v>2.558915955178</v>
      </c>
      <c r="BT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8" t="e">
        <f aca="false">VLOOKUP(A123,'Données projet'!$A$113:$I$133,2,0)</f>
        <v>#N/A</v>
      </c>
      <c r="BW123" s="118" t="e">
        <f aca="false">VLOOKUP(A123,'Données projet'!$A$113:$I$133,9,0)</f>
        <v>#N/A</v>
      </c>
      <c r="BX123" s="118" t="e">
        <f aca="false" t="array" ref="BX123:BX123">INDEX(BW:BW,MIN(IF(ISNUMBER(BW123:BW319),ROW(BW123:BW319),"")))</f>
        <v>#N/A</v>
      </c>
      <c r="BY123" s="118" t="n">
        <f aca="false">IF('Données projet'!$A$114&gt;35,BY122+BX123-CG122,IF(A123&lt;'Données projet'!$A$114,$BV$205^A123,IF(A123='Données projet'!$A$114,'Données projet'!$B$114,BY122+BX123-CG122)))</f>
        <v>0</v>
      </c>
      <c r="BZ123" s="117" t="n">
        <f aca="false">BY123*VLOOKUP('Données projet'!$B$12,Paramètres!$A$1:$I$89,3,0)*VLOOKUP('Données projet'!$B$12,Paramètres!$A$1:$I$89,5,0)</f>
        <v>0</v>
      </c>
      <c r="CA123" s="117" t="e">
        <f aca="false">EXP(-1.0587+0.8836*LN(BZ123)+0.284)</f>
        <v>#VALUE!</v>
      </c>
      <c r="CB123" s="128" t="e">
        <f aca="false">(BZ123+CA123)*0.475*44/12</f>
        <v>#VALUE!</v>
      </c>
      <c r="CC123" s="120" t="e">
        <f aca="false">CB123+(BT123+BU123)*44/12</f>
        <v>#VALUE!</v>
      </c>
      <c r="CD123" s="120" t="n">
        <f aca="true">AVERAGE(OFFSET($CC$3,0,0,'Données projet'!$E$12+1,1))-AVERAGE(OFFSET($H$3,0,0,'Données projet'!$E$12+1,1))</f>
        <v>240.228848647662</v>
      </c>
      <c r="CE123" s="120" t="n">
        <f aca="false">$CE$3</f>
        <v>343.237768841432</v>
      </c>
      <c r="CF123" s="121" t="n">
        <f aca="false">IF(ISNA(VLOOKUP(A123,'Données projet'!$A$113:$I$133,3,0)),0,VLOOKUP(A123,'Données projet'!$A$113:$I$133,3,0))</f>
        <v>0</v>
      </c>
      <c r="CG123" s="121" t="n">
        <f aca="false">IF(ISNA(VLOOKUP(A123,'Données projet'!$A$113:$I$133,4,0)),0,VLOOKUP(A123,'Données projet'!$A$113:$I$133,4,0))</f>
        <v>0</v>
      </c>
      <c r="CH123" s="122" t="n">
        <f aca="false">IF(ISNA(VLOOKUP(A123,'Données projet'!$A$113:$I$133,5,0)),0%,VLOOKUP(A123,'Données projet'!$A$113:$I$133,5,0)*VLOOKUP('Données projet'!$B$12,Paramètres!$A$1:$I$89,7,0))</f>
        <v>0</v>
      </c>
      <c r="CI123" s="122" t="n">
        <f aca="false">IF(ISNA(VLOOKUP(A123,'Données projet'!$A$113:$I$133,6,0)),0%,VLOOKUP(A123,'Données projet'!$A$113:$I$133,6,0)*VLOOKUP('Données projet'!$B$12,Paramètres!$A$1:$I$89,7,0))</f>
        <v>0</v>
      </c>
      <c r="CJ123" s="122" t="n">
        <f aca="false">IF(ISNA(VLOOKUP(A123,'Données projet'!$A$113:$I$133,7,0)),0%,VLOOKUP(A123,'Données projet'!$A$113:$I$133,7,0))</f>
        <v>0</v>
      </c>
      <c r="CK123" s="129" t="n">
        <f aca="false">EXP(-LN(2)/35)*CK122+(1-EXP(-LN(2)/35))/(LN(2)/35)*CG123*CH123*VLOOKUP('Données projet'!$B$12,Paramètres!$A$1:$I$89,3,0)*0.475*44/12</f>
        <v>0.885712818501682</v>
      </c>
      <c r="CL123" s="129" t="n">
        <f aca="false">EXP(-LN(2)/25)*CL122+(1-EXP(-LN(2)/25))/(LN(2)/25)*Calculateur!CG123*Calculateur!CI123*VLOOKUP('Données projet'!$B$12,Paramètres!$A$1:$I$89,3,0)*0.475*44/12</f>
        <v>1.96360382160552</v>
      </c>
      <c r="CM123" s="129" t="n">
        <f aca="false">EXP(-LN(2)/2)*CM122+(1-EXP(-LN(2)/2))/(LN(2)/2)*CG123*CJ123*VLOOKUP('Données projet'!$B$12,Paramètres!$A$1:$I$89,3,0)*0.475*44/12</f>
        <v>2.73980488883689E-013</v>
      </c>
      <c r="CN123" s="130" t="n">
        <f aca="false">SUM(CK123:CM123)</f>
        <v>2.84931664010747</v>
      </c>
      <c r="CO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8" t="e">
        <f aca="false">VLOOKUP(A123,'Données projet'!$A$139:$I$159,2,0)</f>
        <v>#N/A</v>
      </c>
      <c r="CR123" s="118" t="e">
        <f aca="false">VLOOKUP(A123,'Données projet'!$A$139:$I$159,9,0)</f>
        <v>#N/A</v>
      </c>
      <c r="CS123" s="118" t="e">
        <f aca="false" t="array" ref="CS123:CS123">INDEX(CR:CR,MIN(IF(ISNUMBER(CR123:CR319),ROW(CR123:CR319),"")))</f>
        <v>#N/A</v>
      </c>
      <c r="CT123" s="118" t="n">
        <f aca="false">IF('Données projet'!$A$140&gt;35,CT122+CS123-DB122,IF(A123&lt;'Données projet'!$A$140,$CQ$205^A123,IF(A123='Données projet'!$A$140,'Données projet'!$B$140,CT122+CS123-DB122)))</f>
        <v>-5.6843418860808E-014</v>
      </c>
      <c r="CU123" s="125" t="n">
        <f aca="false">CT123*VLOOKUP('Données projet'!$B$13,Paramètres!$A$1:$I$89,3,0)*VLOOKUP('Données projet'!$B$13,Paramètres!$A$1:$I$89,5,0)</f>
        <v>-3.10365066980012E-014</v>
      </c>
      <c r="CV123" s="117" t="e">
        <f aca="false">EXP(-1.0587+0.8836*LN(CU123)+0.284)</f>
        <v>#VALUE!</v>
      </c>
      <c r="CW123" s="128" t="e">
        <f aca="false">(CU123+CV123)*0.475*44/12</f>
        <v>#VALUE!</v>
      </c>
      <c r="CX123" s="120" t="e">
        <f aca="false">CW123+(CO123+CP123)*44/12</f>
        <v>#VALUE!</v>
      </c>
      <c r="CY123" s="120" t="n">
        <f aca="true">AVERAGE(OFFSET($CX$3,0,0,'Données projet'!$E$13+1,1))-AVERAGE(OFFSET($H$3,0,0,'Données projet'!$E$13+1,1))</f>
        <v>207.023069645676</v>
      </c>
      <c r="CZ123" s="120" t="n">
        <f aca="false">$CZ$3</f>
        <v>342.068879333518</v>
      </c>
      <c r="DA123" s="121" t="n">
        <f aca="false">IF(ISNA(VLOOKUP(A123,'Données projet'!$A$139:$I$159,3,0)),0,VLOOKUP(A123,'Données projet'!$A$139:$I$159,3,0))</f>
        <v>0</v>
      </c>
      <c r="DB123" s="121" t="n">
        <f aca="false">IF(ISNA(VLOOKUP(A123,'Données projet'!$A$139:$I$159,4,0)),0,VLOOKUP(A123,'Données projet'!$A$139:$I$159,4,0))</f>
        <v>0</v>
      </c>
      <c r="DC123" s="122" t="n">
        <f aca="false">IF(ISNA(VLOOKUP(A123,'Données projet'!$A$139:$I$159,5,0)),0%,VLOOKUP(A123,'Données projet'!$A$139:$I$159,5,0)*VLOOKUP('Données projet'!$B$13,Paramètres!$A$1:$I$89,7,0))</f>
        <v>0</v>
      </c>
      <c r="DD123" s="122" t="n">
        <f aca="false">IF(ISNA(VLOOKUP(A123,'Données projet'!$A$139:$I$159,6,0)),0%,VLOOKUP(A123,'Données projet'!$A$139:$I$159,6,0)*VLOOKUP('Données projet'!$B$13,Paramètres!$A$1:$I$89,7,0))</f>
        <v>0</v>
      </c>
      <c r="DE123" s="122" t="n">
        <f aca="false">IF(ISNA(VLOOKUP(A123,'Données projet'!$A$139:$I$159,7,0)),0%,VLOOKUP(A123,'Données projet'!$A$139:$I$159,7,0))</f>
        <v>0</v>
      </c>
      <c r="DF123" s="129" t="n">
        <f aca="false">EXP(-LN(2)/35)*DF122+(1-EXP(-LN(2)/35))/(LN(2)/35)*DB123*DC123*VLOOKUP('Données projet'!$B$13,Paramètres!$A$1:$I$89,3,0)*0.475*44/12</f>
        <v>1.11131891378041</v>
      </c>
      <c r="DG123" s="129" t="n">
        <f aca="false">EXP(-LN(2)/25)*DG122+(1-EXP(-LN(2)/25))/(LN(2)/25)*Calculateur!DB123*Calculateur!DD123*VLOOKUP('Données projet'!$B$13,Paramètres!$A$1:$I$89,3,0)*0.475*44/12</f>
        <v>3.2096744292736</v>
      </c>
      <c r="DH123" s="129" t="n">
        <f aca="false">EXP(-LN(2)/2)*DH122+(1-EXP(-LN(2)/2))/(LN(2)/2)*DB123*DE123*VLOOKUP('Données projet'!$B$13,Paramètres!$A$1:$I$89,3,0)*0.475*44/12</f>
        <v>3.77271260217095E-013</v>
      </c>
      <c r="DI123" s="130" t="n">
        <f aca="false">SUM(DF123:DH123)</f>
        <v>4.32099334305439</v>
      </c>
      <c r="DJ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8" t="e">
        <f aca="false">VLOOKUP(A123,'Données projet'!$A$165:$I$185,2,0)</f>
        <v>#N/A</v>
      </c>
      <c r="DM123" s="118" t="e">
        <f aca="false">VLOOKUP(A123,'Données projet'!$A$165:$I$185,9,0)</f>
        <v>#N/A</v>
      </c>
      <c r="DN123" s="118" t="e">
        <f aca="false" t="array" ref="DN123:DN123">INDEX(DM:DM,MIN(IF(ISNUMBER(DM123:DM319),ROW(DM123:DM319),"")))</f>
        <v>#N/A</v>
      </c>
      <c r="DO123" s="118" t="n">
        <f aca="false">IF('Données projet'!$A$166&gt;35,DO122+DN123-DW122,IF(A123&lt;'Données projet'!$A$166,$DL$205^A123,IF(A123='Données projet'!$A$166,'Données projet'!$B$166,DO122+DN123-DW122)))</f>
        <v>0</v>
      </c>
      <c r="DP123" s="125" t="n">
        <f aca="false">DO123*VLOOKUP('Données projet'!$B$14,Paramètres!$A$1:$I$89,3,0)*VLOOKUP('Données projet'!$B$14,Paramètres!$A$1:$I$89,5,0)</f>
        <v>0</v>
      </c>
      <c r="DQ123" s="117" t="e">
        <f aca="false">EXP(-1.0587+0.8836*LN(DP123)+0.284)</f>
        <v>#VALUE!</v>
      </c>
      <c r="DR123" s="128" t="e">
        <f aca="false">(DP123+DQ123)*0.475*44/12</f>
        <v>#VALUE!</v>
      </c>
      <c r="DS123" s="120" t="e">
        <f aca="false">DR123+(DJ123+DK123)*44/12</f>
        <v>#VALUE!</v>
      </c>
      <c r="DT123" s="120" t="n">
        <f aca="true">AVERAGE(OFFSET($DS$3,0,0,'Données projet'!$E$14+1,1))-AVERAGE(OFFSET($H$3,0,0,'Données projet'!$E$14+1,1))</f>
        <v>549.432320957297</v>
      </c>
      <c r="DU123" s="120" t="n">
        <f aca="false">$DU$3</f>
        <v>280.26155987301</v>
      </c>
      <c r="DV123" s="121" t="n">
        <f aca="false">IF(ISNA(VLOOKUP(A123,'Données projet'!$A$165:$I$185,3,0)),0,VLOOKUP(A123,'Données projet'!$A$165:$I$185,3,0))</f>
        <v>0</v>
      </c>
      <c r="DW123" s="121" t="n">
        <f aca="false">IF(ISNA(VLOOKUP(A123,'Données projet'!$A$165:$I$185,4,0)),0,VLOOKUP(A123,'Données projet'!$A$165:$I$185,4,0))</f>
        <v>0</v>
      </c>
      <c r="DX123" s="122" t="n">
        <f aca="false">IF(ISNA(VLOOKUP(A123,'Données projet'!$A$165:$I$185,5,0)),0%,VLOOKUP(A123,'Données projet'!$A$165:$I$185,5,0)*VLOOKUP('Données projet'!$B$14,Paramètres!$A$1:$I$89,7,0))</f>
        <v>0</v>
      </c>
      <c r="DY123" s="122" t="n">
        <f aca="false">IF(ISNA(VLOOKUP(A123,'Données projet'!$A$165:$I$185,6,0)),0%,VLOOKUP(A123,'Données projet'!$A$165:$I$185,6,0)*VLOOKUP('Données projet'!$B$14,Paramètres!$A$1:$I$89,7,0))</f>
        <v>0</v>
      </c>
      <c r="DZ123" s="122" t="n">
        <f aca="false">IF(ISNA(VLOOKUP(A123,'Données projet'!$A$165:$I$185,7,0)),0%,VLOOKUP(A123,'Données projet'!$A$165:$I$185,7,0))</f>
        <v>0</v>
      </c>
      <c r="EA123" s="129" t="n">
        <f aca="false">EXP(-LN(2)/35)*EA122+(1-EXP(-LN(2)/35))/(LN(2)/35)*DW123*DX123*VLOOKUP('Données projet'!$B$14,Paramètres!$A$1:$I$89,3,0)*0.475*44/12</f>
        <v>0.404074317881273</v>
      </c>
      <c r="EB123" s="129" t="n">
        <f aca="false">EXP(-LN(2)/25)*EB122+(1-EXP(-LN(2)/25))/(LN(2)/25)*Calculateur!DW123*Calculateur!DY123*VLOOKUP('Données projet'!$B$14,Paramètres!$A$1:$I$89,3,0)*0.475*44/12</f>
        <v>0.63943047207476</v>
      </c>
      <c r="EC123" s="129" t="n">
        <f aca="false">EXP(-LN(2)/2)*EC122+(1-EXP(-LN(2)/2))/(LN(2)/2)*DW123*DZ123*VLOOKUP('Données projet'!$B$14,Paramètres!$A$1:$I$89,3,0)*0.475*44/12</f>
        <v>1.7391427418714E-013</v>
      </c>
      <c r="ED123" s="130" t="n">
        <f aca="false">SUM(EA123:EC123)</f>
        <v>1.04350478995621</v>
      </c>
      <c r="EE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8" t="e">
        <f aca="false">VLOOKUP(A123,'Données projet'!$A$191:$I$211,2,0)</f>
        <v>#N/A</v>
      </c>
      <c r="EH123" s="118" t="e">
        <f aca="false">VLOOKUP(A123,'Données projet'!$A$191:$I$211,9,0)</f>
        <v>#N/A</v>
      </c>
      <c r="EI123" s="118" t="e">
        <f aca="false" t="array" ref="EI123:EI123">INDEX(EH:EH,MIN(IF(ISNUMBER(EH123:EH319),ROW(EH123:EH319),"")))</f>
        <v>#N/A</v>
      </c>
      <c r="EJ123" s="118" t="n">
        <f aca="false">IF('Données projet'!$A$192&gt;35,EJ122+EI123-ER122,IF(A123&lt;'Données projet'!$A$192,$EG$205^A123,IF(A123='Données projet'!$A$192,'Données projet'!$B$192,EJ122+EI123-ER122)))</f>
        <v>0</v>
      </c>
      <c r="EK123" s="125" t="e">
        <f aca="false">EJ123*VLOOKUP('Données projet'!$B$15,Paramètres!$A$1:$I$89,3,0)*VLOOKUP('Données projet'!$B$15,Paramètres!$A$1:$I$89,5,0)</f>
        <v>#N/A</v>
      </c>
      <c r="EL123" s="117" t="e">
        <f aca="false">EXP(-1.0587+0.8836*LN(EK123)+0.284)</f>
        <v>#N/A</v>
      </c>
      <c r="EM123" s="128" t="e">
        <f aca="false">(EK123+EL123)*0.475*44/12</f>
        <v>#N/A</v>
      </c>
      <c r="EN123" s="120" t="e">
        <f aca="false">EM123+(EE123+EF123)*44/12</f>
        <v>#N/A</v>
      </c>
      <c r="EO123" s="120" t="e">
        <f aca="true">AVERAGE(OFFSET($EN$3,0,0,'Données projet'!$E$15+1,1))-AVERAGE(OFFSET($H$3,0,0,'Données projet'!$E$15+1,1))</f>
        <v>#N/A</v>
      </c>
      <c r="EP123" s="120" t="e">
        <f aca="false">$EP$3</f>
        <v>#N/A</v>
      </c>
      <c r="EQ123" s="121" t="n">
        <f aca="false">IF(ISNA(VLOOKUP(A123,'Données projet'!$A$191:$I$211,3,0)),0,VLOOKUP(A123,'Données projet'!$A$191:$I$211,3,0))</f>
        <v>0</v>
      </c>
      <c r="ER123" s="121" t="n">
        <f aca="false">IF(ISNA(VLOOKUP(A123,'Données projet'!$A$191:$I$211,4,0)),0,VLOOKUP(A123,'Données projet'!$A$191:$I$211,4,0))</f>
        <v>0</v>
      </c>
      <c r="ES123" s="122" t="n">
        <f aca="false">IF(ISNA(VLOOKUP(A123,'Données projet'!$A$191:$I$211,5,0)),0%,VLOOKUP(A123,'Données projet'!$A$191:$I$211,5,0)*VLOOKUP('Données projet'!$B$15,Paramètres!$A$1:$I$89,7,0))</f>
        <v>0</v>
      </c>
      <c r="ET123" s="122" t="n">
        <f aca="false">IF(ISNA(VLOOKUP(A123,'Données projet'!$A$191:$I$211,6,0)),0%,VLOOKUP(A123,'Données projet'!$A$191:$I$211,6,0)*VLOOKUP('Données projet'!$B$15,Paramètres!$A$1:$I$89,7,0))</f>
        <v>0</v>
      </c>
      <c r="EU123" s="122" t="n">
        <f aca="false">IF(ISNA(VLOOKUP(A123,'Données projet'!$A$191:$I$211,7,0)),0%,VLOOKUP(A123,'Données projet'!$A$191:$I$211,7,0))</f>
        <v>0</v>
      </c>
      <c r="EV123" s="129" t="e">
        <f aca="false">EXP(-LN(2)/35)*EV122+(1-EXP(-LN(2)/35))/(LN(2)/35)*ER123*ES123*VLOOKUP('Données projet'!$B$15,Paramètres!$A$1:$I$89,3,0)*0.475*44/12</f>
        <v>#N/A</v>
      </c>
      <c r="EW123" s="129" t="e">
        <f aca="false">EXP(-LN(2)/25)*EW122+(1-EXP(-LN(2)/25))/(LN(2)/25)*Calculateur!ER123*Calculateur!ET123*VLOOKUP('Données projet'!$B$15,Paramètres!$A$1:$I$89,3,0)*0.475*44/12</f>
        <v>#N/A</v>
      </c>
      <c r="EX123" s="129" t="e">
        <f aca="false">EXP(-LN(2)/2)*EX122+(1-EXP(-LN(2)/2))/(LN(2)/2)*ER123*EU123*VLOOKUP('Données projet'!$B$15,Paramètres!$A$1:$I$89,3,0)*0.475*44/12</f>
        <v>#N/A</v>
      </c>
      <c r="EY123" s="130" t="e">
        <f aca="false">SUM(EV123:EX123)</f>
        <v>#N/A</v>
      </c>
      <c r="EZ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8" t="e">
        <f aca="false">VLOOKUP(A123,'Données projet'!$A$217:$I$237,2,0)</f>
        <v>#N/A</v>
      </c>
      <c r="FC123" s="118" t="e">
        <f aca="false">VLOOKUP(A123,'Données projet'!$A$217:$I$237,9,0)</f>
        <v>#N/A</v>
      </c>
      <c r="FD123" s="118" t="e">
        <f aca="false" t="array" ref="FD123:FD123">INDEX(FC:FC,MIN(IF(ISNUMBER(FC123:FC319),ROW(FC123:FC319),"")))</f>
        <v>#N/A</v>
      </c>
      <c r="FE123" s="118" t="n">
        <f aca="false">IF('Données projet'!$A$218&gt;35,FE122+FD123-FM122,IF(A123&lt;'Données projet'!$A$218,$FB$205^A123,IF(A123='Données projet'!$A$218,'Données projet'!$B$218,FE122+FD123-FM122)))</f>
        <v>0</v>
      </c>
      <c r="FF123" s="125" t="e">
        <f aca="false">FE123*VLOOKUP('Données projet'!$B$16,Paramètres!$A$1:$I$89,3,0)*VLOOKUP('Données projet'!$B$16,Paramètres!$A$1:$I$89,5,0)</f>
        <v>#N/A</v>
      </c>
      <c r="FG123" s="117" t="e">
        <f aca="false">EXP(-1.0587+0.8836*LN(FF123)+0.284)</f>
        <v>#N/A</v>
      </c>
      <c r="FH123" s="128" t="e">
        <f aca="false">(FF123+FG123)*0.475*44/12</f>
        <v>#N/A</v>
      </c>
      <c r="FI123" s="120" t="e">
        <f aca="false">FH123+(EZ123+FA123)*44/12</f>
        <v>#N/A</v>
      </c>
      <c r="FJ123" s="120" t="e">
        <f aca="true">AVERAGE(OFFSET($FI$3,0,0,'Données projet'!$E$16+1,1))-AVERAGE(OFFSET($H$3,0,0,'Données projet'!$E$16+1,1))</f>
        <v>#N/A</v>
      </c>
      <c r="FK123" s="120" t="e">
        <f aca="false">$FK$3</f>
        <v>#N/A</v>
      </c>
      <c r="FL123" s="121" t="n">
        <f aca="false">IF(ISNA(VLOOKUP(A123,'Données projet'!$A$217:$I$237,3,0)),0,VLOOKUP(A123,'Données projet'!$A$217:$I$237,3,0))</f>
        <v>0</v>
      </c>
      <c r="FM123" s="121" t="n">
        <f aca="false">IF(ISNA(VLOOKUP(A123,'Données projet'!$A$217:$I$237,4,0)),0,VLOOKUP(A123,'Données projet'!$A$217:$I$237,4,0))</f>
        <v>0</v>
      </c>
      <c r="FN123" s="122" t="n">
        <f aca="false">IF(ISNA(VLOOKUP(A123,'Données projet'!$A$217:$I$237,5,0)),0%,VLOOKUP(A123,'Données projet'!$A$217:$I$237,5,0)*VLOOKUP('Données projet'!$B$16,Paramètres!$A$1:$I$89,7,0))</f>
        <v>0</v>
      </c>
      <c r="FO123" s="122" t="n">
        <f aca="false">IF(ISNA(VLOOKUP(A123,'Données projet'!$A$217:$I$237,6,0)),0%,VLOOKUP(A123,'Données projet'!$A$217:$I$237,6,0)*VLOOKUP('Données projet'!$B$16,Paramètres!$A$1:$I$89,7,0))</f>
        <v>0</v>
      </c>
      <c r="FP123" s="122" t="n">
        <f aca="false">IF(ISNA(VLOOKUP(A123,'Données projet'!$A$217:$I$237,7,0)),0%,VLOOKUP(A123,'Données projet'!$A$217:$I$237,7,0))</f>
        <v>0</v>
      </c>
      <c r="FQ123" s="129" t="e">
        <f aca="false">EXP(-LN(2)/35)*FQ122+(1-EXP(-LN(2)/35))/(LN(2)/35)*FM123*FN123*VLOOKUP('Données projet'!$B$16,Paramètres!$A$1:$I$89,3,0)*0.475*44/12</f>
        <v>#N/A</v>
      </c>
      <c r="FR123" s="129" t="e">
        <f aca="false">EXP(-LN(2)/25)*FR122+(1-EXP(-LN(2)/25))/(LN(2)/25)*Calculateur!FM123*Calculateur!FO123*VLOOKUP('Données projet'!$B$16,Paramètres!$A$1:$I$89,3,0)*0.475*44/12</f>
        <v>#N/A</v>
      </c>
      <c r="FS123" s="129" t="e">
        <f aca="false">EXP(-LN(2)/2)*FS122+(1-EXP(-LN(2)/2))/(LN(2)/2)*FM123*FP123*VLOOKUP('Données projet'!$B$16,Paramètres!$A$1:$I$89,3,0)*0.475*44/12</f>
        <v>#N/A</v>
      </c>
      <c r="FT123" s="130" t="e">
        <f aca="false">SUM(FQ123:FS123)</f>
        <v>#N/A</v>
      </c>
      <c r="FU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8" t="e">
        <f aca="false">VLOOKUP(A123,'Données projet'!$A$243:$I$263,2,0)</f>
        <v>#N/A</v>
      </c>
      <c r="FX123" s="118" t="e">
        <f aca="false">VLOOKUP(A123,'Données projet'!$A$243:$I$263,9,0)</f>
        <v>#N/A</v>
      </c>
      <c r="FY123" s="118" t="e">
        <f aca="false" t="array" ref="FY123:FY123">INDEX(FX:FX,MIN(IF(ISNUMBER(FX123:FX319),ROW(FX123:FX319),"")))</f>
        <v>#N/A</v>
      </c>
      <c r="FZ123" s="118" t="n">
        <f aca="false">IF('Données projet'!$A$244&gt;35,FZ122+FY123-GH122,IF(A123&lt;'Données projet'!$A$244,$FW$205^A123,IF(A123='Données projet'!$A$244,'Données projet'!$B$244,FZ122+FY123-GH122)))</f>
        <v>0</v>
      </c>
      <c r="GA123" s="125" t="e">
        <f aca="false">FZ123*VLOOKUP('Données projet'!$B$17,Paramètres!$A$1:$I$89,3,0)*VLOOKUP('Données projet'!$B$17,Paramètres!$A$1:$I$89,5,0)</f>
        <v>#N/A</v>
      </c>
      <c r="GB123" s="117" t="e">
        <f aca="false">EXP(-1.0587+0.8836*LN(GA123)+0.284)</f>
        <v>#N/A</v>
      </c>
      <c r="GC123" s="128" t="e">
        <f aca="false">(GA123+GB123)*0.475*44/12</f>
        <v>#N/A</v>
      </c>
      <c r="GD123" s="120" t="e">
        <f aca="false">GC123+(FU123+FV123)*44/12</f>
        <v>#N/A</v>
      </c>
      <c r="GE123" s="120" t="e">
        <f aca="true">AVERAGE(OFFSET($GD$3,0,0,'Données projet'!$E$17+1,1))-AVERAGE(OFFSET($H$3,0,0,'Données projet'!$E$17+1,1))</f>
        <v>#N/A</v>
      </c>
      <c r="GF123" s="120" t="e">
        <f aca="false">$GF$3</f>
        <v>#N/A</v>
      </c>
      <c r="GG123" s="121" t="n">
        <f aca="false">IF(ISNA(VLOOKUP(A123,'Données projet'!$A$243:$I$263,3,0)),0,VLOOKUP(A123,'Données projet'!$A$243:$I$263,3,0))</f>
        <v>0</v>
      </c>
      <c r="GH123" s="121" t="n">
        <f aca="false">IF(ISNA(VLOOKUP(A123,'Données projet'!$A$243:$I$263,4,0)),0,VLOOKUP(A123,'Données projet'!$A$243:$I$263,4,0))</f>
        <v>0</v>
      </c>
      <c r="GI123" s="122" t="n">
        <f aca="false">IF(ISNA(VLOOKUP(A123,'Données projet'!$A$243:$I$263,5,0)),0%,VLOOKUP(A123,'Données projet'!$A$243:$I$263,5,0)*VLOOKUP('Données projet'!$B$17,Paramètres!$A$1:$I$89,7,0))</f>
        <v>0</v>
      </c>
      <c r="GJ123" s="122" t="n">
        <f aca="false">IF(ISNA(VLOOKUP(A123,'Données projet'!$A$243:$I$263,6,0)),0%,VLOOKUP(A123,'Données projet'!$A$243:$I$263,6,0)*VLOOKUP('Données projet'!$B$17,Paramètres!$A$1:$I$89,7,0))</f>
        <v>0</v>
      </c>
      <c r="GK123" s="122" t="n">
        <f aca="false">IF(ISNA(VLOOKUP(A123,'Données projet'!$A$243:$I$263,7,0)),0%,VLOOKUP(A123,'Données projet'!$A$243:$I$263,7,0))</f>
        <v>0</v>
      </c>
      <c r="GL123" s="129" t="e">
        <f aca="false">EXP(-LN(2)/35)*GL122+(1-EXP(-LN(2)/35))/(LN(2)/35)*GH123*GI123*VLOOKUP('Données projet'!$B$17,Paramètres!$A$1:$I$89,3,0)*0.475*44/12</f>
        <v>#N/A</v>
      </c>
      <c r="GM123" s="129" t="e">
        <f aca="false">EXP(-LN(2)/25)*GM122+(1-EXP(-LN(2)/25))/(LN(2)/25)*Calculateur!GH123*Calculateur!GJ123*VLOOKUP('Données projet'!$B$17,Paramètres!$A$1:$I$89,3,0)*0.475*44/12</f>
        <v>#N/A</v>
      </c>
      <c r="GN123" s="129" t="e">
        <f aca="false">EXP(-LN(2)/2)*GN122+(1-EXP(-LN(2)/2))/(LN(2)/2)*GH123*GK123*VLOOKUP('Données projet'!$B$17,Paramètres!$A$1:$I$89,3,0)*0.475*44/12</f>
        <v>#N/A</v>
      </c>
      <c r="GO123" s="129" t="e">
        <f aca="false">SUM(GL123:GN123)</f>
        <v>#N/A</v>
      </c>
      <c r="GP123" s="126" t="n">
        <f aca="false"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8" t="n">
        <f aca="false"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8" t="e">
        <f aca="false">VLOOKUP(A123,'Données projet'!$A$269:$I$289,2,0)</f>
        <v>#N/A</v>
      </c>
      <c r="GS123" s="118" t="e">
        <f aca="false">VLOOKUP(A123,'Données projet'!$A$269:$I$289,9,0)</f>
        <v>#N/A</v>
      </c>
      <c r="GT123" s="118" t="e">
        <f aca="false" t="array" ref="GT123:GT123">INDEX(GS:GS,MIN(IF(ISNUMBER(GS123:GS319),ROW(GS123:GS319),"")))</f>
        <v>#N/A</v>
      </c>
      <c r="GU123" s="118" t="n">
        <f aca="false">IF('Données projet'!$A$270&gt;35,GU122+GT123-HC122,IF(A123&lt;'Données projet'!$A$270,$GR$205^A123,IF(A123='Données projet'!$A$270,'Données projet'!$B$270,GU122+GT123-HC122)))</f>
        <v>0</v>
      </c>
      <c r="GV123" s="125" t="e">
        <f aca="false">GU123*VLOOKUP('Données projet'!$B$18,Paramètres!$A$1:$I$89,3,0)*VLOOKUP('Données projet'!$B$18,Paramètres!$A$1:$I$89,5,0)</f>
        <v>#N/A</v>
      </c>
      <c r="GW123" s="117" t="e">
        <f aca="false">EXP(-1.0587+0.8836*LN(GV123)+0.284)</f>
        <v>#N/A</v>
      </c>
      <c r="GX123" s="128" t="e">
        <f aca="false">(GV123+GW123)*0.475*44/12</f>
        <v>#N/A</v>
      </c>
      <c r="GY123" s="120" t="e">
        <f aca="false">GX123+(GP123+GQ123)*44/12</f>
        <v>#N/A</v>
      </c>
      <c r="GZ123" s="120" t="e">
        <f aca="true">AVERAGE(OFFSET($GY$3,0,0,'Données projet'!$E$18+1,1))-AVERAGE(OFFSET($H$3,0,0,'Données projet'!$E$18+1,1))</f>
        <v>#N/A</v>
      </c>
      <c r="HA123" s="120" t="e">
        <f aca="false">$HA$3</f>
        <v>#N/A</v>
      </c>
      <c r="HB123" s="121" t="n">
        <f aca="false">IF(ISNA(VLOOKUP(A123,'Données projet'!$A$269:$I$289,3,0)),0,VLOOKUP(A123,'Données projet'!$A$269:$I$289,3,0))</f>
        <v>0</v>
      </c>
      <c r="HC123" s="121" t="n">
        <f aca="false">IF(ISNA(VLOOKUP(A123,'Données projet'!$A$269:$I$289,4,0)),0,VLOOKUP(A123,'Données projet'!$A$269:$I$289,4,0))</f>
        <v>0</v>
      </c>
      <c r="HD123" s="122" t="n">
        <f aca="false">IF(ISNA(VLOOKUP(A123,'Données projet'!$A$269:$I$289,5,0)),0%,VLOOKUP(A123,'Données projet'!$A$269:$I$289,5,0)*VLOOKUP('Données projet'!$B$18,Paramètres!$A$1:$I$89,7,0))</f>
        <v>0</v>
      </c>
      <c r="HE123" s="122" t="n">
        <f aca="false">IF(ISNA(VLOOKUP(A123,'Données projet'!$A$269:$I$289,6,0)),0%,VLOOKUP(A123,'Données projet'!$A$269:$I$289,6,0)*VLOOKUP('Données projet'!$B$18,Paramètres!$A$1:$I$89,7,0))</f>
        <v>0</v>
      </c>
      <c r="HF123" s="122" t="n">
        <f aca="false">IF(ISNA(VLOOKUP(A123,'Données projet'!$A$269:$I$289,7,0)),0%,VLOOKUP(A123,'Données projet'!$A$269:$I$289,7,0))</f>
        <v>0</v>
      </c>
      <c r="HG123" s="129" t="e">
        <f aca="false">EXP(-LN(2)/35)*HG122+(1-EXP(-LN(2)/35))/(LN(2)/35)*HC123*HD123*VLOOKUP('Données projet'!$B$18,Paramètres!$A$1:$I$89,3,0)*0.475*44/12</f>
        <v>#N/A</v>
      </c>
      <c r="HH123" s="129" t="e">
        <f aca="false">EXP(-LN(2)/25)*HH122+(1-EXP(-LN(2)/25))/(LN(2)/25)*Calculateur!HC123*Calculateur!HE123*VLOOKUP('Données projet'!$B$18,Paramètres!$A$1:$I$89,3,0)*0.475*44/12</f>
        <v>#N/A</v>
      </c>
      <c r="HI123" s="129" t="e">
        <f aca="false">EXP(-LN(2)/2)*HI122+(1-EXP(-LN(2)/2))/(LN(2)/2)*HC123*HF123*VLOOKUP('Données projet'!$B$18,Paramètres!$A$1:$I$89,3,0)*0.475*44/12</f>
        <v>#N/A</v>
      </c>
      <c r="HJ123" s="130" t="e">
        <f aca="false">SUM(HG123:HI123)</f>
        <v>#N/A</v>
      </c>
    </row>
    <row r="124" customFormat="false" ht="14.25" hidden="false" customHeight="false" outlineLevel="0" collapsed="false">
      <c r="A124" s="112" t="n">
        <f aca="false">A123+1</f>
        <v>121</v>
      </c>
      <c r="B124" s="113" t="n">
        <f aca="false">'Scénario référence'!$B$16*5+'Scénario référence'!$B$17*0+'Scénario référence'!$B$18*5</f>
        <v>0</v>
      </c>
      <c r="C124" s="127" t="n">
        <f aca="false"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4" t="n">
        <f aca="false">IFERROR(EXP(-1.0587+0.8836*LN(C124)+0.284),0)</f>
        <v>0</v>
      </c>
      <c r="E12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4" s="114" t="n">
        <f aca="false">IF(OR('Scénario référence'!$F$8&gt;0,'Scénario référence'!$F$9&gt;0),('Scénario référence'!$F$8+'Scénario référence'!$F$9)*10,0)</f>
        <v>0</v>
      </c>
      <c r="G124" s="114" t="n">
        <f aca="false"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15" t="n">
        <f aca="false">(B124+E124+F124)*44/12+(C124+D124)*0.475*44/12</f>
        <v>256.666666666667</v>
      </c>
      <c r="I124" s="11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7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8" t="e">
        <f aca="false">VLOOKUP(A124,'Données projet'!$A$35:$I$55,2,0)</f>
        <v>#N/A</v>
      </c>
      <c r="L124" s="118" t="e">
        <f aca="false">VLOOKUP(A124,'Données projet'!$A$35:$I$55,9,0)</f>
        <v>#N/A</v>
      </c>
      <c r="M124" s="118" t="e">
        <f aca="false" t="array" ref="M124:M124">INDEX(L:L,MIN(IF(ISNUMBER(L124:L320),ROW(L124:L320),"")))</f>
        <v>#N/A</v>
      </c>
      <c r="N124" s="117" t="n">
        <f aca="false">IF('Données projet'!$A$36&gt;35,N123+M124-V123,IF(A124&lt;'Données projet'!$A$36,$K$205^A124,IF(A124='Données projet'!$A$36,'Données projet'!$B$36,N123+M124-V123)))</f>
        <v>-1.13686837721616E-013</v>
      </c>
      <c r="O124" s="117" t="n">
        <f aca="false">N124*VLOOKUP('Données projet'!$B$9,Paramètres!$A$1:$I$89,3,0)*VLOOKUP('Données projet'!$B$9,Paramètres!$A$1:$I$89,5,0)</f>
        <v>-5.32054400537163E-014</v>
      </c>
      <c r="P124" s="117" t="e">
        <f aca="false">EXP(-1.0587+0.8836*LN(O124)+0.284)</f>
        <v>#VALUE!</v>
      </c>
      <c r="Q124" s="128" t="e">
        <f aca="false">(O124+P124)*0.475*44/12</f>
        <v>#VALUE!</v>
      </c>
      <c r="R124" s="120" t="e">
        <f aca="false">Q124+(I124+J124)*44/12</f>
        <v>#VALUE!</v>
      </c>
      <c r="S124" s="120" t="n">
        <f aca="true">AVERAGE(OFFSET($R$3,0,0,'Données projet'!$E$9+1,1))-AVERAGE(OFFSET($H$3,0,0,'Données projet'!$E$9+1,1))</f>
        <v>319.229030946746</v>
      </c>
      <c r="T124" s="120" t="n">
        <f aca="false">$T$3</f>
        <v>254.586909731428</v>
      </c>
      <c r="U124" s="121" t="n">
        <f aca="false">IF(ISNA(VLOOKUP(A124,'Données projet'!$A$35:$I$55,3,0)),0,VLOOKUP(A124,'Données projet'!$A$35:$I$55,3,0))</f>
        <v>0</v>
      </c>
      <c r="V124" s="121" t="n">
        <f aca="false">IF(ISNA(VLOOKUP(A124,'Données projet'!$A$35:$I$55,4,0)),0,VLOOKUP(A124,'Données projet'!$A$35:$I$55,4,0))</f>
        <v>0</v>
      </c>
      <c r="W124" s="122" t="n">
        <f aca="false">IF(ISNA(VLOOKUP(A124,'Données projet'!$A$35:$I$55,5,0)),0%,VLOOKUP(A124,'Données projet'!$A$35:$I$55,5,0)*VLOOKUP('Données projet'!$B$9,Paramètres!$A$1:$I$89,7,0))</f>
        <v>0</v>
      </c>
      <c r="X124" s="122" t="n">
        <f aca="false">IF(ISNA(VLOOKUP(A124,'Données projet'!$A$35:$I$55,6,0)),0%,VLOOKUP(A124,'Données projet'!$A$35:$I$55,6,0)*VLOOKUP('Données projet'!$B$9,Paramètres!$A$1:$I$89,7,0))</f>
        <v>0</v>
      </c>
      <c r="Y124" s="122" t="n">
        <f aca="false">IF(ISNA(VLOOKUP(A124,'Données projet'!$A$35:$I$55,7,0)),0%,VLOOKUP(A124,'Données projet'!$A$35:$I$55,7,0))</f>
        <v>0</v>
      </c>
      <c r="Z124" s="129" t="n">
        <f aca="false">EXP(-LN(2)/35)*Z123+(1-EXP(-LN(2)/35))/(LN(2)/35)*V124*W124*VLOOKUP('Données projet'!$B$9,Paramètres!$A$1:$I$89,3,0)*0.475*44/12</f>
        <v>1.49700929176591</v>
      </c>
      <c r="AA124" s="129" t="n">
        <f aca="false">EXP(-LN(2)/25)*AA123+(1-EXP(-LN(2)/25))/(LN(2)/25)*Calculateur!V124*Calculateur!X124*VLOOKUP('Données projet'!$B$9,Paramètres!$A$1:$I$89,3,0)*0.475*44/12</f>
        <v>0.89449332238229</v>
      </c>
      <c r="AB124" s="129" t="n">
        <f aca="false">EXP(-LN(2)/2)*AB123+(1-EXP(-LN(2)/2))/(LN(2)/2)*V124*Y124*VLOOKUP('Données projet'!$B$9,Paramètres!$A$1:$I$89,3,0)*0.475*44/12</f>
        <v>2.21935782445935E-013</v>
      </c>
      <c r="AC124" s="130" t="n">
        <f aca="false">SUM(Z124:AB124)</f>
        <v>2.39150261414842</v>
      </c>
      <c r="AD124" s="117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7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8" t="e">
        <f aca="false">VLOOKUP(A124,'Données projet'!$A$61:$I$81,2,0)</f>
        <v>#N/A</v>
      </c>
      <c r="AG124" s="118" t="e">
        <f aca="false">VLOOKUP(A124,'Données projet'!$A$61:$I$81,9,0)</f>
        <v>#N/A</v>
      </c>
      <c r="AH124" s="118" t="e">
        <f aca="false" t="array" ref="AH124:AH124">INDEX(AG:AG,MIN(IF(ISNUMBER(AG124:AG320),ROW(AG124:AG320),"")))</f>
        <v>#N/A</v>
      </c>
      <c r="AI124" s="117" t="n">
        <f aca="false">IF('Données projet'!$A$62&gt;35,AI123+AH124-AQ123,IF(A124&lt;'Données projet'!$A$62,$AF$205^A124,IF(A124='Données projet'!$A$62,'Données projet'!$B$62,AI123+AH124-AQ123)))</f>
        <v>1.13686837721616E-013</v>
      </c>
      <c r="AJ124" s="117" t="n">
        <f aca="false">AI124*VLOOKUP('Données projet'!$B$10,Paramètres!$A$1:$I$89,3,0)*VLOOKUP('Données projet'!$B$10,Paramètres!$A$1:$I$89,5,0)</f>
        <v>6.35509422863834E-014</v>
      </c>
      <c r="AK124" s="117" t="n">
        <f aca="false">EXP(-1.0587+0.8836*LN(AJ124)+0.284)</f>
        <v>1.0064464192544E-012</v>
      </c>
      <c r="AL124" s="128" t="n">
        <f aca="false">(AJ124+AK124)*0.475*44/12</f>
        <v>1.86357873801686E-012</v>
      </c>
      <c r="AM124" s="120" t="n">
        <f aca="false">AL124+(AD124+AE124)*44/12</f>
        <v>293.333333333335</v>
      </c>
      <c r="AN124" s="120" t="n">
        <f aca="true">AVERAGE(OFFSET($AM$3,0,0,'Données projet'!$E$10+1,1))-AVERAGE(OFFSET($H$3,0,0,'Données projet'!$E$10+1,1))</f>
        <v>365.705101827279</v>
      </c>
      <c r="AO124" s="120" t="n">
        <f aca="false">$AO$3</f>
        <v>436.238338449625</v>
      </c>
      <c r="AP124" s="121" t="n">
        <f aca="false">IF(ISNA(VLOOKUP(A124,'Données projet'!$A$61:$I$81,3,0)),0,VLOOKUP(A124,'Données projet'!$A$61:$I$81,3,0))</f>
        <v>0</v>
      </c>
      <c r="AQ124" s="121" t="n">
        <f aca="false">IF(ISNA(VLOOKUP(A124,'Données projet'!$A$61:$I$81,4,0)),0,VLOOKUP(A124,'Données projet'!$A$61:$I$81,4,0))</f>
        <v>0</v>
      </c>
      <c r="AR124" s="122" t="n">
        <f aca="false">IF(ISNA(VLOOKUP(A124,'Données projet'!$A$61:$I$81,5,0)),0%,VLOOKUP(A124,'Données projet'!$A$61:$I$81,5,0)*VLOOKUP('Données projet'!$B$10,Paramètres!$A$1:$I$89,7,0))</f>
        <v>0</v>
      </c>
      <c r="AS124" s="122" t="n">
        <f aca="false">IF(ISNA(VLOOKUP(A124,'Données projet'!$A$61:$I$81,6,0)),0%,VLOOKUP(A124,'Données projet'!$A$61:$I$81,6,0)*VLOOKUP('Données projet'!$B$10,Paramètres!$A$1:$I$89,7,0))</f>
        <v>0</v>
      </c>
      <c r="AT124" s="122" t="n">
        <f aca="false">IF(ISNA(VLOOKUP(A124,'Données projet'!$A$61:$I$81,7,0)),0%,VLOOKUP(A124,'Données projet'!$A$61:$I$81,7,0))</f>
        <v>0</v>
      </c>
      <c r="AU124" s="129" t="n">
        <f aca="false">EXP(-LN(2)/35)*AU123+(1-EXP(-LN(2)/35))/(LN(2)/35)*AQ124*AR124*VLOOKUP('Données projet'!$B$10,Paramètres!$A$1:$I$89,3,0)*0.475*44/12</f>
        <v>0.565072472490115</v>
      </c>
      <c r="AV124" s="129" t="n">
        <f aca="false">EXP(-LN(2)/25)*AV123+(1-EXP(-LN(2)/25))/(LN(2)/25)*Calculateur!AQ124*Calculateur!AS124*VLOOKUP('Données projet'!$B$10,Paramètres!$A$1:$I$89,3,0)*0.475*44/12</f>
        <v>1.05947897521798</v>
      </c>
      <c r="AW124" s="129" t="n">
        <f aca="false">EXP(-LN(2)/2)*AW123+(1-EXP(-LN(2)/2))/(LN(2)/2)*AQ124*AT124*VLOOKUP('Données projet'!$B$10,Paramètres!$A$1:$I$89,3,0)*0.475*44/12</f>
        <v>1.1943890156332E-013</v>
      </c>
      <c r="AX124" s="129" t="n">
        <f aca="false">SUM(AU124:AW124)</f>
        <v>1.62455144770822</v>
      </c>
      <c r="AY124" s="124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8" t="e">
        <f aca="false">VLOOKUP(A124,'Données projet'!$A$87:$I$107,2,0)</f>
        <v>#N/A</v>
      </c>
      <c r="BB124" s="118" t="e">
        <f aca="false">VLOOKUP(A124,'Données projet'!$A$87:$I$107,9,0)</f>
        <v>#N/A</v>
      </c>
      <c r="BC124" s="118" t="e">
        <f aca="false" t="array" ref="BC124:BC124">INDEX(BB:BB,MIN(IF(ISNUMBER(BB124:BB320),ROW(BB124:BB320),"")))</f>
        <v>#N/A</v>
      </c>
      <c r="BD124" s="118" t="n">
        <f aca="false">IF('Données projet'!$A$88&gt;35,BD123+BC124-BL123,IF(A124&lt;'Données projet'!$A$88,$BA$205^A124,IF(A124='Données projet'!$A$88,'Données projet'!$B$88,BD123+BC124-BL123)))</f>
        <v>1.98951966012828E-013</v>
      </c>
      <c r="BE124" s="117" t="n">
        <f aca="false">BD124*VLOOKUP('Données projet'!$B$11,Paramètres!$A$1:$I$89,3,0)*VLOOKUP('Données projet'!$B$11,Paramètres!$A$1:$I$89,5,0)</f>
        <v>1.73804437508807E-013</v>
      </c>
      <c r="BF124" s="117" t="n">
        <f aca="false">EXP(-1.0587+0.8836*LN(BE124)+0.284)</f>
        <v>2.44832936339505E-012</v>
      </c>
      <c r="BG124" s="128" t="n">
        <f aca="false">(BE124+BF124)*0.475*44/12</f>
        <v>4.56688303657421E-012</v>
      </c>
      <c r="BH124" s="120" t="n">
        <f aca="false">BG124+(AY124+AZ124)*44/12</f>
        <v>293.333333333338</v>
      </c>
      <c r="BI124" s="120" t="n">
        <f aca="true">AVERAGE(OFFSET($BH$3,0,0,'Données projet'!$E$11+1,1))-AVERAGE(OFFSET($H$3,0,0,'Données projet'!$E$11+1,1))</f>
        <v>321.235999689929</v>
      </c>
      <c r="BJ124" s="120" t="n">
        <f aca="false">$BJ$3</f>
        <v>388.051958478005</v>
      </c>
      <c r="BK124" s="121" t="n">
        <f aca="false">IF(ISNA(VLOOKUP(A124,'Données projet'!$A$87:$I$107,3,0)),0,VLOOKUP(A124,'Données projet'!$A$87:$I$107,3,0))</f>
        <v>0</v>
      </c>
      <c r="BL124" s="121" t="n">
        <f aca="false">IF(ISNA(VLOOKUP(A124,'Données projet'!$A$87:$I$107,4,0)),0,VLOOKUP(A124,'Données projet'!$A$87:$I$107,4,0))</f>
        <v>0</v>
      </c>
      <c r="BM124" s="122" t="n">
        <f aca="false">IF(ISNA(VLOOKUP(A124,'Données projet'!$A$87:$I$107,5,0)),0%,VLOOKUP(A124,'Données projet'!$A$87:$I$107,5,0)*VLOOKUP('Données projet'!$B$11,Paramètres!$A$1:$I$89,7,0))</f>
        <v>0</v>
      </c>
      <c r="BN124" s="122" t="n">
        <f aca="false">IF(ISNA(VLOOKUP(A124,'Données projet'!$A$87:$I$107,6,0)),0%,VLOOKUP(A124,'Données projet'!$A$87:$I$107,6,0)*VLOOKUP('Données projet'!$B$11,Paramètres!$A$1:$I$89,7,0))</f>
        <v>0</v>
      </c>
      <c r="BO124" s="122" t="n">
        <f aca="false">IF(ISNA(VLOOKUP(A124,'Données projet'!$A$87:$I$107,7,0)),0%,VLOOKUP(A124,'Données projet'!$A$87:$I$107,7,0))</f>
        <v>0</v>
      </c>
      <c r="BP124" s="129" t="n">
        <f aca="false">EXP(-LN(2)/35)*BP123+(1-EXP(-LN(2)/35))/(LN(2)/35)*BL124*BM124*VLOOKUP('Données projet'!$B$11,Paramètres!$A$1:$I$89,3,0)*0.475*44/12</f>
        <v>1.41868301483331</v>
      </c>
      <c r="BQ124" s="129" t="n">
        <f aca="false">EXP(-LN(2)/25)*BQ123+(1-EXP(-LN(2)/25))/(LN(2)/25)*Calculateur!BL124*Calculateur!BN124*VLOOKUP('Données projet'!$B$11,Paramètres!$A$1:$I$89,3,0)*0.475*44/12</f>
        <v>1.08145320874211</v>
      </c>
      <c r="BR124" s="129" t="n">
        <f aca="false">EXP(-LN(2)/2)*BR123+(1-EXP(-LN(2)/2))/(LN(2)/2)*BL124*BO124*VLOOKUP('Données projet'!$B$11,Paramètres!$A$1:$I$89,3,0)*0.475*44/12</f>
        <v>1.21407160860273E-013</v>
      </c>
      <c r="BS124" s="130" t="n">
        <f aca="false">SUM(BP124:BR124)</f>
        <v>2.50013622357554</v>
      </c>
      <c r="BT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8" t="e">
        <f aca="false">VLOOKUP(A124,'Données projet'!$A$113:$I$133,2,0)</f>
        <v>#N/A</v>
      </c>
      <c r="BW124" s="118" t="e">
        <f aca="false">VLOOKUP(A124,'Données projet'!$A$113:$I$133,9,0)</f>
        <v>#N/A</v>
      </c>
      <c r="BX124" s="118" t="e">
        <f aca="false" t="array" ref="BX124:BX124">INDEX(BW:BW,MIN(IF(ISNUMBER(BW124:BW320),ROW(BW124:BW320),"")))</f>
        <v>#N/A</v>
      </c>
      <c r="BY124" s="118" t="n">
        <f aca="false">IF('Données projet'!$A$114&gt;35,BY123+BX124-CG123,IF(A124&lt;'Données projet'!$A$114,$BV$205^A124,IF(A124='Données projet'!$A$114,'Données projet'!$B$114,BY123+BX124-CG123)))</f>
        <v>0</v>
      </c>
      <c r="BZ124" s="117" t="n">
        <f aca="false">BY124*VLOOKUP('Données projet'!$B$12,Paramètres!$A$1:$I$89,3,0)*VLOOKUP('Données projet'!$B$12,Paramètres!$A$1:$I$89,5,0)</f>
        <v>0</v>
      </c>
      <c r="CA124" s="117" t="e">
        <f aca="false">EXP(-1.0587+0.8836*LN(BZ124)+0.284)</f>
        <v>#VALUE!</v>
      </c>
      <c r="CB124" s="128" t="e">
        <f aca="false">(BZ124+CA124)*0.475*44/12</f>
        <v>#VALUE!</v>
      </c>
      <c r="CC124" s="120" t="e">
        <f aca="false">CB124+(BT124+BU124)*44/12</f>
        <v>#VALUE!</v>
      </c>
      <c r="CD124" s="120" t="n">
        <f aca="true">AVERAGE(OFFSET($CC$3,0,0,'Données projet'!$E$12+1,1))-AVERAGE(OFFSET($H$3,0,0,'Données projet'!$E$12+1,1))</f>
        <v>240.228848647662</v>
      </c>
      <c r="CE124" s="120" t="n">
        <f aca="false">$CE$3</f>
        <v>343.237768841432</v>
      </c>
      <c r="CF124" s="121" t="n">
        <f aca="false">IF(ISNA(VLOOKUP(A124,'Données projet'!$A$113:$I$133,3,0)),0,VLOOKUP(A124,'Données projet'!$A$113:$I$133,3,0))</f>
        <v>0</v>
      </c>
      <c r="CG124" s="121" t="n">
        <f aca="false">IF(ISNA(VLOOKUP(A124,'Données projet'!$A$113:$I$133,4,0)),0,VLOOKUP(A124,'Données projet'!$A$113:$I$133,4,0))</f>
        <v>0</v>
      </c>
      <c r="CH124" s="122" t="n">
        <f aca="false">IF(ISNA(VLOOKUP(A124,'Données projet'!$A$113:$I$133,5,0)),0%,VLOOKUP(A124,'Données projet'!$A$113:$I$133,5,0)*VLOOKUP('Données projet'!$B$12,Paramètres!$A$1:$I$89,7,0))</f>
        <v>0</v>
      </c>
      <c r="CI124" s="122" t="n">
        <f aca="false">IF(ISNA(VLOOKUP(A124,'Données projet'!$A$113:$I$133,6,0)),0%,VLOOKUP(A124,'Données projet'!$A$113:$I$133,6,0)*VLOOKUP('Données projet'!$B$12,Paramètres!$A$1:$I$89,7,0))</f>
        <v>0</v>
      </c>
      <c r="CJ124" s="122" t="n">
        <f aca="false">IF(ISNA(VLOOKUP(A124,'Données projet'!$A$113:$I$133,7,0)),0%,VLOOKUP(A124,'Données projet'!$A$113:$I$133,7,0))</f>
        <v>0</v>
      </c>
      <c r="CK124" s="129" t="n">
        <f aca="false">EXP(-LN(2)/35)*CK123+(1-EXP(-LN(2)/35))/(LN(2)/35)*CG124*CH124*VLOOKUP('Données projet'!$B$12,Paramètres!$A$1:$I$89,3,0)*0.475*44/12</f>
        <v>0.86834453036234</v>
      </c>
      <c r="CL124" s="129" t="n">
        <f aca="false">EXP(-LN(2)/25)*CL123+(1-EXP(-LN(2)/25))/(LN(2)/25)*Calculateur!CG124*Calculateur!CI124*VLOOKUP('Données projet'!$B$12,Paramètres!$A$1:$I$89,3,0)*0.475*44/12</f>
        <v>1.90990897184228</v>
      </c>
      <c r="CM124" s="129" t="n">
        <f aca="false">EXP(-LN(2)/2)*CM123+(1-EXP(-LN(2)/2))/(LN(2)/2)*CG124*CJ124*VLOOKUP('Données projet'!$B$12,Paramètres!$A$1:$I$89,3,0)*0.475*44/12</f>
        <v>1.93733461602462E-013</v>
      </c>
      <c r="CN124" s="130" t="n">
        <f aca="false">SUM(CK124:CM124)</f>
        <v>2.77825350220481</v>
      </c>
      <c r="CO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8" t="e">
        <f aca="false">VLOOKUP(A124,'Données projet'!$A$139:$I$159,2,0)</f>
        <v>#N/A</v>
      </c>
      <c r="CR124" s="118" t="e">
        <f aca="false">VLOOKUP(A124,'Données projet'!$A$139:$I$159,9,0)</f>
        <v>#N/A</v>
      </c>
      <c r="CS124" s="118" t="e">
        <f aca="false" t="array" ref="CS124:CS124">INDEX(CR:CR,MIN(IF(ISNUMBER(CR124:CR320),ROW(CR124:CR320),"")))</f>
        <v>#N/A</v>
      </c>
      <c r="CT124" s="118" t="n">
        <f aca="false">IF('Données projet'!$A$140&gt;35,CT123+CS124-DB123,IF(A124&lt;'Données projet'!$A$140,$CQ$205^A124,IF(A124='Données projet'!$A$140,'Données projet'!$B$140,CT123+CS124-DB123)))</f>
        <v>-5.6843418860808E-014</v>
      </c>
      <c r="CU124" s="125" t="n">
        <f aca="false">CT124*VLOOKUP('Données projet'!$B$13,Paramètres!$A$1:$I$89,3,0)*VLOOKUP('Données projet'!$B$13,Paramètres!$A$1:$I$89,5,0)</f>
        <v>-3.10365066980012E-014</v>
      </c>
      <c r="CV124" s="117" t="e">
        <f aca="false">EXP(-1.0587+0.8836*LN(CU124)+0.284)</f>
        <v>#VALUE!</v>
      </c>
      <c r="CW124" s="128" t="e">
        <f aca="false">(CU124+CV124)*0.475*44/12</f>
        <v>#VALUE!</v>
      </c>
      <c r="CX124" s="120" t="e">
        <f aca="false">CW124+(CO124+CP124)*44/12</f>
        <v>#VALUE!</v>
      </c>
      <c r="CY124" s="120" t="n">
        <f aca="true">AVERAGE(OFFSET($CX$3,0,0,'Données projet'!$E$13+1,1))-AVERAGE(OFFSET($H$3,0,0,'Données projet'!$E$13+1,1))</f>
        <v>207.023069645676</v>
      </c>
      <c r="CZ124" s="120" t="n">
        <f aca="false">$CZ$3</f>
        <v>342.068879333518</v>
      </c>
      <c r="DA124" s="121" t="n">
        <f aca="false">IF(ISNA(VLOOKUP(A124,'Données projet'!$A$139:$I$159,3,0)),0,VLOOKUP(A124,'Données projet'!$A$139:$I$159,3,0))</f>
        <v>0</v>
      </c>
      <c r="DB124" s="121" t="n">
        <f aca="false">IF(ISNA(VLOOKUP(A124,'Données projet'!$A$139:$I$159,4,0)),0,VLOOKUP(A124,'Données projet'!$A$139:$I$159,4,0))</f>
        <v>0</v>
      </c>
      <c r="DC124" s="122" t="n">
        <f aca="false">IF(ISNA(VLOOKUP(A124,'Données projet'!$A$139:$I$159,5,0)),0%,VLOOKUP(A124,'Données projet'!$A$139:$I$159,5,0)*VLOOKUP('Données projet'!$B$13,Paramètres!$A$1:$I$89,7,0))</f>
        <v>0</v>
      </c>
      <c r="DD124" s="122" t="n">
        <f aca="false">IF(ISNA(VLOOKUP(A124,'Données projet'!$A$139:$I$159,6,0)),0%,VLOOKUP(A124,'Données projet'!$A$139:$I$159,6,0)*VLOOKUP('Données projet'!$B$13,Paramètres!$A$1:$I$89,7,0))</f>
        <v>0</v>
      </c>
      <c r="DE124" s="122" t="n">
        <f aca="false">IF(ISNA(VLOOKUP(A124,'Données projet'!$A$139:$I$159,7,0)),0%,VLOOKUP(A124,'Données projet'!$A$139:$I$159,7,0))</f>
        <v>0</v>
      </c>
      <c r="DF124" s="129" t="n">
        <f aca="false">EXP(-LN(2)/35)*DF123+(1-EXP(-LN(2)/35))/(LN(2)/35)*DB124*DC124*VLOOKUP('Données projet'!$B$13,Paramètres!$A$1:$I$89,3,0)*0.475*44/12</f>
        <v>1.08952662771879</v>
      </c>
      <c r="DG124" s="129" t="n">
        <f aca="false">EXP(-LN(2)/25)*DG123+(1-EXP(-LN(2)/25))/(LN(2)/25)*Calculateur!DB124*Calculateur!DD124*VLOOKUP('Données projet'!$B$13,Paramètres!$A$1:$I$89,3,0)*0.475*44/12</f>
        <v>3.12190571321568</v>
      </c>
      <c r="DH124" s="129" t="n">
        <f aca="false">EXP(-LN(2)/2)*DH123+(1-EXP(-LN(2)/2))/(LN(2)/2)*DB124*DE124*VLOOKUP('Données projet'!$B$13,Paramètres!$A$1:$I$89,3,0)*0.475*44/12</f>
        <v>2.66771066446303E-013</v>
      </c>
      <c r="DI124" s="130" t="n">
        <f aca="false">SUM(DF124:DH124)</f>
        <v>4.21143234093473</v>
      </c>
      <c r="DJ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8" t="e">
        <f aca="false">VLOOKUP(A124,'Données projet'!$A$165:$I$185,2,0)</f>
        <v>#N/A</v>
      </c>
      <c r="DM124" s="118" t="e">
        <f aca="false">VLOOKUP(A124,'Données projet'!$A$165:$I$185,9,0)</f>
        <v>#N/A</v>
      </c>
      <c r="DN124" s="118" t="e">
        <f aca="false" t="array" ref="DN124:DN124">INDEX(DM:DM,MIN(IF(ISNUMBER(DM124:DM320),ROW(DM124:DM320),"")))</f>
        <v>#N/A</v>
      </c>
      <c r="DO124" s="118" t="n">
        <f aca="false">IF('Données projet'!$A$166&gt;35,DO123+DN124-DW123,IF(A124&lt;'Données projet'!$A$166,$DL$205^A124,IF(A124='Données projet'!$A$166,'Données projet'!$B$166,DO123+DN124-DW123)))</f>
        <v>0</v>
      </c>
      <c r="DP124" s="125" t="n">
        <f aca="false">DO124*VLOOKUP('Données projet'!$B$14,Paramètres!$A$1:$I$89,3,0)*VLOOKUP('Données projet'!$B$14,Paramètres!$A$1:$I$89,5,0)</f>
        <v>0</v>
      </c>
      <c r="DQ124" s="117" t="e">
        <f aca="false">EXP(-1.0587+0.8836*LN(DP124)+0.284)</f>
        <v>#VALUE!</v>
      </c>
      <c r="DR124" s="128" t="e">
        <f aca="false">(DP124+DQ124)*0.475*44/12</f>
        <v>#VALUE!</v>
      </c>
      <c r="DS124" s="120" t="e">
        <f aca="false">DR124+(DJ124+DK124)*44/12</f>
        <v>#VALUE!</v>
      </c>
      <c r="DT124" s="120" t="n">
        <f aca="true">AVERAGE(OFFSET($DS$3,0,0,'Données projet'!$E$14+1,1))-AVERAGE(OFFSET($H$3,0,0,'Données projet'!$E$14+1,1))</f>
        <v>549.432320957297</v>
      </c>
      <c r="DU124" s="120" t="n">
        <f aca="false">$DU$3</f>
        <v>280.26155987301</v>
      </c>
      <c r="DV124" s="121" t="n">
        <f aca="false">IF(ISNA(VLOOKUP(A124,'Données projet'!$A$165:$I$185,3,0)),0,VLOOKUP(A124,'Données projet'!$A$165:$I$185,3,0))</f>
        <v>0</v>
      </c>
      <c r="DW124" s="121" t="n">
        <f aca="false">IF(ISNA(VLOOKUP(A124,'Données projet'!$A$165:$I$185,4,0)),0,VLOOKUP(A124,'Données projet'!$A$165:$I$185,4,0))</f>
        <v>0</v>
      </c>
      <c r="DX124" s="122" t="n">
        <f aca="false">IF(ISNA(VLOOKUP(A124,'Données projet'!$A$165:$I$185,5,0)),0%,VLOOKUP(A124,'Données projet'!$A$165:$I$185,5,0)*VLOOKUP('Données projet'!$B$14,Paramètres!$A$1:$I$89,7,0))</f>
        <v>0</v>
      </c>
      <c r="DY124" s="122" t="n">
        <f aca="false">IF(ISNA(VLOOKUP(A124,'Données projet'!$A$165:$I$185,6,0)),0%,VLOOKUP(A124,'Données projet'!$A$165:$I$185,6,0)*VLOOKUP('Données projet'!$B$14,Paramètres!$A$1:$I$89,7,0))</f>
        <v>0</v>
      </c>
      <c r="DZ124" s="122" t="n">
        <f aca="false">IF(ISNA(VLOOKUP(A124,'Données projet'!$A$165:$I$185,7,0)),0%,VLOOKUP(A124,'Données projet'!$A$165:$I$185,7,0))</f>
        <v>0</v>
      </c>
      <c r="EA124" s="129" t="n">
        <f aca="false">EXP(-LN(2)/35)*EA123+(1-EXP(-LN(2)/35))/(LN(2)/35)*DW124*DX124*VLOOKUP('Données projet'!$B$14,Paramètres!$A$1:$I$89,3,0)*0.475*44/12</f>
        <v>0.396150666968619</v>
      </c>
      <c r="EB124" s="129" t="n">
        <f aca="false">EXP(-LN(2)/25)*EB123+(1-EXP(-LN(2)/25))/(LN(2)/25)*Calculateur!DW124*Calculateur!DY124*VLOOKUP('Données projet'!$B$14,Paramètres!$A$1:$I$89,3,0)*0.475*44/12</f>
        <v>0.621945212189688</v>
      </c>
      <c r="EC124" s="129" t="n">
        <f aca="false">EXP(-LN(2)/2)*EC123+(1-EXP(-LN(2)/2))/(LN(2)/2)*DW124*DZ124*VLOOKUP('Données projet'!$B$14,Paramètres!$A$1:$I$89,3,0)*0.475*44/12</f>
        <v>1.22975962622863E-013</v>
      </c>
      <c r="ED124" s="130" t="n">
        <f aca="false">SUM(EA124:EC124)</f>
        <v>1.01809587915843</v>
      </c>
      <c r="EE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8" t="e">
        <f aca="false">VLOOKUP(A124,'Données projet'!$A$191:$I$211,2,0)</f>
        <v>#N/A</v>
      </c>
      <c r="EH124" s="118" t="e">
        <f aca="false">VLOOKUP(A124,'Données projet'!$A$191:$I$211,9,0)</f>
        <v>#N/A</v>
      </c>
      <c r="EI124" s="118" t="e">
        <f aca="false" t="array" ref="EI124:EI124">INDEX(EH:EH,MIN(IF(ISNUMBER(EH124:EH320),ROW(EH124:EH320),"")))</f>
        <v>#N/A</v>
      </c>
      <c r="EJ124" s="118" t="n">
        <f aca="false">IF('Données projet'!$A$192&gt;35,EJ123+EI124-ER123,IF(A124&lt;'Données projet'!$A$192,$EG$205^A124,IF(A124='Données projet'!$A$192,'Données projet'!$B$192,EJ123+EI124-ER123)))</f>
        <v>0</v>
      </c>
      <c r="EK124" s="125" t="e">
        <f aca="false">EJ124*VLOOKUP('Données projet'!$B$15,Paramètres!$A$1:$I$89,3,0)*VLOOKUP('Données projet'!$B$15,Paramètres!$A$1:$I$89,5,0)</f>
        <v>#N/A</v>
      </c>
      <c r="EL124" s="117" t="e">
        <f aca="false">EXP(-1.0587+0.8836*LN(EK124)+0.284)</f>
        <v>#N/A</v>
      </c>
      <c r="EM124" s="128" t="e">
        <f aca="false">(EK124+EL124)*0.475*44/12</f>
        <v>#N/A</v>
      </c>
      <c r="EN124" s="120" t="e">
        <f aca="false">EM124+(EE124+EF124)*44/12</f>
        <v>#N/A</v>
      </c>
      <c r="EO124" s="120" t="e">
        <f aca="true">AVERAGE(OFFSET($EN$3,0,0,'Données projet'!$E$15+1,1))-AVERAGE(OFFSET($H$3,0,0,'Données projet'!$E$15+1,1))</f>
        <v>#N/A</v>
      </c>
      <c r="EP124" s="120" t="e">
        <f aca="false">$EP$3</f>
        <v>#N/A</v>
      </c>
      <c r="EQ124" s="121" t="n">
        <f aca="false">IF(ISNA(VLOOKUP(A124,'Données projet'!$A$191:$I$211,3,0)),0,VLOOKUP(A124,'Données projet'!$A$191:$I$211,3,0))</f>
        <v>0</v>
      </c>
      <c r="ER124" s="121" t="n">
        <f aca="false">IF(ISNA(VLOOKUP(A124,'Données projet'!$A$191:$I$211,4,0)),0,VLOOKUP(A124,'Données projet'!$A$191:$I$211,4,0))</f>
        <v>0</v>
      </c>
      <c r="ES124" s="122" t="n">
        <f aca="false">IF(ISNA(VLOOKUP(A124,'Données projet'!$A$191:$I$211,5,0)),0%,VLOOKUP(A124,'Données projet'!$A$191:$I$211,5,0)*VLOOKUP('Données projet'!$B$15,Paramètres!$A$1:$I$89,7,0))</f>
        <v>0</v>
      </c>
      <c r="ET124" s="122" t="n">
        <f aca="false">IF(ISNA(VLOOKUP(A124,'Données projet'!$A$191:$I$211,6,0)),0%,VLOOKUP(A124,'Données projet'!$A$191:$I$211,6,0)*VLOOKUP('Données projet'!$B$15,Paramètres!$A$1:$I$89,7,0))</f>
        <v>0</v>
      </c>
      <c r="EU124" s="122" t="n">
        <f aca="false">IF(ISNA(VLOOKUP(A124,'Données projet'!$A$191:$I$211,7,0)),0%,VLOOKUP(A124,'Données projet'!$A$191:$I$211,7,0))</f>
        <v>0</v>
      </c>
      <c r="EV124" s="129" t="e">
        <f aca="false">EXP(-LN(2)/35)*EV123+(1-EXP(-LN(2)/35))/(LN(2)/35)*ER124*ES124*VLOOKUP('Données projet'!$B$15,Paramètres!$A$1:$I$89,3,0)*0.475*44/12</f>
        <v>#N/A</v>
      </c>
      <c r="EW124" s="129" t="e">
        <f aca="false">EXP(-LN(2)/25)*EW123+(1-EXP(-LN(2)/25))/(LN(2)/25)*Calculateur!ER124*Calculateur!ET124*VLOOKUP('Données projet'!$B$15,Paramètres!$A$1:$I$89,3,0)*0.475*44/12</f>
        <v>#N/A</v>
      </c>
      <c r="EX124" s="129" t="e">
        <f aca="false">EXP(-LN(2)/2)*EX123+(1-EXP(-LN(2)/2))/(LN(2)/2)*ER124*EU124*VLOOKUP('Données projet'!$B$15,Paramètres!$A$1:$I$89,3,0)*0.475*44/12</f>
        <v>#N/A</v>
      </c>
      <c r="EY124" s="130" t="e">
        <f aca="false">SUM(EV124:EX124)</f>
        <v>#N/A</v>
      </c>
      <c r="EZ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8" t="e">
        <f aca="false">VLOOKUP(A124,'Données projet'!$A$217:$I$237,2,0)</f>
        <v>#N/A</v>
      </c>
      <c r="FC124" s="118" t="e">
        <f aca="false">VLOOKUP(A124,'Données projet'!$A$217:$I$237,9,0)</f>
        <v>#N/A</v>
      </c>
      <c r="FD124" s="118" t="e">
        <f aca="false" t="array" ref="FD124:FD124">INDEX(FC:FC,MIN(IF(ISNUMBER(FC124:FC320),ROW(FC124:FC320),"")))</f>
        <v>#N/A</v>
      </c>
      <c r="FE124" s="118" t="n">
        <f aca="false">IF('Données projet'!$A$218&gt;35,FE123+FD124-FM123,IF(A124&lt;'Données projet'!$A$218,$FB$205^A124,IF(A124='Données projet'!$A$218,'Données projet'!$B$218,FE123+FD124-FM123)))</f>
        <v>0</v>
      </c>
      <c r="FF124" s="125" t="e">
        <f aca="false">FE124*VLOOKUP('Données projet'!$B$16,Paramètres!$A$1:$I$89,3,0)*VLOOKUP('Données projet'!$B$16,Paramètres!$A$1:$I$89,5,0)</f>
        <v>#N/A</v>
      </c>
      <c r="FG124" s="117" t="e">
        <f aca="false">EXP(-1.0587+0.8836*LN(FF124)+0.284)</f>
        <v>#N/A</v>
      </c>
      <c r="FH124" s="128" t="e">
        <f aca="false">(FF124+FG124)*0.475*44/12</f>
        <v>#N/A</v>
      </c>
      <c r="FI124" s="120" t="e">
        <f aca="false">FH124+(EZ124+FA124)*44/12</f>
        <v>#N/A</v>
      </c>
      <c r="FJ124" s="120" t="e">
        <f aca="true">AVERAGE(OFFSET($FI$3,0,0,'Données projet'!$E$16+1,1))-AVERAGE(OFFSET($H$3,0,0,'Données projet'!$E$16+1,1))</f>
        <v>#N/A</v>
      </c>
      <c r="FK124" s="120" t="e">
        <f aca="false">$FK$3</f>
        <v>#N/A</v>
      </c>
      <c r="FL124" s="121" t="n">
        <f aca="false">IF(ISNA(VLOOKUP(A124,'Données projet'!$A$217:$I$237,3,0)),0,VLOOKUP(A124,'Données projet'!$A$217:$I$237,3,0))</f>
        <v>0</v>
      </c>
      <c r="FM124" s="121" t="n">
        <f aca="false">IF(ISNA(VLOOKUP(A124,'Données projet'!$A$217:$I$237,4,0)),0,VLOOKUP(A124,'Données projet'!$A$217:$I$237,4,0))</f>
        <v>0</v>
      </c>
      <c r="FN124" s="122" t="n">
        <f aca="false">IF(ISNA(VLOOKUP(A124,'Données projet'!$A$217:$I$237,5,0)),0%,VLOOKUP(A124,'Données projet'!$A$217:$I$237,5,0)*VLOOKUP('Données projet'!$B$16,Paramètres!$A$1:$I$89,7,0))</f>
        <v>0</v>
      </c>
      <c r="FO124" s="122" t="n">
        <f aca="false">IF(ISNA(VLOOKUP(A124,'Données projet'!$A$217:$I$237,6,0)),0%,VLOOKUP(A124,'Données projet'!$A$217:$I$237,6,0)*VLOOKUP('Données projet'!$B$16,Paramètres!$A$1:$I$89,7,0))</f>
        <v>0</v>
      </c>
      <c r="FP124" s="122" t="n">
        <f aca="false">IF(ISNA(VLOOKUP(A124,'Données projet'!$A$217:$I$237,7,0)),0%,VLOOKUP(A124,'Données projet'!$A$217:$I$237,7,0))</f>
        <v>0</v>
      </c>
      <c r="FQ124" s="129" t="e">
        <f aca="false">EXP(-LN(2)/35)*FQ123+(1-EXP(-LN(2)/35))/(LN(2)/35)*FM124*FN124*VLOOKUP('Données projet'!$B$16,Paramètres!$A$1:$I$89,3,0)*0.475*44/12</f>
        <v>#N/A</v>
      </c>
      <c r="FR124" s="129" t="e">
        <f aca="false">EXP(-LN(2)/25)*FR123+(1-EXP(-LN(2)/25))/(LN(2)/25)*Calculateur!FM124*Calculateur!FO124*VLOOKUP('Données projet'!$B$16,Paramètres!$A$1:$I$89,3,0)*0.475*44/12</f>
        <v>#N/A</v>
      </c>
      <c r="FS124" s="129" t="e">
        <f aca="false">EXP(-LN(2)/2)*FS123+(1-EXP(-LN(2)/2))/(LN(2)/2)*FM124*FP124*VLOOKUP('Données projet'!$B$16,Paramètres!$A$1:$I$89,3,0)*0.475*44/12</f>
        <v>#N/A</v>
      </c>
      <c r="FT124" s="130" t="e">
        <f aca="false">SUM(FQ124:FS124)</f>
        <v>#N/A</v>
      </c>
      <c r="FU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8" t="e">
        <f aca="false">VLOOKUP(A124,'Données projet'!$A$243:$I$263,2,0)</f>
        <v>#N/A</v>
      </c>
      <c r="FX124" s="118" t="e">
        <f aca="false">VLOOKUP(A124,'Données projet'!$A$243:$I$263,9,0)</f>
        <v>#N/A</v>
      </c>
      <c r="FY124" s="118" t="e">
        <f aca="false" t="array" ref="FY124:FY124">INDEX(FX:FX,MIN(IF(ISNUMBER(FX124:FX320),ROW(FX124:FX320),"")))</f>
        <v>#N/A</v>
      </c>
      <c r="FZ124" s="118" t="n">
        <f aca="false">IF('Données projet'!$A$244&gt;35,FZ123+FY124-GH123,IF(A124&lt;'Données projet'!$A$244,$FW$205^A124,IF(A124='Données projet'!$A$244,'Données projet'!$B$244,FZ123+FY124-GH123)))</f>
        <v>0</v>
      </c>
      <c r="GA124" s="125" t="e">
        <f aca="false">FZ124*VLOOKUP('Données projet'!$B$17,Paramètres!$A$1:$I$89,3,0)*VLOOKUP('Données projet'!$B$17,Paramètres!$A$1:$I$89,5,0)</f>
        <v>#N/A</v>
      </c>
      <c r="GB124" s="117" t="e">
        <f aca="false">EXP(-1.0587+0.8836*LN(GA124)+0.284)</f>
        <v>#N/A</v>
      </c>
      <c r="GC124" s="128" t="e">
        <f aca="false">(GA124+GB124)*0.475*44/12</f>
        <v>#N/A</v>
      </c>
      <c r="GD124" s="120" t="e">
        <f aca="false">GC124+(FU124+FV124)*44/12</f>
        <v>#N/A</v>
      </c>
      <c r="GE124" s="120" t="e">
        <f aca="true">AVERAGE(OFFSET($GD$3,0,0,'Données projet'!$E$17+1,1))-AVERAGE(OFFSET($H$3,0,0,'Données projet'!$E$17+1,1))</f>
        <v>#N/A</v>
      </c>
      <c r="GF124" s="120" t="e">
        <f aca="false">$GF$3</f>
        <v>#N/A</v>
      </c>
      <c r="GG124" s="121" t="n">
        <f aca="false">IF(ISNA(VLOOKUP(A124,'Données projet'!$A$243:$I$263,3,0)),0,VLOOKUP(A124,'Données projet'!$A$243:$I$263,3,0))</f>
        <v>0</v>
      </c>
      <c r="GH124" s="121" t="n">
        <f aca="false">IF(ISNA(VLOOKUP(A124,'Données projet'!$A$243:$I$263,4,0)),0,VLOOKUP(A124,'Données projet'!$A$243:$I$263,4,0))</f>
        <v>0</v>
      </c>
      <c r="GI124" s="122" t="n">
        <f aca="false">IF(ISNA(VLOOKUP(A124,'Données projet'!$A$243:$I$263,5,0)),0%,VLOOKUP(A124,'Données projet'!$A$243:$I$263,5,0)*VLOOKUP('Données projet'!$B$17,Paramètres!$A$1:$I$89,7,0))</f>
        <v>0</v>
      </c>
      <c r="GJ124" s="122" t="n">
        <f aca="false">IF(ISNA(VLOOKUP(A124,'Données projet'!$A$243:$I$263,6,0)),0%,VLOOKUP(A124,'Données projet'!$A$243:$I$263,6,0)*VLOOKUP('Données projet'!$B$17,Paramètres!$A$1:$I$89,7,0))</f>
        <v>0</v>
      </c>
      <c r="GK124" s="122" t="n">
        <f aca="false">IF(ISNA(VLOOKUP(A124,'Données projet'!$A$243:$I$263,7,0)),0%,VLOOKUP(A124,'Données projet'!$A$243:$I$263,7,0))</f>
        <v>0</v>
      </c>
      <c r="GL124" s="129" t="e">
        <f aca="false">EXP(-LN(2)/35)*GL123+(1-EXP(-LN(2)/35))/(LN(2)/35)*GH124*GI124*VLOOKUP('Données projet'!$B$17,Paramètres!$A$1:$I$89,3,0)*0.475*44/12</f>
        <v>#N/A</v>
      </c>
      <c r="GM124" s="129" t="e">
        <f aca="false">EXP(-LN(2)/25)*GM123+(1-EXP(-LN(2)/25))/(LN(2)/25)*Calculateur!GH124*Calculateur!GJ124*VLOOKUP('Données projet'!$B$17,Paramètres!$A$1:$I$89,3,0)*0.475*44/12</f>
        <v>#N/A</v>
      </c>
      <c r="GN124" s="129" t="e">
        <f aca="false">EXP(-LN(2)/2)*GN123+(1-EXP(-LN(2)/2))/(LN(2)/2)*GH124*GK124*VLOOKUP('Données projet'!$B$17,Paramètres!$A$1:$I$89,3,0)*0.475*44/12</f>
        <v>#N/A</v>
      </c>
      <c r="GO124" s="129" t="e">
        <f aca="false">SUM(GL124:GN124)</f>
        <v>#N/A</v>
      </c>
      <c r="GP124" s="126" t="n">
        <f aca="false"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8" t="n">
        <f aca="false"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8" t="e">
        <f aca="false">VLOOKUP(A124,'Données projet'!$A$269:$I$289,2,0)</f>
        <v>#N/A</v>
      </c>
      <c r="GS124" s="118" t="e">
        <f aca="false">VLOOKUP(A124,'Données projet'!$A$269:$I$289,9,0)</f>
        <v>#N/A</v>
      </c>
      <c r="GT124" s="118" t="e">
        <f aca="false" t="array" ref="GT124:GT124">INDEX(GS:GS,MIN(IF(ISNUMBER(GS124:GS320),ROW(GS124:GS320),"")))</f>
        <v>#N/A</v>
      </c>
      <c r="GU124" s="118" t="n">
        <f aca="false">IF('Données projet'!$A$270&gt;35,GU123+GT124-HC123,IF(A124&lt;'Données projet'!$A$270,$GR$205^A124,IF(A124='Données projet'!$A$270,'Données projet'!$B$270,GU123+GT124-HC123)))</f>
        <v>0</v>
      </c>
      <c r="GV124" s="125" t="e">
        <f aca="false">GU124*VLOOKUP('Données projet'!$B$18,Paramètres!$A$1:$I$89,3,0)*VLOOKUP('Données projet'!$B$18,Paramètres!$A$1:$I$89,5,0)</f>
        <v>#N/A</v>
      </c>
      <c r="GW124" s="117" t="e">
        <f aca="false">EXP(-1.0587+0.8836*LN(GV124)+0.284)</f>
        <v>#N/A</v>
      </c>
      <c r="GX124" s="128" t="e">
        <f aca="false">(GV124+GW124)*0.475*44/12</f>
        <v>#N/A</v>
      </c>
      <c r="GY124" s="120" t="e">
        <f aca="false">GX124+(GP124+GQ124)*44/12</f>
        <v>#N/A</v>
      </c>
      <c r="GZ124" s="120" t="e">
        <f aca="true">AVERAGE(OFFSET($GY$3,0,0,'Données projet'!$E$18+1,1))-AVERAGE(OFFSET($H$3,0,0,'Données projet'!$E$18+1,1))</f>
        <v>#N/A</v>
      </c>
      <c r="HA124" s="120" t="e">
        <f aca="false">$HA$3</f>
        <v>#N/A</v>
      </c>
      <c r="HB124" s="121" t="n">
        <f aca="false">IF(ISNA(VLOOKUP(A124,'Données projet'!$A$269:$I$289,3,0)),0,VLOOKUP(A124,'Données projet'!$A$269:$I$289,3,0))</f>
        <v>0</v>
      </c>
      <c r="HC124" s="121" t="n">
        <f aca="false">IF(ISNA(VLOOKUP(A124,'Données projet'!$A$269:$I$289,4,0)),0,VLOOKUP(A124,'Données projet'!$A$269:$I$289,4,0))</f>
        <v>0</v>
      </c>
      <c r="HD124" s="122" t="n">
        <f aca="false">IF(ISNA(VLOOKUP(A124,'Données projet'!$A$269:$I$289,5,0)),0%,VLOOKUP(A124,'Données projet'!$A$269:$I$289,5,0)*VLOOKUP('Données projet'!$B$18,Paramètres!$A$1:$I$89,7,0))</f>
        <v>0</v>
      </c>
      <c r="HE124" s="122" t="n">
        <f aca="false">IF(ISNA(VLOOKUP(A124,'Données projet'!$A$269:$I$289,6,0)),0%,VLOOKUP(A124,'Données projet'!$A$269:$I$289,6,0)*VLOOKUP('Données projet'!$B$18,Paramètres!$A$1:$I$89,7,0))</f>
        <v>0</v>
      </c>
      <c r="HF124" s="122" t="n">
        <f aca="false">IF(ISNA(VLOOKUP(A124,'Données projet'!$A$269:$I$289,7,0)),0%,VLOOKUP(A124,'Données projet'!$A$269:$I$289,7,0))</f>
        <v>0</v>
      </c>
      <c r="HG124" s="129" t="e">
        <f aca="false">EXP(-LN(2)/35)*HG123+(1-EXP(-LN(2)/35))/(LN(2)/35)*HC124*HD124*VLOOKUP('Données projet'!$B$18,Paramètres!$A$1:$I$89,3,0)*0.475*44/12</f>
        <v>#N/A</v>
      </c>
      <c r="HH124" s="129" t="e">
        <f aca="false">EXP(-LN(2)/25)*HH123+(1-EXP(-LN(2)/25))/(LN(2)/25)*Calculateur!HC124*Calculateur!HE124*VLOOKUP('Données projet'!$B$18,Paramètres!$A$1:$I$89,3,0)*0.475*44/12</f>
        <v>#N/A</v>
      </c>
      <c r="HI124" s="129" t="e">
        <f aca="false">EXP(-LN(2)/2)*HI123+(1-EXP(-LN(2)/2))/(LN(2)/2)*HC124*HF124*VLOOKUP('Données projet'!$B$18,Paramètres!$A$1:$I$89,3,0)*0.475*44/12</f>
        <v>#N/A</v>
      </c>
      <c r="HJ124" s="130" t="e">
        <f aca="false">SUM(HG124:HI124)</f>
        <v>#N/A</v>
      </c>
    </row>
    <row r="125" customFormat="false" ht="14.25" hidden="false" customHeight="false" outlineLevel="0" collapsed="false">
      <c r="A125" s="112" t="n">
        <f aca="false">A124+1</f>
        <v>122</v>
      </c>
      <c r="B125" s="113" t="n">
        <f aca="false">'Scénario référence'!$B$16*5+'Scénario référence'!$B$17*0+'Scénario référence'!$B$18*5</f>
        <v>0</v>
      </c>
      <c r="C125" s="127" t="n">
        <f aca="false"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4" t="n">
        <f aca="false">IFERROR(EXP(-1.0587+0.8836*LN(C125)+0.284),0)</f>
        <v>0</v>
      </c>
      <c r="E12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5" s="114" t="n">
        <f aca="false">IF(OR('Scénario référence'!$F$8&gt;0,'Scénario référence'!$F$9&gt;0),('Scénario référence'!$F$8+'Scénario référence'!$F$9)*10,0)</f>
        <v>0</v>
      </c>
      <c r="G125" s="114" t="n">
        <f aca="false"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15" t="n">
        <f aca="false">(B125+E125+F125)*44/12+(C125+D125)*0.475*44/12</f>
        <v>256.666666666667</v>
      </c>
      <c r="I125" s="11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7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8" t="e">
        <f aca="false">VLOOKUP(A125,'Données projet'!$A$35:$I$55,2,0)</f>
        <v>#N/A</v>
      </c>
      <c r="L125" s="118" t="e">
        <f aca="false">VLOOKUP(A125,'Données projet'!$A$35:$I$55,9,0)</f>
        <v>#N/A</v>
      </c>
      <c r="M125" s="118" t="e">
        <f aca="false" t="array" ref="M125:M125">INDEX(L:L,MIN(IF(ISNUMBER(L125:L321),ROW(L125:L321),"")))</f>
        <v>#N/A</v>
      </c>
      <c r="N125" s="117" t="n">
        <f aca="false">IF('Données projet'!$A$36&gt;35,N124+M125-V124,IF(A125&lt;'Données projet'!$A$36,$K$205^A125,IF(A125='Données projet'!$A$36,'Données projet'!$B$36,N124+M125-V124)))</f>
        <v>-1.13686837721616E-013</v>
      </c>
      <c r="O125" s="117" t="n">
        <f aca="false">N125*VLOOKUP('Données projet'!$B$9,Paramètres!$A$1:$I$89,3,0)*VLOOKUP('Données projet'!$B$9,Paramètres!$A$1:$I$89,5,0)</f>
        <v>-5.32054400537163E-014</v>
      </c>
      <c r="P125" s="117" t="e">
        <f aca="false">EXP(-1.0587+0.8836*LN(O125)+0.284)</f>
        <v>#VALUE!</v>
      </c>
      <c r="Q125" s="128" t="e">
        <f aca="false">(O125+P125)*0.475*44/12</f>
        <v>#VALUE!</v>
      </c>
      <c r="R125" s="120" t="e">
        <f aca="false">Q125+(I125+J125)*44/12</f>
        <v>#VALUE!</v>
      </c>
      <c r="S125" s="120" t="n">
        <f aca="true">AVERAGE(OFFSET($R$3,0,0,'Données projet'!$E$9+1,1))-AVERAGE(OFFSET($H$3,0,0,'Données projet'!$E$9+1,1))</f>
        <v>319.229030946746</v>
      </c>
      <c r="T125" s="120" t="n">
        <f aca="false">$T$3</f>
        <v>254.586909731428</v>
      </c>
      <c r="U125" s="121" t="n">
        <f aca="false">IF(ISNA(VLOOKUP(A125,'Données projet'!$A$35:$I$55,3,0)),0,VLOOKUP(A125,'Données projet'!$A$35:$I$55,3,0))</f>
        <v>0</v>
      </c>
      <c r="V125" s="121" t="n">
        <f aca="false">IF(ISNA(VLOOKUP(A125,'Données projet'!$A$35:$I$55,4,0)),0,VLOOKUP(A125,'Données projet'!$A$35:$I$55,4,0))</f>
        <v>0</v>
      </c>
      <c r="W125" s="122" t="n">
        <f aca="false">IF(ISNA(VLOOKUP(A125,'Données projet'!$A$35:$I$55,5,0)),0%,VLOOKUP(A125,'Données projet'!$A$35:$I$55,5,0)*VLOOKUP('Données projet'!$B$9,Paramètres!$A$1:$I$89,7,0))</f>
        <v>0</v>
      </c>
      <c r="X125" s="122" t="n">
        <f aca="false">IF(ISNA(VLOOKUP(A125,'Données projet'!$A$35:$I$55,6,0)),0%,VLOOKUP(A125,'Données projet'!$A$35:$I$55,6,0)*VLOOKUP('Données projet'!$B$9,Paramètres!$A$1:$I$89,7,0))</f>
        <v>0</v>
      </c>
      <c r="Y125" s="122" t="n">
        <f aca="false">IF(ISNA(VLOOKUP(A125,'Données projet'!$A$35:$I$55,7,0)),0%,VLOOKUP(A125,'Données projet'!$A$35:$I$55,7,0))</f>
        <v>0</v>
      </c>
      <c r="Z125" s="129" t="n">
        <f aca="false">EXP(-LN(2)/35)*Z124+(1-EXP(-LN(2)/35))/(LN(2)/35)*V125*W125*VLOOKUP('Données projet'!$B$9,Paramètres!$A$1:$I$89,3,0)*0.475*44/12</f>
        <v>1.46765385263989</v>
      </c>
      <c r="AA125" s="129" t="n">
        <f aca="false">EXP(-LN(2)/25)*AA124+(1-EXP(-LN(2)/25))/(LN(2)/25)*Calculateur!V125*Calculateur!X125*VLOOKUP('Données projet'!$B$9,Paramètres!$A$1:$I$89,3,0)*0.475*44/12</f>
        <v>0.870033355442387</v>
      </c>
      <c r="AB125" s="129" t="n">
        <f aca="false">EXP(-LN(2)/2)*AB124+(1-EXP(-LN(2)/2))/(LN(2)/2)*V125*Y125*VLOOKUP('Données projet'!$B$9,Paramètres!$A$1:$I$89,3,0)*0.475*44/12</f>
        <v>1.56932296755463E-013</v>
      </c>
      <c r="AC125" s="130" t="n">
        <f aca="false">SUM(Z125:AB125)</f>
        <v>2.33768720808243</v>
      </c>
      <c r="AD125" s="117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7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8" t="e">
        <f aca="false">VLOOKUP(A125,'Données projet'!$A$61:$I$81,2,0)</f>
        <v>#N/A</v>
      </c>
      <c r="AG125" s="118" t="e">
        <f aca="false">VLOOKUP(A125,'Données projet'!$A$61:$I$81,9,0)</f>
        <v>#N/A</v>
      </c>
      <c r="AH125" s="118" t="e">
        <f aca="false" t="array" ref="AH125:AH125">INDEX(AG:AG,MIN(IF(ISNUMBER(AG125:AG321),ROW(AG125:AG321),"")))</f>
        <v>#N/A</v>
      </c>
      <c r="AI125" s="117" t="n">
        <f aca="false">IF('Données projet'!$A$62&gt;35,AI124+AH125-AQ124,IF(A125&lt;'Données projet'!$A$62,$AF$205^A125,IF(A125='Données projet'!$A$62,'Données projet'!$B$62,AI124+AH125-AQ124)))</f>
        <v>1.13686837721616E-013</v>
      </c>
      <c r="AJ125" s="117" t="n">
        <f aca="false">AI125*VLOOKUP('Données projet'!$B$10,Paramètres!$A$1:$I$89,3,0)*VLOOKUP('Données projet'!$B$10,Paramètres!$A$1:$I$89,5,0)</f>
        <v>6.35509422863834E-014</v>
      </c>
      <c r="AK125" s="117" t="n">
        <f aca="false">EXP(-1.0587+0.8836*LN(AJ125)+0.284)</f>
        <v>1.0064464192544E-012</v>
      </c>
      <c r="AL125" s="128" t="n">
        <f aca="false">(AJ125+AK125)*0.475*44/12</f>
        <v>1.86357873801686E-012</v>
      </c>
      <c r="AM125" s="120" t="n">
        <f aca="false">AL125+(AD125+AE125)*44/12</f>
        <v>293.333333333335</v>
      </c>
      <c r="AN125" s="120" t="n">
        <f aca="true">AVERAGE(OFFSET($AM$3,0,0,'Données projet'!$E$10+1,1))-AVERAGE(OFFSET($H$3,0,0,'Données projet'!$E$10+1,1))</f>
        <v>365.705101827279</v>
      </c>
      <c r="AO125" s="120" t="n">
        <f aca="false">$AO$3</f>
        <v>436.238338449625</v>
      </c>
      <c r="AP125" s="121" t="n">
        <f aca="false">IF(ISNA(VLOOKUP(A125,'Données projet'!$A$61:$I$81,3,0)),0,VLOOKUP(A125,'Données projet'!$A$61:$I$81,3,0))</f>
        <v>0</v>
      </c>
      <c r="AQ125" s="121" t="n">
        <f aca="false">IF(ISNA(VLOOKUP(A125,'Données projet'!$A$61:$I$81,4,0)),0,VLOOKUP(A125,'Données projet'!$A$61:$I$81,4,0))</f>
        <v>0</v>
      </c>
      <c r="AR125" s="122" t="n">
        <f aca="false">IF(ISNA(VLOOKUP(A125,'Données projet'!$A$61:$I$81,5,0)),0%,VLOOKUP(A125,'Données projet'!$A$61:$I$81,5,0)*VLOOKUP('Données projet'!$B$10,Paramètres!$A$1:$I$89,7,0))</f>
        <v>0</v>
      </c>
      <c r="AS125" s="122" t="n">
        <f aca="false">IF(ISNA(VLOOKUP(A125,'Données projet'!$A$61:$I$81,6,0)),0%,VLOOKUP(A125,'Données projet'!$A$61:$I$81,6,0)*VLOOKUP('Données projet'!$B$10,Paramètres!$A$1:$I$89,7,0))</f>
        <v>0</v>
      </c>
      <c r="AT125" s="122" t="n">
        <f aca="false">IF(ISNA(VLOOKUP(A125,'Données projet'!$A$61:$I$81,7,0)),0%,VLOOKUP(A125,'Données projet'!$A$61:$I$81,7,0))</f>
        <v>0</v>
      </c>
      <c r="AU125" s="129" t="n">
        <f aca="false">EXP(-LN(2)/35)*AU124+(1-EXP(-LN(2)/35))/(LN(2)/35)*AQ125*AR125*VLOOKUP('Données projet'!$B$10,Paramètres!$A$1:$I$89,3,0)*0.475*44/12</f>
        <v>0.55399174596476</v>
      </c>
      <c r="AV125" s="129" t="n">
        <f aca="false">EXP(-LN(2)/25)*AV124+(1-EXP(-LN(2)/25))/(LN(2)/25)*Calculateur!AQ125*Calculateur!AS125*VLOOKUP('Données projet'!$B$10,Paramètres!$A$1:$I$89,3,0)*0.475*44/12</f>
        <v>1.03050746692507</v>
      </c>
      <c r="AW125" s="129" t="n">
        <f aca="false">EXP(-LN(2)/2)*AW124+(1-EXP(-LN(2)/2))/(LN(2)/2)*AQ125*AT125*VLOOKUP('Données projet'!$B$10,Paramètres!$A$1:$I$89,3,0)*0.475*44/12</f>
        <v>8.44560572328958E-014</v>
      </c>
      <c r="AX125" s="129" t="n">
        <f aca="false">SUM(AU125:AW125)</f>
        <v>1.58449921288991</v>
      </c>
      <c r="AY125" s="124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8" t="e">
        <f aca="false">VLOOKUP(A125,'Données projet'!$A$87:$I$107,2,0)</f>
        <v>#N/A</v>
      </c>
      <c r="BB125" s="118" t="e">
        <f aca="false">VLOOKUP(A125,'Données projet'!$A$87:$I$107,9,0)</f>
        <v>#N/A</v>
      </c>
      <c r="BC125" s="118" t="e">
        <f aca="false" t="array" ref="BC125:BC125">INDEX(BB:BB,MIN(IF(ISNUMBER(BB125:BB321),ROW(BB125:BB321),"")))</f>
        <v>#N/A</v>
      </c>
      <c r="BD125" s="118" t="n">
        <f aca="false">IF('Données projet'!$A$88&gt;35,BD124+BC125-BL124,IF(A125&lt;'Données projet'!$A$88,$BA$205^A125,IF(A125='Données projet'!$A$88,'Données projet'!$B$88,BD124+BC125-BL124)))</f>
        <v>1.98951966012828E-013</v>
      </c>
      <c r="BE125" s="117" t="n">
        <f aca="false">BD125*VLOOKUP('Données projet'!$B$11,Paramètres!$A$1:$I$89,3,0)*VLOOKUP('Données projet'!$B$11,Paramètres!$A$1:$I$89,5,0)</f>
        <v>1.73804437508807E-013</v>
      </c>
      <c r="BF125" s="117" t="n">
        <f aca="false">EXP(-1.0587+0.8836*LN(BE125)+0.284)</f>
        <v>2.44832936339505E-012</v>
      </c>
      <c r="BG125" s="128" t="n">
        <f aca="false">(BE125+BF125)*0.475*44/12</f>
        <v>4.56688303657421E-012</v>
      </c>
      <c r="BH125" s="120" t="n">
        <f aca="false">BG125+(AY125+AZ125)*44/12</f>
        <v>293.333333333338</v>
      </c>
      <c r="BI125" s="120" t="n">
        <f aca="true">AVERAGE(OFFSET($BH$3,0,0,'Données projet'!$E$11+1,1))-AVERAGE(OFFSET($H$3,0,0,'Données projet'!$E$11+1,1))</f>
        <v>321.235999689929</v>
      </c>
      <c r="BJ125" s="120" t="n">
        <f aca="false">$BJ$3</f>
        <v>388.051958478005</v>
      </c>
      <c r="BK125" s="121" t="n">
        <f aca="false">IF(ISNA(VLOOKUP(A125,'Données projet'!$A$87:$I$107,3,0)),0,VLOOKUP(A125,'Données projet'!$A$87:$I$107,3,0))</f>
        <v>0</v>
      </c>
      <c r="BL125" s="121" t="n">
        <f aca="false">IF(ISNA(VLOOKUP(A125,'Données projet'!$A$87:$I$107,4,0)),0,VLOOKUP(A125,'Données projet'!$A$87:$I$107,4,0))</f>
        <v>0</v>
      </c>
      <c r="BM125" s="122" t="n">
        <f aca="false">IF(ISNA(VLOOKUP(A125,'Données projet'!$A$87:$I$107,5,0)),0%,VLOOKUP(A125,'Données projet'!$A$87:$I$107,5,0)*VLOOKUP('Données projet'!$B$11,Paramètres!$A$1:$I$89,7,0))</f>
        <v>0</v>
      </c>
      <c r="BN125" s="122" t="n">
        <f aca="false">IF(ISNA(VLOOKUP(A125,'Données projet'!$A$87:$I$107,6,0)),0%,VLOOKUP(A125,'Données projet'!$A$87:$I$107,6,0)*VLOOKUP('Données projet'!$B$11,Paramètres!$A$1:$I$89,7,0))</f>
        <v>0</v>
      </c>
      <c r="BO125" s="122" t="n">
        <f aca="false">IF(ISNA(VLOOKUP(A125,'Données projet'!$A$87:$I$107,7,0)),0%,VLOOKUP(A125,'Données projet'!$A$87:$I$107,7,0))</f>
        <v>0</v>
      </c>
      <c r="BP125" s="129" t="n">
        <f aca="false">EXP(-LN(2)/35)*BP124+(1-EXP(-LN(2)/35))/(LN(2)/35)*BL125*BM125*VLOOKUP('Données projet'!$B$11,Paramètres!$A$1:$I$89,3,0)*0.475*44/12</f>
        <v>1.39086350622363</v>
      </c>
      <c r="BQ125" s="129" t="n">
        <f aca="false">EXP(-LN(2)/25)*BQ124+(1-EXP(-LN(2)/25))/(LN(2)/25)*Calculateur!BL125*Calculateur!BN125*VLOOKUP('Données projet'!$B$11,Paramètres!$A$1:$I$89,3,0)*0.475*44/12</f>
        <v>1.05188081387791</v>
      </c>
      <c r="BR125" s="129" t="n">
        <f aca="false">EXP(-LN(2)/2)*BR124+(1-EXP(-LN(2)/2))/(LN(2)/2)*BL125*BO125*VLOOKUP('Données projet'!$B$11,Paramètres!$A$1:$I$89,3,0)*0.475*44/12</f>
        <v>8.58478267289049E-014</v>
      </c>
      <c r="BS125" s="130" t="n">
        <f aca="false">SUM(BP125:BR125)</f>
        <v>2.44274432010162</v>
      </c>
      <c r="BT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8" t="e">
        <f aca="false">VLOOKUP(A125,'Données projet'!$A$113:$I$133,2,0)</f>
        <v>#N/A</v>
      </c>
      <c r="BW125" s="118" t="e">
        <f aca="false">VLOOKUP(A125,'Données projet'!$A$113:$I$133,9,0)</f>
        <v>#N/A</v>
      </c>
      <c r="BX125" s="118" t="e">
        <f aca="false" t="array" ref="BX125:BX125">INDEX(BW:BW,MIN(IF(ISNUMBER(BW125:BW321),ROW(BW125:BW321),"")))</f>
        <v>#N/A</v>
      </c>
      <c r="BY125" s="118" t="n">
        <f aca="false">IF('Données projet'!$A$114&gt;35,BY124+BX125-CG124,IF(A125&lt;'Données projet'!$A$114,$BV$205^A125,IF(A125='Données projet'!$A$114,'Données projet'!$B$114,BY124+BX125-CG124)))</f>
        <v>0</v>
      </c>
      <c r="BZ125" s="117" t="n">
        <f aca="false">BY125*VLOOKUP('Données projet'!$B$12,Paramètres!$A$1:$I$89,3,0)*VLOOKUP('Données projet'!$B$12,Paramètres!$A$1:$I$89,5,0)</f>
        <v>0</v>
      </c>
      <c r="CA125" s="117" t="e">
        <f aca="false">EXP(-1.0587+0.8836*LN(BZ125)+0.284)</f>
        <v>#VALUE!</v>
      </c>
      <c r="CB125" s="128" t="e">
        <f aca="false">(BZ125+CA125)*0.475*44/12</f>
        <v>#VALUE!</v>
      </c>
      <c r="CC125" s="120" t="e">
        <f aca="false">CB125+(BT125+BU125)*44/12</f>
        <v>#VALUE!</v>
      </c>
      <c r="CD125" s="120" t="n">
        <f aca="true">AVERAGE(OFFSET($CC$3,0,0,'Données projet'!$E$12+1,1))-AVERAGE(OFFSET($H$3,0,0,'Données projet'!$E$12+1,1))</f>
        <v>240.228848647662</v>
      </c>
      <c r="CE125" s="120" t="n">
        <f aca="false">$CE$3</f>
        <v>343.237768841432</v>
      </c>
      <c r="CF125" s="121" t="n">
        <f aca="false">IF(ISNA(VLOOKUP(A125,'Données projet'!$A$113:$I$133,3,0)),0,VLOOKUP(A125,'Données projet'!$A$113:$I$133,3,0))</f>
        <v>0</v>
      </c>
      <c r="CG125" s="121" t="n">
        <f aca="false">IF(ISNA(VLOOKUP(A125,'Données projet'!$A$113:$I$133,4,0)),0,VLOOKUP(A125,'Données projet'!$A$113:$I$133,4,0))</f>
        <v>0</v>
      </c>
      <c r="CH125" s="122" t="n">
        <f aca="false">IF(ISNA(VLOOKUP(A125,'Données projet'!$A$113:$I$133,5,0)),0%,VLOOKUP(A125,'Données projet'!$A$113:$I$133,5,0)*VLOOKUP('Données projet'!$B$12,Paramètres!$A$1:$I$89,7,0))</f>
        <v>0</v>
      </c>
      <c r="CI125" s="122" t="n">
        <f aca="false">IF(ISNA(VLOOKUP(A125,'Données projet'!$A$113:$I$133,6,0)),0%,VLOOKUP(A125,'Données projet'!$A$113:$I$133,6,0)*VLOOKUP('Données projet'!$B$12,Paramètres!$A$1:$I$89,7,0))</f>
        <v>0</v>
      </c>
      <c r="CJ125" s="122" t="n">
        <f aca="false">IF(ISNA(VLOOKUP(A125,'Données projet'!$A$113:$I$133,7,0)),0%,VLOOKUP(A125,'Données projet'!$A$113:$I$133,7,0))</f>
        <v>0</v>
      </c>
      <c r="CK125" s="129" t="n">
        <f aca="false">EXP(-LN(2)/35)*CK124+(1-EXP(-LN(2)/35))/(LN(2)/35)*CG125*CH125*VLOOKUP('Données projet'!$B$12,Paramètres!$A$1:$I$89,3,0)*0.475*44/12</f>
        <v>0.851316823759801</v>
      </c>
      <c r="CL125" s="129" t="n">
        <f aca="false">EXP(-LN(2)/25)*CL124+(1-EXP(-LN(2)/25))/(LN(2)/25)*Calculateur!CG125*Calculateur!CI125*VLOOKUP('Données projet'!$B$12,Paramètres!$A$1:$I$89,3,0)*0.475*44/12</f>
        <v>1.8576824105695</v>
      </c>
      <c r="CM125" s="129" t="n">
        <f aca="false">EXP(-LN(2)/2)*CM124+(1-EXP(-LN(2)/2))/(LN(2)/2)*CG125*CJ125*VLOOKUP('Données projet'!$B$12,Paramètres!$A$1:$I$89,3,0)*0.475*44/12</f>
        <v>1.36990244441844E-013</v>
      </c>
      <c r="CN125" s="130" t="n">
        <f aca="false">SUM(CK125:CM125)</f>
        <v>2.70899923432944</v>
      </c>
      <c r="CO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8" t="e">
        <f aca="false">VLOOKUP(A125,'Données projet'!$A$139:$I$159,2,0)</f>
        <v>#N/A</v>
      </c>
      <c r="CR125" s="118" t="e">
        <f aca="false">VLOOKUP(A125,'Données projet'!$A$139:$I$159,9,0)</f>
        <v>#N/A</v>
      </c>
      <c r="CS125" s="118" t="e">
        <f aca="false" t="array" ref="CS125:CS125">INDEX(CR:CR,MIN(IF(ISNUMBER(CR125:CR321),ROW(CR125:CR321),"")))</f>
        <v>#N/A</v>
      </c>
      <c r="CT125" s="118" t="n">
        <f aca="false">IF('Données projet'!$A$140&gt;35,CT124+CS125-DB124,IF(A125&lt;'Données projet'!$A$140,$CQ$205^A125,IF(A125='Données projet'!$A$140,'Données projet'!$B$140,CT124+CS125-DB124)))</f>
        <v>-5.6843418860808E-014</v>
      </c>
      <c r="CU125" s="125" t="n">
        <f aca="false">CT125*VLOOKUP('Données projet'!$B$13,Paramètres!$A$1:$I$89,3,0)*VLOOKUP('Données projet'!$B$13,Paramètres!$A$1:$I$89,5,0)</f>
        <v>-3.10365066980012E-014</v>
      </c>
      <c r="CV125" s="117" t="e">
        <f aca="false">EXP(-1.0587+0.8836*LN(CU125)+0.284)</f>
        <v>#VALUE!</v>
      </c>
      <c r="CW125" s="128" t="e">
        <f aca="false">(CU125+CV125)*0.475*44/12</f>
        <v>#VALUE!</v>
      </c>
      <c r="CX125" s="120" t="e">
        <f aca="false">CW125+(CO125+CP125)*44/12</f>
        <v>#VALUE!</v>
      </c>
      <c r="CY125" s="120" t="n">
        <f aca="true">AVERAGE(OFFSET($CX$3,0,0,'Données projet'!$E$13+1,1))-AVERAGE(OFFSET($H$3,0,0,'Données projet'!$E$13+1,1))</f>
        <v>207.023069645676</v>
      </c>
      <c r="CZ125" s="120" t="n">
        <f aca="false">$CZ$3</f>
        <v>342.068879333518</v>
      </c>
      <c r="DA125" s="121" t="n">
        <f aca="false">IF(ISNA(VLOOKUP(A125,'Données projet'!$A$139:$I$159,3,0)),0,VLOOKUP(A125,'Données projet'!$A$139:$I$159,3,0))</f>
        <v>0</v>
      </c>
      <c r="DB125" s="121" t="n">
        <f aca="false">IF(ISNA(VLOOKUP(A125,'Données projet'!$A$139:$I$159,4,0)),0,VLOOKUP(A125,'Données projet'!$A$139:$I$159,4,0))</f>
        <v>0</v>
      </c>
      <c r="DC125" s="122" t="n">
        <f aca="false">IF(ISNA(VLOOKUP(A125,'Données projet'!$A$139:$I$159,5,0)),0%,VLOOKUP(A125,'Données projet'!$A$139:$I$159,5,0)*VLOOKUP('Données projet'!$B$13,Paramètres!$A$1:$I$89,7,0))</f>
        <v>0</v>
      </c>
      <c r="DD125" s="122" t="n">
        <f aca="false">IF(ISNA(VLOOKUP(A125,'Données projet'!$A$139:$I$159,6,0)),0%,VLOOKUP(A125,'Données projet'!$A$139:$I$159,6,0)*VLOOKUP('Données projet'!$B$13,Paramètres!$A$1:$I$89,7,0))</f>
        <v>0</v>
      </c>
      <c r="DE125" s="122" t="n">
        <f aca="false">IF(ISNA(VLOOKUP(A125,'Données projet'!$A$139:$I$159,7,0)),0%,VLOOKUP(A125,'Données projet'!$A$139:$I$159,7,0))</f>
        <v>0</v>
      </c>
      <c r="DF125" s="129" t="n">
        <f aca="false">EXP(-LN(2)/35)*DF124+(1-EXP(-LN(2)/35))/(LN(2)/35)*DB125*DC125*VLOOKUP('Données projet'!$B$13,Paramètres!$A$1:$I$89,3,0)*0.475*44/12</f>
        <v>1.06816167509484</v>
      </c>
      <c r="DG125" s="129" t="n">
        <f aca="false">EXP(-LN(2)/25)*DG124+(1-EXP(-LN(2)/25))/(LN(2)/25)*Calculateur!DB125*Calculateur!DD125*VLOOKUP('Données projet'!$B$13,Paramètres!$A$1:$I$89,3,0)*0.475*44/12</f>
        <v>3.03653703731391</v>
      </c>
      <c r="DH125" s="129" t="n">
        <f aca="false">EXP(-LN(2)/2)*DH124+(1-EXP(-LN(2)/2))/(LN(2)/2)*DB125*DE125*VLOOKUP('Données projet'!$B$13,Paramètres!$A$1:$I$89,3,0)*0.475*44/12</f>
        <v>1.88635630108548E-013</v>
      </c>
      <c r="DI125" s="130" t="n">
        <f aca="false">SUM(DF125:DH125)</f>
        <v>4.10469871240894</v>
      </c>
      <c r="DJ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8" t="e">
        <f aca="false">VLOOKUP(A125,'Données projet'!$A$165:$I$185,2,0)</f>
        <v>#N/A</v>
      </c>
      <c r="DM125" s="118" t="e">
        <f aca="false">VLOOKUP(A125,'Données projet'!$A$165:$I$185,9,0)</f>
        <v>#N/A</v>
      </c>
      <c r="DN125" s="118" t="e">
        <f aca="false" t="array" ref="DN125:DN125">INDEX(DM:DM,MIN(IF(ISNUMBER(DM125:DM321),ROW(DM125:DM321),"")))</f>
        <v>#N/A</v>
      </c>
      <c r="DO125" s="118" t="n">
        <f aca="false">IF('Données projet'!$A$166&gt;35,DO124+DN125-DW124,IF(A125&lt;'Données projet'!$A$166,$DL$205^A125,IF(A125='Données projet'!$A$166,'Données projet'!$B$166,DO124+DN125-DW124)))</f>
        <v>0</v>
      </c>
      <c r="DP125" s="125" t="n">
        <f aca="false">DO125*VLOOKUP('Données projet'!$B$14,Paramètres!$A$1:$I$89,3,0)*VLOOKUP('Données projet'!$B$14,Paramètres!$A$1:$I$89,5,0)</f>
        <v>0</v>
      </c>
      <c r="DQ125" s="117" t="e">
        <f aca="false">EXP(-1.0587+0.8836*LN(DP125)+0.284)</f>
        <v>#VALUE!</v>
      </c>
      <c r="DR125" s="128" t="e">
        <f aca="false">(DP125+DQ125)*0.475*44/12</f>
        <v>#VALUE!</v>
      </c>
      <c r="DS125" s="120" t="e">
        <f aca="false">DR125+(DJ125+DK125)*44/12</f>
        <v>#VALUE!</v>
      </c>
      <c r="DT125" s="120" t="n">
        <f aca="true">AVERAGE(OFFSET($DS$3,0,0,'Données projet'!$E$14+1,1))-AVERAGE(OFFSET($H$3,0,0,'Données projet'!$E$14+1,1))</f>
        <v>549.432320957297</v>
      </c>
      <c r="DU125" s="120" t="n">
        <f aca="false">$DU$3</f>
        <v>280.26155987301</v>
      </c>
      <c r="DV125" s="121" t="n">
        <f aca="false">IF(ISNA(VLOOKUP(A125,'Données projet'!$A$165:$I$185,3,0)),0,VLOOKUP(A125,'Données projet'!$A$165:$I$185,3,0))</f>
        <v>0</v>
      </c>
      <c r="DW125" s="121" t="n">
        <f aca="false">IF(ISNA(VLOOKUP(A125,'Données projet'!$A$165:$I$185,4,0)),0,VLOOKUP(A125,'Données projet'!$A$165:$I$185,4,0))</f>
        <v>0</v>
      </c>
      <c r="DX125" s="122" t="n">
        <f aca="false">IF(ISNA(VLOOKUP(A125,'Données projet'!$A$165:$I$185,5,0)),0%,VLOOKUP(A125,'Données projet'!$A$165:$I$185,5,0)*VLOOKUP('Données projet'!$B$14,Paramètres!$A$1:$I$89,7,0))</f>
        <v>0</v>
      </c>
      <c r="DY125" s="122" t="n">
        <f aca="false">IF(ISNA(VLOOKUP(A125,'Données projet'!$A$165:$I$185,6,0)),0%,VLOOKUP(A125,'Données projet'!$A$165:$I$185,6,0)*VLOOKUP('Données projet'!$B$14,Paramètres!$A$1:$I$89,7,0))</f>
        <v>0</v>
      </c>
      <c r="DZ125" s="122" t="n">
        <f aca="false">IF(ISNA(VLOOKUP(A125,'Données projet'!$A$165:$I$185,7,0)),0%,VLOOKUP(A125,'Données projet'!$A$165:$I$185,7,0))</f>
        <v>0</v>
      </c>
      <c r="EA125" s="129" t="n">
        <f aca="false">EXP(-LN(2)/35)*EA124+(1-EXP(-LN(2)/35))/(LN(2)/35)*DW125*DX125*VLOOKUP('Données projet'!$B$14,Paramètres!$A$1:$I$89,3,0)*0.475*44/12</f>
        <v>0.388382394017413</v>
      </c>
      <c r="EB125" s="129" t="n">
        <f aca="false">EXP(-LN(2)/25)*EB124+(1-EXP(-LN(2)/25))/(LN(2)/25)*Calculateur!DW125*Calculateur!DY125*VLOOKUP('Données projet'!$B$14,Paramètres!$A$1:$I$89,3,0)*0.475*44/12</f>
        <v>0.604938087655684</v>
      </c>
      <c r="EC125" s="129" t="n">
        <f aca="false">EXP(-LN(2)/2)*EC124+(1-EXP(-LN(2)/2))/(LN(2)/2)*DW125*DZ125*VLOOKUP('Données projet'!$B$14,Paramètres!$A$1:$I$89,3,0)*0.475*44/12</f>
        <v>8.69571370935699E-014</v>
      </c>
      <c r="ED125" s="130" t="n">
        <f aca="false">SUM(EA125:EC125)</f>
        <v>0.993320481673184</v>
      </c>
      <c r="EE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8" t="e">
        <f aca="false">VLOOKUP(A125,'Données projet'!$A$191:$I$211,2,0)</f>
        <v>#N/A</v>
      </c>
      <c r="EH125" s="118" t="e">
        <f aca="false">VLOOKUP(A125,'Données projet'!$A$191:$I$211,9,0)</f>
        <v>#N/A</v>
      </c>
      <c r="EI125" s="118" t="e">
        <f aca="false" t="array" ref="EI125:EI125">INDEX(EH:EH,MIN(IF(ISNUMBER(EH125:EH321),ROW(EH125:EH321),"")))</f>
        <v>#N/A</v>
      </c>
      <c r="EJ125" s="118" t="n">
        <f aca="false">IF('Données projet'!$A$192&gt;35,EJ124+EI125-ER124,IF(A125&lt;'Données projet'!$A$192,$EG$205^A125,IF(A125='Données projet'!$A$192,'Données projet'!$B$192,EJ124+EI125-ER124)))</f>
        <v>0</v>
      </c>
      <c r="EK125" s="125" t="e">
        <f aca="false">EJ125*VLOOKUP('Données projet'!$B$15,Paramètres!$A$1:$I$89,3,0)*VLOOKUP('Données projet'!$B$15,Paramètres!$A$1:$I$89,5,0)</f>
        <v>#N/A</v>
      </c>
      <c r="EL125" s="117" t="e">
        <f aca="false">EXP(-1.0587+0.8836*LN(EK125)+0.284)</f>
        <v>#N/A</v>
      </c>
      <c r="EM125" s="128" t="e">
        <f aca="false">(EK125+EL125)*0.475*44/12</f>
        <v>#N/A</v>
      </c>
      <c r="EN125" s="120" t="e">
        <f aca="false">EM125+(EE125+EF125)*44/12</f>
        <v>#N/A</v>
      </c>
      <c r="EO125" s="120" t="e">
        <f aca="true">AVERAGE(OFFSET($EN$3,0,0,'Données projet'!$E$15+1,1))-AVERAGE(OFFSET($H$3,0,0,'Données projet'!$E$15+1,1))</f>
        <v>#N/A</v>
      </c>
      <c r="EP125" s="120" t="e">
        <f aca="false">$EP$3</f>
        <v>#N/A</v>
      </c>
      <c r="EQ125" s="121" t="n">
        <f aca="false">IF(ISNA(VLOOKUP(A125,'Données projet'!$A$191:$I$211,3,0)),0,VLOOKUP(A125,'Données projet'!$A$191:$I$211,3,0))</f>
        <v>0</v>
      </c>
      <c r="ER125" s="121" t="n">
        <f aca="false">IF(ISNA(VLOOKUP(A125,'Données projet'!$A$191:$I$211,4,0)),0,VLOOKUP(A125,'Données projet'!$A$191:$I$211,4,0))</f>
        <v>0</v>
      </c>
      <c r="ES125" s="122" t="n">
        <f aca="false">IF(ISNA(VLOOKUP(A125,'Données projet'!$A$191:$I$211,5,0)),0%,VLOOKUP(A125,'Données projet'!$A$191:$I$211,5,0)*VLOOKUP('Données projet'!$B$15,Paramètres!$A$1:$I$89,7,0))</f>
        <v>0</v>
      </c>
      <c r="ET125" s="122" t="n">
        <f aca="false">IF(ISNA(VLOOKUP(A125,'Données projet'!$A$191:$I$211,6,0)),0%,VLOOKUP(A125,'Données projet'!$A$191:$I$211,6,0)*VLOOKUP('Données projet'!$B$15,Paramètres!$A$1:$I$89,7,0))</f>
        <v>0</v>
      </c>
      <c r="EU125" s="122" t="n">
        <f aca="false">IF(ISNA(VLOOKUP(A125,'Données projet'!$A$191:$I$211,7,0)),0%,VLOOKUP(A125,'Données projet'!$A$191:$I$211,7,0))</f>
        <v>0</v>
      </c>
      <c r="EV125" s="129" t="e">
        <f aca="false">EXP(-LN(2)/35)*EV124+(1-EXP(-LN(2)/35))/(LN(2)/35)*ER125*ES125*VLOOKUP('Données projet'!$B$15,Paramètres!$A$1:$I$89,3,0)*0.475*44/12</f>
        <v>#N/A</v>
      </c>
      <c r="EW125" s="129" t="e">
        <f aca="false">EXP(-LN(2)/25)*EW124+(1-EXP(-LN(2)/25))/(LN(2)/25)*Calculateur!ER125*Calculateur!ET125*VLOOKUP('Données projet'!$B$15,Paramètres!$A$1:$I$89,3,0)*0.475*44/12</f>
        <v>#N/A</v>
      </c>
      <c r="EX125" s="129" t="e">
        <f aca="false">EXP(-LN(2)/2)*EX124+(1-EXP(-LN(2)/2))/(LN(2)/2)*ER125*EU125*VLOOKUP('Données projet'!$B$15,Paramètres!$A$1:$I$89,3,0)*0.475*44/12</f>
        <v>#N/A</v>
      </c>
      <c r="EY125" s="130" t="e">
        <f aca="false">SUM(EV125:EX125)</f>
        <v>#N/A</v>
      </c>
      <c r="EZ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8" t="e">
        <f aca="false">VLOOKUP(A125,'Données projet'!$A$217:$I$237,2,0)</f>
        <v>#N/A</v>
      </c>
      <c r="FC125" s="118" t="e">
        <f aca="false">VLOOKUP(A125,'Données projet'!$A$217:$I$237,9,0)</f>
        <v>#N/A</v>
      </c>
      <c r="FD125" s="118" t="e">
        <f aca="false" t="array" ref="FD125:FD125">INDEX(FC:FC,MIN(IF(ISNUMBER(FC125:FC321),ROW(FC125:FC321),"")))</f>
        <v>#N/A</v>
      </c>
      <c r="FE125" s="118" t="n">
        <f aca="false">IF('Données projet'!$A$218&gt;35,FE124+FD125-FM124,IF(A125&lt;'Données projet'!$A$218,$FB$205^A125,IF(A125='Données projet'!$A$218,'Données projet'!$B$218,FE124+FD125-FM124)))</f>
        <v>0</v>
      </c>
      <c r="FF125" s="125" t="e">
        <f aca="false">FE125*VLOOKUP('Données projet'!$B$16,Paramètres!$A$1:$I$89,3,0)*VLOOKUP('Données projet'!$B$16,Paramètres!$A$1:$I$89,5,0)</f>
        <v>#N/A</v>
      </c>
      <c r="FG125" s="117" t="e">
        <f aca="false">EXP(-1.0587+0.8836*LN(FF125)+0.284)</f>
        <v>#N/A</v>
      </c>
      <c r="FH125" s="128" t="e">
        <f aca="false">(FF125+FG125)*0.475*44/12</f>
        <v>#N/A</v>
      </c>
      <c r="FI125" s="120" t="e">
        <f aca="false">FH125+(EZ125+FA125)*44/12</f>
        <v>#N/A</v>
      </c>
      <c r="FJ125" s="120" t="e">
        <f aca="true">AVERAGE(OFFSET($FI$3,0,0,'Données projet'!$E$16+1,1))-AVERAGE(OFFSET($H$3,0,0,'Données projet'!$E$16+1,1))</f>
        <v>#N/A</v>
      </c>
      <c r="FK125" s="120" t="e">
        <f aca="false">$FK$3</f>
        <v>#N/A</v>
      </c>
      <c r="FL125" s="121" t="n">
        <f aca="false">IF(ISNA(VLOOKUP(A125,'Données projet'!$A$217:$I$237,3,0)),0,VLOOKUP(A125,'Données projet'!$A$217:$I$237,3,0))</f>
        <v>0</v>
      </c>
      <c r="FM125" s="121" t="n">
        <f aca="false">IF(ISNA(VLOOKUP(A125,'Données projet'!$A$217:$I$237,4,0)),0,VLOOKUP(A125,'Données projet'!$A$217:$I$237,4,0))</f>
        <v>0</v>
      </c>
      <c r="FN125" s="122" t="n">
        <f aca="false">IF(ISNA(VLOOKUP(A125,'Données projet'!$A$217:$I$237,5,0)),0%,VLOOKUP(A125,'Données projet'!$A$217:$I$237,5,0)*VLOOKUP('Données projet'!$B$16,Paramètres!$A$1:$I$89,7,0))</f>
        <v>0</v>
      </c>
      <c r="FO125" s="122" t="n">
        <f aca="false">IF(ISNA(VLOOKUP(A125,'Données projet'!$A$217:$I$237,6,0)),0%,VLOOKUP(A125,'Données projet'!$A$217:$I$237,6,0)*VLOOKUP('Données projet'!$B$16,Paramètres!$A$1:$I$89,7,0))</f>
        <v>0</v>
      </c>
      <c r="FP125" s="122" t="n">
        <f aca="false">IF(ISNA(VLOOKUP(A125,'Données projet'!$A$217:$I$237,7,0)),0%,VLOOKUP(A125,'Données projet'!$A$217:$I$237,7,0))</f>
        <v>0</v>
      </c>
      <c r="FQ125" s="129" t="e">
        <f aca="false">EXP(-LN(2)/35)*FQ124+(1-EXP(-LN(2)/35))/(LN(2)/35)*FM125*FN125*VLOOKUP('Données projet'!$B$16,Paramètres!$A$1:$I$89,3,0)*0.475*44/12</f>
        <v>#N/A</v>
      </c>
      <c r="FR125" s="129" t="e">
        <f aca="false">EXP(-LN(2)/25)*FR124+(1-EXP(-LN(2)/25))/(LN(2)/25)*Calculateur!FM125*Calculateur!FO125*VLOOKUP('Données projet'!$B$16,Paramètres!$A$1:$I$89,3,0)*0.475*44/12</f>
        <v>#N/A</v>
      </c>
      <c r="FS125" s="129" t="e">
        <f aca="false">EXP(-LN(2)/2)*FS124+(1-EXP(-LN(2)/2))/(LN(2)/2)*FM125*FP125*VLOOKUP('Données projet'!$B$16,Paramètres!$A$1:$I$89,3,0)*0.475*44/12</f>
        <v>#N/A</v>
      </c>
      <c r="FT125" s="130" t="e">
        <f aca="false">SUM(FQ125:FS125)</f>
        <v>#N/A</v>
      </c>
      <c r="FU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8" t="e">
        <f aca="false">VLOOKUP(A125,'Données projet'!$A$243:$I$263,2,0)</f>
        <v>#N/A</v>
      </c>
      <c r="FX125" s="118" t="e">
        <f aca="false">VLOOKUP(A125,'Données projet'!$A$243:$I$263,9,0)</f>
        <v>#N/A</v>
      </c>
      <c r="FY125" s="118" t="e">
        <f aca="false" t="array" ref="FY125:FY125">INDEX(FX:FX,MIN(IF(ISNUMBER(FX125:FX321),ROW(FX125:FX321),"")))</f>
        <v>#N/A</v>
      </c>
      <c r="FZ125" s="118" t="n">
        <f aca="false">IF('Données projet'!$A$244&gt;35,FZ124+FY125-GH124,IF(A125&lt;'Données projet'!$A$244,$FW$205^A125,IF(A125='Données projet'!$A$244,'Données projet'!$B$244,FZ124+FY125-GH124)))</f>
        <v>0</v>
      </c>
      <c r="GA125" s="125" t="e">
        <f aca="false">FZ125*VLOOKUP('Données projet'!$B$17,Paramètres!$A$1:$I$89,3,0)*VLOOKUP('Données projet'!$B$17,Paramètres!$A$1:$I$89,5,0)</f>
        <v>#N/A</v>
      </c>
      <c r="GB125" s="117" t="e">
        <f aca="false">EXP(-1.0587+0.8836*LN(GA125)+0.284)</f>
        <v>#N/A</v>
      </c>
      <c r="GC125" s="128" t="e">
        <f aca="false">(GA125+GB125)*0.475*44/12</f>
        <v>#N/A</v>
      </c>
      <c r="GD125" s="120" t="e">
        <f aca="false">GC125+(FU125+FV125)*44/12</f>
        <v>#N/A</v>
      </c>
      <c r="GE125" s="120" t="e">
        <f aca="true">AVERAGE(OFFSET($GD$3,0,0,'Données projet'!$E$17+1,1))-AVERAGE(OFFSET($H$3,0,0,'Données projet'!$E$17+1,1))</f>
        <v>#N/A</v>
      </c>
      <c r="GF125" s="120" t="e">
        <f aca="false">$GF$3</f>
        <v>#N/A</v>
      </c>
      <c r="GG125" s="121" t="n">
        <f aca="false">IF(ISNA(VLOOKUP(A125,'Données projet'!$A$243:$I$263,3,0)),0,VLOOKUP(A125,'Données projet'!$A$243:$I$263,3,0))</f>
        <v>0</v>
      </c>
      <c r="GH125" s="121" t="n">
        <f aca="false">IF(ISNA(VLOOKUP(A125,'Données projet'!$A$243:$I$263,4,0)),0,VLOOKUP(A125,'Données projet'!$A$243:$I$263,4,0))</f>
        <v>0</v>
      </c>
      <c r="GI125" s="122" t="n">
        <f aca="false">IF(ISNA(VLOOKUP(A125,'Données projet'!$A$243:$I$263,5,0)),0%,VLOOKUP(A125,'Données projet'!$A$243:$I$263,5,0)*VLOOKUP('Données projet'!$B$17,Paramètres!$A$1:$I$89,7,0))</f>
        <v>0</v>
      </c>
      <c r="GJ125" s="122" t="n">
        <f aca="false">IF(ISNA(VLOOKUP(A125,'Données projet'!$A$243:$I$263,6,0)),0%,VLOOKUP(A125,'Données projet'!$A$243:$I$263,6,0)*VLOOKUP('Données projet'!$B$17,Paramètres!$A$1:$I$89,7,0))</f>
        <v>0</v>
      </c>
      <c r="GK125" s="122" t="n">
        <f aca="false">IF(ISNA(VLOOKUP(A125,'Données projet'!$A$243:$I$263,7,0)),0%,VLOOKUP(A125,'Données projet'!$A$243:$I$263,7,0))</f>
        <v>0</v>
      </c>
      <c r="GL125" s="129" t="e">
        <f aca="false">EXP(-LN(2)/35)*GL124+(1-EXP(-LN(2)/35))/(LN(2)/35)*GH125*GI125*VLOOKUP('Données projet'!$B$17,Paramètres!$A$1:$I$89,3,0)*0.475*44/12</f>
        <v>#N/A</v>
      </c>
      <c r="GM125" s="129" t="e">
        <f aca="false">EXP(-LN(2)/25)*GM124+(1-EXP(-LN(2)/25))/(LN(2)/25)*Calculateur!GH125*Calculateur!GJ125*VLOOKUP('Données projet'!$B$17,Paramètres!$A$1:$I$89,3,0)*0.475*44/12</f>
        <v>#N/A</v>
      </c>
      <c r="GN125" s="129" t="e">
        <f aca="false">EXP(-LN(2)/2)*GN124+(1-EXP(-LN(2)/2))/(LN(2)/2)*GH125*GK125*VLOOKUP('Données projet'!$B$17,Paramètres!$A$1:$I$89,3,0)*0.475*44/12</f>
        <v>#N/A</v>
      </c>
      <c r="GO125" s="129" t="e">
        <f aca="false">SUM(GL125:GN125)</f>
        <v>#N/A</v>
      </c>
      <c r="GP125" s="126" t="n">
        <f aca="false"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8" t="n">
        <f aca="false"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8" t="e">
        <f aca="false">VLOOKUP(A125,'Données projet'!$A$269:$I$289,2,0)</f>
        <v>#N/A</v>
      </c>
      <c r="GS125" s="118" t="e">
        <f aca="false">VLOOKUP(A125,'Données projet'!$A$269:$I$289,9,0)</f>
        <v>#N/A</v>
      </c>
      <c r="GT125" s="118" t="e">
        <f aca="false" t="array" ref="GT125:GT125">INDEX(GS:GS,MIN(IF(ISNUMBER(GS125:GS321),ROW(GS125:GS321),"")))</f>
        <v>#N/A</v>
      </c>
      <c r="GU125" s="118" t="n">
        <f aca="false">IF('Données projet'!$A$270&gt;35,GU124+GT125-HC124,IF(A125&lt;'Données projet'!$A$270,$GR$205^A125,IF(A125='Données projet'!$A$270,'Données projet'!$B$270,GU124+GT125-HC124)))</f>
        <v>0</v>
      </c>
      <c r="GV125" s="125" t="e">
        <f aca="false">GU125*VLOOKUP('Données projet'!$B$18,Paramètres!$A$1:$I$89,3,0)*VLOOKUP('Données projet'!$B$18,Paramètres!$A$1:$I$89,5,0)</f>
        <v>#N/A</v>
      </c>
      <c r="GW125" s="117" t="e">
        <f aca="false">EXP(-1.0587+0.8836*LN(GV125)+0.284)</f>
        <v>#N/A</v>
      </c>
      <c r="GX125" s="128" t="e">
        <f aca="false">(GV125+GW125)*0.475*44/12</f>
        <v>#N/A</v>
      </c>
      <c r="GY125" s="120" t="e">
        <f aca="false">GX125+(GP125+GQ125)*44/12</f>
        <v>#N/A</v>
      </c>
      <c r="GZ125" s="120" t="e">
        <f aca="true">AVERAGE(OFFSET($GY$3,0,0,'Données projet'!$E$18+1,1))-AVERAGE(OFFSET($H$3,0,0,'Données projet'!$E$18+1,1))</f>
        <v>#N/A</v>
      </c>
      <c r="HA125" s="120" t="e">
        <f aca="false">$HA$3</f>
        <v>#N/A</v>
      </c>
      <c r="HB125" s="121" t="n">
        <f aca="false">IF(ISNA(VLOOKUP(A125,'Données projet'!$A$269:$I$289,3,0)),0,VLOOKUP(A125,'Données projet'!$A$269:$I$289,3,0))</f>
        <v>0</v>
      </c>
      <c r="HC125" s="121" t="n">
        <f aca="false">IF(ISNA(VLOOKUP(A125,'Données projet'!$A$269:$I$289,4,0)),0,VLOOKUP(A125,'Données projet'!$A$269:$I$289,4,0))</f>
        <v>0</v>
      </c>
      <c r="HD125" s="122" t="n">
        <f aca="false">IF(ISNA(VLOOKUP(A125,'Données projet'!$A$269:$I$289,5,0)),0%,VLOOKUP(A125,'Données projet'!$A$269:$I$289,5,0)*VLOOKUP('Données projet'!$B$18,Paramètres!$A$1:$I$89,7,0))</f>
        <v>0</v>
      </c>
      <c r="HE125" s="122" t="n">
        <f aca="false">IF(ISNA(VLOOKUP(A125,'Données projet'!$A$269:$I$289,6,0)),0%,VLOOKUP(A125,'Données projet'!$A$269:$I$289,6,0)*VLOOKUP('Données projet'!$B$18,Paramètres!$A$1:$I$89,7,0))</f>
        <v>0</v>
      </c>
      <c r="HF125" s="122" t="n">
        <f aca="false">IF(ISNA(VLOOKUP(A125,'Données projet'!$A$269:$I$289,7,0)),0%,VLOOKUP(A125,'Données projet'!$A$269:$I$289,7,0))</f>
        <v>0</v>
      </c>
      <c r="HG125" s="129" t="e">
        <f aca="false">EXP(-LN(2)/35)*HG124+(1-EXP(-LN(2)/35))/(LN(2)/35)*HC125*HD125*VLOOKUP('Données projet'!$B$18,Paramètres!$A$1:$I$89,3,0)*0.475*44/12</f>
        <v>#N/A</v>
      </c>
      <c r="HH125" s="129" t="e">
        <f aca="false">EXP(-LN(2)/25)*HH124+(1-EXP(-LN(2)/25))/(LN(2)/25)*Calculateur!HC125*Calculateur!HE125*VLOOKUP('Données projet'!$B$18,Paramètres!$A$1:$I$89,3,0)*0.475*44/12</f>
        <v>#N/A</v>
      </c>
      <c r="HI125" s="129" t="e">
        <f aca="false">EXP(-LN(2)/2)*HI124+(1-EXP(-LN(2)/2))/(LN(2)/2)*HC125*HF125*VLOOKUP('Données projet'!$B$18,Paramètres!$A$1:$I$89,3,0)*0.475*44/12</f>
        <v>#N/A</v>
      </c>
      <c r="HJ125" s="130" t="e">
        <f aca="false">SUM(HG125:HI125)</f>
        <v>#N/A</v>
      </c>
    </row>
    <row r="126" customFormat="false" ht="14.25" hidden="false" customHeight="false" outlineLevel="0" collapsed="false">
      <c r="A126" s="112" t="n">
        <f aca="false">A125+1</f>
        <v>123</v>
      </c>
      <c r="B126" s="113" t="n">
        <f aca="false">'Scénario référence'!$B$16*5+'Scénario référence'!$B$17*0+'Scénario référence'!$B$18*5</f>
        <v>0</v>
      </c>
      <c r="C126" s="127" t="n">
        <f aca="false"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4" t="n">
        <f aca="false">IFERROR(EXP(-1.0587+0.8836*LN(C126)+0.284),0)</f>
        <v>0</v>
      </c>
      <c r="E12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6" s="114" t="n">
        <f aca="false">IF(OR('Scénario référence'!$F$8&gt;0,'Scénario référence'!$F$9&gt;0),('Scénario référence'!$F$8+'Scénario référence'!$F$9)*10,0)</f>
        <v>0</v>
      </c>
      <c r="G126" s="114" t="n">
        <f aca="false"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15" t="n">
        <f aca="false">(B126+E126+F126)*44/12+(C126+D126)*0.475*44/12</f>
        <v>256.666666666667</v>
      </c>
      <c r="I126" s="11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7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8" t="e">
        <f aca="false">VLOOKUP(A126,'Données projet'!$A$35:$I$55,2,0)</f>
        <v>#N/A</v>
      </c>
      <c r="L126" s="118" t="e">
        <f aca="false">VLOOKUP(A126,'Données projet'!$A$35:$I$55,9,0)</f>
        <v>#N/A</v>
      </c>
      <c r="M126" s="118" t="e">
        <f aca="false" t="array" ref="M126:M126">INDEX(L:L,MIN(IF(ISNUMBER(L126:L322),ROW(L126:L322),"")))</f>
        <v>#N/A</v>
      </c>
      <c r="N126" s="117" t="n">
        <f aca="false">IF('Données projet'!$A$36&gt;35,N125+M126-V125,IF(A126&lt;'Données projet'!$A$36,$K$205^A126,IF(A126='Données projet'!$A$36,'Données projet'!$B$36,N125+M126-V125)))</f>
        <v>-1.13686837721616E-013</v>
      </c>
      <c r="O126" s="117" t="n">
        <f aca="false">N126*VLOOKUP('Données projet'!$B$9,Paramètres!$A$1:$I$89,3,0)*VLOOKUP('Données projet'!$B$9,Paramètres!$A$1:$I$89,5,0)</f>
        <v>-5.32054400537163E-014</v>
      </c>
      <c r="P126" s="117" t="e">
        <f aca="false">EXP(-1.0587+0.8836*LN(O126)+0.284)</f>
        <v>#VALUE!</v>
      </c>
      <c r="Q126" s="128" t="e">
        <f aca="false">(O126+P126)*0.475*44/12</f>
        <v>#VALUE!</v>
      </c>
      <c r="R126" s="120" t="e">
        <f aca="false">Q126+(I126+J126)*44/12</f>
        <v>#VALUE!</v>
      </c>
      <c r="S126" s="120" t="n">
        <f aca="true">AVERAGE(OFFSET($R$3,0,0,'Données projet'!$E$9+1,1))-AVERAGE(OFFSET($H$3,0,0,'Données projet'!$E$9+1,1))</f>
        <v>319.229030946746</v>
      </c>
      <c r="T126" s="120" t="n">
        <f aca="false">$T$3</f>
        <v>254.586909731428</v>
      </c>
      <c r="U126" s="121" t="n">
        <f aca="false">IF(ISNA(VLOOKUP(A126,'Données projet'!$A$35:$I$55,3,0)),0,VLOOKUP(A126,'Données projet'!$A$35:$I$55,3,0))</f>
        <v>0</v>
      </c>
      <c r="V126" s="121" t="n">
        <f aca="false">IF(ISNA(VLOOKUP(A126,'Données projet'!$A$35:$I$55,4,0)),0,VLOOKUP(A126,'Données projet'!$A$35:$I$55,4,0))</f>
        <v>0</v>
      </c>
      <c r="W126" s="122" t="n">
        <f aca="false">IF(ISNA(VLOOKUP(A126,'Données projet'!$A$35:$I$55,5,0)),0%,VLOOKUP(A126,'Données projet'!$A$35:$I$55,5,0)*VLOOKUP('Données projet'!$B$9,Paramètres!$A$1:$I$89,7,0))</f>
        <v>0</v>
      </c>
      <c r="X126" s="122" t="n">
        <f aca="false">IF(ISNA(VLOOKUP(A126,'Données projet'!$A$35:$I$55,6,0)),0%,VLOOKUP(A126,'Données projet'!$A$35:$I$55,6,0)*VLOOKUP('Données projet'!$B$9,Paramètres!$A$1:$I$89,7,0))</f>
        <v>0</v>
      </c>
      <c r="Y126" s="122" t="n">
        <f aca="false">IF(ISNA(VLOOKUP(A126,'Données projet'!$A$35:$I$55,7,0)),0%,VLOOKUP(A126,'Données projet'!$A$35:$I$55,7,0))</f>
        <v>0</v>
      </c>
      <c r="Z126" s="129" t="n">
        <f aca="false">EXP(-LN(2)/35)*Z125+(1-EXP(-LN(2)/35))/(LN(2)/35)*V126*W126*VLOOKUP('Données projet'!$B$9,Paramètres!$A$1:$I$89,3,0)*0.475*44/12</f>
        <v>1.43887405577008</v>
      </c>
      <c r="AA126" s="129" t="n">
        <f aca="false">EXP(-LN(2)/25)*AA125+(1-EXP(-LN(2)/25))/(LN(2)/25)*Calculateur!V126*Calculateur!X126*VLOOKUP('Données projet'!$B$9,Paramètres!$A$1:$I$89,3,0)*0.475*44/12</f>
        <v>0.846242247584749</v>
      </c>
      <c r="AB126" s="129" t="n">
        <f aca="false">EXP(-LN(2)/2)*AB125+(1-EXP(-LN(2)/2))/(LN(2)/2)*V126*Y126*VLOOKUP('Données projet'!$B$9,Paramètres!$A$1:$I$89,3,0)*0.475*44/12</f>
        <v>1.10967891222968E-013</v>
      </c>
      <c r="AC126" s="130" t="n">
        <f aca="false">SUM(Z126:AB126)</f>
        <v>2.28511630335494</v>
      </c>
      <c r="AD126" s="117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7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8" t="e">
        <f aca="false">VLOOKUP(A126,'Données projet'!$A$61:$I$81,2,0)</f>
        <v>#N/A</v>
      </c>
      <c r="AG126" s="118" t="e">
        <f aca="false">VLOOKUP(A126,'Données projet'!$A$61:$I$81,9,0)</f>
        <v>#N/A</v>
      </c>
      <c r="AH126" s="118" t="e">
        <f aca="false" t="array" ref="AH126:AH126">INDEX(AG:AG,MIN(IF(ISNUMBER(AG126:AG322),ROW(AG126:AG322),"")))</f>
        <v>#N/A</v>
      </c>
      <c r="AI126" s="117" t="n">
        <f aca="false">IF('Données projet'!$A$62&gt;35,AI125+AH126-AQ125,IF(A126&lt;'Données projet'!$A$62,$AF$205^A126,IF(A126='Données projet'!$A$62,'Données projet'!$B$62,AI125+AH126-AQ125)))</f>
        <v>1.13686837721616E-013</v>
      </c>
      <c r="AJ126" s="117" t="n">
        <f aca="false">AI126*VLOOKUP('Données projet'!$B$10,Paramètres!$A$1:$I$89,3,0)*VLOOKUP('Données projet'!$B$10,Paramètres!$A$1:$I$89,5,0)</f>
        <v>6.35509422863834E-014</v>
      </c>
      <c r="AK126" s="117" t="n">
        <f aca="false">EXP(-1.0587+0.8836*LN(AJ126)+0.284)</f>
        <v>1.0064464192544E-012</v>
      </c>
      <c r="AL126" s="128" t="n">
        <f aca="false">(AJ126+AK126)*0.475*44/12</f>
        <v>1.86357873801686E-012</v>
      </c>
      <c r="AM126" s="120" t="n">
        <f aca="false">AL126+(AD126+AE126)*44/12</f>
        <v>293.333333333335</v>
      </c>
      <c r="AN126" s="120" t="n">
        <f aca="true">AVERAGE(OFFSET($AM$3,0,0,'Données projet'!$E$10+1,1))-AVERAGE(OFFSET($H$3,0,0,'Données projet'!$E$10+1,1))</f>
        <v>365.705101827279</v>
      </c>
      <c r="AO126" s="120" t="n">
        <f aca="false">$AO$3</f>
        <v>436.238338449625</v>
      </c>
      <c r="AP126" s="121" t="n">
        <f aca="false">IF(ISNA(VLOOKUP(A126,'Données projet'!$A$61:$I$81,3,0)),0,VLOOKUP(A126,'Données projet'!$A$61:$I$81,3,0))</f>
        <v>0</v>
      </c>
      <c r="AQ126" s="121" t="n">
        <f aca="false">IF(ISNA(VLOOKUP(A126,'Données projet'!$A$61:$I$81,4,0)),0,VLOOKUP(A126,'Données projet'!$A$61:$I$81,4,0))</f>
        <v>0</v>
      </c>
      <c r="AR126" s="122" t="n">
        <f aca="false">IF(ISNA(VLOOKUP(A126,'Données projet'!$A$61:$I$81,5,0)),0%,VLOOKUP(A126,'Données projet'!$A$61:$I$81,5,0)*VLOOKUP('Données projet'!$B$10,Paramètres!$A$1:$I$89,7,0))</f>
        <v>0</v>
      </c>
      <c r="AS126" s="122" t="n">
        <f aca="false">IF(ISNA(VLOOKUP(A126,'Données projet'!$A$61:$I$81,6,0)),0%,VLOOKUP(A126,'Données projet'!$A$61:$I$81,6,0)*VLOOKUP('Données projet'!$B$10,Paramètres!$A$1:$I$89,7,0))</f>
        <v>0</v>
      </c>
      <c r="AT126" s="122" t="n">
        <f aca="false">IF(ISNA(VLOOKUP(A126,'Données projet'!$A$61:$I$81,7,0)),0%,VLOOKUP(A126,'Données projet'!$A$61:$I$81,7,0))</f>
        <v>0</v>
      </c>
      <c r="AU126" s="129" t="n">
        <f aca="false">EXP(-LN(2)/35)*AU125+(1-EXP(-LN(2)/35))/(LN(2)/35)*AQ126*AR126*VLOOKUP('Données projet'!$B$10,Paramètres!$A$1:$I$89,3,0)*0.475*44/12</f>
        <v>0.543128305727991</v>
      </c>
      <c r="AV126" s="129" t="n">
        <f aca="false">EXP(-LN(2)/25)*AV125+(1-EXP(-LN(2)/25))/(LN(2)/25)*Calculateur!AQ126*Calculateur!AS126*VLOOKUP('Données projet'!$B$10,Paramètres!$A$1:$I$89,3,0)*0.475*44/12</f>
        <v>1.00232818604997</v>
      </c>
      <c r="AW126" s="129" t="n">
        <f aca="false">EXP(-LN(2)/2)*AW125+(1-EXP(-LN(2)/2))/(LN(2)/2)*AQ126*AT126*VLOOKUP('Données projet'!$B$10,Paramètres!$A$1:$I$89,3,0)*0.475*44/12</f>
        <v>5.97194507816598E-014</v>
      </c>
      <c r="AX126" s="129" t="n">
        <f aca="false">SUM(AU126:AW126)</f>
        <v>1.54545649177802</v>
      </c>
      <c r="AY126" s="124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8" t="e">
        <f aca="false">VLOOKUP(A126,'Données projet'!$A$87:$I$107,2,0)</f>
        <v>#N/A</v>
      </c>
      <c r="BB126" s="118" t="e">
        <f aca="false">VLOOKUP(A126,'Données projet'!$A$87:$I$107,9,0)</f>
        <v>#N/A</v>
      </c>
      <c r="BC126" s="118" t="e">
        <f aca="false" t="array" ref="BC126:BC126">INDEX(BB:BB,MIN(IF(ISNUMBER(BB126:BB322),ROW(BB126:BB322),"")))</f>
        <v>#N/A</v>
      </c>
      <c r="BD126" s="118" t="n">
        <f aca="false">IF('Données projet'!$A$88&gt;35,BD125+BC126-BL125,IF(A126&lt;'Données projet'!$A$88,$BA$205^A126,IF(A126='Données projet'!$A$88,'Données projet'!$B$88,BD125+BC126-BL125)))</f>
        <v>1.98951966012828E-013</v>
      </c>
      <c r="BE126" s="117" t="n">
        <f aca="false">BD126*VLOOKUP('Données projet'!$B$11,Paramètres!$A$1:$I$89,3,0)*VLOOKUP('Données projet'!$B$11,Paramètres!$A$1:$I$89,5,0)</f>
        <v>1.73804437508807E-013</v>
      </c>
      <c r="BF126" s="117" t="n">
        <f aca="false">EXP(-1.0587+0.8836*LN(BE126)+0.284)</f>
        <v>2.44832936339505E-012</v>
      </c>
      <c r="BG126" s="128" t="n">
        <f aca="false">(BE126+BF126)*0.475*44/12</f>
        <v>4.56688303657421E-012</v>
      </c>
      <c r="BH126" s="120" t="n">
        <f aca="false">BG126+(AY126+AZ126)*44/12</f>
        <v>293.333333333338</v>
      </c>
      <c r="BI126" s="120" t="n">
        <f aca="true">AVERAGE(OFFSET($BH$3,0,0,'Données projet'!$E$11+1,1))-AVERAGE(OFFSET($H$3,0,0,'Données projet'!$E$11+1,1))</f>
        <v>321.235999689929</v>
      </c>
      <c r="BJ126" s="120" t="n">
        <f aca="false">$BJ$3</f>
        <v>388.051958478005</v>
      </c>
      <c r="BK126" s="121" t="n">
        <f aca="false">IF(ISNA(VLOOKUP(A126,'Données projet'!$A$87:$I$107,3,0)),0,VLOOKUP(A126,'Données projet'!$A$87:$I$107,3,0))</f>
        <v>0</v>
      </c>
      <c r="BL126" s="121" t="n">
        <f aca="false">IF(ISNA(VLOOKUP(A126,'Données projet'!$A$87:$I$107,4,0)),0,VLOOKUP(A126,'Données projet'!$A$87:$I$107,4,0))</f>
        <v>0</v>
      </c>
      <c r="BM126" s="122" t="n">
        <f aca="false">IF(ISNA(VLOOKUP(A126,'Données projet'!$A$87:$I$107,5,0)),0%,VLOOKUP(A126,'Données projet'!$A$87:$I$107,5,0)*VLOOKUP('Données projet'!$B$11,Paramètres!$A$1:$I$89,7,0))</f>
        <v>0</v>
      </c>
      <c r="BN126" s="122" t="n">
        <f aca="false">IF(ISNA(VLOOKUP(A126,'Données projet'!$A$87:$I$107,6,0)),0%,VLOOKUP(A126,'Données projet'!$A$87:$I$107,6,0)*VLOOKUP('Données projet'!$B$11,Paramètres!$A$1:$I$89,7,0))</f>
        <v>0</v>
      </c>
      <c r="BO126" s="122" t="n">
        <f aca="false">IF(ISNA(VLOOKUP(A126,'Données projet'!$A$87:$I$107,7,0)),0%,VLOOKUP(A126,'Données projet'!$A$87:$I$107,7,0))</f>
        <v>0</v>
      </c>
      <c r="BP126" s="129" t="n">
        <f aca="false">EXP(-LN(2)/35)*BP125+(1-EXP(-LN(2)/35))/(LN(2)/35)*BL126*BM126*VLOOKUP('Données projet'!$B$11,Paramètres!$A$1:$I$89,3,0)*0.475*44/12</f>
        <v>1.36358952120955</v>
      </c>
      <c r="BQ126" s="129" t="n">
        <f aca="false">EXP(-LN(2)/25)*BQ125+(1-EXP(-LN(2)/25))/(LN(2)/25)*Calculateur!BL126*Calculateur!BN126*VLOOKUP('Données projet'!$B$11,Paramètres!$A$1:$I$89,3,0)*0.475*44/12</f>
        <v>1.02311707770641</v>
      </c>
      <c r="BR126" s="129" t="n">
        <f aca="false">EXP(-LN(2)/2)*BR125+(1-EXP(-LN(2)/2))/(LN(2)/2)*BL126*BO126*VLOOKUP('Données projet'!$B$11,Paramètres!$A$1:$I$89,3,0)*0.475*44/12</f>
        <v>6.07035804301364E-014</v>
      </c>
      <c r="BS126" s="130" t="n">
        <f aca="false">SUM(BP126:BR126)</f>
        <v>2.38670659891602</v>
      </c>
      <c r="BT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8" t="e">
        <f aca="false">VLOOKUP(A126,'Données projet'!$A$113:$I$133,2,0)</f>
        <v>#N/A</v>
      </c>
      <c r="BW126" s="118" t="e">
        <f aca="false">VLOOKUP(A126,'Données projet'!$A$113:$I$133,9,0)</f>
        <v>#N/A</v>
      </c>
      <c r="BX126" s="118" t="e">
        <f aca="false" t="array" ref="BX126:BX126">INDEX(BW:BW,MIN(IF(ISNUMBER(BW126:BW322),ROW(BW126:BW322),"")))</f>
        <v>#N/A</v>
      </c>
      <c r="BY126" s="118" t="n">
        <f aca="false">IF('Données projet'!$A$114&gt;35,BY125+BX126-CG125,IF(A126&lt;'Données projet'!$A$114,$BV$205^A126,IF(A126='Données projet'!$A$114,'Données projet'!$B$114,BY125+BX126-CG125)))</f>
        <v>0</v>
      </c>
      <c r="BZ126" s="117" t="n">
        <f aca="false">BY126*VLOOKUP('Données projet'!$B$12,Paramètres!$A$1:$I$89,3,0)*VLOOKUP('Données projet'!$B$12,Paramètres!$A$1:$I$89,5,0)</f>
        <v>0</v>
      </c>
      <c r="CA126" s="117" t="e">
        <f aca="false">EXP(-1.0587+0.8836*LN(BZ126)+0.284)</f>
        <v>#VALUE!</v>
      </c>
      <c r="CB126" s="128" t="e">
        <f aca="false">(BZ126+CA126)*0.475*44/12</f>
        <v>#VALUE!</v>
      </c>
      <c r="CC126" s="120" t="e">
        <f aca="false">CB126+(BT126+BU126)*44/12</f>
        <v>#VALUE!</v>
      </c>
      <c r="CD126" s="120" t="n">
        <f aca="true">AVERAGE(OFFSET($CC$3,0,0,'Données projet'!$E$12+1,1))-AVERAGE(OFFSET($H$3,0,0,'Données projet'!$E$12+1,1))</f>
        <v>240.228848647662</v>
      </c>
      <c r="CE126" s="120" t="n">
        <f aca="false">$CE$3</f>
        <v>343.237768841432</v>
      </c>
      <c r="CF126" s="121" t="n">
        <f aca="false">IF(ISNA(VLOOKUP(A126,'Données projet'!$A$113:$I$133,3,0)),0,VLOOKUP(A126,'Données projet'!$A$113:$I$133,3,0))</f>
        <v>0</v>
      </c>
      <c r="CG126" s="121" t="n">
        <f aca="false">IF(ISNA(VLOOKUP(A126,'Données projet'!$A$113:$I$133,4,0)),0,VLOOKUP(A126,'Données projet'!$A$113:$I$133,4,0))</f>
        <v>0</v>
      </c>
      <c r="CH126" s="122" t="n">
        <f aca="false">IF(ISNA(VLOOKUP(A126,'Données projet'!$A$113:$I$133,5,0)),0%,VLOOKUP(A126,'Données projet'!$A$113:$I$133,5,0)*VLOOKUP('Données projet'!$B$12,Paramètres!$A$1:$I$89,7,0))</f>
        <v>0</v>
      </c>
      <c r="CI126" s="122" t="n">
        <f aca="false">IF(ISNA(VLOOKUP(A126,'Données projet'!$A$113:$I$133,6,0)),0%,VLOOKUP(A126,'Données projet'!$A$113:$I$133,6,0)*VLOOKUP('Données projet'!$B$12,Paramètres!$A$1:$I$89,7,0))</f>
        <v>0</v>
      </c>
      <c r="CJ126" s="122" t="n">
        <f aca="false">IF(ISNA(VLOOKUP(A126,'Données projet'!$A$113:$I$133,7,0)),0%,VLOOKUP(A126,'Données projet'!$A$113:$I$133,7,0))</f>
        <v>0</v>
      </c>
      <c r="CK126" s="129" t="n">
        <f aca="false">EXP(-LN(2)/35)*CK125+(1-EXP(-LN(2)/35))/(LN(2)/35)*CG126*CH126*VLOOKUP('Données projet'!$B$12,Paramètres!$A$1:$I$89,3,0)*0.475*44/12</f>
        <v>0.834623020097862</v>
      </c>
      <c r="CL126" s="129" t="n">
        <f aca="false">EXP(-LN(2)/25)*CL125+(1-EXP(-LN(2)/25))/(LN(2)/25)*Calculateur!CG126*Calculateur!CI126*VLOOKUP('Données projet'!$B$12,Paramètres!$A$1:$I$89,3,0)*0.475*44/12</f>
        <v>1.80688398736121</v>
      </c>
      <c r="CM126" s="129" t="n">
        <f aca="false">EXP(-LN(2)/2)*CM125+(1-EXP(-LN(2)/2))/(LN(2)/2)*CG126*CJ126*VLOOKUP('Données projet'!$B$12,Paramètres!$A$1:$I$89,3,0)*0.475*44/12</f>
        <v>9.6866730801231E-014</v>
      </c>
      <c r="CN126" s="130" t="n">
        <f aca="false">SUM(CK126:CM126)</f>
        <v>2.64150700745916</v>
      </c>
      <c r="CO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8" t="e">
        <f aca="false">VLOOKUP(A126,'Données projet'!$A$139:$I$159,2,0)</f>
        <v>#N/A</v>
      </c>
      <c r="CR126" s="118" t="e">
        <f aca="false">VLOOKUP(A126,'Données projet'!$A$139:$I$159,9,0)</f>
        <v>#N/A</v>
      </c>
      <c r="CS126" s="118" t="e">
        <f aca="false" t="array" ref="CS126:CS126">INDEX(CR:CR,MIN(IF(ISNUMBER(CR126:CR322),ROW(CR126:CR322),"")))</f>
        <v>#N/A</v>
      </c>
      <c r="CT126" s="118" t="n">
        <f aca="false">IF('Données projet'!$A$140&gt;35,CT125+CS126-DB125,IF(A126&lt;'Données projet'!$A$140,$CQ$205^A126,IF(A126='Données projet'!$A$140,'Données projet'!$B$140,CT125+CS126-DB125)))</f>
        <v>-5.6843418860808E-014</v>
      </c>
      <c r="CU126" s="125" t="n">
        <f aca="false">CT126*VLOOKUP('Données projet'!$B$13,Paramètres!$A$1:$I$89,3,0)*VLOOKUP('Données projet'!$B$13,Paramètres!$A$1:$I$89,5,0)</f>
        <v>-3.10365066980012E-014</v>
      </c>
      <c r="CV126" s="117" t="e">
        <f aca="false">EXP(-1.0587+0.8836*LN(CU126)+0.284)</f>
        <v>#VALUE!</v>
      </c>
      <c r="CW126" s="128" t="e">
        <f aca="false">(CU126+CV126)*0.475*44/12</f>
        <v>#VALUE!</v>
      </c>
      <c r="CX126" s="120" t="e">
        <f aca="false">CW126+(CO126+CP126)*44/12</f>
        <v>#VALUE!</v>
      </c>
      <c r="CY126" s="120" t="n">
        <f aca="true">AVERAGE(OFFSET($CX$3,0,0,'Données projet'!$E$13+1,1))-AVERAGE(OFFSET($H$3,0,0,'Données projet'!$E$13+1,1))</f>
        <v>207.023069645676</v>
      </c>
      <c r="CZ126" s="120" t="n">
        <f aca="false">$CZ$3</f>
        <v>342.068879333518</v>
      </c>
      <c r="DA126" s="121" t="n">
        <f aca="false">IF(ISNA(VLOOKUP(A126,'Données projet'!$A$139:$I$159,3,0)),0,VLOOKUP(A126,'Données projet'!$A$139:$I$159,3,0))</f>
        <v>0</v>
      </c>
      <c r="DB126" s="121" t="n">
        <f aca="false">IF(ISNA(VLOOKUP(A126,'Données projet'!$A$139:$I$159,4,0)),0,VLOOKUP(A126,'Données projet'!$A$139:$I$159,4,0))</f>
        <v>0</v>
      </c>
      <c r="DC126" s="122" t="n">
        <f aca="false">IF(ISNA(VLOOKUP(A126,'Données projet'!$A$139:$I$159,5,0)),0%,VLOOKUP(A126,'Données projet'!$A$139:$I$159,5,0)*VLOOKUP('Données projet'!$B$13,Paramètres!$A$1:$I$89,7,0))</f>
        <v>0</v>
      </c>
      <c r="DD126" s="122" t="n">
        <f aca="false">IF(ISNA(VLOOKUP(A126,'Données projet'!$A$139:$I$159,6,0)),0%,VLOOKUP(A126,'Données projet'!$A$139:$I$159,6,0)*VLOOKUP('Données projet'!$B$13,Paramètres!$A$1:$I$89,7,0))</f>
        <v>0</v>
      </c>
      <c r="DE126" s="122" t="n">
        <f aca="false">IF(ISNA(VLOOKUP(A126,'Données projet'!$A$139:$I$159,7,0)),0%,VLOOKUP(A126,'Données projet'!$A$139:$I$159,7,0))</f>
        <v>0</v>
      </c>
      <c r="DF126" s="129" t="n">
        <f aca="false">EXP(-LN(2)/35)*DF125+(1-EXP(-LN(2)/35))/(LN(2)/35)*DB126*DC126*VLOOKUP('Données projet'!$B$13,Paramètres!$A$1:$I$89,3,0)*0.475*44/12</f>
        <v>1.04721567616052</v>
      </c>
      <c r="DG126" s="129" t="n">
        <f aca="false">EXP(-LN(2)/25)*DG125+(1-EXP(-LN(2)/25))/(LN(2)/25)*Calculateur!DB126*Calculateur!DD126*VLOOKUP('Données projet'!$B$13,Paramètres!$A$1:$I$89,3,0)*0.475*44/12</f>
        <v>2.95350277234402</v>
      </c>
      <c r="DH126" s="129" t="n">
        <f aca="false">EXP(-LN(2)/2)*DH125+(1-EXP(-LN(2)/2))/(LN(2)/2)*DB126*DE126*VLOOKUP('Données projet'!$B$13,Paramètres!$A$1:$I$89,3,0)*0.475*44/12</f>
        <v>1.33385533223151E-013</v>
      </c>
      <c r="DI126" s="130" t="n">
        <f aca="false">SUM(DF126:DH126)</f>
        <v>4.00071844850467</v>
      </c>
      <c r="DJ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8" t="e">
        <f aca="false">VLOOKUP(A126,'Données projet'!$A$165:$I$185,2,0)</f>
        <v>#N/A</v>
      </c>
      <c r="DM126" s="118" t="e">
        <f aca="false">VLOOKUP(A126,'Données projet'!$A$165:$I$185,9,0)</f>
        <v>#N/A</v>
      </c>
      <c r="DN126" s="118" t="e">
        <f aca="false" t="array" ref="DN126:DN126">INDEX(DM:DM,MIN(IF(ISNUMBER(DM126:DM322),ROW(DM126:DM322),"")))</f>
        <v>#N/A</v>
      </c>
      <c r="DO126" s="118" t="n">
        <f aca="false">IF('Données projet'!$A$166&gt;35,DO125+DN126-DW125,IF(A126&lt;'Données projet'!$A$166,$DL$205^A126,IF(A126='Données projet'!$A$166,'Données projet'!$B$166,DO125+DN126-DW125)))</f>
        <v>0</v>
      </c>
      <c r="DP126" s="125" t="n">
        <f aca="false">DO126*VLOOKUP('Données projet'!$B$14,Paramètres!$A$1:$I$89,3,0)*VLOOKUP('Données projet'!$B$14,Paramètres!$A$1:$I$89,5,0)</f>
        <v>0</v>
      </c>
      <c r="DQ126" s="117" t="e">
        <f aca="false">EXP(-1.0587+0.8836*LN(DP126)+0.284)</f>
        <v>#VALUE!</v>
      </c>
      <c r="DR126" s="128" t="e">
        <f aca="false">(DP126+DQ126)*0.475*44/12</f>
        <v>#VALUE!</v>
      </c>
      <c r="DS126" s="120" t="e">
        <f aca="false">DR126+(DJ126+DK126)*44/12</f>
        <v>#VALUE!</v>
      </c>
      <c r="DT126" s="120" t="n">
        <f aca="true">AVERAGE(OFFSET($DS$3,0,0,'Données projet'!$E$14+1,1))-AVERAGE(OFFSET($H$3,0,0,'Données projet'!$E$14+1,1))</f>
        <v>549.432320957297</v>
      </c>
      <c r="DU126" s="120" t="n">
        <f aca="false">$DU$3</f>
        <v>280.26155987301</v>
      </c>
      <c r="DV126" s="121" t="n">
        <f aca="false">IF(ISNA(VLOOKUP(A126,'Données projet'!$A$165:$I$185,3,0)),0,VLOOKUP(A126,'Données projet'!$A$165:$I$185,3,0))</f>
        <v>0</v>
      </c>
      <c r="DW126" s="121" t="n">
        <f aca="false">IF(ISNA(VLOOKUP(A126,'Données projet'!$A$165:$I$185,4,0)),0,VLOOKUP(A126,'Données projet'!$A$165:$I$185,4,0))</f>
        <v>0</v>
      </c>
      <c r="DX126" s="122" t="n">
        <f aca="false">IF(ISNA(VLOOKUP(A126,'Données projet'!$A$165:$I$185,5,0)),0%,VLOOKUP(A126,'Données projet'!$A$165:$I$185,5,0)*VLOOKUP('Données projet'!$B$14,Paramètres!$A$1:$I$89,7,0))</f>
        <v>0</v>
      </c>
      <c r="DY126" s="122" t="n">
        <f aca="false">IF(ISNA(VLOOKUP(A126,'Données projet'!$A$165:$I$185,6,0)),0%,VLOOKUP(A126,'Données projet'!$A$165:$I$185,6,0)*VLOOKUP('Données projet'!$B$14,Paramètres!$A$1:$I$89,7,0))</f>
        <v>0</v>
      </c>
      <c r="DZ126" s="122" t="n">
        <f aca="false">IF(ISNA(VLOOKUP(A126,'Données projet'!$A$165:$I$185,7,0)),0%,VLOOKUP(A126,'Données projet'!$A$165:$I$185,7,0))</f>
        <v>0</v>
      </c>
      <c r="EA126" s="129" t="n">
        <f aca="false">EXP(-LN(2)/35)*EA125+(1-EXP(-LN(2)/35))/(LN(2)/35)*DW126*DX126*VLOOKUP('Données projet'!$B$14,Paramètres!$A$1:$I$89,3,0)*0.475*44/12</f>
        <v>0.380766452160601</v>
      </c>
      <c r="EB126" s="129" t="n">
        <f aca="false">EXP(-LN(2)/25)*EB125+(1-EXP(-LN(2)/25))/(LN(2)/25)*Calculateur!DW126*Calculateur!DY126*VLOOKUP('Données projet'!$B$14,Paramètres!$A$1:$I$89,3,0)*0.475*44/12</f>
        <v>0.588396023836428</v>
      </c>
      <c r="EC126" s="129" t="n">
        <f aca="false">EXP(-LN(2)/2)*EC125+(1-EXP(-LN(2)/2))/(LN(2)/2)*DW126*DZ126*VLOOKUP('Données projet'!$B$14,Paramètres!$A$1:$I$89,3,0)*0.475*44/12</f>
        <v>6.14879813114315E-014</v>
      </c>
      <c r="ED126" s="130" t="n">
        <f aca="false">SUM(EA126:EC126)</f>
        <v>0.96916247599709</v>
      </c>
      <c r="EE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8" t="e">
        <f aca="false">VLOOKUP(A126,'Données projet'!$A$191:$I$211,2,0)</f>
        <v>#N/A</v>
      </c>
      <c r="EH126" s="118" t="e">
        <f aca="false">VLOOKUP(A126,'Données projet'!$A$191:$I$211,9,0)</f>
        <v>#N/A</v>
      </c>
      <c r="EI126" s="118" t="e">
        <f aca="false" t="array" ref="EI126:EI126">INDEX(EH:EH,MIN(IF(ISNUMBER(EH126:EH322),ROW(EH126:EH322),"")))</f>
        <v>#N/A</v>
      </c>
      <c r="EJ126" s="118" t="n">
        <f aca="false">IF('Données projet'!$A$192&gt;35,EJ125+EI126-ER125,IF(A126&lt;'Données projet'!$A$192,$EG$205^A126,IF(A126='Données projet'!$A$192,'Données projet'!$B$192,EJ125+EI126-ER125)))</f>
        <v>0</v>
      </c>
      <c r="EK126" s="125" t="e">
        <f aca="false">EJ126*VLOOKUP('Données projet'!$B$15,Paramètres!$A$1:$I$89,3,0)*VLOOKUP('Données projet'!$B$15,Paramètres!$A$1:$I$89,5,0)</f>
        <v>#N/A</v>
      </c>
      <c r="EL126" s="117" t="e">
        <f aca="false">EXP(-1.0587+0.8836*LN(EK126)+0.284)</f>
        <v>#N/A</v>
      </c>
      <c r="EM126" s="128" t="e">
        <f aca="false">(EK126+EL126)*0.475*44/12</f>
        <v>#N/A</v>
      </c>
      <c r="EN126" s="120" t="e">
        <f aca="false">EM126+(EE126+EF126)*44/12</f>
        <v>#N/A</v>
      </c>
      <c r="EO126" s="120" t="e">
        <f aca="true">AVERAGE(OFFSET($EN$3,0,0,'Données projet'!$E$15+1,1))-AVERAGE(OFFSET($H$3,0,0,'Données projet'!$E$15+1,1))</f>
        <v>#N/A</v>
      </c>
      <c r="EP126" s="120" t="e">
        <f aca="false">$EP$3</f>
        <v>#N/A</v>
      </c>
      <c r="EQ126" s="121" t="n">
        <f aca="false">IF(ISNA(VLOOKUP(A126,'Données projet'!$A$191:$I$211,3,0)),0,VLOOKUP(A126,'Données projet'!$A$191:$I$211,3,0))</f>
        <v>0</v>
      </c>
      <c r="ER126" s="121" t="n">
        <f aca="false">IF(ISNA(VLOOKUP(A126,'Données projet'!$A$191:$I$211,4,0)),0,VLOOKUP(A126,'Données projet'!$A$191:$I$211,4,0))</f>
        <v>0</v>
      </c>
      <c r="ES126" s="122" t="n">
        <f aca="false">IF(ISNA(VLOOKUP(A126,'Données projet'!$A$191:$I$211,5,0)),0%,VLOOKUP(A126,'Données projet'!$A$191:$I$211,5,0)*VLOOKUP('Données projet'!$B$15,Paramètres!$A$1:$I$89,7,0))</f>
        <v>0</v>
      </c>
      <c r="ET126" s="122" t="n">
        <f aca="false">IF(ISNA(VLOOKUP(A126,'Données projet'!$A$191:$I$211,6,0)),0%,VLOOKUP(A126,'Données projet'!$A$191:$I$211,6,0)*VLOOKUP('Données projet'!$B$15,Paramètres!$A$1:$I$89,7,0))</f>
        <v>0</v>
      </c>
      <c r="EU126" s="122" t="n">
        <f aca="false">IF(ISNA(VLOOKUP(A126,'Données projet'!$A$191:$I$211,7,0)),0%,VLOOKUP(A126,'Données projet'!$A$191:$I$211,7,0))</f>
        <v>0</v>
      </c>
      <c r="EV126" s="129" t="e">
        <f aca="false">EXP(-LN(2)/35)*EV125+(1-EXP(-LN(2)/35))/(LN(2)/35)*ER126*ES126*VLOOKUP('Données projet'!$B$15,Paramètres!$A$1:$I$89,3,0)*0.475*44/12</f>
        <v>#N/A</v>
      </c>
      <c r="EW126" s="129" t="e">
        <f aca="false">EXP(-LN(2)/25)*EW125+(1-EXP(-LN(2)/25))/(LN(2)/25)*Calculateur!ER126*Calculateur!ET126*VLOOKUP('Données projet'!$B$15,Paramètres!$A$1:$I$89,3,0)*0.475*44/12</f>
        <v>#N/A</v>
      </c>
      <c r="EX126" s="129" t="e">
        <f aca="false">EXP(-LN(2)/2)*EX125+(1-EXP(-LN(2)/2))/(LN(2)/2)*ER126*EU126*VLOOKUP('Données projet'!$B$15,Paramètres!$A$1:$I$89,3,0)*0.475*44/12</f>
        <v>#N/A</v>
      </c>
      <c r="EY126" s="130" t="e">
        <f aca="false">SUM(EV126:EX126)</f>
        <v>#N/A</v>
      </c>
      <c r="EZ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8" t="e">
        <f aca="false">VLOOKUP(A126,'Données projet'!$A$217:$I$237,2,0)</f>
        <v>#N/A</v>
      </c>
      <c r="FC126" s="118" t="e">
        <f aca="false">VLOOKUP(A126,'Données projet'!$A$217:$I$237,9,0)</f>
        <v>#N/A</v>
      </c>
      <c r="FD126" s="118" t="e">
        <f aca="false" t="array" ref="FD126:FD126">INDEX(FC:FC,MIN(IF(ISNUMBER(FC126:FC322),ROW(FC126:FC322),"")))</f>
        <v>#N/A</v>
      </c>
      <c r="FE126" s="118" t="n">
        <f aca="false">IF('Données projet'!$A$218&gt;35,FE125+FD126-FM125,IF(A126&lt;'Données projet'!$A$218,$FB$205^A126,IF(A126='Données projet'!$A$218,'Données projet'!$B$218,FE125+FD126-FM125)))</f>
        <v>0</v>
      </c>
      <c r="FF126" s="125" t="e">
        <f aca="false">FE126*VLOOKUP('Données projet'!$B$16,Paramètres!$A$1:$I$89,3,0)*VLOOKUP('Données projet'!$B$16,Paramètres!$A$1:$I$89,5,0)</f>
        <v>#N/A</v>
      </c>
      <c r="FG126" s="117" t="e">
        <f aca="false">EXP(-1.0587+0.8836*LN(FF126)+0.284)</f>
        <v>#N/A</v>
      </c>
      <c r="FH126" s="128" t="e">
        <f aca="false">(FF126+FG126)*0.475*44/12</f>
        <v>#N/A</v>
      </c>
      <c r="FI126" s="120" t="e">
        <f aca="false">FH126+(EZ126+FA126)*44/12</f>
        <v>#N/A</v>
      </c>
      <c r="FJ126" s="120" t="e">
        <f aca="true">AVERAGE(OFFSET($FI$3,0,0,'Données projet'!$E$16+1,1))-AVERAGE(OFFSET($H$3,0,0,'Données projet'!$E$16+1,1))</f>
        <v>#N/A</v>
      </c>
      <c r="FK126" s="120" t="e">
        <f aca="false">$FK$3</f>
        <v>#N/A</v>
      </c>
      <c r="FL126" s="121" t="n">
        <f aca="false">IF(ISNA(VLOOKUP(A126,'Données projet'!$A$217:$I$237,3,0)),0,VLOOKUP(A126,'Données projet'!$A$217:$I$237,3,0))</f>
        <v>0</v>
      </c>
      <c r="FM126" s="121" t="n">
        <f aca="false">IF(ISNA(VLOOKUP(A126,'Données projet'!$A$217:$I$237,4,0)),0,VLOOKUP(A126,'Données projet'!$A$217:$I$237,4,0))</f>
        <v>0</v>
      </c>
      <c r="FN126" s="122" t="n">
        <f aca="false">IF(ISNA(VLOOKUP(A126,'Données projet'!$A$217:$I$237,5,0)),0%,VLOOKUP(A126,'Données projet'!$A$217:$I$237,5,0)*VLOOKUP('Données projet'!$B$16,Paramètres!$A$1:$I$89,7,0))</f>
        <v>0</v>
      </c>
      <c r="FO126" s="122" t="n">
        <f aca="false">IF(ISNA(VLOOKUP(A126,'Données projet'!$A$217:$I$237,6,0)),0%,VLOOKUP(A126,'Données projet'!$A$217:$I$237,6,0)*VLOOKUP('Données projet'!$B$16,Paramètres!$A$1:$I$89,7,0))</f>
        <v>0</v>
      </c>
      <c r="FP126" s="122" t="n">
        <f aca="false">IF(ISNA(VLOOKUP(A126,'Données projet'!$A$217:$I$237,7,0)),0%,VLOOKUP(A126,'Données projet'!$A$217:$I$237,7,0))</f>
        <v>0</v>
      </c>
      <c r="FQ126" s="129" t="e">
        <f aca="false">EXP(-LN(2)/35)*FQ125+(1-EXP(-LN(2)/35))/(LN(2)/35)*FM126*FN126*VLOOKUP('Données projet'!$B$16,Paramètres!$A$1:$I$89,3,0)*0.475*44/12</f>
        <v>#N/A</v>
      </c>
      <c r="FR126" s="129" t="e">
        <f aca="false">EXP(-LN(2)/25)*FR125+(1-EXP(-LN(2)/25))/(LN(2)/25)*Calculateur!FM126*Calculateur!FO126*VLOOKUP('Données projet'!$B$16,Paramètres!$A$1:$I$89,3,0)*0.475*44/12</f>
        <v>#N/A</v>
      </c>
      <c r="FS126" s="129" t="e">
        <f aca="false">EXP(-LN(2)/2)*FS125+(1-EXP(-LN(2)/2))/(LN(2)/2)*FM126*FP126*VLOOKUP('Données projet'!$B$16,Paramètres!$A$1:$I$89,3,0)*0.475*44/12</f>
        <v>#N/A</v>
      </c>
      <c r="FT126" s="130" t="e">
        <f aca="false">SUM(FQ126:FS126)</f>
        <v>#N/A</v>
      </c>
      <c r="FU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8" t="e">
        <f aca="false">VLOOKUP(A126,'Données projet'!$A$243:$I$263,2,0)</f>
        <v>#N/A</v>
      </c>
      <c r="FX126" s="118" t="e">
        <f aca="false">VLOOKUP(A126,'Données projet'!$A$243:$I$263,9,0)</f>
        <v>#N/A</v>
      </c>
      <c r="FY126" s="118" t="e">
        <f aca="false" t="array" ref="FY126:FY126">INDEX(FX:FX,MIN(IF(ISNUMBER(FX126:FX322),ROW(FX126:FX322),"")))</f>
        <v>#N/A</v>
      </c>
      <c r="FZ126" s="118" t="n">
        <f aca="false">IF('Données projet'!$A$244&gt;35,FZ125+FY126-GH125,IF(A126&lt;'Données projet'!$A$244,$FW$205^A126,IF(A126='Données projet'!$A$244,'Données projet'!$B$244,FZ125+FY126-GH125)))</f>
        <v>0</v>
      </c>
      <c r="GA126" s="125" t="e">
        <f aca="false">FZ126*VLOOKUP('Données projet'!$B$17,Paramètres!$A$1:$I$89,3,0)*VLOOKUP('Données projet'!$B$17,Paramètres!$A$1:$I$89,5,0)</f>
        <v>#N/A</v>
      </c>
      <c r="GB126" s="117" t="e">
        <f aca="false">EXP(-1.0587+0.8836*LN(GA126)+0.284)</f>
        <v>#N/A</v>
      </c>
      <c r="GC126" s="128" t="e">
        <f aca="false">(GA126+GB126)*0.475*44/12</f>
        <v>#N/A</v>
      </c>
      <c r="GD126" s="120" t="e">
        <f aca="false">GC126+(FU126+FV126)*44/12</f>
        <v>#N/A</v>
      </c>
      <c r="GE126" s="120" t="e">
        <f aca="true">AVERAGE(OFFSET($GD$3,0,0,'Données projet'!$E$17+1,1))-AVERAGE(OFFSET($H$3,0,0,'Données projet'!$E$17+1,1))</f>
        <v>#N/A</v>
      </c>
      <c r="GF126" s="120" t="e">
        <f aca="false">$GF$3</f>
        <v>#N/A</v>
      </c>
      <c r="GG126" s="121" t="n">
        <f aca="false">IF(ISNA(VLOOKUP(A126,'Données projet'!$A$243:$I$263,3,0)),0,VLOOKUP(A126,'Données projet'!$A$243:$I$263,3,0))</f>
        <v>0</v>
      </c>
      <c r="GH126" s="121" t="n">
        <f aca="false">IF(ISNA(VLOOKUP(A126,'Données projet'!$A$243:$I$263,4,0)),0,VLOOKUP(A126,'Données projet'!$A$243:$I$263,4,0))</f>
        <v>0</v>
      </c>
      <c r="GI126" s="122" t="n">
        <f aca="false">IF(ISNA(VLOOKUP(A126,'Données projet'!$A$243:$I$263,5,0)),0%,VLOOKUP(A126,'Données projet'!$A$243:$I$263,5,0)*VLOOKUP('Données projet'!$B$17,Paramètres!$A$1:$I$89,7,0))</f>
        <v>0</v>
      </c>
      <c r="GJ126" s="122" t="n">
        <f aca="false">IF(ISNA(VLOOKUP(A126,'Données projet'!$A$243:$I$263,6,0)),0%,VLOOKUP(A126,'Données projet'!$A$243:$I$263,6,0)*VLOOKUP('Données projet'!$B$17,Paramètres!$A$1:$I$89,7,0))</f>
        <v>0</v>
      </c>
      <c r="GK126" s="122" t="n">
        <f aca="false">IF(ISNA(VLOOKUP(A126,'Données projet'!$A$243:$I$263,7,0)),0%,VLOOKUP(A126,'Données projet'!$A$243:$I$263,7,0))</f>
        <v>0</v>
      </c>
      <c r="GL126" s="129" t="e">
        <f aca="false">EXP(-LN(2)/35)*GL125+(1-EXP(-LN(2)/35))/(LN(2)/35)*GH126*GI126*VLOOKUP('Données projet'!$B$17,Paramètres!$A$1:$I$89,3,0)*0.475*44/12</f>
        <v>#N/A</v>
      </c>
      <c r="GM126" s="129" t="e">
        <f aca="false">EXP(-LN(2)/25)*GM125+(1-EXP(-LN(2)/25))/(LN(2)/25)*Calculateur!GH126*Calculateur!GJ126*VLOOKUP('Données projet'!$B$17,Paramètres!$A$1:$I$89,3,0)*0.475*44/12</f>
        <v>#N/A</v>
      </c>
      <c r="GN126" s="129" t="e">
        <f aca="false">EXP(-LN(2)/2)*GN125+(1-EXP(-LN(2)/2))/(LN(2)/2)*GH126*GK126*VLOOKUP('Données projet'!$B$17,Paramètres!$A$1:$I$89,3,0)*0.475*44/12</f>
        <v>#N/A</v>
      </c>
      <c r="GO126" s="129" t="e">
        <f aca="false">SUM(GL126:GN126)</f>
        <v>#N/A</v>
      </c>
      <c r="GP126" s="126" t="n">
        <f aca="false"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8" t="n">
        <f aca="false"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8" t="e">
        <f aca="false">VLOOKUP(A126,'Données projet'!$A$269:$I$289,2,0)</f>
        <v>#N/A</v>
      </c>
      <c r="GS126" s="118" t="e">
        <f aca="false">VLOOKUP(A126,'Données projet'!$A$269:$I$289,9,0)</f>
        <v>#N/A</v>
      </c>
      <c r="GT126" s="118" t="e">
        <f aca="false" t="array" ref="GT126:GT126">INDEX(GS:GS,MIN(IF(ISNUMBER(GS126:GS322),ROW(GS126:GS322),"")))</f>
        <v>#N/A</v>
      </c>
      <c r="GU126" s="118" t="n">
        <f aca="false">IF('Données projet'!$A$270&gt;35,GU125+GT126-HC125,IF(A126&lt;'Données projet'!$A$270,$GR$205^A126,IF(A126='Données projet'!$A$270,'Données projet'!$B$270,GU125+GT126-HC125)))</f>
        <v>0</v>
      </c>
      <c r="GV126" s="125" t="e">
        <f aca="false">GU126*VLOOKUP('Données projet'!$B$18,Paramètres!$A$1:$I$89,3,0)*VLOOKUP('Données projet'!$B$18,Paramètres!$A$1:$I$89,5,0)</f>
        <v>#N/A</v>
      </c>
      <c r="GW126" s="117" t="e">
        <f aca="false">EXP(-1.0587+0.8836*LN(GV126)+0.284)</f>
        <v>#N/A</v>
      </c>
      <c r="GX126" s="128" t="e">
        <f aca="false">(GV126+GW126)*0.475*44/12</f>
        <v>#N/A</v>
      </c>
      <c r="GY126" s="120" t="e">
        <f aca="false">GX126+(GP126+GQ126)*44/12</f>
        <v>#N/A</v>
      </c>
      <c r="GZ126" s="120" t="e">
        <f aca="true">AVERAGE(OFFSET($GY$3,0,0,'Données projet'!$E$18+1,1))-AVERAGE(OFFSET($H$3,0,0,'Données projet'!$E$18+1,1))</f>
        <v>#N/A</v>
      </c>
      <c r="HA126" s="120" t="e">
        <f aca="false">$HA$3</f>
        <v>#N/A</v>
      </c>
      <c r="HB126" s="121" t="n">
        <f aca="false">IF(ISNA(VLOOKUP(A126,'Données projet'!$A$269:$I$289,3,0)),0,VLOOKUP(A126,'Données projet'!$A$269:$I$289,3,0))</f>
        <v>0</v>
      </c>
      <c r="HC126" s="121" t="n">
        <f aca="false">IF(ISNA(VLOOKUP(A126,'Données projet'!$A$269:$I$289,4,0)),0,VLOOKUP(A126,'Données projet'!$A$269:$I$289,4,0))</f>
        <v>0</v>
      </c>
      <c r="HD126" s="122" t="n">
        <f aca="false">IF(ISNA(VLOOKUP(A126,'Données projet'!$A$269:$I$289,5,0)),0%,VLOOKUP(A126,'Données projet'!$A$269:$I$289,5,0)*VLOOKUP('Données projet'!$B$18,Paramètres!$A$1:$I$89,7,0))</f>
        <v>0</v>
      </c>
      <c r="HE126" s="122" t="n">
        <f aca="false">IF(ISNA(VLOOKUP(A126,'Données projet'!$A$269:$I$289,6,0)),0%,VLOOKUP(A126,'Données projet'!$A$269:$I$289,6,0)*VLOOKUP('Données projet'!$B$18,Paramètres!$A$1:$I$89,7,0))</f>
        <v>0</v>
      </c>
      <c r="HF126" s="122" t="n">
        <f aca="false">IF(ISNA(VLOOKUP(A126,'Données projet'!$A$269:$I$289,7,0)),0%,VLOOKUP(A126,'Données projet'!$A$269:$I$289,7,0))</f>
        <v>0</v>
      </c>
      <c r="HG126" s="129" t="e">
        <f aca="false">EXP(-LN(2)/35)*HG125+(1-EXP(-LN(2)/35))/(LN(2)/35)*HC126*HD126*VLOOKUP('Données projet'!$B$18,Paramètres!$A$1:$I$89,3,0)*0.475*44/12</f>
        <v>#N/A</v>
      </c>
      <c r="HH126" s="129" t="e">
        <f aca="false">EXP(-LN(2)/25)*HH125+(1-EXP(-LN(2)/25))/(LN(2)/25)*Calculateur!HC126*Calculateur!HE126*VLOOKUP('Données projet'!$B$18,Paramètres!$A$1:$I$89,3,0)*0.475*44/12</f>
        <v>#N/A</v>
      </c>
      <c r="HI126" s="129" t="e">
        <f aca="false">EXP(-LN(2)/2)*HI125+(1-EXP(-LN(2)/2))/(LN(2)/2)*HC126*HF126*VLOOKUP('Données projet'!$B$18,Paramètres!$A$1:$I$89,3,0)*0.475*44/12</f>
        <v>#N/A</v>
      </c>
      <c r="HJ126" s="130" t="e">
        <f aca="false">SUM(HG126:HI126)</f>
        <v>#N/A</v>
      </c>
    </row>
    <row r="127" customFormat="false" ht="14.25" hidden="false" customHeight="false" outlineLevel="0" collapsed="false">
      <c r="A127" s="112" t="n">
        <f aca="false">A126+1</f>
        <v>124</v>
      </c>
      <c r="B127" s="113" t="n">
        <f aca="false">'Scénario référence'!$B$16*5+'Scénario référence'!$B$17*0+'Scénario référence'!$B$18*5</f>
        <v>0</v>
      </c>
      <c r="C127" s="127" t="n">
        <f aca="false"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4" t="n">
        <f aca="false">IFERROR(EXP(-1.0587+0.8836*LN(C127)+0.284),0)</f>
        <v>0</v>
      </c>
      <c r="E12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7" s="114" t="n">
        <f aca="false">IF(OR('Scénario référence'!$F$8&gt;0,'Scénario référence'!$F$9&gt;0),('Scénario référence'!$F$8+'Scénario référence'!$F$9)*10,0)</f>
        <v>0</v>
      </c>
      <c r="G127" s="114" t="n">
        <f aca="false"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15" t="n">
        <f aca="false">(B127+E127+F127)*44/12+(C127+D127)*0.475*44/12</f>
        <v>256.666666666667</v>
      </c>
      <c r="I127" s="11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7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8" t="e">
        <f aca="false">VLOOKUP(A127,'Données projet'!$A$35:$I$55,2,0)</f>
        <v>#N/A</v>
      </c>
      <c r="L127" s="118" t="e">
        <f aca="false">VLOOKUP(A127,'Données projet'!$A$35:$I$55,9,0)</f>
        <v>#N/A</v>
      </c>
      <c r="M127" s="118" t="e">
        <f aca="false" t="array" ref="M127:M127">INDEX(L:L,MIN(IF(ISNUMBER(L127:L323),ROW(L127:L323),"")))</f>
        <v>#N/A</v>
      </c>
      <c r="N127" s="117" t="n">
        <f aca="false">IF('Données projet'!$A$36&gt;35,N126+M127-V126,IF(A127&lt;'Données projet'!$A$36,$K$205^A127,IF(A127='Données projet'!$A$36,'Données projet'!$B$36,N126+M127-V126)))</f>
        <v>-1.13686837721616E-013</v>
      </c>
      <c r="O127" s="117" t="n">
        <f aca="false">N127*VLOOKUP('Données projet'!$B$9,Paramètres!$A$1:$I$89,3,0)*VLOOKUP('Données projet'!$B$9,Paramètres!$A$1:$I$89,5,0)</f>
        <v>-5.32054400537163E-014</v>
      </c>
      <c r="P127" s="117" t="e">
        <f aca="false">EXP(-1.0587+0.8836*LN(O127)+0.284)</f>
        <v>#VALUE!</v>
      </c>
      <c r="Q127" s="128" t="e">
        <f aca="false">(O127+P127)*0.475*44/12</f>
        <v>#VALUE!</v>
      </c>
      <c r="R127" s="120" t="e">
        <f aca="false">Q127+(I127+J127)*44/12</f>
        <v>#VALUE!</v>
      </c>
      <c r="S127" s="120" t="n">
        <f aca="true">AVERAGE(OFFSET($R$3,0,0,'Données projet'!$E$9+1,1))-AVERAGE(OFFSET($H$3,0,0,'Données projet'!$E$9+1,1))</f>
        <v>319.229030946746</v>
      </c>
      <c r="T127" s="120" t="n">
        <f aca="false">$T$3</f>
        <v>254.586909731428</v>
      </c>
      <c r="U127" s="121" t="n">
        <f aca="false">IF(ISNA(VLOOKUP(A127,'Données projet'!$A$35:$I$55,3,0)),0,VLOOKUP(A127,'Données projet'!$A$35:$I$55,3,0))</f>
        <v>0</v>
      </c>
      <c r="V127" s="121" t="n">
        <f aca="false">IF(ISNA(VLOOKUP(A127,'Données projet'!$A$35:$I$55,4,0)),0,VLOOKUP(A127,'Données projet'!$A$35:$I$55,4,0))</f>
        <v>0</v>
      </c>
      <c r="W127" s="122" t="n">
        <f aca="false">IF(ISNA(VLOOKUP(A127,'Données projet'!$A$35:$I$55,5,0)),0%,VLOOKUP(A127,'Données projet'!$A$35:$I$55,5,0)*VLOOKUP('Données projet'!$B$9,Paramètres!$A$1:$I$89,7,0))</f>
        <v>0</v>
      </c>
      <c r="X127" s="122" t="n">
        <f aca="false">IF(ISNA(VLOOKUP(A127,'Données projet'!$A$35:$I$55,6,0)),0%,VLOOKUP(A127,'Données projet'!$A$35:$I$55,6,0)*VLOOKUP('Données projet'!$B$9,Paramètres!$A$1:$I$89,7,0))</f>
        <v>0</v>
      </c>
      <c r="Y127" s="122" t="n">
        <f aca="false">IF(ISNA(VLOOKUP(A127,'Données projet'!$A$35:$I$55,7,0)),0%,VLOOKUP(A127,'Données projet'!$A$35:$I$55,7,0))</f>
        <v>0</v>
      </c>
      <c r="Z127" s="129" t="n">
        <f aca="false">EXP(-LN(2)/35)*Z126+(1-EXP(-LN(2)/35))/(LN(2)/35)*V127*W127*VLOOKUP('Données projet'!$B$9,Paramètres!$A$1:$I$89,3,0)*0.475*44/12</f>
        <v>1.41065861316295</v>
      </c>
      <c r="AA127" s="129" t="n">
        <f aca="false">EXP(-LN(2)/25)*AA126+(1-EXP(-LN(2)/25))/(LN(2)/25)*Calculateur!V127*Calculateur!X127*VLOOKUP('Données projet'!$B$9,Paramètres!$A$1:$I$89,3,0)*0.475*44/12</f>
        <v>0.823101708822599</v>
      </c>
      <c r="AB127" s="129" t="n">
        <f aca="false">EXP(-LN(2)/2)*AB126+(1-EXP(-LN(2)/2))/(LN(2)/2)*V127*Y127*VLOOKUP('Données projet'!$B$9,Paramètres!$A$1:$I$89,3,0)*0.475*44/12</f>
        <v>7.84661483777315E-014</v>
      </c>
      <c r="AC127" s="130" t="n">
        <f aca="false">SUM(Z127:AB127)</f>
        <v>2.23376032198562</v>
      </c>
      <c r="AD127" s="117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7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8" t="e">
        <f aca="false">VLOOKUP(A127,'Données projet'!$A$61:$I$81,2,0)</f>
        <v>#N/A</v>
      </c>
      <c r="AG127" s="118" t="e">
        <f aca="false">VLOOKUP(A127,'Données projet'!$A$61:$I$81,9,0)</f>
        <v>#N/A</v>
      </c>
      <c r="AH127" s="118" t="e">
        <f aca="false" t="array" ref="AH127:AH127">INDEX(AG:AG,MIN(IF(ISNUMBER(AG127:AG323),ROW(AG127:AG323),"")))</f>
        <v>#N/A</v>
      </c>
      <c r="AI127" s="117" t="n">
        <f aca="false">IF('Données projet'!$A$62&gt;35,AI126+AH127-AQ126,IF(A127&lt;'Données projet'!$A$62,$AF$205^A127,IF(A127='Données projet'!$A$62,'Données projet'!$B$62,AI126+AH127-AQ126)))</f>
        <v>1.13686837721616E-013</v>
      </c>
      <c r="AJ127" s="117" t="n">
        <f aca="false">AI127*VLOOKUP('Données projet'!$B$10,Paramètres!$A$1:$I$89,3,0)*VLOOKUP('Données projet'!$B$10,Paramètres!$A$1:$I$89,5,0)</f>
        <v>6.35509422863834E-014</v>
      </c>
      <c r="AK127" s="117" t="n">
        <f aca="false">EXP(-1.0587+0.8836*LN(AJ127)+0.284)</f>
        <v>1.0064464192544E-012</v>
      </c>
      <c r="AL127" s="128" t="n">
        <f aca="false">(AJ127+AK127)*0.475*44/12</f>
        <v>1.86357873801686E-012</v>
      </c>
      <c r="AM127" s="120" t="n">
        <f aca="false">AL127+(AD127+AE127)*44/12</f>
        <v>293.333333333335</v>
      </c>
      <c r="AN127" s="120" t="n">
        <f aca="true">AVERAGE(OFFSET($AM$3,0,0,'Données projet'!$E$10+1,1))-AVERAGE(OFFSET($H$3,0,0,'Données projet'!$E$10+1,1))</f>
        <v>365.705101827279</v>
      </c>
      <c r="AO127" s="120" t="n">
        <f aca="false">$AO$3</f>
        <v>436.238338449625</v>
      </c>
      <c r="AP127" s="121" t="n">
        <f aca="false">IF(ISNA(VLOOKUP(A127,'Données projet'!$A$61:$I$81,3,0)),0,VLOOKUP(A127,'Données projet'!$A$61:$I$81,3,0))</f>
        <v>0</v>
      </c>
      <c r="AQ127" s="121" t="n">
        <f aca="false">IF(ISNA(VLOOKUP(A127,'Données projet'!$A$61:$I$81,4,0)),0,VLOOKUP(A127,'Données projet'!$A$61:$I$81,4,0))</f>
        <v>0</v>
      </c>
      <c r="AR127" s="122" t="n">
        <f aca="false">IF(ISNA(VLOOKUP(A127,'Données projet'!$A$61:$I$81,5,0)),0%,VLOOKUP(A127,'Données projet'!$A$61:$I$81,5,0)*VLOOKUP('Données projet'!$B$10,Paramètres!$A$1:$I$89,7,0))</f>
        <v>0</v>
      </c>
      <c r="AS127" s="122" t="n">
        <f aca="false">IF(ISNA(VLOOKUP(A127,'Données projet'!$A$61:$I$81,6,0)),0%,VLOOKUP(A127,'Données projet'!$A$61:$I$81,6,0)*VLOOKUP('Données projet'!$B$10,Paramètres!$A$1:$I$89,7,0))</f>
        <v>0</v>
      </c>
      <c r="AT127" s="122" t="n">
        <f aca="false">IF(ISNA(VLOOKUP(A127,'Données projet'!$A$61:$I$81,7,0)),0%,VLOOKUP(A127,'Données projet'!$A$61:$I$81,7,0))</f>
        <v>0</v>
      </c>
      <c r="AU127" s="129" t="n">
        <f aca="false">EXP(-LN(2)/35)*AU126+(1-EXP(-LN(2)/35))/(LN(2)/35)*AQ127*AR127*VLOOKUP('Données projet'!$B$10,Paramètres!$A$1:$I$89,3,0)*0.475*44/12</f>
        <v>0.532477890928221</v>
      </c>
      <c r="AV127" s="129" t="n">
        <f aca="false">EXP(-LN(2)/25)*AV126+(1-EXP(-LN(2)/25))/(LN(2)/25)*Calculateur!AQ127*Calculateur!AS127*VLOOKUP('Données projet'!$B$10,Paramètres!$A$1:$I$89,3,0)*0.475*44/12</f>
        <v>0.974919469092285</v>
      </c>
      <c r="AW127" s="129" t="n">
        <f aca="false">EXP(-LN(2)/2)*AW126+(1-EXP(-LN(2)/2))/(LN(2)/2)*AQ127*AT127*VLOOKUP('Données projet'!$B$10,Paramètres!$A$1:$I$89,3,0)*0.475*44/12</f>
        <v>4.22280286164479E-014</v>
      </c>
      <c r="AX127" s="129" t="n">
        <f aca="false">SUM(AU127:AW127)</f>
        <v>1.50739736002055</v>
      </c>
      <c r="AY127" s="124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8" t="e">
        <f aca="false">VLOOKUP(A127,'Données projet'!$A$87:$I$107,2,0)</f>
        <v>#N/A</v>
      </c>
      <c r="BB127" s="118" t="e">
        <f aca="false">VLOOKUP(A127,'Données projet'!$A$87:$I$107,9,0)</f>
        <v>#N/A</v>
      </c>
      <c r="BC127" s="118" t="e">
        <f aca="false" t="array" ref="BC127:BC127">INDEX(BB:BB,MIN(IF(ISNUMBER(BB127:BB323),ROW(BB127:BB323),"")))</f>
        <v>#N/A</v>
      </c>
      <c r="BD127" s="118" t="n">
        <f aca="false">IF('Données projet'!$A$88&gt;35,BD126+BC127-BL126,IF(A127&lt;'Données projet'!$A$88,$BA$205^A127,IF(A127='Données projet'!$A$88,'Données projet'!$B$88,BD126+BC127-BL126)))</f>
        <v>1.98951966012828E-013</v>
      </c>
      <c r="BE127" s="117" t="n">
        <f aca="false">BD127*VLOOKUP('Données projet'!$B$11,Paramètres!$A$1:$I$89,3,0)*VLOOKUP('Données projet'!$B$11,Paramètres!$A$1:$I$89,5,0)</f>
        <v>1.73804437508807E-013</v>
      </c>
      <c r="BF127" s="117" t="n">
        <f aca="false">EXP(-1.0587+0.8836*LN(BE127)+0.284)</f>
        <v>2.44832936339505E-012</v>
      </c>
      <c r="BG127" s="128" t="n">
        <f aca="false">(BE127+BF127)*0.475*44/12</f>
        <v>4.56688303657421E-012</v>
      </c>
      <c r="BH127" s="120" t="n">
        <f aca="false">BG127+(AY127+AZ127)*44/12</f>
        <v>293.333333333338</v>
      </c>
      <c r="BI127" s="120" t="n">
        <f aca="true">AVERAGE(OFFSET($BH$3,0,0,'Données projet'!$E$11+1,1))-AVERAGE(OFFSET($H$3,0,0,'Données projet'!$E$11+1,1))</f>
        <v>321.235999689929</v>
      </c>
      <c r="BJ127" s="120" t="n">
        <f aca="false">$BJ$3</f>
        <v>388.051958478005</v>
      </c>
      <c r="BK127" s="121" t="n">
        <f aca="false">IF(ISNA(VLOOKUP(A127,'Données projet'!$A$87:$I$107,3,0)),0,VLOOKUP(A127,'Données projet'!$A$87:$I$107,3,0))</f>
        <v>0</v>
      </c>
      <c r="BL127" s="121" t="n">
        <f aca="false">IF(ISNA(VLOOKUP(A127,'Données projet'!$A$87:$I$107,4,0)),0,VLOOKUP(A127,'Données projet'!$A$87:$I$107,4,0))</f>
        <v>0</v>
      </c>
      <c r="BM127" s="122" t="n">
        <f aca="false">IF(ISNA(VLOOKUP(A127,'Données projet'!$A$87:$I$107,5,0)),0%,VLOOKUP(A127,'Données projet'!$A$87:$I$107,5,0)*VLOOKUP('Données projet'!$B$11,Paramètres!$A$1:$I$89,7,0))</f>
        <v>0</v>
      </c>
      <c r="BN127" s="122" t="n">
        <f aca="false">IF(ISNA(VLOOKUP(A127,'Données projet'!$A$87:$I$107,6,0)),0%,VLOOKUP(A127,'Données projet'!$A$87:$I$107,6,0)*VLOOKUP('Données projet'!$B$11,Paramètres!$A$1:$I$89,7,0))</f>
        <v>0</v>
      </c>
      <c r="BO127" s="122" t="n">
        <f aca="false">IF(ISNA(VLOOKUP(A127,'Données projet'!$A$87:$I$107,7,0)),0%,VLOOKUP(A127,'Données projet'!$A$87:$I$107,7,0))</f>
        <v>0</v>
      </c>
      <c r="BP127" s="129" t="n">
        <f aca="false">EXP(-LN(2)/35)*BP126+(1-EXP(-LN(2)/35))/(LN(2)/35)*BL127*BM127*VLOOKUP('Données projet'!$B$11,Paramètres!$A$1:$I$89,3,0)*0.475*44/12</f>
        <v>1.33685036240612</v>
      </c>
      <c r="BQ127" s="129" t="n">
        <f aca="false">EXP(-LN(2)/25)*BQ126+(1-EXP(-LN(2)/25))/(LN(2)/25)*Calculateur!BL127*Calculateur!BN127*VLOOKUP('Données projet'!$B$11,Paramètres!$A$1:$I$89,3,0)*0.475*44/12</f>
        <v>0.995139887413138</v>
      </c>
      <c r="BR127" s="129" t="n">
        <f aca="false">EXP(-LN(2)/2)*BR126+(1-EXP(-LN(2)/2))/(LN(2)/2)*BL127*BO127*VLOOKUP('Données projet'!$B$11,Paramètres!$A$1:$I$89,3,0)*0.475*44/12</f>
        <v>4.29239133644525E-014</v>
      </c>
      <c r="BS127" s="130" t="n">
        <f aca="false">SUM(BP127:BR127)</f>
        <v>2.3319902498193</v>
      </c>
      <c r="BT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8" t="e">
        <f aca="false">VLOOKUP(A127,'Données projet'!$A$113:$I$133,2,0)</f>
        <v>#N/A</v>
      </c>
      <c r="BW127" s="118" t="e">
        <f aca="false">VLOOKUP(A127,'Données projet'!$A$113:$I$133,9,0)</f>
        <v>#N/A</v>
      </c>
      <c r="BX127" s="118" t="e">
        <f aca="false" t="array" ref="BX127:BX127">INDEX(BW:BW,MIN(IF(ISNUMBER(BW127:BW323),ROW(BW127:BW323),"")))</f>
        <v>#N/A</v>
      </c>
      <c r="BY127" s="118" t="n">
        <f aca="false">IF('Données projet'!$A$114&gt;35,BY126+BX127-CG126,IF(A127&lt;'Données projet'!$A$114,$BV$205^A127,IF(A127='Données projet'!$A$114,'Données projet'!$B$114,BY126+BX127-CG126)))</f>
        <v>0</v>
      </c>
      <c r="BZ127" s="117" t="n">
        <f aca="false">BY127*VLOOKUP('Données projet'!$B$12,Paramètres!$A$1:$I$89,3,0)*VLOOKUP('Données projet'!$B$12,Paramètres!$A$1:$I$89,5,0)</f>
        <v>0</v>
      </c>
      <c r="CA127" s="117" t="e">
        <f aca="false">EXP(-1.0587+0.8836*LN(BZ127)+0.284)</f>
        <v>#VALUE!</v>
      </c>
      <c r="CB127" s="128" t="e">
        <f aca="false">(BZ127+CA127)*0.475*44/12</f>
        <v>#VALUE!</v>
      </c>
      <c r="CC127" s="120" t="e">
        <f aca="false">CB127+(BT127+BU127)*44/12</f>
        <v>#VALUE!</v>
      </c>
      <c r="CD127" s="120" t="n">
        <f aca="true">AVERAGE(OFFSET($CC$3,0,0,'Données projet'!$E$12+1,1))-AVERAGE(OFFSET($H$3,0,0,'Données projet'!$E$12+1,1))</f>
        <v>240.228848647662</v>
      </c>
      <c r="CE127" s="120" t="n">
        <f aca="false">$CE$3</f>
        <v>343.237768841432</v>
      </c>
      <c r="CF127" s="121" t="n">
        <f aca="false">IF(ISNA(VLOOKUP(A127,'Données projet'!$A$113:$I$133,3,0)),0,VLOOKUP(A127,'Données projet'!$A$113:$I$133,3,0))</f>
        <v>0</v>
      </c>
      <c r="CG127" s="121" t="n">
        <f aca="false">IF(ISNA(VLOOKUP(A127,'Données projet'!$A$113:$I$133,4,0)),0,VLOOKUP(A127,'Données projet'!$A$113:$I$133,4,0))</f>
        <v>0</v>
      </c>
      <c r="CH127" s="122" t="n">
        <f aca="false">IF(ISNA(VLOOKUP(A127,'Données projet'!$A$113:$I$133,5,0)),0%,VLOOKUP(A127,'Données projet'!$A$113:$I$133,5,0)*VLOOKUP('Données projet'!$B$12,Paramètres!$A$1:$I$89,7,0))</f>
        <v>0</v>
      </c>
      <c r="CI127" s="122" t="n">
        <f aca="false">IF(ISNA(VLOOKUP(A127,'Données projet'!$A$113:$I$133,6,0)),0%,VLOOKUP(A127,'Données projet'!$A$113:$I$133,6,0)*VLOOKUP('Données projet'!$B$12,Paramètres!$A$1:$I$89,7,0))</f>
        <v>0</v>
      </c>
      <c r="CJ127" s="122" t="n">
        <f aca="false">IF(ISNA(VLOOKUP(A127,'Données projet'!$A$113:$I$133,7,0)),0%,VLOOKUP(A127,'Données projet'!$A$113:$I$133,7,0))</f>
        <v>0</v>
      </c>
      <c r="CK127" s="129" t="n">
        <f aca="false">EXP(-LN(2)/35)*CK126+(1-EXP(-LN(2)/35))/(LN(2)/35)*CG127*CH127*VLOOKUP('Données projet'!$B$12,Paramètres!$A$1:$I$89,3,0)*0.475*44/12</f>
        <v>0.818256571743519</v>
      </c>
      <c r="CL127" s="129" t="n">
        <f aca="false">EXP(-LN(2)/25)*CL126+(1-EXP(-LN(2)/25))/(LN(2)/25)*Calculateur!CG127*Calculateur!CI127*VLOOKUP('Données projet'!$B$12,Paramètres!$A$1:$I$89,3,0)*0.475*44/12</f>
        <v>1.75747464970691</v>
      </c>
      <c r="CM127" s="129" t="n">
        <f aca="false">EXP(-LN(2)/2)*CM126+(1-EXP(-LN(2)/2))/(LN(2)/2)*CG127*CJ127*VLOOKUP('Données projet'!$B$12,Paramètres!$A$1:$I$89,3,0)*0.475*44/12</f>
        <v>6.84951222209222E-014</v>
      </c>
      <c r="CN127" s="130" t="n">
        <f aca="false">SUM(CK127:CM127)</f>
        <v>2.5757312214505</v>
      </c>
      <c r="CO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8" t="e">
        <f aca="false">VLOOKUP(A127,'Données projet'!$A$139:$I$159,2,0)</f>
        <v>#N/A</v>
      </c>
      <c r="CR127" s="118" t="e">
        <f aca="false">VLOOKUP(A127,'Données projet'!$A$139:$I$159,9,0)</f>
        <v>#N/A</v>
      </c>
      <c r="CS127" s="118" t="e">
        <f aca="false" t="array" ref="CS127:CS127">INDEX(CR:CR,MIN(IF(ISNUMBER(CR127:CR323),ROW(CR127:CR323),"")))</f>
        <v>#N/A</v>
      </c>
      <c r="CT127" s="118" t="n">
        <f aca="false">IF('Données projet'!$A$140&gt;35,CT126+CS127-DB126,IF(A127&lt;'Données projet'!$A$140,$CQ$205^A127,IF(A127='Données projet'!$A$140,'Données projet'!$B$140,CT126+CS127-DB126)))</f>
        <v>-5.6843418860808E-014</v>
      </c>
      <c r="CU127" s="125" t="n">
        <f aca="false">CT127*VLOOKUP('Données projet'!$B$13,Paramètres!$A$1:$I$89,3,0)*VLOOKUP('Données projet'!$B$13,Paramètres!$A$1:$I$89,5,0)</f>
        <v>-3.10365066980012E-014</v>
      </c>
      <c r="CV127" s="117" t="e">
        <f aca="false">EXP(-1.0587+0.8836*LN(CU127)+0.284)</f>
        <v>#VALUE!</v>
      </c>
      <c r="CW127" s="128" t="e">
        <f aca="false">(CU127+CV127)*0.475*44/12</f>
        <v>#VALUE!</v>
      </c>
      <c r="CX127" s="120" t="e">
        <f aca="false">CW127+(CO127+CP127)*44/12</f>
        <v>#VALUE!</v>
      </c>
      <c r="CY127" s="120" t="n">
        <f aca="true">AVERAGE(OFFSET($CX$3,0,0,'Données projet'!$E$13+1,1))-AVERAGE(OFFSET($H$3,0,0,'Données projet'!$E$13+1,1))</f>
        <v>207.023069645676</v>
      </c>
      <c r="CZ127" s="120" t="n">
        <f aca="false">$CZ$3</f>
        <v>342.068879333518</v>
      </c>
      <c r="DA127" s="121" t="n">
        <f aca="false">IF(ISNA(VLOOKUP(A127,'Données projet'!$A$139:$I$159,3,0)),0,VLOOKUP(A127,'Données projet'!$A$139:$I$159,3,0))</f>
        <v>0</v>
      </c>
      <c r="DB127" s="121" t="n">
        <f aca="false">IF(ISNA(VLOOKUP(A127,'Données projet'!$A$139:$I$159,4,0)),0,VLOOKUP(A127,'Données projet'!$A$139:$I$159,4,0))</f>
        <v>0</v>
      </c>
      <c r="DC127" s="122" t="n">
        <f aca="false">IF(ISNA(VLOOKUP(A127,'Données projet'!$A$139:$I$159,5,0)),0%,VLOOKUP(A127,'Données projet'!$A$139:$I$159,5,0)*VLOOKUP('Données projet'!$B$13,Paramètres!$A$1:$I$89,7,0))</f>
        <v>0</v>
      </c>
      <c r="DD127" s="122" t="n">
        <f aca="false">IF(ISNA(VLOOKUP(A127,'Données projet'!$A$139:$I$159,6,0)),0%,VLOOKUP(A127,'Données projet'!$A$139:$I$159,6,0)*VLOOKUP('Données projet'!$B$13,Paramètres!$A$1:$I$89,7,0))</f>
        <v>0</v>
      </c>
      <c r="DE127" s="122" t="n">
        <f aca="false">IF(ISNA(VLOOKUP(A127,'Données projet'!$A$139:$I$159,7,0)),0%,VLOOKUP(A127,'Données projet'!$A$139:$I$159,7,0))</f>
        <v>0</v>
      </c>
      <c r="DF127" s="129" t="n">
        <f aca="false">EXP(-LN(2)/35)*DF126+(1-EXP(-LN(2)/35))/(LN(2)/35)*DB127*DC127*VLOOKUP('Données projet'!$B$13,Paramètres!$A$1:$I$89,3,0)*0.475*44/12</f>
        <v>1.02668041548951</v>
      </c>
      <c r="DG127" s="129" t="n">
        <f aca="false">EXP(-LN(2)/25)*DG126+(1-EXP(-LN(2)/25))/(LN(2)/25)*Calculateur!DB127*Calculateur!DD127*VLOOKUP('Données projet'!$B$13,Paramètres!$A$1:$I$89,3,0)*0.475*44/12</f>
        <v>2.87273908371631</v>
      </c>
      <c r="DH127" s="129" t="n">
        <f aca="false">EXP(-LN(2)/2)*DH126+(1-EXP(-LN(2)/2))/(LN(2)/2)*DB127*DE127*VLOOKUP('Données projet'!$B$13,Paramètres!$A$1:$I$89,3,0)*0.475*44/12</f>
        <v>9.43178150542738E-014</v>
      </c>
      <c r="DI127" s="130" t="n">
        <f aca="false">SUM(DF127:DH127)</f>
        <v>3.89941949920591</v>
      </c>
      <c r="DJ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8" t="e">
        <f aca="false">VLOOKUP(A127,'Données projet'!$A$165:$I$185,2,0)</f>
        <v>#N/A</v>
      </c>
      <c r="DM127" s="118" t="e">
        <f aca="false">VLOOKUP(A127,'Données projet'!$A$165:$I$185,9,0)</f>
        <v>#N/A</v>
      </c>
      <c r="DN127" s="118" t="e">
        <f aca="false" t="array" ref="DN127:DN127">INDEX(DM:DM,MIN(IF(ISNUMBER(DM127:DM323),ROW(DM127:DM323),"")))</f>
        <v>#N/A</v>
      </c>
      <c r="DO127" s="118" t="n">
        <f aca="false">IF('Données projet'!$A$166&gt;35,DO126+DN127-DW126,IF(A127&lt;'Données projet'!$A$166,$DL$205^A127,IF(A127='Données projet'!$A$166,'Données projet'!$B$166,DO126+DN127-DW126)))</f>
        <v>0</v>
      </c>
      <c r="DP127" s="125" t="n">
        <f aca="false">DO127*VLOOKUP('Données projet'!$B$14,Paramètres!$A$1:$I$89,3,0)*VLOOKUP('Données projet'!$B$14,Paramètres!$A$1:$I$89,5,0)</f>
        <v>0</v>
      </c>
      <c r="DQ127" s="117" t="e">
        <f aca="false">EXP(-1.0587+0.8836*LN(DP127)+0.284)</f>
        <v>#VALUE!</v>
      </c>
      <c r="DR127" s="128" t="e">
        <f aca="false">(DP127+DQ127)*0.475*44/12</f>
        <v>#VALUE!</v>
      </c>
      <c r="DS127" s="120" t="e">
        <f aca="false">DR127+(DJ127+DK127)*44/12</f>
        <v>#VALUE!</v>
      </c>
      <c r="DT127" s="120" t="n">
        <f aca="true">AVERAGE(OFFSET($DS$3,0,0,'Données projet'!$E$14+1,1))-AVERAGE(OFFSET($H$3,0,0,'Données projet'!$E$14+1,1))</f>
        <v>549.432320957297</v>
      </c>
      <c r="DU127" s="120" t="n">
        <f aca="false">$DU$3</f>
        <v>280.26155987301</v>
      </c>
      <c r="DV127" s="121" t="n">
        <f aca="false">IF(ISNA(VLOOKUP(A127,'Données projet'!$A$165:$I$185,3,0)),0,VLOOKUP(A127,'Données projet'!$A$165:$I$185,3,0))</f>
        <v>0</v>
      </c>
      <c r="DW127" s="121" t="n">
        <f aca="false">IF(ISNA(VLOOKUP(A127,'Données projet'!$A$165:$I$185,4,0)),0,VLOOKUP(A127,'Données projet'!$A$165:$I$185,4,0))</f>
        <v>0</v>
      </c>
      <c r="DX127" s="122" t="n">
        <f aca="false">IF(ISNA(VLOOKUP(A127,'Données projet'!$A$165:$I$185,5,0)),0%,VLOOKUP(A127,'Données projet'!$A$165:$I$185,5,0)*VLOOKUP('Données projet'!$B$14,Paramètres!$A$1:$I$89,7,0))</f>
        <v>0</v>
      </c>
      <c r="DY127" s="122" t="n">
        <f aca="false">IF(ISNA(VLOOKUP(A127,'Données projet'!$A$165:$I$185,6,0)),0%,VLOOKUP(A127,'Données projet'!$A$165:$I$185,6,0)*VLOOKUP('Données projet'!$B$14,Paramètres!$A$1:$I$89,7,0))</f>
        <v>0</v>
      </c>
      <c r="DZ127" s="122" t="n">
        <f aca="false">IF(ISNA(VLOOKUP(A127,'Données projet'!$A$165:$I$185,7,0)),0%,VLOOKUP(A127,'Données projet'!$A$165:$I$185,7,0))</f>
        <v>0</v>
      </c>
      <c r="EA127" s="129" t="n">
        <f aca="false">EXP(-LN(2)/35)*EA126+(1-EXP(-LN(2)/35))/(LN(2)/35)*DW127*DX127*VLOOKUP('Données projet'!$B$14,Paramètres!$A$1:$I$89,3,0)*0.475*44/12</f>
        <v>0.373299854278335</v>
      </c>
      <c r="EB127" s="129" t="n">
        <f aca="false">EXP(-LN(2)/25)*EB126+(1-EXP(-LN(2)/25))/(LN(2)/25)*Calculateur!DW127*Calculateur!DY127*VLOOKUP('Données projet'!$B$14,Paramètres!$A$1:$I$89,3,0)*0.475*44/12</f>
        <v>0.572306303622219</v>
      </c>
      <c r="EC127" s="129" t="n">
        <f aca="false">EXP(-LN(2)/2)*EC126+(1-EXP(-LN(2)/2))/(LN(2)/2)*DW127*DZ127*VLOOKUP('Données projet'!$B$14,Paramètres!$A$1:$I$89,3,0)*0.475*44/12</f>
        <v>4.34785685467849E-014</v>
      </c>
      <c r="ED127" s="130" t="n">
        <f aca="false">SUM(EA127:EC127)</f>
        <v>0.945606157900597</v>
      </c>
      <c r="EE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8" t="e">
        <f aca="false">VLOOKUP(A127,'Données projet'!$A$191:$I$211,2,0)</f>
        <v>#N/A</v>
      </c>
      <c r="EH127" s="118" t="e">
        <f aca="false">VLOOKUP(A127,'Données projet'!$A$191:$I$211,9,0)</f>
        <v>#N/A</v>
      </c>
      <c r="EI127" s="118" t="e">
        <f aca="false" t="array" ref="EI127:EI127">INDEX(EH:EH,MIN(IF(ISNUMBER(EH127:EH323),ROW(EH127:EH323),"")))</f>
        <v>#N/A</v>
      </c>
      <c r="EJ127" s="118" t="n">
        <f aca="false">IF('Données projet'!$A$192&gt;35,EJ126+EI127-ER126,IF(A127&lt;'Données projet'!$A$192,$EG$205^A127,IF(A127='Données projet'!$A$192,'Données projet'!$B$192,EJ126+EI127-ER126)))</f>
        <v>0</v>
      </c>
      <c r="EK127" s="125" t="e">
        <f aca="false">EJ127*VLOOKUP('Données projet'!$B$15,Paramètres!$A$1:$I$89,3,0)*VLOOKUP('Données projet'!$B$15,Paramètres!$A$1:$I$89,5,0)</f>
        <v>#N/A</v>
      </c>
      <c r="EL127" s="117" t="e">
        <f aca="false">EXP(-1.0587+0.8836*LN(EK127)+0.284)</f>
        <v>#N/A</v>
      </c>
      <c r="EM127" s="128" t="e">
        <f aca="false">(EK127+EL127)*0.475*44/12</f>
        <v>#N/A</v>
      </c>
      <c r="EN127" s="120" t="e">
        <f aca="false">EM127+(EE127+EF127)*44/12</f>
        <v>#N/A</v>
      </c>
      <c r="EO127" s="120" t="e">
        <f aca="true">AVERAGE(OFFSET($EN$3,0,0,'Données projet'!$E$15+1,1))-AVERAGE(OFFSET($H$3,0,0,'Données projet'!$E$15+1,1))</f>
        <v>#N/A</v>
      </c>
      <c r="EP127" s="120" t="e">
        <f aca="false">$EP$3</f>
        <v>#N/A</v>
      </c>
      <c r="EQ127" s="121" t="n">
        <f aca="false">IF(ISNA(VLOOKUP(A127,'Données projet'!$A$191:$I$211,3,0)),0,VLOOKUP(A127,'Données projet'!$A$191:$I$211,3,0))</f>
        <v>0</v>
      </c>
      <c r="ER127" s="121" t="n">
        <f aca="false">IF(ISNA(VLOOKUP(A127,'Données projet'!$A$191:$I$211,4,0)),0,VLOOKUP(A127,'Données projet'!$A$191:$I$211,4,0))</f>
        <v>0</v>
      </c>
      <c r="ES127" s="122" t="n">
        <f aca="false">IF(ISNA(VLOOKUP(A127,'Données projet'!$A$191:$I$211,5,0)),0%,VLOOKUP(A127,'Données projet'!$A$191:$I$211,5,0)*VLOOKUP('Données projet'!$B$15,Paramètres!$A$1:$I$89,7,0))</f>
        <v>0</v>
      </c>
      <c r="ET127" s="122" t="n">
        <f aca="false">IF(ISNA(VLOOKUP(A127,'Données projet'!$A$191:$I$211,6,0)),0%,VLOOKUP(A127,'Données projet'!$A$191:$I$211,6,0)*VLOOKUP('Données projet'!$B$15,Paramètres!$A$1:$I$89,7,0))</f>
        <v>0</v>
      </c>
      <c r="EU127" s="122" t="n">
        <f aca="false">IF(ISNA(VLOOKUP(A127,'Données projet'!$A$191:$I$211,7,0)),0%,VLOOKUP(A127,'Données projet'!$A$191:$I$211,7,0))</f>
        <v>0</v>
      </c>
      <c r="EV127" s="129" t="e">
        <f aca="false">EXP(-LN(2)/35)*EV126+(1-EXP(-LN(2)/35))/(LN(2)/35)*ER127*ES127*VLOOKUP('Données projet'!$B$15,Paramètres!$A$1:$I$89,3,0)*0.475*44/12</f>
        <v>#N/A</v>
      </c>
      <c r="EW127" s="129" t="e">
        <f aca="false">EXP(-LN(2)/25)*EW126+(1-EXP(-LN(2)/25))/(LN(2)/25)*Calculateur!ER127*Calculateur!ET127*VLOOKUP('Données projet'!$B$15,Paramètres!$A$1:$I$89,3,0)*0.475*44/12</f>
        <v>#N/A</v>
      </c>
      <c r="EX127" s="129" t="e">
        <f aca="false">EXP(-LN(2)/2)*EX126+(1-EXP(-LN(2)/2))/(LN(2)/2)*ER127*EU127*VLOOKUP('Données projet'!$B$15,Paramètres!$A$1:$I$89,3,0)*0.475*44/12</f>
        <v>#N/A</v>
      </c>
      <c r="EY127" s="130" t="e">
        <f aca="false">SUM(EV127:EX127)</f>
        <v>#N/A</v>
      </c>
      <c r="EZ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8" t="e">
        <f aca="false">VLOOKUP(A127,'Données projet'!$A$217:$I$237,2,0)</f>
        <v>#N/A</v>
      </c>
      <c r="FC127" s="118" t="e">
        <f aca="false">VLOOKUP(A127,'Données projet'!$A$217:$I$237,9,0)</f>
        <v>#N/A</v>
      </c>
      <c r="FD127" s="118" t="e">
        <f aca="false" t="array" ref="FD127:FD127">INDEX(FC:FC,MIN(IF(ISNUMBER(FC127:FC323),ROW(FC127:FC323),"")))</f>
        <v>#N/A</v>
      </c>
      <c r="FE127" s="118" t="n">
        <f aca="false">IF('Données projet'!$A$218&gt;35,FE126+FD127-FM126,IF(A127&lt;'Données projet'!$A$218,$FB$205^A127,IF(A127='Données projet'!$A$218,'Données projet'!$B$218,FE126+FD127-FM126)))</f>
        <v>0</v>
      </c>
      <c r="FF127" s="125" t="e">
        <f aca="false">FE127*VLOOKUP('Données projet'!$B$16,Paramètres!$A$1:$I$89,3,0)*VLOOKUP('Données projet'!$B$16,Paramètres!$A$1:$I$89,5,0)</f>
        <v>#N/A</v>
      </c>
      <c r="FG127" s="117" t="e">
        <f aca="false">EXP(-1.0587+0.8836*LN(FF127)+0.284)</f>
        <v>#N/A</v>
      </c>
      <c r="FH127" s="128" t="e">
        <f aca="false">(FF127+FG127)*0.475*44/12</f>
        <v>#N/A</v>
      </c>
      <c r="FI127" s="120" t="e">
        <f aca="false">FH127+(EZ127+FA127)*44/12</f>
        <v>#N/A</v>
      </c>
      <c r="FJ127" s="120" t="e">
        <f aca="true">AVERAGE(OFFSET($FI$3,0,0,'Données projet'!$E$16+1,1))-AVERAGE(OFFSET($H$3,0,0,'Données projet'!$E$16+1,1))</f>
        <v>#N/A</v>
      </c>
      <c r="FK127" s="120" t="e">
        <f aca="false">$FK$3</f>
        <v>#N/A</v>
      </c>
      <c r="FL127" s="121" t="n">
        <f aca="false">IF(ISNA(VLOOKUP(A127,'Données projet'!$A$217:$I$237,3,0)),0,VLOOKUP(A127,'Données projet'!$A$217:$I$237,3,0))</f>
        <v>0</v>
      </c>
      <c r="FM127" s="121" t="n">
        <f aca="false">IF(ISNA(VLOOKUP(A127,'Données projet'!$A$217:$I$237,4,0)),0,VLOOKUP(A127,'Données projet'!$A$217:$I$237,4,0))</f>
        <v>0</v>
      </c>
      <c r="FN127" s="122" t="n">
        <f aca="false">IF(ISNA(VLOOKUP(A127,'Données projet'!$A$217:$I$237,5,0)),0%,VLOOKUP(A127,'Données projet'!$A$217:$I$237,5,0)*VLOOKUP('Données projet'!$B$16,Paramètres!$A$1:$I$89,7,0))</f>
        <v>0</v>
      </c>
      <c r="FO127" s="122" t="n">
        <f aca="false">IF(ISNA(VLOOKUP(A127,'Données projet'!$A$217:$I$237,6,0)),0%,VLOOKUP(A127,'Données projet'!$A$217:$I$237,6,0)*VLOOKUP('Données projet'!$B$16,Paramètres!$A$1:$I$89,7,0))</f>
        <v>0</v>
      </c>
      <c r="FP127" s="122" t="n">
        <f aca="false">IF(ISNA(VLOOKUP(A127,'Données projet'!$A$217:$I$237,7,0)),0%,VLOOKUP(A127,'Données projet'!$A$217:$I$237,7,0))</f>
        <v>0</v>
      </c>
      <c r="FQ127" s="129" t="e">
        <f aca="false">EXP(-LN(2)/35)*FQ126+(1-EXP(-LN(2)/35))/(LN(2)/35)*FM127*FN127*VLOOKUP('Données projet'!$B$16,Paramètres!$A$1:$I$89,3,0)*0.475*44/12</f>
        <v>#N/A</v>
      </c>
      <c r="FR127" s="129" t="e">
        <f aca="false">EXP(-LN(2)/25)*FR126+(1-EXP(-LN(2)/25))/(LN(2)/25)*Calculateur!FM127*Calculateur!FO127*VLOOKUP('Données projet'!$B$16,Paramètres!$A$1:$I$89,3,0)*0.475*44/12</f>
        <v>#N/A</v>
      </c>
      <c r="FS127" s="129" t="e">
        <f aca="false">EXP(-LN(2)/2)*FS126+(1-EXP(-LN(2)/2))/(LN(2)/2)*FM127*FP127*VLOOKUP('Données projet'!$B$16,Paramètres!$A$1:$I$89,3,0)*0.475*44/12</f>
        <v>#N/A</v>
      </c>
      <c r="FT127" s="130" t="e">
        <f aca="false">SUM(FQ127:FS127)</f>
        <v>#N/A</v>
      </c>
      <c r="FU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8" t="e">
        <f aca="false">VLOOKUP(A127,'Données projet'!$A$243:$I$263,2,0)</f>
        <v>#N/A</v>
      </c>
      <c r="FX127" s="118" t="e">
        <f aca="false">VLOOKUP(A127,'Données projet'!$A$243:$I$263,9,0)</f>
        <v>#N/A</v>
      </c>
      <c r="FY127" s="118" t="e">
        <f aca="false" t="array" ref="FY127:FY127">INDEX(FX:FX,MIN(IF(ISNUMBER(FX127:FX323),ROW(FX127:FX323),"")))</f>
        <v>#N/A</v>
      </c>
      <c r="FZ127" s="118" t="n">
        <f aca="false">IF('Données projet'!$A$244&gt;35,FZ126+FY127-GH126,IF(A127&lt;'Données projet'!$A$244,$FW$205^A127,IF(A127='Données projet'!$A$244,'Données projet'!$B$244,FZ126+FY127-GH126)))</f>
        <v>0</v>
      </c>
      <c r="GA127" s="125" t="e">
        <f aca="false">FZ127*VLOOKUP('Données projet'!$B$17,Paramètres!$A$1:$I$89,3,0)*VLOOKUP('Données projet'!$B$17,Paramètres!$A$1:$I$89,5,0)</f>
        <v>#N/A</v>
      </c>
      <c r="GB127" s="117" t="e">
        <f aca="false">EXP(-1.0587+0.8836*LN(GA127)+0.284)</f>
        <v>#N/A</v>
      </c>
      <c r="GC127" s="128" t="e">
        <f aca="false">(GA127+GB127)*0.475*44/12</f>
        <v>#N/A</v>
      </c>
      <c r="GD127" s="120" t="e">
        <f aca="false">GC127+(FU127+FV127)*44/12</f>
        <v>#N/A</v>
      </c>
      <c r="GE127" s="120" t="e">
        <f aca="true">AVERAGE(OFFSET($GD$3,0,0,'Données projet'!$E$17+1,1))-AVERAGE(OFFSET($H$3,0,0,'Données projet'!$E$17+1,1))</f>
        <v>#N/A</v>
      </c>
      <c r="GF127" s="120" t="e">
        <f aca="false">$GF$3</f>
        <v>#N/A</v>
      </c>
      <c r="GG127" s="121" t="n">
        <f aca="false">IF(ISNA(VLOOKUP(A127,'Données projet'!$A$243:$I$263,3,0)),0,VLOOKUP(A127,'Données projet'!$A$243:$I$263,3,0))</f>
        <v>0</v>
      </c>
      <c r="GH127" s="121" t="n">
        <f aca="false">IF(ISNA(VLOOKUP(A127,'Données projet'!$A$243:$I$263,4,0)),0,VLOOKUP(A127,'Données projet'!$A$243:$I$263,4,0))</f>
        <v>0</v>
      </c>
      <c r="GI127" s="122" t="n">
        <f aca="false">IF(ISNA(VLOOKUP(A127,'Données projet'!$A$243:$I$263,5,0)),0%,VLOOKUP(A127,'Données projet'!$A$243:$I$263,5,0)*VLOOKUP('Données projet'!$B$17,Paramètres!$A$1:$I$89,7,0))</f>
        <v>0</v>
      </c>
      <c r="GJ127" s="122" t="n">
        <f aca="false">IF(ISNA(VLOOKUP(A127,'Données projet'!$A$243:$I$263,6,0)),0%,VLOOKUP(A127,'Données projet'!$A$243:$I$263,6,0)*VLOOKUP('Données projet'!$B$17,Paramètres!$A$1:$I$89,7,0))</f>
        <v>0</v>
      </c>
      <c r="GK127" s="122" t="n">
        <f aca="false">IF(ISNA(VLOOKUP(A127,'Données projet'!$A$243:$I$263,7,0)),0%,VLOOKUP(A127,'Données projet'!$A$243:$I$263,7,0))</f>
        <v>0</v>
      </c>
      <c r="GL127" s="129" t="e">
        <f aca="false">EXP(-LN(2)/35)*GL126+(1-EXP(-LN(2)/35))/(LN(2)/35)*GH127*GI127*VLOOKUP('Données projet'!$B$17,Paramètres!$A$1:$I$89,3,0)*0.475*44/12</f>
        <v>#N/A</v>
      </c>
      <c r="GM127" s="129" t="e">
        <f aca="false">EXP(-LN(2)/25)*GM126+(1-EXP(-LN(2)/25))/(LN(2)/25)*Calculateur!GH127*Calculateur!GJ127*VLOOKUP('Données projet'!$B$17,Paramètres!$A$1:$I$89,3,0)*0.475*44/12</f>
        <v>#N/A</v>
      </c>
      <c r="GN127" s="129" t="e">
        <f aca="false">EXP(-LN(2)/2)*GN126+(1-EXP(-LN(2)/2))/(LN(2)/2)*GH127*GK127*VLOOKUP('Données projet'!$B$17,Paramètres!$A$1:$I$89,3,0)*0.475*44/12</f>
        <v>#N/A</v>
      </c>
      <c r="GO127" s="129" t="e">
        <f aca="false">SUM(GL127:GN127)</f>
        <v>#N/A</v>
      </c>
      <c r="GP127" s="126" t="n">
        <f aca="false"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8" t="n">
        <f aca="false"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8" t="e">
        <f aca="false">VLOOKUP(A127,'Données projet'!$A$269:$I$289,2,0)</f>
        <v>#N/A</v>
      </c>
      <c r="GS127" s="118" t="e">
        <f aca="false">VLOOKUP(A127,'Données projet'!$A$269:$I$289,9,0)</f>
        <v>#N/A</v>
      </c>
      <c r="GT127" s="118" t="e">
        <f aca="false" t="array" ref="GT127:GT127">INDEX(GS:GS,MIN(IF(ISNUMBER(GS127:GS323),ROW(GS127:GS323),"")))</f>
        <v>#N/A</v>
      </c>
      <c r="GU127" s="118" t="n">
        <f aca="false">IF('Données projet'!$A$270&gt;35,GU126+GT127-HC126,IF(A127&lt;'Données projet'!$A$270,$GR$205^A127,IF(A127='Données projet'!$A$270,'Données projet'!$B$270,GU126+GT127-HC126)))</f>
        <v>0</v>
      </c>
      <c r="GV127" s="125" t="e">
        <f aca="false">GU127*VLOOKUP('Données projet'!$B$18,Paramètres!$A$1:$I$89,3,0)*VLOOKUP('Données projet'!$B$18,Paramètres!$A$1:$I$89,5,0)</f>
        <v>#N/A</v>
      </c>
      <c r="GW127" s="117" t="e">
        <f aca="false">EXP(-1.0587+0.8836*LN(GV127)+0.284)</f>
        <v>#N/A</v>
      </c>
      <c r="GX127" s="128" t="e">
        <f aca="false">(GV127+GW127)*0.475*44/12</f>
        <v>#N/A</v>
      </c>
      <c r="GY127" s="120" t="e">
        <f aca="false">GX127+(GP127+GQ127)*44/12</f>
        <v>#N/A</v>
      </c>
      <c r="GZ127" s="120" t="e">
        <f aca="true">AVERAGE(OFFSET($GY$3,0,0,'Données projet'!$E$18+1,1))-AVERAGE(OFFSET($H$3,0,0,'Données projet'!$E$18+1,1))</f>
        <v>#N/A</v>
      </c>
      <c r="HA127" s="120" t="e">
        <f aca="false">$HA$3</f>
        <v>#N/A</v>
      </c>
      <c r="HB127" s="121" t="n">
        <f aca="false">IF(ISNA(VLOOKUP(A127,'Données projet'!$A$269:$I$289,3,0)),0,VLOOKUP(A127,'Données projet'!$A$269:$I$289,3,0))</f>
        <v>0</v>
      </c>
      <c r="HC127" s="121" t="n">
        <f aca="false">IF(ISNA(VLOOKUP(A127,'Données projet'!$A$269:$I$289,4,0)),0,VLOOKUP(A127,'Données projet'!$A$269:$I$289,4,0))</f>
        <v>0</v>
      </c>
      <c r="HD127" s="122" t="n">
        <f aca="false">IF(ISNA(VLOOKUP(A127,'Données projet'!$A$269:$I$289,5,0)),0%,VLOOKUP(A127,'Données projet'!$A$269:$I$289,5,0)*VLOOKUP('Données projet'!$B$18,Paramètres!$A$1:$I$89,7,0))</f>
        <v>0</v>
      </c>
      <c r="HE127" s="122" t="n">
        <f aca="false">IF(ISNA(VLOOKUP(A127,'Données projet'!$A$269:$I$289,6,0)),0%,VLOOKUP(A127,'Données projet'!$A$269:$I$289,6,0)*VLOOKUP('Données projet'!$B$18,Paramètres!$A$1:$I$89,7,0))</f>
        <v>0</v>
      </c>
      <c r="HF127" s="122" t="n">
        <f aca="false">IF(ISNA(VLOOKUP(A127,'Données projet'!$A$269:$I$289,7,0)),0%,VLOOKUP(A127,'Données projet'!$A$269:$I$289,7,0))</f>
        <v>0</v>
      </c>
      <c r="HG127" s="129" t="e">
        <f aca="false">EXP(-LN(2)/35)*HG126+(1-EXP(-LN(2)/35))/(LN(2)/35)*HC127*HD127*VLOOKUP('Données projet'!$B$18,Paramètres!$A$1:$I$89,3,0)*0.475*44/12</f>
        <v>#N/A</v>
      </c>
      <c r="HH127" s="129" t="e">
        <f aca="false">EXP(-LN(2)/25)*HH126+(1-EXP(-LN(2)/25))/(LN(2)/25)*Calculateur!HC127*Calculateur!HE127*VLOOKUP('Données projet'!$B$18,Paramètres!$A$1:$I$89,3,0)*0.475*44/12</f>
        <v>#N/A</v>
      </c>
      <c r="HI127" s="129" t="e">
        <f aca="false">EXP(-LN(2)/2)*HI126+(1-EXP(-LN(2)/2))/(LN(2)/2)*HC127*HF127*VLOOKUP('Données projet'!$B$18,Paramètres!$A$1:$I$89,3,0)*0.475*44/12</f>
        <v>#N/A</v>
      </c>
      <c r="HJ127" s="130" t="e">
        <f aca="false">SUM(HG127:HI127)</f>
        <v>#N/A</v>
      </c>
    </row>
    <row r="128" customFormat="false" ht="14.25" hidden="false" customHeight="false" outlineLevel="0" collapsed="false">
      <c r="A128" s="112" t="n">
        <f aca="false">A127+1</f>
        <v>125</v>
      </c>
      <c r="B128" s="113" t="n">
        <f aca="false">'Scénario référence'!$B$16*5+'Scénario référence'!$B$17*0+'Scénario référence'!$B$18*5</f>
        <v>0</v>
      </c>
      <c r="C128" s="127" t="n">
        <f aca="false"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4" t="n">
        <f aca="false">IFERROR(EXP(-1.0587+0.8836*LN(C128)+0.284),0)</f>
        <v>0</v>
      </c>
      <c r="E12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8" s="114" t="n">
        <f aca="false">IF(OR('Scénario référence'!$F$8&gt;0,'Scénario référence'!$F$9&gt;0),('Scénario référence'!$F$8+'Scénario référence'!$F$9)*10,0)</f>
        <v>0</v>
      </c>
      <c r="G128" s="114" t="n">
        <f aca="false"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15" t="n">
        <f aca="false">(B128+E128+F128)*44/12+(C128+D128)*0.475*44/12</f>
        <v>256.666666666667</v>
      </c>
      <c r="I128" s="11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7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8" t="e">
        <f aca="false">VLOOKUP(A128,'Données projet'!$A$35:$I$55,2,0)</f>
        <v>#N/A</v>
      </c>
      <c r="L128" s="118" t="e">
        <f aca="false">VLOOKUP(A128,'Données projet'!$A$35:$I$55,9,0)</f>
        <v>#N/A</v>
      </c>
      <c r="M128" s="118" t="e">
        <f aca="false" t="array" ref="M128:M128">INDEX(L:L,MIN(IF(ISNUMBER(L128:L324),ROW(L128:L324),"")))</f>
        <v>#N/A</v>
      </c>
      <c r="N128" s="117" t="n">
        <f aca="false">IF('Données projet'!$A$36&gt;35,N127+M128-V127,IF(A128&lt;'Données projet'!$A$36,$K$205^A128,IF(A128='Données projet'!$A$36,'Données projet'!$B$36,N127+M128-V127)))</f>
        <v>-1.13686837721616E-013</v>
      </c>
      <c r="O128" s="117" t="n">
        <f aca="false">N128*VLOOKUP('Données projet'!$B$9,Paramètres!$A$1:$I$89,3,0)*VLOOKUP('Données projet'!$B$9,Paramètres!$A$1:$I$89,5,0)</f>
        <v>-5.32054400537163E-014</v>
      </c>
      <c r="P128" s="117" t="e">
        <f aca="false">EXP(-1.0587+0.8836*LN(O128)+0.284)</f>
        <v>#VALUE!</v>
      </c>
      <c r="Q128" s="128" t="e">
        <f aca="false">(O128+P128)*0.475*44/12</f>
        <v>#VALUE!</v>
      </c>
      <c r="R128" s="120" t="e">
        <f aca="false">Q128+(I128+J128)*44/12</f>
        <v>#VALUE!</v>
      </c>
      <c r="S128" s="120" t="n">
        <f aca="true">AVERAGE(OFFSET($R$3,0,0,'Données projet'!$E$9+1,1))-AVERAGE(OFFSET($H$3,0,0,'Données projet'!$E$9+1,1))</f>
        <v>319.229030946746</v>
      </c>
      <c r="T128" s="120" t="n">
        <f aca="false">$T$3</f>
        <v>254.586909731428</v>
      </c>
      <c r="U128" s="121" t="n">
        <f aca="false">IF(ISNA(VLOOKUP(A128,'Données projet'!$A$35:$I$55,3,0)),0,VLOOKUP(A128,'Données projet'!$A$35:$I$55,3,0))</f>
        <v>0</v>
      </c>
      <c r="V128" s="121" t="n">
        <f aca="false">IF(ISNA(VLOOKUP(A128,'Données projet'!$A$35:$I$55,4,0)),0,VLOOKUP(A128,'Données projet'!$A$35:$I$55,4,0))</f>
        <v>0</v>
      </c>
      <c r="W128" s="122" t="n">
        <f aca="false">IF(ISNA(VLOOKUP(A128,'Données projet'!$A$35:$I$55,5,0)),0%,VLOOKUP(A128,'Données projet'!$A$35:$I$55,5,0)*VLOOKUP('Données projet'!$B$9,Paramètres!$A$1:$I$89,7,0))</f>
        <v>0</v>
      </c>
      <c r="X128" s="122" t="n">
        <f aca="false">IF(ISNA(VLOOKUP(A128,'Données projet'!$A$35:$I$55,6,0)),0%,VLOOKUP(A128,'Données projet'!$A$35:$I$55,6,0)*VLOOKUP('Données projet'!$B$9,Paramètres!$A$1:$I$89,7,0))</f>
        <v>0</v>
      </c>
      <c r="Y128" s="122" t="n">
        <f aca="false">IF(ISNA(VLOOKUP(A128,'Données projet'!$A$35:$I$55,7,0)),0%,VLOOKUP(A128,'Données projet'!$A$35:$I$55,7,0))</f>
        <v>0</v>
      </c>
      <c r="Z128" s="129" t="n">
        <f aca="false">EXP(-LN(2)/35)*Z127+(1-EXP(-LN(2)/35))/(LN(2)/35)*V128*W128*VLOOKUP('Données projet'!$B$9,Paramètres!$A$1:$I$89,3,0)*0.475*44/12</f>
        <v>1.38299645817562</v>
      </c>
      <c r="AA128" s="129" t="n">
        <f aca="false">EXP(-LN(2)/25)*AA127+(1-EXP(-LN(2)/25))/(LN(2)/25)*Calculateur!V128*Calculateur!X128*VLOOKUP('Données projet'!$B$9,Paramètres!$A$1:$I$89,3,0)*0.475*44/12</f>
        <v>0.800593949309807</v>
      </c>
      <c r="AB128" s="129" t="n">
        <f aca="false">EXP(-LN(2)/2)*AB127+(1-EXP(-LN(2)/2))/(LN(2)/2)*V128*Y128*VLOOKUP('Données projet'!$B$9,Paramètres!$A$1:$I$89,3,0)*0.475*44/12</f>
        <v>5.54839456114838E-014</v>
      </c>
      <c r="AC128" s="130" t="n">
        <f aca="false">SUM(Z128:AB128)</f>
        <v>2.18359040748548</v>
      </c>
      <c r="AD128" s="117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7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8" t="e">
        <f aca="false">VLOOKUP(A128,'Données projet'!$A$61:$I$81,2,0)</f>
        <v>#N/A</v>
      </c>
      <c r="AG128" s="118" t="e">
        <f aca="false">VLOOKUP(A128,'Données projet'!$A$61:$I$81,9,0)</f>
        <v>#N/A</v>
      </c>
      <c r="AH128" s="118" t="e">
        <f aca="false" t="array" ref="AH128:AH128">INDEX(AG:AG,MIN(IF(ISNUMBER(AG128:AG324),ROW(AG128:AG324),"")))</f>
        <v>#N/A</v>
      </c>
      <c r="AI128" s="117" t="n">
        <f aca="false">IF('Données projet'!$A$62&gt;35,AI127+AH128-AQ127,IF(A128&lt;'Données projet'!$A$62,$AF$205^A128,IF(A128='Données projet'!$A$62,'Données projet'!$B$62,AI127+AH128-AQ127)))</f>
        <v>1.13686837721616E-013</v>
      </c>
      <c r="AJ128" s="117" t="n">
        <f aca="false">AI128*VLOOKUP('Données projet'!$B$10,Paramètres!$A$1:$I$89,3,0)*VLOOKUP('Données projet'!$B$10,Paramètres!$A$1:$I$89,5,0)</f>
        <v>6.35509422863834E-014</v>
      </c>
      <c r="AK128" s="117" t="n">
        <f aca="false">EXP(-1.0587+0.8836*LN(AJ128)+0.284)</f>
        <v>1.0064464192544E-012</v>
      </c>
      <c r="AL128" s="128" t="n">
        <f aca="false">(AJ128+AK128)*0.475*44/12</f>
        <v>1.86357873801686E-012</v>
      </c>
      <c r="AM128" s="120" t="n">
        <f aca="false">AL128+(AD128+AE128)*44/12</f>
        <v>293.333333333335</v>
      </c>
      <c r="AN128" s="120" t="n">
        <f aca="true">AVERAGE(OFFSET($AM$3,0,0,'Données projet'!$E$10+1,1))-AVERAGE(OFFSET($H$3,0,0,'Données projet'!$E$10+1,1))</f>
        <v>365.705101827279</v>
      </c>
      <c r="AO128" s="120" t="n">
        <f aca="false">$AO$3</f>
        <v>436.238338449625</v>
      </c>
      <c r="AP128" s="121" t="n">
        <f aca="false">IF(ISNA(VLOOKUP(A128,'Données projet'!$A$61:$I$81,3,0)),0,VLOOKUP(A128,'Données projet'!$A$61:$I$81,3,0))</f>
        <v>0</v>
      </c>
      <c r="AQ128" s="121" t="n">
        <f aca="false">IF(ISNA(VLOOKUP(A128,'Données projet'!$A$61:$I$81,4,0)),0,VLOOKUP(A128,'Données projet'!$A$61:$I$81,4,0))</f>
        <v>0</v>
      </c>
      <c r="AR128" s="122" t="n">
        <f aca="false">IF(ISNA(VLOOKUP(A128,'Données projet'!$A$61:$I$81,5,0)),0%,VLOOKUP(A128,'Données projet'!$A$61:$I$81,5,0)*VLOOKUP('Données projet'!$B$10,Paramètres!$A$1:$I$89,7,0))</f>
        <v>0</v>
      </c>
      <c r="AS128" s="122" t="n">
        <f aca="false">IF(ISNA(VLOOKUP(A128,'Données projet'!$A$61:$I$81,6,0)),0%,VLOOKUP(A128,'Données projet'!$A$61:$I$81,6,0)*VLOOKUP('Données projet'!$B$10,Paramètres!$A$1:$I$89,7,0))</f>
        <v>0</v>
      </c>
      <c r="AT128" s="122" t="n">
        <f aca="false">IF(ISNA(VLOOKUP(A128,'Données projet'!$A$61:$I$81,7,0)),0%,VLOOKUP(A128,'Données projet'!$A$61:$I$81,7,0))</f>
        <v>0</v>
      </c>
      <c r="AU128" s="129" t="n">
        <f aca="false">EXP(-LN(2)/35)*AU127+(1-EXP(-LN(2)/35))/(LN(2)/35)*AQ128*AR128*VLOOKUP('Données projet'!$B$10,Paramètres!$A$1:$I$89,3,0)*0.475*44/12</f>
        <v>0.522036324266562</v>
      </c>
      <c r="AV128" s="129" t="n">
        <f aca="false">EXP(-LN(2)/25)*AV127+(1-EXP(-LN(2)/25))/(LN(2)/25)*Calculateur!AQ128*Calculateur!AS128*VLOOKUP('Données projet'!$B$10,Paramètres!$A$1:$I$89,3,0)*0.475*44/12</f>
        <v>0.94826024494117</v>
      </c>
      <c r="AW128" s="129" t="n">
        <f aca="false">EXP(-LN(2)/2)*AW127+(1-EXP(-LN(2)/2))/(LN(2)/2)*AQ128*AT128*VLOOKUP('Données projet'!$B$10,Paramètres!$A$1:$I$89,3,0)*0.475*44/12</f>
        <v>2.98597253908299E-014</v>
      </c>
      <c r="AX128" s="129" t="n">
        <f aca="false">SUM(AU128:AW128)</f>
        <v>1.47029656920776</v>
      </c>
      <c r="AY128" s="124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8" t="e">
        <f aca="false">VLOOKUP(A128,'Données projet'!$A$87:$I$107,2,0)</f>
        <v>#N/A</v>
      </c>
      <c r="BB128" s="118" t="e">
        <f aca="false">VLOOKUP(A128,'Données projet'!$A$87:$I$107,9,0)</f>
        <v>#N/A</v>
      </c>
      <c r="BC128" s="118" t="e">
        <f aca="false" t="array" ref="BC128:BC128">INDEX(BB:BB,MIN(IF(ISNUMBER(BB128:BB324),ROW(BB128:BB324),"")))</f>
        <v>#N/A</v>
      </c>
      <c r="BD128" s="118" t="n">
        <f aca="false">IF('Données projet'!$A$88&gt;35,BD127+BC128-BL127,IF(A128&lt;'Données projet'!$A$88,$BA$205^A128,IF(A128='Données projet'!$A$88,'Données projet'!$B$88,BD127+BC128-BL127)))</f>
        <v>1.98951966012828E-013</v>
      </c>
      <c r="BE128" s="117" t="n">
        <f aca="false">BD128*VLOOKUP('Données projet'!$B$11,Paramètres!$A$1:$I$89,3,0)*VLOOKUP('Données projet'!$B$11,Paramètres!$A$1:$I$89,5,0)</f>
        <v>1.73804437508807E-013</v>
      </c>
      <c r="BF128" s="117" t="n">
        <f aca="false">EXP(-1.0587+0.8836*LN(BE128)+0.284)</f>
        <v>2.44832936339505E-012</v>
      </c>
      <c r="BG128" s="128" t="n">
        <f aca="false">(BE128+BF128)*0.475*44/12</f>
        <v>4.56688303657421E-012</v>
      </c>
      <c r="BH128" s="120" t="n">
        <f aca="false">BG128+(AY128+AZ128)*44/12</f>
        <v>293.333333333338</v>
      </c>
      <c r="BI128" s="120" t="n">
        <f aca="true">AVERAGE(OFFSET($BH$3,0,0,'Données projet'!$E$11+1,1))-AVERAGE(OFFSET($H$3,0,0,'Données projet'!$E$11+1,1))</f>
        <v>321.235999689929</v>
      </c>
      <c r="BJ128" s="120" t="n">
        <f aca="false">$BJ$3</f>
        <v>388.051958478005</v>
      </c>
      <c r="BK128" s="121" t="n">
        <f aca="false">IF(ISNA(VLOOKUP(A128,'Données projet'!$A$87:$I$107,3,0)),0,VLOOKUP(A128,'Données projet'!$A$87:$I$107,3,0))</f>
        <v>0</v>
      </c>
      <c r="BL128" s="121" t="n">
        <f aca="false">IF(ISNA(VLOOKUP(A128,'Données projet'!$A$87:$I$107,4,0)),0,VLOOKUP(A128,'Données projet'!$A$87:$I$107,4,0))</f>
        <v>0</v>
      </c>
      <c r="BM128" s="122" t="n">
        <f aca="false">IF(ISNA(VLOOKUP(A128,'Données projet'!$A$87:$I$107,5,0)),0%,VLOOKUP(A128,'Données projet'!$A$87:$I$107,5,0)*VLOOKUP('Données projet'!$B$11,Paramètres!$A$1:$I$89,7,0))</f>
        <v>0</v>
      </c>
      <c r="BN128" s="122" t="n">
        <f aca="false">IF(ISNA(VLOOKUP(A128,'Données projet'!$A$87:$I$107,6,0)),0%,VLOOKUP(A128,'Données projet'!$A$87:$I$107,6,0)*VLOOKUP('Données projet'!$B$11,Paramètres!$A$1:$I$89,7,0))</f>
        <v>0</v>
      </c>
      <c r="BO128" s="122" t="n">
        <f aca="false">IF(ISNA(VLOOKUP(A128,'Données projet'!$A$87:$I$107,7,0)),0%,VLOOKUP(A128,'Données projet'!$A$87:$I$107,7,0))</f>
        <v>0</v>
      </c>
      <c r="BP128" s="129" t="n">
        <f aca="false">EXP(-LN(2)/35)*BP127+(1-EXP(-LN(2)/35))/(LN(2)/35)*BL128*BM128*VLOOKUP('Données projet'!$B$11,Paramètres!$A$1:$I$89,3,0)*0.475*44/12</f>
        <v>1.31063554219754</v>
      </c>
      <c r="BQ128" s="129" t="n">
        <f aca="false">EXP(-LN(2)/25)*BQ127+(1-EXP(-LN(2)/25))/(LN(2)/25)*Calculateur!BL128*Calculateur!BN128*VLOOKUP('Données projet'!$B$11,Paramètres!$A$1:$I$89,3,0)*0.475*44/12</f>
        <v>0.967927734859693</v>
      </c>
      <c r="BR128" s="129" t="n">
        <f aca="false">EXP(-LN(2)/2)*BR127+(1-EXP(-LN(2)/2))/(LN(2)/2)*BL128*BO128*VLOOKUP('Données projet'!$B$11,Paramètres!$A$1:$I$89,3,0)*0.475*44/12</f>
        <v>3.03517902150682E-014</v>
      </c>
      <c r="BS128" s="130" t="n">
        <f aca="false">SUM(BP128:BR128)</f>
        <v>2.27856327705726</v>
      </c>
      <c r="BT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8" t="e">
        <f aca="false">VLOOKUP(A128,'Données projet'!$A$113:$I$133,2,0)</f>
        <v>#N/A</v>
      </c>
      <c r="BW128" s="118" t="e">
        <f aca="false">VLOOKUP(A128,'Données projet'!$A$113:$I$133,9,0)</f>
        <v>#N/A</v>
      </c>
      <c r="BX128" s="118" t="e">
        <f aca="false" t="array" ref="BX128:BX128">INDEX(BW:BW,MIN(IF(ISNUMBER(BW128:BW324),ROW(BW128:BW324),"")))</f>
        <v>#N/A</v>
      </c>
      <c r="BY128" s="118" t="n">
        <f aca="false">IF('Données projet'!$A$114&gt;35,BY127+BX128-CG127,IF(A128&lt;'Données projet'!$A$114,$BV$205^A128,IF(A128='Données projet'!$A$114,'Données projet'!$B$114,BY127+BX128-CG127)))</f>
        <v>0</v>
      </c>
      <c r="BZ128" s="117" t="n">
        <f aca="false">BY128*VLOOKUP('Données projet'!$B$12,Paramètres!$A$1:$I$89,3,0)*VLOOKUP('Données projet'!$B$12,Paramètres!$A$1:$I$89,5,0)</f>
        <v>0</v>
      </c>
      <c r="CA128" s="117" t="e">
        <f aca="false">EXP(-1.0587+0.8836*LN(BZ128)+0.284)</f>
        <v>#VALUE!</v>
      </c>
      <c r="CB128" s="128" t="e">
        <f aca="false">(BZ128+CA128)*0.475*44/12</f>
        <v>#VALUE!</v>
      </c>
      <c r="CC128" s="120" t="e">
        <f aca="false">CB128+(BT128+BU128)*44/12</f>
        <v>#VALUE!</v>
      </c>
      <c r="CD128" s="120" t="n">
        <f aca="true">AVERAGE(OFFSET($CC$3,0,0,'Données projet'!$E$12+1,1))-AVERAGE(OFFSET($H$3,0,0,'Données projet'!$E$12+1,1))</f>
        <v>240.228848647662</v>
      </c>
      <c r="CE128" s="120" t="n">
        <f aca="false">$CE$3</f>
        <v>343.237768841432</v>
      </c>
      <c r="CF128" s="121" t="n">
        <f aca="false">IF(ISNA(VLOOKUP(A128,'Données projet'!$A$113:$I$133,3,0)),0,VLOOKUP(A128,'Données projet'!$A$113:$I$133,3,0))</f>
        <v>0</v>
      </c>
      <c r="CG128" s="121" t="n">
        <f aca="false">IF(ISNA(VLOOKUP(A128,'Données projet'!$A$113:$I$133,4,0)),0,VLOOKUP(A128,'Données projet'!$A$113:$I$133,4,0))</f>
        <v>0</v>
      </c>
      <c r="CH128" s="122" t="n">
        <f aca="false">IF(ISNA(VLOOKUP(A128,'Données projet'!$A$113:$I$133,5,0)),0%,VLOOKUP(A128,'Données projet'!$A$113:$I$133,5,0)*VLOOKUP('Données projet'!$B$12,Paramètres!$A$1:$I$89,7,0))</f>
        <v>0</v>
      </c>
      <c r="CI128" s="122" t="n">
        <f aca="false">IF(ISNA(VLOOKUP(A128,'Données projet'!$A$113:$I$133,6,0)),0%,VLOOKUP(A128,'Données projet'!$A$113:$I$133,6,0)*VLOOKUP('Données projet'!$B$12,Paramètres!$A$1:$I$89,7,0))</f>
        <v>0</v>
      </c>
      <c r="CJ128" s="122" t="n">
        <f aca="false">IF(ISNA(VLOOKUP(A128,'Données projet'!$A$113:$I$133,7,0)),0%,VLOOKUP(A128,'Données projet'!$A$113:$I$133,7,0))</f>
        <v>0</v>
      </c>
      <c r="CK128" s="129" t="n">
        <f aca="false">EXP(-LN(2)/35)*CK127+(1-EXP(-LN(2)/35))/(LN(2)/35)*CG128*CH128*VLOOKUP('Données projet'!$B$12,Paramètres!$A$1:$I$89,3,0)*0.475*44/12</f>
        <v>0.802211059458856</v>
      </c>
      <c r="CL128" s="129" t="n">
        <f aca="false">EXP(-LN(2)/25)*CL127+(1-EXP(-LN(2)/25))/(LN(2)/25)*Calculateur!CG128*Calculateur!CI128*VLOOKUP('Données projet'!$B$12,Paramètres!$A$1:$I$89,3,0)*0.475*44/12</f>
        <v>1.7094164129891</v>
      </c>
      <c r="CM128" s="129" t="n">
        <f aca="false">EXP(-LN(2)/2)*CM127+(1-EXP(-LN(2)/2))/(LN(2)/2)*CG128*CJ128*VLOOKUP('Données projet'!$B$12,Paramètres!$A$1:$I$89,3,0)*0.475*44/12</f>
        <v>4.84333654006155E-014</v>
      </c>
      <c r="CN128" s="130" t="n">
        <f aca="false">SUM(CK128:CM128)</f>
        <v>2.51162747244801</v>
      </c>
      <c r="CO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8" t="e">
        <f aca="false">VLOOKUP(A128,'Données projet'!$A$139:$I$159,2,0)</f>
        <v>#N/A</v>
      </c>
      <c r="CR128" s="118" t="e">
        <f aca="false">VLOOKUP(A128,'Données projet'!$A$139:$I$159,9,0)</f>
        <v>#N/A</v>
      </c>
      <c r="CS128" s="118" t="e">
        <f aca="false" t="array" ref="CS128:CS128">INDEX(CR:CR,MIN(IF(ISNUMBER(CR128:CR324),ROW(CR128:CR324),"")))</f>
        <v>#N/A</v>
      </c>
      <c r="CT128" s="118" t="n">
        <f aca="false">IF('Données projet'!$A$140&gt;35,CT127+CS128-DB127,IF(A128&lt;'Données projet'!$A$140,$CQ$205^A128,IF(A128='Données projet'!$A$140,'Données projet'!$B$140,CT127+CS128-DB127)))</f>
        <v>-5.6843418860808E-014</v>
      </c>
      <c r="CU128" s="125" t="n">
        <f aca="false">CT128*VLOOKUP('Données projet'!$B$13,Paramètres!$A$1:$I$89,3,0)*VLOOKUP('Données projet'!$B$13,Paramètres!$A$1:$I$89,5,0)</f>
        <v>-3.10365066980012E-014</v>
      </c>
      <c r="CV128" s="117" t="e">
        <f aca="false">EXP(-1.0587+0.8836*LN(CU128)+0.284)</f>
        <v>#VALUE!</v>
      </c>
      <c r="CW128" s="128" t="e">
        <f aca="false">(CU128+CV128)*0.475*44/12</f>
        <v>#VALUE!</v>
      </c>
      <c r="CX128" s="120" t="e">
        <f aca="false">CW128+(CO128+CP128)*44/12</f>
        <v>#VALUE!</v>
      </c>
      <c r="CY128" s="120" t="n">
        <f aca="true">AVERAGE(OFFSET($CX$3,0,0,'Données projet'!$E$13+1,1))-AVERAGE(OFFSET($H$3,0,0,'Données projet'!$E$13+1,1))</f>
        <v>207.023069645676</v>
      </c>
      <c r="CZ128" s="120" t="n">
        <f aca="false">$CZ$3</f>
        <v>342.068879333518</v>
      </c>
      <c r="DA128" s="121" t="n">
        <f aca="false">IF(ISNA(VLOOKUP(A128,'Données projet'!$A$139:$I$159,3,0)),0,VLOOKUP(A128,'Données projet'!$A$139:$I$159,3,0))</f>
        <v>0</v>
      </c>
      <c r="DB128" s="121" t="n">
        <f aca="false">IF(ISNA(VLOOKUP(A128,'Données projet'!$A$139:$I$159,4,0)),0,VLOOKUP(A128,'Données projet'!$A$139:$I$159,4,0))</f>
        <v>0</v>
      </c>
      <c r="DC128" s="122" t="n">
        <f aca="false">IF(ISNA(VLOOKUP(A128,'Données projet'!$A$139:$I$159,5,0)),0%,VLOOKUP(A128,'Données projet'!$A$139:$I$159,5,0)*VLOOKUP('Données projet'!$B$13,Paramètres!$A$1:$I$89,7,0))</f>
        <v>0</v>
      </c>
      <c r="DD128" s="122" t="n">
        <f aca="false">IF(ISNA(VLOOKUP(A128,'Données projet'!$A$139:$I$159,6,0)),0%,VLOOKUP(A128,'Données projet'!$A$139:$I$159,6,0)*VLOOKUP('Données projet'!$B$13,Paramètres!$A$1:$I$89,7,0))</f>
        <v>0</v>
      </c>
      <c r="DE128" s="122" t="n">
        <f aca="false">IF(ISNA(VLOOKUP(A128,'Données projet'!$A$139:$I$159,7,0)),0%,VLOOKUP(A128,'Données projet'!$A$139:$I$159,7,0))</f>
        <v>0</v>
      </c>
      <c r="DF128" s="129" t="n">
        <f aca="false">EXP(-LN(2)/35)*DF127+(1-EXP(-LN(2)/35))/(LN(2)/35)*DB128*DC128*VLOOKUP('Données projet'!$B$13,Paramètres!$A$1:$I$89,3,0)*0.475*44/12</f>
        <v>1.00654783875498</v>
      </c>
      <c r="DG128" s="129" t="n">
        <f aca="false">EXP(-LN(2)/25)*DG127+(1-EXP(-LN(2)/25))/(LN(2)/25)*Calculateur!DB128*Calculateur!DD128*VLOOKUP('Données projet'!$B$13,Paramètres!$A$1:$I$89,3,0)*0.475*44/12</f>
        <v>2.7941838824013</v>
      </c>
      <c r="DH128" s="129" t="n">
        <f aca="false">EXP(-LN(2)/2)*DH127+(1-EXP(-LN(2)/2))/(LN(2)/2)*DB128*DE128*VLOOKUP('Données projet'!$B$13,Paramètres!$A$1:$I$89,3,0)*0.475*44/12</f>
        <v>6.66927666115757E-014</v>
      </c>
      <c r="DI128" s="130" t="n">
        <f aca="false">SUM(DF128:DH128)</f>
        <v>3.80073172115635</v>
      </c>
      <c r="DJ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8" t="e">
        <f aca="false">VLOOKUP(A128,'Données projet'!$A$165:$I$185,2,0)</f>
        <v>#N/A</v>
      </c>
      <c r="DM128" s="118" t="e">
        <f aca="false">VLOOKUP(A128,'Données projet'!$A$165:$I$185,9,0)</f>
        <v>#N/A</v>
      </c>
      <c r="DN128" s="118" t="e">
        <f aca="false" t="array" ref="DN128:DN128">INDEX(DM:DM,MIN(IF(ISNUMBER(DM128:DM324),ROW(DM128:DM324),"")))</f>
        <v>#N/A</v>
      </c>
      <c r="DO128" s="118" t="n">
        <f aca="false">IF('Données projet'!$A$166&gt;35,DO127+DN128-DW127,IF(A128&lt;'Données projet'!$A$166,$DL$205^A128,IF(A128='Données projet'!$A$166,'Données projet'!$B$166,DO127+DN128-DW127)))</f>
        <v>0</v>
      </c>
      <c r="DP128" s="125" t="n">
        <f aca="false">DO128*VLOOKUP('Données projet'!$B$14,Paramètres!$A$1:$I$89,3,0)*VLOOKUP('Données projet'!$B$14,Paramètres!$A$1:$I$89,5,0)</f>
        <v>0</v>
      </c>
      <c r="DQ128" s="117" t="e">
        <f aca="false">EXP(-1.0587+0.8836*LN(DP128)+0.284)</f>
        <v>#VALUE!</v>
      </c>
      <c r="DR128" s="128" t="e">
        <f aca="false">(DP128+DQ128)*0.475*44/12</f>
        <v>#VALUE!</v>
      </c>
      <c r="DS128" s="120" t="e">
        <f aca="false">DR128+(DJ128+DK128)*44/12</f>
        <v>#VALUE!</v>
      </c>
      <c r="DT128" s="120" t="n">
        <f aca="true">AVERAGE(OFFSET($DS$3,0,0,'Données projet'!$E$14+1,1))-AVERAGE(OFFSET($H$3,0,0,'Données projet'!$E$14+1,1))</f>
        <v>549.432320957297</v>
      </c>
      <c r="DU128" s="120" t="n">
        <f aca="false">$DU$3</f>
        <v>280.26155987301</v>
      </c>
      <c r="DV128" s="121" t="n">
        <f aca="false">IF(ISNA(VLOOKUP(A128,'Données projet'!$A$165:$I$185,3,0)),0,VLOOKUP(A128,'Données projet'!$A$165:$I$185,3,0))</f>
        <v>0</v>
      </c>
      <c r="DW128" s="121" t="n">
        <f aca="false">IF(ISNA(VLOOKUP(A128,'Données projet'!$A$165:$I$185,4,0)),0,VLOOKUP(A128,'Données projet'!$A$165:$I$185,4,0))</f>
        <v>0</v>
      </c>
      <c r="DX128" s="122" t="n">
        <f aca="false">IF(ISNA(VLOOKUP(A128,'Données projet'!$A$165:$I$185,5,0)),0%,VLOOKUP(A128,'Données projet'!$A$165:$I$185,5,0)*VLOOKUP('Données projet'!$B$14,Paramètres!$A$1:$I$89,7,0))</f>
        <v>0</v>
      </c>
      <c r="DY128" s="122" t="n">
        <f aca="false">IF(ISNA(VLOOKUP(A128,'Données projet'!$A$165:$I$185,6,0)),0%,VLOOKUP(A128,'Données projet'!$A$165:$I$185,6,0)*VLOOKUP('Données projet'!$B$14,Paramètres!$A$1:$I$89,7,0))</f>
        <v>0</v>
      </c>
      <c r="DZ128" s="122" t="n">
        <f aca="false">IF(ISNA(VLOOKUP(A128,'Données projet'!$A$165:$I$185,7,0)),0%,VLOOKUP(A128,'Données projet'!$A$165:$I$185,7,0))</f>
        <v>0</v>
      </c>
      <c r="EA128" s="129" t="n">
        <f aca="false">EXP(-LN(2)/35)*EA127+(1-EXP(-LN(2)/35))/(LN(2)/35)*DW128*DX128*VLOOKUP('Données projet'!$B$14,Paramètres!$A$1:$I$89,3,0)*0.475*44/12</f>
        <v>0.365979671826365</v>
      </c>
      <c r="EB128" s="129" t="n">
        <f aca="false">EXP(-LN(2)/25)*EB127+(1-EXP(-LN(2)/25))/(LN(2)/25)*Calculateur!DW128*Calculateur!DY128*VLOOKUP('Données projet'!$B$14,Paramètres!$A$1:$I$89,3,0)*0.475*44/12</f>
        <v>0.556656557653389</v>
      </c>
      <c r="EC128" s="129" t="n">
        <f aca="false">EXP(-LN(2)/2)*EC127+(1-EXP(-LN(2)/2))/(LN(2)/2)*DW128*DZ128*VLOOKUP('Données projet'!$B$14,Paramètres!$A$1:$I$89,3,0)*0.475*44/12</f>
        <v>3.07439906557158E-014</v>
      </c>
      <c r="ED128" s="130" t="n">
        <f aca="false">SUM(EA128:EC128)</f>
        <v>0.922636229479785</v>
      </c>
      <c r="EE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8" t="e">
        <f aca="false">VLOOKUP(A128,'Données projet'!$A$191:$I$211,2,0)</f>
        <v>#N/A</v>
      </c>
      <c r="EH128" s="118" t="e">
        <f aca="false">VLOOKUP(A128,'Données projet'!$A$191:$I$211,9,0)</f>
        <v>#N/A</v>
      </c>
      <c r="EI128" s="118" t="e">
        <f aca="false" t="array" ref="EI128:EI128">INDEX(EH:EH,MIN(IF(ISNUMBER(EH128:EH324),ROW(EH128:EH324),"")))</f>
        <v>#N/A</v>
      </c>
      <c r="EJ128" s="118" t="n">
        <f aca="false">IF('Données projet'!$A$192&gt;35,EJ127+EI128-ER127,IF(A128&lt;'Données projet'!$A$192,$EG$205^A128,IF(A128='Données projet'!$A$192,'Données projet'!$B$192,EJ127+EI128-ER127)))</f>
        <v>0</v>
      </c>
      <c r="EK128" s="125" t="e">
        <f aca="false">EJ128*VLOOKUP('Données projet'!$B$15,Paramètres!$A$1:$I$89,3,0)*VLOOKUP('Données projet'!$B$15,Paramètres!$A$1:$I$89,5,0)</f>
        <v>#N/A</v>
      </c>
      <c r="EL128" s="117" t="e">
        <f aca="false">EXP(-1.0587+0.8836*LN(EK128)+0.284)</f>
        <v>#N/A</v>
      </c>
      <c r="EM128" s="128" t="e">
        <f aca="false">(EK128+EL128)*0.475*44/12</f>
        <v>#N/A</v>
      </c>
      <c r="EN128" s="120" t="e">
        <f aca="false">EM128+(EE128+EF128)*44/12</f>
        <v>#N/A</v>
      </c>
      <c r="EO128" s="120" t="e">
        <f aca="true">AVERAGE(OFFSET($EN$3,0,0,'Données projet'!$E$15+1,1))-AVERAGE(OFFSET($H$3,0,0,'Données projet'!$E$15+1,1))</f>
        <v>#N/A</v>
      </c>
      <c r="EP128" s="120" t="e">
        <f aca="false">$EP$3</f>
        <v>#N/A</v>
      </c>
      <c r="EQ128" s="121" t="n">
        <f aca="false">IF(ISNA(VLOOKUP(A128,'Données projet'!$A$191:$I$211,3,0)),0,VLOOKUP(A128,'Données projet'!$A$191:$I$211,3,0))</f>
        <v>0</v>
      </c>
      <c r="ER128" s="121" t="n">
        <f aca="false">IF(ISNA(VLOOKUP(A128,'Données projet'!$A$191:$I$211,4,0)),0,VLOOKUP(A128,'Données projet'!$A$191:$I$211,4,0))</f>
        <v>0</v>
      </c>
      <c r="ES128" s="122" t="n">
        <f aca="false">IF(ISNA(VLOOKUP(A128,'Données projet'!$A$191:$I$211,5,0)),0%,VLOOKUP(A128,'Données projet'!$A$191:$I$211,5,0)*VLOOKUP('Données projet'!$B$15,Paramètres!$A$1:$I$89,7,0))</f>
        <v>0</v>
      </c>
      <c r="ET128" s="122" t="n">
        <f aca="false">IF(ISNA(VLOOKUP(A128,'Données projet'!$A$191:$I$211,6,0)),0%,VLOOKUP(A128,'Données projet'!$A$191:$I$211,6,0)*VLOOKUP('Données projet'!$B$15,Paramètres!$A$1:$I$89,7,0))</f>
        <v>0</v>
      </c>
      <c r="EU128" s="122" t="n">
        <f aca="false">IF(ISNA(VLOOKUP(A128,'Données projet'!$A$191:$I$211,7,0)),0%,VLOOKUP(A128,'Données projet'!$A$191:$I$211,7,0))</f>
        <v>0</v>
      </c>
      <c r="EV128" s="129" t="e">
        <f aca="false">EXP(-LN(2)/35)*EV127+(1-EXP(-LN(2)/35))/(LN(2)/35)*ER128*ES128*VLOOKUP('Données projet'!$B$15,Paramètres!$A$1:$I$89,3,0)*0.475*44/12</f>
        <v>#N/A</v>
      </c>
      <c r="EW128" s="129" t="e">
        <f aca="false">EXP(-LN(2)/25)*EW127+(1-EXP(-LN(2)/25))/(LN(2)/25)*Calculateur!ER128*Calculateur!ET128*VLOOKUP('Données projet'!$B$15,Paramètres!$A$1:$I$89,3,0)*0.475*44/12</f>
        <v>#N/A</v>
      </c>
      <c r="EX128" s="129" t="e">
        <f aca="false">EXP(-LN(2)/2)*EX127+(1-EXP(-LN(2)/2))/(LN(2)/2)*ER128*EU128*VLOOKUP('Données projet'!$B$15,Paramètres!$A$1:$I$89,3,0)*0.475*44/12</f>
        <v>#N/A</v>
      </c>
      <c r="EY128" s="130" t="e">
        <f aca="false">SUM(EV128:EX128)</f>
        <v>#N/A</v>
      </c>
      <c r="EZ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8" t="e">
        <f aca="false">VLOOKUP(A128,'Données projet'!$A$217:$I$237,2,0)</f>
        <v>#N/A</v>
      </c>
      <c r="FC128" s="118" t="e">
        <f aca="false">VLOOKUP(A128,'Données projet'!$A$217:$I$237,9,0)</f>
        <v>#N/A</v>
      </c>
      <c r="FD128" s="118" t="e">
        <f aca="false" t="array" ref="FD128:FD128">INDEX(FC:FC,MIN(IF(ISNUMBER(FC128:FC324),ROW(FC128:FC324),"")))</f>
        <v>#N/A</v>
      </c>
      <c r="FE128" s="118" t="n">
        <f aca="false">IF('Données projet'!$A$218&gt;35,FE127+FD128-FM127,IF(A128&lt;'Données projet'!$A$218,$FB$205^A128,IF(A128='Données projet'!$A$218,'Données projet'!$B$218,FE127+FD128-FM127)))</f>
        <v>0</v>
      </c>
      <c r="FF128" s="125" t="e">
        <f aca="false">FE128*VLOOKUP('Données projet'!$B$16,Paramètres!$A$1:$I$89,3,0)*VLOOKUP('Données projet'!$B$16,Paramètres!$A$1:$I$89,5,0)</f>
        <v>#N/A</v>
      </c>
      <c r="FG128" s="117" t="e">
        <f aca="false">EXP(-1.0587+0.8836*LN(FF128)+0.284)</f>
        <v>#N/A</v>
      </c>
      <c r="FH128" s="128" t="e">
        <f aca="false">(FF128+FG128)*0.475*44/12</f>
        <v>#N/A</v>
      </c>
      <c r="FI128" s="120" t="e">
        <f aca="false">FH128+(EZ128+FA128)*44/12</f>
        <v>#N/A</v>
      </c>
      <c r="FJ128" s="120" t="e">
        <f aca="true">AVERAGE(OFFSET($FI$3,0,0,'Données projet'!$E$16+1,1))-AVERAGE(OFFSET($H$3,0,0,'Données projet'!$E$16+1,1))</f>
        <v>#N/A</v>
      </c>
      <c r="FK128" s="120" t="e">
        <f aca="false">$FK$3</f>
        <v>#N/A</v>
      </c>
      <c r="FL128" s="121" t="n">
        <f aca="false">IF(ISNA(VLOOKUP(A128,'Données projet'!$A$217:$I$237,3,0)),0,VLOOKUP(A128,'Données projet'!$A$217:$I$237,3,0))</f>
        <v>0</v>
      </c>
      <c r="FM128" s="121" t="n">
        <f aca="false">IF(ISNA(VLOOKUP(A128,'Données projet'!$A$217:$I$237,4,0)),0,VLOOKUP(A128,'Données projet'!$A$217:$I$237,4,0))</f>
        <v>0</v>
      </c>
      <c r="FN128" s="122" t="n">
        <f aca="false">IF(ISNA(VLOOKUP(A128,'Données projet'!$A$217:$I$237,5,0)),0%,VLOOKUP(A128,'Données projet'!$A$217:$I$237,5,0)*VLOOKUP('Données projet'!$B$16,Paramètres!$A$1:$I$89,7,0))</f>
        <v>0</v>
      </c>
      <c r="FO128" s="122" t="n">
        <f aca="false">IF(ISNA(VLOOKUP(A128,'Données projet'!$A$217:$I$237,6,0)),0%,VLOOKUP(A128,'Données projet'!$A$217:$I$237,6,0)*VLOOKUP('Données projet'!$B$16,Paramètres!$A$1:$I$89,7,0))</f>
        <v>0</v>
      </c>
      <c r="FP128" s="122" t="n">
        <f aca="false">IF(ISNA(VLOOKUP(A128,'Données projet'!$A$217:$I$237,7,0)),0%,VLOOKUP(A128,'Données projet'!$A$217:$I$237,7,0))</f>
        <v>0</v>
      </c>
      <c r="FQ128" s="129" t="e">
        <f aca="false">EXP(-LN(2)/35)*FQ127+(1-EXP(-LN(2)/35))/(LN(2)/35)*FM128*FN128*VLOOKUP('Données projet'!$B$16,Paramètres!$A$1:$I$89,3,0)*0.475*44/12</f>
        <v>#N/A</v>
      </c>
      <c r="FR128" s="129" t="e">
        <f aca="false">EXP(-LN(2)/25)*FR127+(1-EXP(-LN(2)/25))/(LN(2)/25)*Calculateur!FM128*Calculateur!FO128*VLOOKUP('Données projet'!$B$16,Paramètres!$A$1:$I$89,3,0)*0.475*44/12</f>
        <v>#N/A</v>
      </c>
      <c r="FS128" s="129" t="e">
        <f aca="false">EXP(-LN(2)/2)*FS127+(1-EXP(-LN(2)/2))/(LN(2)/2)*FM128*FP128*VLOOKUP('Données projet'!$B$16,Paramètres!$A$1:$I$89,3,0)*0.475*44/12</f>
        <v>#N/A</v>
      </c>
      <c r="FT128" s="130" t="e">
        <f aca="false">SUM(FQ128:FS128)</f>
        <v>#N/A</v>
      </c>
      <c r="FU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8" t="e">
        <f aca="false">VLOOKUP(A128,'Données projet'!$A$243:$I$263,2,0)</f>
        <v>#N/A</v>
      </c>
      <c r="FX128" s="118" t="e">
        <f aca="false">VLOOKUP(A128,'Données projet'!$A$243:$I$263,9,0)</f>
        <v>#N/A</v>
      </c>
      <c r="FY128" s="118" t="e">
        <f aca="false" t="array" ref="FY128:FY128">INDEX(FX:FX,MIN(IF(ISNUMBER(FX128:FX324),ROW(FX128:FX324),"")))</f>
        <v>#N/A</v>
      </c>
      <c r="FZ128" s="118" t="n">
        <f aca="false">IF('Données projet'!$A$244&gt;35,FZ127+FY128-GH127,IF(A128&lt;'Données projet'!$A$244,$FW$205^A128,IF(A128='Données projet'!$A$244,'Données projet'!$B$244,FZ127+FY128-GH127)))</f>
        <v>0</v>
      </c>
      <c r="GA128" s="125" t="e">
        <f aca="false">FZ128*VLOOKUP('Données projet'!$B$17,Paramètres!$A$1:$I$89,3,0)*VLOOKUP('Données projet'!$B$17,Paramètres!$A$1:$I$89,5,0)</f>
        <v>#N/A</v>
      </c>
      <c r="GB128" s="117" t="e">
        <f aca="false">EXP(-1.0587+0.8836*LN(GA128)+0.284)</f>
        <v>#N/A</v>
      </c>
      <c r="GC128" s="128" t="e">
        <f aca="false">(GA128+GB128)*0.475*44/12</f>
        <v>#N/A</v>
      </c>
      <c r="GD128" s="120" t="e">
        <f aca="false">GC128+(FU128+FV128)*44/12</f>
        <v>#N/A</v>
      </c>
      <c r="GE128" s="120" t="e">
        <f aca="true">AVERAGE(OFFSET($GD$3,0,0,'Données projet'!$E$17+1,1))-AVERAGE(OFFSET($H$3,0,0,'Données projet'!$E$17+1,1))</f>
        <v>#N/A</v>
      </c>
      <c r="GF128" s="120" t="e">
        <f aca="false">$GF$3</f>
        <v>#N/A</v>
      </c>
      <c r="GG128" s="121" t="n">
        <f aca="false">IF(ISNA(VLOOKUP(A128,'Données projet'!$A$243:$I$263,3,0)),0,VLOOKUP(A128,'Données projet'!$A$243:$I$263,3,0))</f>
        <v>0</v>
      </c>
      <c r="GH128" s="121" t="n">
        <f aca="false">IF(ISNA(VLOOKUP(A128,'Données projet'!$A$243:$I$263,4,0)),0,VLOOKUP(A128,'Données projet'!$A$243:$I$263,4,0))</f>
        <v>0</v>
      </c>
      <c r="GI128" s="122" t="n">
        <f aca="false">IF(ISNA(VLOOKUP(A128,'Données projet'!$A$243:$I$263,5,0)),0%,VLOOKUP(A128,'Données projet'!$A$243:$I$263,5,0)*VLOOKUP('Données projet'!$B$17,Paramètres!$A$1:$I$89,7,0))</f>
        <v>0</v>
      </c>
      <c r="GJ128" s="122" t="n">
        <f aca="false">IF(ISNA(VLOOKUP(A128,'Données projet'!$A$243:$I$263,6,0)),0%,VLOOKUP(A128,'Données projet'!$A$243:$I$263,6,0)*VLOOKUP('Données projet'!$B$17,Paramètres!$A$1:$I$89,7,0))</f>
        <v>0</v>
      </c>
      <c r="GK128" s="122" t="n">
        <f aca="false">IF(ISNA(VLOOKUP(A128,'Données projet'!$A$243:$I$263,7,0)),0%,VLOOKUP(A128,'Données projet'!$A$243:$I$263,7,0))</f>
        <v>0</v>
      </c>
      <c r="GL128" s="129" t="e">
        <f aca="false">EXP(-LN(2)/35)*GL127+(1-EXP(-LN(2)/35))/(LN(2)/35)*GH128*GI128*VLOOKUP('Données projet'!$B$17,Paramètres!$A$1:$I$89,3,0)*0.475*44/12</f>
        <v>#N/A</v>
      </c>
      <c r="GM128" s="129" t="e">
        <f aca="false">EXP(-LN(2)/25)*GM127+(1-EXP(-LN(2)/25))/(LN(2)/25)*Calculateur!GH128*Calculateur!GJ128*VLOOKUP('Données projet'!$B$17,Paramètres!$A$1:$I$89,3,0)*0.475*44/12</f>
        <v>#N/A</v>
      </c>
      <c r="GN128" s="129" t="e">
        <f aca="false">EXP(-LN(2)/2)*GN127+(1-EXP(-LN(2)/2))/(LN(2)/2)*GH128*GK128*VLOOKUP('Données projet'!$B$17,Paramètres!$A$1:$I$89,3,0)*0.475*44/12</f>
        <v>#N/A</v>
      </c>
      <c r="GO128" s="129" t="e">
        <f aca="false">SUM(GL128:GN128)</f>
        <v>#N/A</v>
      </c>
      <c r="GP128" s="126" t="n">
        <f aca="false"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8" t="n">
        <f aca="false"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8" t="e">
        <f aca="false">VLOOKUP(A128,'Données projet'!$A$269:$I$289,2,0)</f>
        <v>#N/A</v>
      </c>
      <c r="GS128" s="118" t="e">
        <f aca="false">VLOOKUP(A128,'Données projet'!$A$269:$I$289,9,0)</f>
        <v>#N/A</v>
      </c>
      <c r="GT128" s="118" t="e">
        <f aca="false" t="array" ref="GT128:GT128">INDEX(GS:GS,MIN(IF(ISNUMBER(GS128:GS324),ROW(GS128:GS324),"")))</f>
        <v>#N/A</v>
      </c>
      <c r="GU128" s="118" t="n">
        <f aca="false">IF('Données projet'!$A$270&gt;35,GU127+GT128-HC127,IF(A128&lt;'Données projet'!$A$270,$GR$205^A128,IF(A128='Données projet'!$A$270,'Données projet'!$B$270,GU127+GT128-HC127)))</f>
        <v>0</v>
      </c>
      <c r="GV128" s="125" t="e">
        <f aca="false">GU128*VLOOKUP('Données projet'!$B$18,Paramètres!$A$1:$I$89,3,0)*VLOOKUP('Données projet'!$B$18,Paramètres!$A$1:$I$89,5,0)</f>
        <v>#N/A</v>
      </c>
      <c r="GW128" s="117" t="e">
        <f aca="false">EXP(-1.0587+0.8836*LN(GV128)+0.284)</f>
        <v>#N/A</v>
      </c>
      <c r="GX128" s="128" t="e">
        <f aca="false">(GV128+GW128)*0.475*44/12</f>
        <v>#N/A</v>
      </c>
      <c r="GY128" s="120" t="e">
        <f aca="false">GX128+(GP128+GQ128)*44/12</f>
        <v>#N/A</v>
      </c>
      <c r="GZ128" s="120" t="e">
        <f aca="true">AVERAGE(OFFSET($GY$3,0,0,'Données projet'!$E$18+1,1))-AVERAGE(OFFSET($H$3,0,0,'Données projet'!$E$18+1,1))</f>
        <v>#N/A</v>
      </c>
      <c r="HA128" s="120" t="e">
        <f aca="false">$HA$3</f>
        <v>#N/A</v>
      </c>
      <c r="HB128" s="121" t="n">
        <f aca="false">IF(ISNA(VLOOKUP(A128,'Données projet'!$A$269:$I$289,3,0)),0,VLOOKUP(A128,'Données projet'!$A$269:$I$289,3,0))</f>
        <v>0</v>
      </c>
      <c r="HC128" s="121" t="n">
        <f aca="false">IF(ISNA(VLOOKUP(A128,'Données projet'!$A$269:$I$289,4,0)),0,VLOOKUP(A128,'Données projet'!$A$269:$I$289,4,0))</f>
        <v>0</v>
      </c>
      <c r="HD128" s="122" t="n">
        <f aca="false">IF(ISNA(VLOOKUP(A128,'Données projet'!$A$269:$I$289,5,0)),0%,VLOOKUP(A128,'Données projet'!$A$269:$I$289,5,0)*VLOOKUP('Données projet'!$B$18,Paramètres!$A$1:$I$89,7,0))</f>
        <v>0</v>
      </c>
      <c r="HE128" s="122" t="n">
        <f aca="false">IF(ISNA(VLOOKUP(A128,'Données projet'!$A$269:$I$289,6,0)),0%,VLOOKUP(A128,'Données projet'!$A$269:$I$289,6,0)*VLOOKUP('Données projet'!$B$18,Paramètres!$A$1:$I$89,7,0))</f>
        <v>0</v>
      </c>
      <c r="HF128" s="122" t="n">
        <f aca="false">IF(ISNA(VLOOKUP(A128,'Données projet'!$A$269:$I$289,7,0)),0%,VLOOKUP(A128,'Données projet'!$A$269:$I$289,7,0))</f>
        <v>0</v>
      </c>
      <c r="HG128" s="129" t="e">
        <f aca="false">EXP(-LN(2)/35)*HG127+(1-EXP(-LN(2)/35))/(LN(2)/35)*HC128*HD128*VLOOKUP('Données projet'!$B$18,Paramètres!$A$1:$I$89,3,0)*0.475*44/12</f>
        <v>#N/A</v>
      </c>
      <c r="HH128" s="129" t="e">
        <f aca="false">EXP(-LN(2)/25)*HH127+(1-EXP(-LN(2)/25))/(LN(2)/25)*Calculateur!HC128*Calculateur!HE128*VLOOKUP('Données projet'!$B$18,Paramètres!$A$1:$I$89,3,0)*0.475*44/12</f>
        <v>#N/A</v>
      </c>
      <c r="HI128" s="129" t="e">
        <f aca="false">EXP(-LN(2)/2)*HI127+(1-EXP(-LN(2)/2))/(LN(2)/2)*HC128*HF128*VLOOKUP('Données projet'!$B$18,Paramètres!$A$1:$I$89,3,0)*0.475*44/12</f>
        <v>#N/A</v>
      </c>
      <c r="HJ128" s="130" t="e">
        <f aca="false">SUM(HG128:HI128)</f>
        <v>#N/A</v>
      </c>
    </row>
    <row r="129" customFormat="false" ht="14.25" hidden="false" customHeight="false" outlineLevel="0" collapsed="false">
      <c r="A129" s="112" t="n">
        <f aca="false">A128+1</f>
        <v>126</v>
      </c>
      <c r="B129" s="113" t="n">
        <f aca="false">'Scénario référence'!$B$16*5+'Scénario référence'!$B$17*0+'Scénario référence'!$B$18*5</f>
        <v>0</v>
      </c>
      <c r="C129" s="127" t="n">
        <f aca="false"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4" t="n">
        <f aca="false">IFERROR(EXP(-1.0587+0.8836*LN(C129)+0.284),0)</f>
        <v>0</v>
      </c>
      <c r="E12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29" s="114" t="n">
        <f aca="false">IF(OR('Scénario référence'!$F$8&gt;0,'Scénario référence'!$F$9&gt;0),('Scénario référence'!$F$8+'Scénario référence'!$F$9)*10,0)</f>
        <v>0</v>
      </c>
      <c r="G129" s="114" t="n">
        <f aca="false"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15" t="n">
        <f aca="false">(B129+E129+F129)*44/12+(C129+D129)*0.475*44/12</f>
        <v>256.666666666667</v>
      </c>
      <c r="I129" s="11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7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8" t="e">
        <f aca="false">VLOOKUP(A129,'Données projet'!$A$35:$I$55,2,0)</f>
        <v>#N/A</v>
      </c>
      <c r="L129" s="118" t="e">
        <f aca="false">VLOOKUP(A129,'Données projet'!$A$35:$I$55,9,0)</f>
        <v>#N/A</v>
      </c>
      <c r="M129" s="118" t="e">
        <f aca="false" t="array" ref="M129:M129">INDEX(L:L,MIN(IF(ISNUMBER(L129:L325),ROW(L129:L325),"")))</f>
        <v>#N/A</v>
      </c>
      <c r="N129" s="117" t="n">
        <f aca="false">IF('Données projet'!$A$36&gt;35,N128+M129-V128,IF(A129&lt;'Données projet'!$A$36,$K$205^A129,IF(A129='Données projet'!$A$36,'Données projet'!$B$36,N128+M129-V128)))</f>
        <v>-1.13686837721616E-013</v>
      </c>
      <c r="O129" s="117" t="n">
        <f aca="false">N129*VLOOKUP('Données projet'!$B$9,Paramètres!$A$1:$I$89,3,0)*VLOOKUP('Données projet'!$B$9,Paramètres!$A$1:$I$89,5,0)</f>
        <v>-5.32054400537163E-014</v>
      </c>
      <c r="P129" s="117" t="e">
        <f aca="false">EXP(-1.0587+0.8836*LN(O129)+0.284)</f>
        <v>#VALUE!</v>
      </c>
      <c r="Q129" s="128" t="e">
        <f aca="false">(O129+P129)*0.475*44/12</f>
        <v>#VALUE!</v>
      </c>
      <c r="R129" s="120" t="e">
        <f aca="false">Q129+(I129+J129)*44/12</f>
        <v>#VALUE!</v>
      </c>
      <c r="S129" s="120" t="n">
        <f aca="true">AVERAGE(OFFSET($R$3,0,0,'Données projet'!$E$9+1,1))-AVERAGE(OFFSET($H$3,0,0,'Données projet'!$E$9+1,1))</f>
        <v>319.229030946746</v>
      </c>
      <c r="T129" s="120" t="n">
        <f aca="false">$T$3</f>
        <v>254.586909731428</v>
      </c>
      <c r="U129" s="121" t="n">
        <f aca="false">IF(ISNA(VLOOKUP(A129,'Données projet'!$A$35:$I$55,3,0)),0,VLOOKUP(A129,'Données projet'!$A$35:$I$55,3,0))</f>
        <v>0</v>
      </c>
      <c r="V129" s="121" t="n">
        <f aca="false">IF(ISNA(VLOOKUP(A129,'Données projet'!$A$35:$I$55,4,0)),0,VLOOKUP(A129,'Données projet'!$A$35:$I$55,4,0))</f>
        <v>0</v>
      </c>
      <c r="W129" s="122" t="n">
        <f aca="false">IF(ISNA(VLOOKUP(A129,'Données projet'!$A$35:$I$55,5,0)),0%,VLOOKUP(A129,'Données projet'!$A$35:$I$55,5,0)*VLOOKUP('Données projet'!$B$9,Paramètres!$A$1:$I$89,7,0))</f>
        <v>0</v>
      </c>
      <c r="X129" s="122" t="n">
        <f aca="false">IF(ISNA(VLOOKUP(A129,'Données projet'!$A$35:$I$55,6,0)),0%,VLOOKUP(A129,'Données projet'!$A$35:$I$55,6,0)*VLOOKUP('Données projet'!$B$9,Paramètres!$A$1:$I$89,7,0))</f>
        <v>0</v>
      </c>
      <c r="Y129" s="122" t="n">
        <f aca="false">IF(ISNA(VLOOKUP(A129,'Données projet'!$A$35:$I$55,7,0)),0%,VLOOKUP(A129,'Données projet'!$A$35:$I$55,7,0))</f>
        <v>0</v>
      </c>
      <c r="Z129" s="129" t="n">
        <f aca="false">EXP(-LN(2)/35)*Z128+(1-EXP(-LN(2)/35))/(LN(2)/35)*V129*W129*VLOOKUP('Données projet'!$B$9,Paramètres!$A$1:$I$89,3,0)*0.475*44/12</f>
        <v>1.35587674117534</v>
      </c>
      <c r="AA129" s="129" t="n">
        <f aca="false">EXP(-LN(2)/25)*AA128+(1-EXP(-LN(2)/25))/(LN(2)/25)*Calculateur!V129*Calculateur!X129*VLOOKUP('Données projet'!$B$9,Paramètres!$A$1:$I$89,3,0)*0.475*44/12</f>
        <v>0.778701665664524</v>
      </c>
      <c r="AB129" s="129" t="n">
        <f aca="false">EXP(-LN(2)/2)*AB128+(1-EXP(-LN(2)/2))/(LN(2)/2)*V129*Y129*VLOOKUP('Données projet'!$B$9,Paramètres!$A$1:$I$89,3,0)*0.475*44/12</f>
        <v>3.92330741888658E-014</v>
      </c>
      <c r="AC129" s="130" t="n">
        <f aca="false">SUM(Z129:AB129)</f>
        <v>2.1345784068399</v>
      </c>
      <c r="AD129" s="117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7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8" t="e">
        <f aca="false">VLOOKUP(A129,'Données projet'!$A$61:$I$81,2,0)</f>
        <v>#N/A</v>
      </c>
      <c r="AG129" s="118" t="e">
        <f aca="false">VLOOKUP(A129,'Données projet'!$A$61:$I$81,9,0)</f>
        <v>#N/A</v>
      </c>
      <c r="AH129" s="118" t="e">
        <f aca="false" t="array" ref="AH129:AH129">INDEX(AG:AG,MIN(IF(ISNUMBER(AG129:AG325),ROW(AG129:AG325),"")))</f>
        <v>#N/A</v>
      </c>
      <c r="AI129" s="117" t="n">
        <f aca="false">IF('Données projet'!$A$62&gt;35,AI128+AH129-AQ128,IF(A129&lt;'Données projet'!$A$62,$AF$205^A129,IF(A129='Données projet'!$A$62,'Données projet'!$B$62,AI128+AH129-AQ128)))</f>
        <v>1.13686837721616E-013</v>
      </c>
      <c r="AJ129" s="117" t="n">
        <f aca="false">AI129*VLOOKUP('Données projet'!$B$10,Paramètres!$A$1:$I$89,3,0)*VLOOKUP('Données projet'!$B$10,Paramètres!$A$1:$I$89,5,0)</f>
        <v>6.35509422863834E-014</v>
      </c>
      <c r="AK129" s="117" t="n">
        <f aca="false">EXP(-1.0587+0.8836*LN(AJ129)+0.284)</f>
        <v>1.0064464192544E-012</v>
      </c>
      <c r="AL129" s="128" t="n">
        <f aca="false">(AJ129+AK129)*0.475*44/12</f>
        <v>1.86357873801686E-012</v>
      </c>
      <c r="AM129" s="120" t="n">
        <f aca="false">AL129+(AD129+AE129)*44/12</f>
        <v>293.333333333335</v>
      </c>
      <c r="AN129" s="120" t="n">
        <f aca="true">AVERAGE(OFFSET($AM$3,0,0,'Données projet'!$E$10+1,1))-AVERAGE(OFFSET($H$3,0,0,'Données projet'!$E$10+1,1))</f>
        <v>365.705101827279</v>
      </c>
      <c r="AO129" s="120" t="n">
        <f aca="false">$AO$3</f>
        <v>436.238338449625</v>
      </c>
      <c r="AP129" s="121" t="n">
        <f aca="false">IF(ISNA(VLOOKUP(A129,'Données projet'!$A$61:$I$81,3,0)),0,VLOOKUP(A129,'Données projet'!$A$61:$I$81,3,0))</f>
        <v>0</v>
      </c>
      <c r="AQ129" s="121" t="n">
        <f aca="false">IF(ISNA(VLOOKUP(A129,'Données projet'!$A$61:$I$81,4,0)),0,VLOOKUP(A129,'Données projet'!$A$61:$I$81,4,0))</f>
        <v>0</v>
      </c>
      <c r="AR129" s="122" t="n">
        <f aca="false">IF(ISNA(VLOOKUP(A129,'Données projet'!$A$61:$I$81,5,0)),0%,VLOOKUP(A129,'Données projet'!$A$61:$I$81,5,0)*VLOOKUP('Données projet'!$B$10,Paramètres!$A$1:$I$89,7,0))</f>
        <v>0</v>
      </c>
      <c r="AS129" s="122" t="n">
        <f aca="false">IF(ISNA(VLOOKUP(A129,'Données projet'!$A$61:$I$81,6,0)),0%,VLOOKUP(A129,'Données projet'!$A$61:$I$81,6,0)*VLOOKUP('Données projet'!$B$10,Paramètres!$A$1:$I$89,7,0))</f>
        <v>0</v>
      </c>
      <c r="AT129" s="122" t="n">
        <f aca="false">IF(ISNA(VLOOKUP(A129,'Données projet'!$A$61:$I$81,7,0)),0%,VLOOKUP(A129,'Données projet'!$A$61:$I$81,7,0))</f>
        <v>0</v>
      </c>
      <c r="AU129" s="129" t="n">
        <f aca="false">EXP(-LN(2)/35)*AU128+(1-EXP(-LN(2)/35))/(LN(2)/35)*AQ129*AR129*VLOOKUP('Données projet'!$B$10,Paramètres!$A$1:$I$89,3,0)*0.475*44/12</f>
        <v>0.511799510358413</v>
      </c>
      <c r="AV129" s="129" t="n">
        <f aca="false">EXP(-LN(2)/25)*AV128+(1-EXP(-LN(2)/25))/(LN(2)/25)*Calculateur!AQ129*Calculateur!AS129*VLOOKUP('Données projet'!$B$10,Paramètres!$A$1:$I$89,3,0)*0.475*44/12</f>
        <v>0.922330018676415</v>
      </c>
      <c r="AW129" s="129" t="n">
        <f aca="false">EXP(-LN(2)/2)*AW128+(1-EXP(-LN(2)/2))/(LN(2)/2)*AQ129*AT129*VLOOKUP('Données projet'!$B$10,Paramètres!$A$1:$I$89,3,0)*0.475*44/12</f>
        <v>2.11140143082239E-014</v>
      </c>
      <c r="AX129" s="129" t="n">
        <f aca="false">SUM(AU129:AW129)</f>
        <v>1.43412952903485</v>
      </c>
      <c r="AY129" s="124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8" t="e">
        <f aca="false">VLOOKUP(A129,'Données projet'!$A$87:$I$107,2,0)</f>
        <v>#N/A</v>
      </c>
      <c r="BB129" s="118" t="e">
        <f aca="false">VLOOKUP(A129,'Données projet'!$A$87:$I$107,9,0)</f>
        <v>#N/A</v>
      </c>
      <c r="BC129" s="118" t="e">
        <f aca="false" t="array" ref="BC129:BC129">INDEX(BB:BB,MIN(IF(ISNUMBER(BB129:BB325),ROW(BB129:BB325),"")))</f>
        <v>#N/A</v>
      </c>
      <c r="BD129" s="118" t="n">
        <f aca="false">IF('Données projet'!$A$88&gt;35,BD128+BC129-BL128,IF(A129&lt;'Données projet'!$A$88,$BA$205^A129,IF(A129='Données projet'!$A$88,'Données projet'!$B$88,BD128+BC129-BL128)))</f>
        <v>1.98951966012828E-013</v>
      </c>
      <c r="BE129" s="117" t="n">
        <f aca="false">BD129*VLOOKUP('Données projet'!$B$11,Paramètres!$A$1:$I$89,3,0)*VLOOKUP('Données projet'!$B$11,Paramètres!$A$1:$I$89,5,0)</f>
        <v>1.73804437508807E-013</v>
      </c>
      <c r="BF129" s="117" t="n">
        <f aca="false">EXP(-1.0587+0.8836*LN(BE129)+0.284)</f>
        <v>2.44832936339505E-012</v>
      </c>
      <c r="BG129" s="128" t="n">
        <f aca="false">(BE129+BF129)*0.475*44/12</f>
        <v>4.56688303657421E-012</v>
      </c>
      <c r="BH129" s="120" t="n">
        <f aca="false">BG129+(AY129+AZ129)*44/12</f>
        <v>293.333333333338</v>
      </c>
      <c r="BI129" s="120" t="n">
        <f aca="true">AVERAGE(OFFSET($BH$3,0,0,'Données projet'!$E$11+1,1))-AVERAGE(OFFSET($H$3,0,0,'Données projet'!$E$11+1,1))</f>
        <v>321.235999689929</v>
      </c>
      <c r="BJ129" s="120" t="n">
        <f aca="false">$BJ$3</f>
        <v>388.051958478005</v>
      </c>
      <c r="BK129" s="121" t="n">
        <f aca="false">IF(ISNA(VLOOKUP(A129,'Données projet'!$A$87:$I$107,3,0)),0,VLOOKUP(A129,'Données projet'!$A$87:$I$107,3,0))</f>
        <v>0</v>
      </c>
      <c r="BL129" s="121" t="n">
        <f aca="false">IF(ISNA(VLOOKUP(A129,'Données projet'!$A$87:$I$107,4,0)),0,VLOOKUP(A129,'Données projet'!$A$87:$I$107,4,0))</f>
        <v>0</v>
      </c>
      <c r="BM129" s="122" t="n">
        <f aca="false">IF(ISNA(VLOOKUP(A129,'Données projet'!$A$87:$I$107,5,0)),0%,VLOOKUP(A129,'Données projet'!$A$87:$I$107,5,0)*VLOOKUP('Données projet'!$B$11,Paramètres!$A$1:$I$89,7,0))</f>
        <v>0</v>
      </c>
      <c r="BN129" s="122" t="n">
        <f aca="false">IF(ISNA(VLOOKUP(A129,'Données projet'!$A$87:$I$107,6,0)),0%,VLOOKUP(A129,'Données projet'!$A$87:$I$107,6,0)*VLOOKUP('Données projet'!$B$11,Paramètres!$A$1:$I$89,7,0))</f>
        <v>0</v>
      </c>
      <c r="BO129" s="122" t="n">
        <f aca="false">IF(ISNA(VLOOKUP(A129,'Données projet'!$A$87:$I$107,7,0)),0%,VLOOKUP(A129,'Données projet'!$A$87:$I$107,7,0))</f>
        <v>0</v>
      </c>
      <c r="BP129" s="129" t="n">
        <f aca="false">EXP(-LN(2)/35)*BP128+(1-EXP(-LN(2)/35))/(LN(2)/35)*BL129*BM129*VLOOKUP('Données projet'!$B$11,Paramètres!$A$1:$I$89,3,0)*0.475*44/12</f>
        <v>1.28493477862379</v>
      </c>
      <c r="BQ129" s="129" t="n">
        <f aca="false">EXP(-LN(2)/25)*BQ128+(1-EXP(-LN(2)/25))/(LN(2)/25)*Calculateur!BL129*Calculateur!BN129*VLOOKUP('Données projet'!$B$11,Paramètres!$A$1:$I$89,3,0)*0.475*44/12</f>
        <v>0.941459700048848</v>
      </c>
      <c r="BR129" s="129" t="n">
        <f aca="false">EXP(-LN(2)/2)*BR128+(1-EXP(-LN(2)/2))/(LN(2)/2)*BL129*BO129*VLOOKUP('Données projet'!$B$11,Paramètres!$A$1:$I$89,3,0)*0.475*44/12</f>
        <v>2.14619566822262E-014</v>
      </c>
      <c r="BS129" s="130" t="n">
        <f aca="false">SUM(BP129:BR129)</f>
        <v>2.22639447867266</v>
      </c>
      <c r="BT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8" t="e">
        <f aca="false">VLOOKUP(A129,'Données projet'!$A$113:$I$133,2,0)</f>
        <v>#N/A</v>
      </c>
      <c r="BW129" s="118" t="e">
        <f aca="false">VLOOKUP(A129,'Données projet'!$A$113:$I$133,9,0)</f>
        <v>#N/A</v>
      </c>
      <c r="BX129" s="118" t="e">
        <f aca="false" t="array" ref="BX129:BX129">INDEX(BW:BW,MIN(IF(ISNUMBER(BW129:BW325),ROW(BW129:BW325),"")))</f>
        <v>#N/A</v>
      </c>
      <c r="BY129" s="118" t="n">
        <f aca="false">IF('Données projet'!$A$114&gt;35,BY128+BX129-CG128,IF(A129&lt;'Données projet'!$A$114,$BV$205^A129,IF(A129='Données projet'!$A$114,'Données projet'!$B$114,BY128+BX129-CG128)))</f>
        <v>0</v>
      </c>
      <c r="BZ129" s="117" t="n">
        <f aca="false">BY129*VLOOKUP('Données projet'!$B$12,Paramètres!$A$1:$I$89,3,0)*VLOOKUP('Données projet'!$B$12,Paramètres!$A$1:$I$89,5,0)</f>
        <v>0</v>
      </c>
      <c r="CA129" s="117" t="e">
        <f aca="false">EXP(-1.0587+0.8836*LN(BZ129)+0.284)</f>
        <v>#VALUE!</v>
      </c>
      <c r="CB129" s="128" t="e">
        <f aca="false">(BZ129+CA129)*0.475*44/12</f>
        <v>#VALUE!</v>
      </c>
      <c r="CC129" s="120" t="e">
        <f aca="false">CB129+(BT129+BU129)*44/12</f>
        <v>#VALUE!</v>
      </c>
      <c r="CD129" s="120" t="n">
        <f aca="true">AVERAGE(OFFSET($CC$3,0,0,'Données projet'!$E$12+1,1))-AVERAGE(OFFSET($H$3,0,0,'Données projet'!$E$12+1,1))</f>
        <v>240.228848647662</v>
      </c>
      <c r="CE129" s="120" t="n">
        <f aca="false">$CE$3</f>
        <v>343.237768841432</v>
      </c>
      <c r="CF129" s="121" t="n">
        <f aca="false">IF(ISNA(VLOOKUP(A129,'Données projet'!$A$113:$I$133,3,0)),0,VLOOKUP(A129,'Données projet'!$A$113:$I$133,3,0))</f>
        <v>0</v>
      </c>
      <c r="CG129" s="121" t="n">
        <f aca="false">IF(ISNA(VLOOKUP(A129,'Données projet'!$A$113:$I$133,4,0)),0,VLOOKUP(A129,'Données projet'!$A$113:$I$133,4,0))</f>
        <v>0</v>
      </c>
      <c r="CH129" s="122" t="n">
        <f aca="false">IF(ISNA(VLOOKUP(A129,'Données projet'!$A$113:$I$133,5,0)),0%,VLOOKUP(A129,'Données projet'!$A$113:$I$133,5,0)*VLOOKUP('Données projet'!$B$12,Paramètres!$A$1:$I$89,7,0))</f>
        <v>0</v>
      </c>
      <c r="CI129" s="122" t="n">
        <f aca="false">IF(ISNA(VLOOKUP(A129,'Données projet'!$A$113:$I$133,6,0)),0%,VLOOKUP(A129,'Données projet'!$A$113:$I$133,6,0)*VLOOKUP('Données projet'!$B$12,Paramètres!$A$1:$I$89,7,0))</f>
        <v>0</v>
      </c>
      <c r="CJ129" s="122" t="n">
        <f aca="false">IF(ISNA(VLOOKUP(A129,'Données projet'!$A$113:$I$133,7,0)),0%,VLOOKUP(A129,'Données projet'!$A$113:$I$133,7,0))</f>
        <v>0</v>
      </c>
      <c r="CK129" s="129" t="n">
        <f aca="false">EXP(-LN(2)/35)*CK128+(1-EXP(-LN(2)/35))/(LN(2)/35)*CG129*CH129*VLOOKUP('Données projet'!$B$12,Paramètres!$A$1:$I$89,3,0)*0.475*44/12</f>
        <v>0.7864801898833</v>
      </c>
      <c r="CL129" s="129" t="n">
        <f aca="false">EXP(-LN(2)/25)*CL128+(1-EXP(-LN(2)/25))/(LN(2)/25)*Calculateur!CG129*Calculateur!CI129*VLOOKUP('Données projet'!$B$12,Paramètres!$A$1:$I$89,3,0)*0.475*44/12</f>
        <v>1.66267233128161</v>
      </c>
      <c r="CM129" s="129" t="n">
        <f aca="false">EXP(-LN(2)/2)*CM128+(1-EXP(-LN(2)/2))/(LN(2)/2)*CG129*CJ129*VLOOKUP('Données projet'!$B$12,Paramètres!$A$1:$I$89,3,0)*0.475*44/12</f>
        <v>3.42475611104611E-014</v>
      </c>
      <c r="CN129" s="130" t="n">
        <f aca="false">SUM(CK129:CM129)</f>
        <v>2.44915252116495</v>
      </c>
      <c r="CO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8" t="e">
        <f aca="false">VLOOKUP(A129,'Données projet'!$A$139:$I$159,2,0)</f>
        <v>#N/A</v>
      </c>
      <c r="CR129" s="118" t="e">
        <f aca="false">VLOOKUP(A129,'Données projet'!$A$139:$I$159,9,0)</f>
        <v>#N/A</v>
      </c>
      <c r="CS129" s="118" t="e">
        <f aca="false" t="array" ref="CS129:CS129">INDEX(CR:CR,MIN(IF(ISNUMBER(CR129:CR325),ROW(CR129:CR325),"")))</f>
        <v>#N/A</v>
      </c>
      <c r="CT129" s="118" t="n">
        <f aca="false">IF('Données projet'!$A$140&gt;35,CT128+CS129-DB128,IF(A129&lt;'Données projet'!$A$140,$CQ$205^A129,IF(A129='Données projet'!$A$140,'Données projet'!$B$140,CT128+CS129-DB128)))</f>
        <v>-5.6843418860808E-014</v>
      </c>
      <c r="CU129" s="125" t="n">
        <f aca="false">CT129*VLOOKUP('Données projet'!$B$13,Paramètres!$A$1:$I$89,3,0)*VLOOKUP('Données projet'!$B$13,Paramètres!$A$1:$I$89,5,0)</f>
        <v>-3.10365066980012E-014</v>
      </c>
      <c r="CV129" s="117" t="e">
        <f aca="false">EXP(-1.0587+0.8836*LN(CU129)+0.284)</f>
        <v>#VALUE!</v>
      </c>
      <c r="CW129" s="128" t="e">
        <f aca="false">(CU129+CV129)*0.475*44/12</f>
        <v>#VALUE!</v>
      </c>
      <c r="CX129" s="120" t="e">
        <f aca="false">CW129+(CO129+CP129)*44/12</f>
        <v>#VALUE!</v>
      </c>
      <c r="CY129" s="120" t="n">
        <f aca="true">AVERAGE(OFFSET($CX$3,0,0,'Données projet'!$E$13+1,1))-AVERAGE(OFFSET($H$3,0,0,'Données projet'!$E$13+1,1))</f>
        <v>207.023069645676</v>
      </c>
      <c r="CZ129" s="120" t="n">
        <f aca="false">$CZ$3</f>
        <v>342.068879333518</v>
      </c>
      <c r="DA129" s="121" t="n">
        <f aca="false">IF(ISNA(VLOOKUP(A129,'Données projet'!$A$139:$I$159,3,0)),0,VLOOKUP(A129,'Données projet'!$A$139:$I$159,3,0))</f>
        <v>0</v>
      </c>
      <c r="DB129" s="121" t="n">
        <f aca="false">IF(ISNA(VLOOKUP(A129,'Données projet'!$A$139:$I$159,4,0)),0,VLOOKUP(A129,'Données projet'!$A$139:$I$159,4,0))</f>
        <v>0</v>
      </c>
      <c r="DC129" s="122" t="n">
        <f aca="false">IF(ISNA(VLOOKUP(A129,'Données projet'!$A$139:$I$159,5,0)),0%,VLOOKUP(A129,'Données projet'!$A$139:$I$159,5,0)*VLOOKUP('Données projet'!$B$13,Paramètres!$A$1:$I$89,7,0))</f>
        <v>0</v>
      </c>
      <c r="DD129" s="122" t="n">
        <f aca="false">IF(ISNA(VLOOKUP(A129,'Données projet'!$A$139:$I$159,6,0)),0%,VLOOKUP(A129,'Données projet'!$A$139:$I$159,6,0)*VLOOKUP('Données projet'!$B$13,Paramètres!$A$1:$I$89,7,0))</f>
        <v>0</v>
      </c>
      <c r="DE129" s="122" t="n">
        <f aca="false">IF(ISNA(VLOOKUP(A129,'Données projet'!$A$139:$I$159,7,0)),0%,VLOOKUP(A129,'Données projet'!$A$139:$I$159,7,0))</f>
        <v>0</v>
      </c>
      <c r="DF129" s="129" t="n">
        <f aca="false">EXP(-LN(2)/35)*DF128+(1-EXP(-LN(2)/35))/(LN(2)/35)*DB129*DC129*VLOOKUP('Données projet'!$B$13,Paramètres!$A$1:$I$89,3,0)*0.475*44/12</f>
        <v>0.986810049570555</v>
      </c>
      <c r="DG129" s="129" t="n">
        <f aca="false">EXP(-LN(2)/25)*DG128+(1-EXP(-LN(2)/25))/(LN(2)/25)*Calculateur!DB129*Calculateur!DD129*VLOOKUP('Données projet'!$B$13,Paramètres!$A$1:$I$89,3,0)*0.475*44/12</f>
        <v>2.71777677719729</v>
      </c>
      <c r="DH129" s="129" t="n">
        <f aca="false">EXP(-LN(2)/2)*DH128+(1-EXP(-LN(2)/2))/(LN(2)/2)*DB129*DE129*VLOOKUP('Données projet'!$B$13,Paramètres!$A$1:$I$89,3,0)*0.475*44/12</f>
        <v>4.71589075271369E-014</v>
      </c>
      <c r="DI129" s="130" t="n">
        <f aca="false">SUM(DF129:DH129)</f>
        <v>3.7045868267679</v>
      </c>
      <c r="DJ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8" t="e">
        <f aca="false">VLOOKUP(A129,'Données projet'!$A$165:$I$185,2,0)</f>
        <v>#N/A</v>
      </c>
      <c r="DM129" s="118" t="e">
        <f aca="false">VLOOKUP(A129,'Données projet'!$A$165:$I$185,9,0)</f>
        <v>#N/A</v>
      </c>
      <c r="DN129" s="118" t="e">
        <f aca="false" t="array" ref="DN129:DN129">INDEX(DM:DM,MIN(IF(ISNUMBER(DM129:DM325),ROW(DM129:DM325),"")))</f>
        <v>#N/A</v>
      </c>
      <c r="DO129" s="118" t="n">
        <f aca="false">IF('Données projet'!$A$166&gt;35,DO128+DN129-DW128,IF(A129&lt;'Données projet'!$A$166,$DL$205^A129,IF(A129='Données projet'!$A$166,'Données projet'!$B$166,DO128+DN129-DW128)))</f>
        <v>0</v>
      </c>
      <c r="DP129" s="125" t="n">
        <f aca="false">DO129*VLOOKUP('Données projet'!$B$14,Paramètres!$A$1:$I$89,3,0)*VLOOKUP('Données projet'!$B$14,Paramètres!$A$1:$I$89,5,0)</f>
        <v>0</v>
      </c>
      <c r="DQ129" s="117" t="e">
        <f aca="false">EXP(-1.0587+0.8836*LN(DP129)+0.284)</f>
        <v>#VALUE!</v>
      </c>
      <c r="DR129" s="128" t="e">
        <f aca="false">(DP129+DQ129)*0.475*44/12</f>
        <v>#VALUE!</v>
      </c>
      <c r="DS129" s="120" t="e">
        <f aca="false">DR129+(DJ129+DK129)*44/12</f>
        <v>#VALUE!</v>
      </c>
      <c r="DT129" s="120" t="n">
        <f aca="true">AVERAGE(OFFSET($DS$3,0,0,'Données projet'!$E$14+1,1))-AVERAGE(OFFSET($H$3,0,0,'Données projet'!$E$14+1,1))</f>
        <v>549.432320957297</v>
      </c>
      <c r="DU129" s="120" t="n">
        <f aca="false">$DU$3</f>
        <v>280.26155987301</v>
      </c>
      <c r="DV129" s="121" t="n">
        <f aca="false">IF(ISNA(VLOOKUP(A129,'Données projet'!$A$165:$I$185,3,0)),0,VLOOKUP(A129,'Données projet'!$A$165:$I$185,3,0))</f>
        <v>0</v>
      </c>
      <c r="DW129" s="121" t="n">
        <f aca="false">IF(ISNA(VLOOKUP(A129,'Données projet'!$A$165:$I$185,4,0)),0,VLOOKUP(A129,'Données projet'!$A$165:$I$185,4,0))</f>
        <v>0</v>
      </c>
      <c r="DX129" s="122" t="n">
        <f aca="false">IF(ISNA(VLOOKUP(A129,'Données projet'!$A$165:$I$185,5,0)),0%,VLOOKUP(A129,'Données projet'!$A$165:$I$185,5,0)*VLOOKUP('Données projet'!$B$14,Paramètres!$A$1:$I$89,7,0))</f>
        <v>0</v>
      </c>
      <c r="DY129" s="122" t="n">
        <f aca="false">IF(ISNA(VLOOKUP(A129,'Données projet'!$A$165:$I$185,6,0)),0%,VLOOKUP(A129,'Données projet'!$A$165:$I$185,6,0)*VLOOKUP('Données projet'!$B$14,Paramètres!$A$1:$I$89,7,0))</f>
        <v>0</v>
      </c>
      <c r="DZ129" s="122" t="n">
        <f aca="false">IF(ISNA(VLOOKUP(A129,'Données projet'!$A$165:$I$185,7,0)),0%,VLOOKUP(A129,'Données projet'!$A$165:$I$185,7,0))</f>
        <v>0</v>
      </c>
      <c r="EA129" s="129" t="n">
        <f aca="false">EXP(-LN(2)/35)*EA128+(1-EXP(-LN(2)/35))/(LN(2)/35)*DW129*DX129*VLOOKUP('Données projet'!$B$14,Paramètres!$A$1:$I$89,3,0)*0.475*44/12</f>
        <v>0.358803033687408</v>
      </c>
      <c r="EB129" s="129" t="n">
        <f aca="false">EXP(-LN(2)/25)*EB128+(1-EXP(-LN(2)/25))/(LN(2)/25)*Calculateur!DW129*Calculateur!DY129*VLOOKUP('Données projet'!$B$14,Paramètres!$A$1:$I$89,3,0)*0.475*44/12</f>
        <v>0.541434754811061</v>
      </c>
      <c r="EC129" s="129" t="n">
        <f aca="false">EXP(-LN(2)/2)*EC128+(1-EXP(-LN(2)/2))/(LN(2)/2)*DW129*DZ129*VLOOKUP('Données projet'!$B$14,Paramètres!$A$1:$I$89,3,0)*0.475*44/12</f>
        <v>2.17392842733925E-014</v>
      </c>
      <c r="ED129" s="130" t="n">
        <f aca="false">SUM(EA129:EC129)</f>
        <v>0.900237788498491</v>
      </c>
      <c r="EE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8" t="e">
        <f aca="false">VLOOKUP(A129,'Données projet'!$A$191:$I$211,2,0)</f>
        <v>#N/A</v>
      </c>
      <c r="EH129" s="118" t="e">
        <f aca="false">VLOOKUP(A129,'Données projet'!$A$191:$I$211,9,0)</f>
        <v>#N/A</v>
      </c>
      <c r="EI129" s="118" t="e">
        <f aca="false" t="array" ref="EI129:EI129">INDEX(EH:EH,MIN(IF(ISNUMBER(EH129:EH325),ROW(EH129:EH325),"")))</f>
        <v>#N/A</v>
      </c>
      <c r="EJ129" s="118" t="n">
        <f aca="false">IF('Données projet'!$A$192&gt;35,EJ128+EI129-ER128,IF(A129&lt;'Données projet'!$A$192,$EG$205^A129,IF(A129='Données projet'!$A$192,'Données projet'!$B$192,EJ128+EI129-ER128)))</f>
        <v>0</v>
      </c>
      <c r="EK129" s="125" t="e">
        <f aca="false">EJ129*VLOOKUP('Données projet'!$B$15,Paramètres!$A$1:$I$89,3,0)*VLOOKUP('Données projet'!$B$15,Paramètres!$A$1:$I$89,5,0)</f>
        <v>#N/A</v>
      </c>
      <c r="EL129" s="117" t="e">
        <f aca="false">EXP(-1.0587+0.8836*LN(EK129)+0.284)</f>
        <v>#N/A</v>
      </c>
      <c r="EM129" s="128" t="e">
        <f aca="false">(EK129+EL129)*0.475*44/12</f>
        <v>#N/A</v>
      </c>
      <c r="EN129" s="120" t="e">
        <f aca="false">EM129+(EE129+EF129)*44/12</f>
        <v>#N/A</v>
      </c>
      <c r="EO129" s="120" t="e">
        <f aca="true">AVERAGE(OFFSET($EN$3,0,0,'Données projet'!$E$15+1,1))-AVERAGE(OFFSET($H$3,0,0,'Données projet'!$E$15+1,1))</f>
        <v>#N/A</v>
      </c>
      <c r="EP129" s="120" t="e">
        <f aca="false">$EP$3</f>
        <v>#N/A</v>
      </c>
      <c r="EQ129" s="121" t="n">
        <f aca="false">IF(ISNA(VLOOKUP(A129,'Données projet'!$A$191:$I$211,3,0)),0,VLOOKUP(A129,'Données projet'!$A$191:$I$211,3,0))</f>
        <v>0</v>
      </c>
      <c r="ER129" s="121" t="n">
        <f aca="false">IF(ISNA(VLOOKUP(A129,'Données projet'!$A$191:$I$211,4,0)),0,VLOOKUP(A129,'Données projet'!$A$191:$I$211,4,0))</f>
        <v>0</v>
      </c>
      <c r="ES129" s="122" t="n">
        <f aca="false">IF(ISNA(VLOOKUP(A129,'Données projet'!$A$191:$I$211,5,0)),0%,VLOOKUP(A129,'Données projet'!$A$191:$I$211,5,0)*VLOOKUP('Données projet'!$B$15,Paramètres!$A$1:$I$89,7,0))</f>
        <v>0</v>
      </c>
      <c r="ET129" s="122" t="n">
        <f aca="false">IF(ISNA(VLOOKUP(A129,'Données projet'!$A$191:$I$211,6,0)),0%,VLOOKUP(A129,'Données projet'!$A$191:$I$211,6,0)*VLOOKUP('Données projet'!$B$15,Paramètres!$A$1:$I$89,7,0))</f>
        <v>0</v>
      </c>
      <c r="EU129" s="122" t="n">
        <f aca="false">IF(ISNA(VLOOKUP(A129,'Données projet'!$A$191:$I$211,7,0)),0%,VLOOKUP(A129,'Données projet'!$A$191:$I$211,7,0))</f>
        <v>0</v>
      </c>
      <c r="EV129" s="129" t="e">
        <f aca="false">EXP(-LN(2)/35)*EV128+(1-EXP(-LN(2)/35))/(LN(2)/35)*ER129*ES129*VLOOKUP('Données projet'!$B$15,Paramètres!$A$1:$I$89,3,0)*0.475*44/12</f>
        <v>#N/A</v>
      </c>
      <c r="EW129" s="129" t="e">
        <f aca="false">EXP(-LN(2)/25)*EW128+(1-EXP(-LN(2)/25))/(LN(2)/25)*Calculateur!ER129*Calculateur!ET129*VLOOKUP('Données projet'!$B$15,Paramètres!$A$1:$I$89,3,0)*0.475*44/12</f>
        <v>#N/A</v>
      </c>
      <c r="EX129" s="129" t="e">
        <f aca="false">EXP(-LN(2)/2)*EX128+(1-EXP(-LN(2)/2))/(LN(2)/2)*ER129*EU129*VLOOKUP('Données projet'!$B$15,Paramètres!$A$1:$I$89,3,0)*0.475*44/12</f>
        <v>#N/A</v>
      </c>
      <c r="EY129" s="130" t="e">
        <f aca="false">SUM(EV129:EX129)</f>
        <v>#N/A</v>
      </c>
      <c r="EZ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8" t="e">
        <f aca="false">VLOOKUP(A129,'Données projet'!$A$217:$I$237,2,0)</f>
        <v>#N/A</v>
      </c>
      <c r="FC129" s="118" t="e">
        <f aca="false">VLOOKUP(A129,'Données projet'!$A$217:$I$237,9,0)</f>
        <v>#N/A</v>
      </c>
      <c r="FD129" s="118" t="e">
        <f aca="false" t="array" ref="FD129:FD129">INDEX(FC:FC,MIN(IF(ISNUMBER(FC129:FC325),ROW(FC129:FC325),"")))</f>
        <v>#N/A</v>
      </c>
      <c r="FE129" s="118" t="n">
        <f aca="false">IF('Données projet'!$A$218&gt;35,FE128+FD129-FM128,IF(A129&lt;'Données projet'!$A$218,$FB$205^A129,IF(A129='Données projet'!$A$218,'Données projet'!$B$218,FE128+FD129-FM128)))</f>
        <v>0</v>
      </c>
      <c r="FF129" s="125" t="e">
        <f aca="false">FE129*VLOOKUP('Données projet'!$B$16,Paramètres!$A$1:$I$89,3,0)*VLOOKUP('Données projet'!$B$16,Paramètres!$A$1:$I$89,5,0)</f>
        <v>#N/A</v>
      </c>
      <c r="FG129" s="117" t="e">
        <f aca="false">EXP(-1.0587+0.8836*LN(FF129)+0.284)</f>
        <v>#N/A</v>
      </c>
      <c r="FH129" s="128" t="e">
        <f aca="false">(FF129+FG129)*0.475*44/12</f>
        <v>#N/A</v>
      </c>
      <c r="FI129" s="120" t="e">
        <f aca="false">FH129+(EZ129+FA129)*44/12</f>
        <v>#N/A</v>
      </c>
      <c r="FJ129" s="120" t="e">
        <f aca="true">AVERAGE(OFFSET($FI$3,0,0,'Données projet'!$E$16+1,1))-AVERAGE(OFFSET($H$3,0,0,'Données projet'!$E$16+1,1))</f>
        <v>#N/A</v>
      </c>
      <c r="FK129" s="120" t="e">
        <f aca="false">$FK$3</f>
        <v>#N/A</v>
      </c>
      <c r="FL129" s="121" t="n">
        <f aca="false">IF(ISNA(VLOOKUP(A129,'Données projet'!$A$217:$I$237,3,0)),0,VLOOKUP(A129,'Données projet'!$A$217:$I$237,3,0))</f>
        <v>0</v>
      </c>
      <c r="FM129" s="121" t="n">
        <f aca="false">IF(ISNA(VLOOKUP(A129,'Données projet'!$A$217:$I$237,4,0)),0,VLOOKUP(A129,'Données projet'!$A$217:$I$237,4,0))</f>
        <v>0</v>
      </c>
      <c r="FN129" s="122" t="n">
        <f aca="false">IF(ISNA(VLOOKUP(A129,'Données projet'!$A$217:$I$237,5,0)),0%,VLOOKUP(A129,'Données projet'!$A$217:$I$237,5,0)*VLOOKUP('Données projet'!$B$16,Paramètres!$A$1:$I$89,7,0))</f>
        <v>0</v>
      </c>
      <c r="FO129" s="122" t="n">
        <f aca="false">IF(ISNA(VLOOKUP(A129,'Données projet'!$A$217:$I$237,6,0)),0%,VLOOKUP(A129,'Données projet'!$A$217:$I$237,6,0)*VLOOKUP('Données projet'!$B$16,Paramètres!$A$1:$I$89,7,0))</f>
        <v>0</v>
      </c>
      <c r="FP129" s="122" t="n">
        <f aca="false">IF(ISNA(VLOOKUP(A129,'Données projet'!$A$217:$I$237,7,0)),0%,VLOOKUP(A129,'Données projet'!$A$217:$I$237,7,0))</f>
        <v>0</v>
      </c>
      <c r="FQ129" s="129" t="e">
        <f aca="false">EXP(-LN(2)/35)*FQ128+(1-EXP(-LN(2)/35))/(LN(2)/35)*FM129*FN129*VLOOKUP('Données projet'!$B$16,Paramètres!$A$1:$I$89,3,0)*0.475*44/12</f>
        <v>#N/A</v>
      </c>
      <c r="FR129" s="129" t="e">
        <f aca="false">EXP(-LN(2)/25)*FR128+(1-EXP(-LN(2)/25))/(LN(2)/25)*Calculateur!FM129*Calculateur!FO129*VLOOKUP('Données projet'!$B$16,Paramètres!$A$1:$I$89,3,0)*0.475*44/12</f>
        <v>#N/A</v>
      </c>
      <c r="FS129" s="129" t="e">
        <f aca="false">EXP(-LN(2)/2)*FS128+(1-EXP(-LN(2)/2))/(LN(2)/2)*FM129*FP129*VLOOKUP('Données projet'!$B$16,Paramètres!$A$1:$I$89,3,0)*0.475*44/12</f>
        <v>#N/A</v>
      </c>
      <c r="FT129" s="130" t="e">
        <f aca="false">SUM(FQ129:FS129)</f>
        <v>#N/A</v>
      </c>
      <c r="FU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8" t="e">
        <f aca="false">VLOOKUP(A129,'Données projet'!$A$243:$I$263,2,0)</f>
        <v>#N/A</v>
      </c>
      <c r="FX129" s="118" t="e">
        <f aca="false">VLOOKUP(A129,'Données projet'!$A$243:$I$263,9,0)</f>
        <v>#N/A</v>
      </c>
      <c r="FY129" s="118" t="e">
        <f aca="false" t="array" ref="FY129:FY129">INDEX(FX:FX,MIN(IF(ISNUMBER(FX129:FX325),ROW(FX129:FX325),"")))</f>
        <v>#N/A</v>
      </c>
      <c r="FZ129" s="118" t="n">
        <f aca="false">IF('Données projet'!$A$244&gt;35,FZ128+FY129-GH128,IF(A129&lt;'Données projet'!$A$244,$FW$205^A129,IF(A129='Données projet'!$A$244,'Données projet'!$B$244,FZ128+FY129-GH128)))</f>
        <v>0</v>
      </c>
      <c r="GA129" s="125" t="e">
        <f aca="false">FZ129*VLOOKUP('Données projet'!$B$17,Paramètres!$A$1:$I$89,3,0)*VLOOKUP('Données projet'!$B$17,Paramètres!$A$1:$I$89,5,0)</f>
        <v>#N/A</v>
      </c>
      <c r="GB129" s="117" t="e">
        <f aca="false">EXP(-1.0587+0.8836*LN(GA129)+0.284)</f>
        <v>#N/A</v>
      </c>
      <c r="GC129" s="128" t="e">
        <f aca="false">(GA129+GB129)*0.475*44/12</f>
        <v>#N/A</v>
      </c>
      <c r="GD129" s="120" t="e">
        <f aca="false">GC129+(FU129+FV129)*44/12</f>
        <v>#N/A</v>
      </c>
      <c r="GE129" s="120" t="e">
        <f aca="true">AVERAGE(OFFSET($GD$3,0,0,'Données projet'!$E$17+1,1))-AVERAGE(OFFSET($H$3,0,0,'Données projet'!$E$17+1,1))</f>
        <v>#N/A</v>
      </c>
      <c r="GF129" s="120" t="e">
        <f aca="false">$GF$3</f>
        <v>#N/A</v>
      </c>
      <c r="GG129" s="121" t="n">
        <f aca="false">IF(ISNA(VLOOKUP(A129,'Données projet'!$A$243:$I$263,3,0)),0,VLOOKUP(A129,'Données projet'!$A$243:$I$263,3,0))</f>
        <v>0</v>
      </c>
      <c r="GH129" s="121" t="n">
        <f aca="false">IF(ISNA(VLOOKUP(A129,'Données projet'!$A$243:$I$263,4,0)),0,VLOOKUP(A129,'Données projet'!$A$243:$I$263,4,0))</f>
        <v>0</v>
      </c>
      <c r="GI129" s="122" t="n">
        <f aca="false">IF(ISNA(VLOOKUP(A129,'Données projet'!$A$243:$I$263,5,0)),0%,VLOOKUP(A129,'Données projet'!$A$243:$I$263,5,0)*VLOOKUP('Données projet'!$B$17,Paramètres!$A$1:$I$89,7,0))</f>
        <v>0</v>
      </c>
      <c r="GJ129" s="122" t="n">
        <f aca="false">IF(ISNA(VLOOKUP(A129,'Données projet'!$A$243:$I$263,6,0)),0%,VLOOKUP(A129,'Données projet'!$A$243:$I$263,6,0)*VLOOKUP('Données projet'!$B$17,Paramètres!$A$1:$I$89,7,0))</f>
        <v>0</v>
      </c>
      <c r="GK129" s="122" t="n">
        <f aca="false">IF(ISNA(VLOOKUP(A129,'Données projet'!$A$243:$I$263,7,0)),0%,VLOOKUP(A129,'Données projet'!$A$243:$I$263,7,0))</f>
        <v>0</v>
      </c>
      <c r="GL129" s="129" t="e">
        <f aca="false">EXP(-LN(2)/35)*GL128+(1-EXP(-LN(2)/35))/(LN(2)/35)*GH129*GI129*VLOOKUP('Données projet'!$B$17,Paramètres!$A$1:$I$89,3,0)*0.475*44/12</f>
        <v>#N/A</v>
      </c>
      <c r="GM129" s="129" t="e">
        <f aca="false">EXP(-LN(2)/25)*GM128+(1-EXP(-LN(2)/25))/(LN(2)/25)*Calculateur!GH129*Calculateur!GJ129*VLOOKUP('Données projet'!$B$17,Paramètres!$A$1:$I$89,3,0)*0.475*44/12</f>
        <v>#N/A</v>
      </c>
      <c r="GN129" s="129" t="e">
        <f aca="false">EXP(-LN(2)/2)*GN128+(1-EXP(-LN(2)/2))/(LN(2)/2)*GH129*GK129*VLOOKUP('Données projet'!$B$17,Paramètres!$A$1:$I$89,3,0)*0.475*44/12</f>
        <v>#N/A</v>
      </c>
      <c r="GO129" s="129" t="e">
        <f aca="false">SUM(GL129:GN129)</f>
        <v>#N/A</v>
      </c>
      <c r="GP129" s="126" t="n">
        <f aca="false"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8" t="n">
        <f aca="false"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8" t="e">
        <f aca="false">VLOOKUP(A129,'Données projet'!$A$269:$I$289,2,0)</f>
        <v>#N/A</v>
      </c>
      <c r="GS129" s="118" t="e">
        <f aca="false">VLOOKUP(A129,'Données projet'!$A$269:$I$289,9,0)</f>
        <v>#N/A</v>
      </c>
      <c r="GT129" s="118" t="e">
        <f aca="false" t="array" ref="GT129:GT129">INDEX(GS:GS,MIN(IF(ISNUMBER(GS129:GS325),ROW(GS129:GS325),"")))</f>
        <v>#N/A</v>
      </c>
      <c r="GU129" s="118" t="n">
        <f aca="false">IF('Données projet'!$A$270&gt;35,GU128+GT129-HC128,IF(A129&lt;'Données projet'!$A$270,$GR$205^A129,IF(A129='Données projet'!$A$270,'Données projet'!$B$270,GU128+GT129-HC128)))</f>
        <v>0</v>
      </c>
      <c r="GV129" s="125" t="e">
        <f aca="false">GU129*VLOOKUP('Données projet'!$B$18,Paramètres!$A$1:$I$89,3,0)*VLOOKUP('Données projet'!$B$18,Paramètres!$A$1:$I$89,5,0)</f>
        <v>#N/A</v>
      </c>
      <c r="GW129" s="117" t="e">
        <f aca="false">EXP(-1.0587+0.8836*LN(GV129)+0.284)</f>
        <v>#N/A</v>
      </c>
      <c r="GX129" s="128" t="e">
        <f aca="false">(GV129+GW129)*0.475*44/12</f>
        <v>#N/A</v>
      </c>
      <c r="GY129" s="120" t="e">
        <f aca="false">GX129+(GP129+GQ129)*44/12</f>
        <v>#N/A</v>
      </c>
      <c r="GZ129" s="120" t="e">
        <f aca="true">AVERAGE(OFFSET($GY$3,0,0,'Données projet'!$E$18+1,1))-AVERAGE(OFFSET($H$3,0,0,'Données projet'!$E$18+1,1))</f>
        <v>#N/A</v>
      </c>
      <c r="HA129" s="120" t="e">
        <f aca="false">$HA$3</f>
        <v>#N/A</v>
      </c>
      <c r="HB129" s="121" t="n">
        <f aca="false">IF(ISNA(VLOOKUP(A129,'Données projet'!$A$269:$I$289,3,0)),0,VLOOKUP(A129,'Données projet'!$A$269:$I$289,3,0))</f>
        <v>0</v>
      </c>
      <c r="HC129" s="121" t="n">
        <f aca="false">IF(ISNA(VLOOKUP(A129,'Données projet'!$A$269:$I$289,4,0)),0,VLOOKUP(A129,'Données projet'!$A$269:$I$289,4,0))</f>
        <v>0</v>
      </c>
      <c r="HD129" s="122" t="n">
        <f aca="false">IF(ISNA(VLOOKUP(A129,'Données projet'!$A$269:$I$289,5,0)),0%,VLOOKUP(A129,'Données projet'!$A$269:$I$289,5,0)*VLOOKUP('Données projet'!$B$18,Paramètres!$A$1:$I$89,7,0))</f>
        <v>0</v>
      </c>
      <c r="HE129" s="122" t="n">
        <f aca="false">IF(ISNA(VLOOKUP(A129,'Données projet'!$A$269:$I$289,6,0)),0%,VLOOKUP(A129,'Données projet'!$A$269:$I$289,6,0)*VLOOKUP('Données projet'!$B$18,Paramètres!$A$1:$I$89,7,0))</f>
        <v>0</v>
      </c>
      <c r="HF129" s="122" t="n">
        <f aca="false">IF(ISNA(VLOOKUP(A129,'Données projet'!$A$269:$I$289,7,0)),0%,VLOOKUP(A129,'Données projet'!$A$269:$I$289,7,0))</f>
        <v>0</v>
      </c>
      <c r="HG129" s="129" t="e">
        <f aca="false">EXP(-LN(2)/35)*HG128+(1-EXP(-LN(2)/35))/(LN(2)/35)*HC129*HD129*VLOOKUP('Données projet'!$B$18,Paramètres!$A$1:$I$89,3,0)*0.475*44/12</f>
        <v>#N/A</v>
      </c>
      <c r="HH129" s="129" t="e">
        <f aca="false">EXP(-LN(2)/25)*HH128+(1-EXP(-LN(2)/25))/(LN(2)/25)*Calculateur!HC129*Calculateur!HE129*VLOOKUP('Données projet'!$B$18,Paramètres!$A$1:$I$89,3,0)*0.475*44/12</f>
        <v>#N/A</v>
      </c>
      <c r="HI129" s="129" t="e">
        <f aca="false">EXP(-LN(2)/2)*HI128+(1-EXP(-LN(2)/2))/(LN(2)/2)*HC129*HF129*VLOOKUP('Données projet'!$B$18,Paramètres!$A$1:$I$89,3,0)*0.475*44/12</f>
        <v>#N/A</v>
      </c>
      <c r="HJ129" s="130" t="e">
        <f aca="false">SUM(HG129:HI129)</f>
        <v>#N/A</v>
      </c>
    </row>
    <row r="130" customFormat="false" ht="14.25" hidden="false" customHeight="false" outlineLevel="0" collapsed="false">
      <c r="A130" s="112" t="n">
        <f aca="false">A129+1</f>
        <v>127</v>
      </c>
      <c r="B130" s="113" t="n">
        <f aca="false">'Scénario référence'!$B$16*5+'Scénario référence'!$B$17*0+'Scénario référence'!$B$18*5</f>
        <v>0</v>
      </c>
      <c r="C130" s="127" t="n">
        <f aca="false"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4" t="n">
        <f aca="false">IFERROR(EXP(-1.0587+0.8836*LN(C130)+0.284),0)</f>
        <v>0</v>
      </c>
      <c r="E13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0" s="114" t="n">
        <f aca="false">IF(OR('Scénario référence'!$F$8&gt;0,'Scénario référence'!$F$9&gt;0),('Scénario référence'!$F$8+'Scénario référence'!$F$9)*10,0)</f>
        <v>0</v>
      </c>
      <c r="G130" s="114" t="n">
        <f aca="false"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15" t="n">
        <f aca="false">(B130+E130+F130)*44/12+(C130+D130)*0.475*44/12</f>
        <v>256.666666666667</v>
      </c>
      <c r="I130" s="11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7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8" t="e">
        <f aca="false">VLOOKUP(A130,'Données projet'!$A$35:$I$55,2,0)</f>
        <v>#N/A</v>
      </c>
      <c r="L130" s="118" t="e">
        <f aca="false">VLOOKUP(A130,'Données projet'!$A$35:$I$55,9,0)</f>
        <v>#N/A</v>
      </c>
      <c r="M130" s="118" t="e">
        <f aca="false" t="array" ref="M130:M130">INDEX(L:L,MIN(IF(ISNUMBER(L130:L326),ROW(L130:L326),"")))</f>
        <v>#N/A</v>
      </c>
      <c r="N130" s="117" t="n">
        <f aca="false">IF('Données projet'!$A$36&gt;35,N129+M130-V129,IF(A130&lt;'Données projet'!$A$36,$K$205^A130,IF(A130='Données projet'!$A$36,'Données projet'!$B$36,N129+M130-V129)))</f>
        <v>-1.13686837721616E-013</v>
      </c>
      <c r="O130" s="117" t="n">
        <f aca="false">N130*VLOOKUP('Données projet'!$B$9,Paramètres!$A$1:$I$89,3,0)*VLOOKUP('Données projet'!$B$9,Paramètres!$A$1:$I$89,5,0)</f>
        <v>-5.32054400537163E-014</v>
      </c>
      <c r="P130" s="117" t="e">
        <f aca="false">EXP(-1.0587+0.8836*LN(O130)+0.284)</f>
        <v>#VALUE!</v>
      </c>
      <c r="Q130" s="128" t="e">
        <f aca="false">(O130+P130)*0.475*44/12</f>
        <v>#VALUE!</v>
      </c>
      <c r="R130" s="120" t="e">
        <f aca="false">Q130+(I130+J130)*44/12</f>
        <v>#VALUE!</v>
      </c>
      <c r="S130" s="120" t="n">
        <f aca="true">AVERAGE(OFFSET($R$3,0,0,'Données projet'!$E$9+1,1))-AVERAGE(OFFSET($H$3,0,0,'Données projet'!$E$9+1,1))</f>
        <v>319.229030946746</v>
      </c>
      <c r="T130" s="120" t="n">
        <f aca="false">$T$3</f>
        <v>254.586909731428</v>
      </c>
      <c r="U130" s="121" t="n">
        <f aca="false">IF(ISNA(VLOOKUP(A130,'Données projet'!$A$35:$I$55,3,0)),0,VLOOKUP(A130,'Données projet'!$A$35:$I$55,3,0))</f>
        <v>0</v>
      </c>
      <c r="V130" s="121" t="n">
        <f aca="false">IF(ISNA(VLOOKUP(A130,'Données projet'!$A$35:$I$55,4,0)),0,VLOOKUP(A130,'Données projet'!$A$35:$I$55,4,0))</f>
        <v>0</v>
      </c>
      <c r="W130" s="122" t="n">
        <f aca="false">IF(ISNA(VLOOKUP(A130,'Données projet'!$A$35:$I$55,5,0)),0%,VLOOKUP(A130,'Données projet'!$A$35:$I$55,5,0)*VLOOKUP('Données projet'!$B$9,Paramètres!$A$1:$I$89,7,0))</f>
        <v>0</v>
      </c>
      <c r="X130" s="122" t="n">
        <f aca="false">IF(ISNA(VLOOKUP(A130,'Données projet'!$A$35:$I$55,6,0)),0%,VLOOKUP(A130,'Données projet'!$A$35:$I$55,6,0)*VLOOKUP('Données projet'!$B$9,Paramètres!$A$1:$I$89,7,0))</f>
        <v>0</v>
      </c>
      <c r="Y130" s="122" t="n">
        <f aca="false">IF(ISNA(VLOOKUP(A130,'Données projet'!$A$35:$I$55,7,0)),0%,VLOOKUP(A130,'Données projet'!$A$35:$I$55,7,0))</f>
        <v>0</v>
      </c>
      <c r="Z130" s="129" t="n">
        <f aca="false">EXP(-LN(2)/35)*Z129+(1-EXP(-LN(2)/35))/(LN(2)/35)*V130*W130*VLOOKUP('Données projet'!$B$9,Paramètres!$A$1:$I$89,3,0)*0.475*44/12</f>
        <v>1.32928882528404</v>
      </c>
      <c r="AA130" s="129" t="n">
        <f aca="false">EXP(-LN(2)/25)*AA129+(1-EXP(-LN(2)/25))/(LN(2)/25)*Calculateur!V130*Calculateur!X130*VLOOKUP('Données projet'!$B$9,Paramètres!$A$1:$I$89,3,0)*0.475*44/12</f>
        <v>0.757408027666787</v>
      </c>
      <c r="AB130" s="129" t="n">
        <f aca="false">EXP(-LN(2)/2)*AB129+(1-EXP(-LN(2)/2))/(LN(2)/2)*V130*Y130*VLOOKUP('Données projet'!$B$9,Paramètres!$A$1:$I$89,3,0)*0.475*44/12</f>
        <v>2.77419728057419E-014</v>
      </c>
      <c r="AC130" s="130" t="n">
        <f aca="false">SUM(Z130:AB130)</f>
        <v>2.08669685295086</v>
      </c>
      <c r="AD130" s="117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7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8" t="e">
        <f aca="false">VLOOKUP(A130,'Données projet'!$A$61:$I$81,2,0)</f>
        <v>#N/A</v>
      </c>
      <c r="AG130" s="118" t="e">
        <f aca="false">VLOOKUP(A130,'Données projet'!$A$61:$I$81,9,0)</f>
        <v>#N/A</v>
      </c>
      <c r="AH130" s="118" t="e">
        <f aca="false" t="array" ref="AH130:AH130">INDEX(AG:AG,MIN(IF(ISNUMBER(AG130:AG326),ROW(AG130:AG326),"")))</f>
        <v>#N/A</v>
      </c>
      <c r="AI130" s="117" t="n">
        <f aca="false">IF('Données projet'!$A$62&gt;35,AI129+AH130-AQ129,IF(A130&lt;'Données projet'!$A$62,$AF$205^A130,IF(A130='Données projet'!$A$62,'Données projet'!$B$62,AI129+AH130-AQ129)))</f>
        <v>1.13686837721616E-013</v>
      </c>
      <c r="AJ130" s="117" t="n">
        <f aca="false">AI130*VLOOKUP('Données projet'!$B$10,Paramètres!$A$1:$I$89,3,0)*VLOOKUP('Données projet'!$B$10,Paramètres!$A$1:$I$89,5,0)</f>
        <v>6.35509422863834E-014</v>
      </c>
      <c r="AK130" s="117" t="n">
        <f aca="false">EXP(-1.0587+0.8836*LN(AJ130)+0.284)</f>
        <v>1.0064464192544E-012</v>
      </c>
      <c r="AL130" s="128" t="n">
        <f aca="false">(AJ130+AK130)*0.475*44/12</f>
        <v>1.86357873801686E-012</v>
      </c>
      <c r="AM130" s="120" t="n">
        <f aca="false">AL130+(AD130+AE130)*44/12</f>
        <v>293.333333333335</v>
      </c>
      <c r="AN130" s="120" t="n">
        <f aca="true">AVERAGE(OFFSET($AM$3,0,0,'Données projet'!$E$10+1,1))-AVERAGE(OFFSET($H$3,0,0,'Données projet'!$E$10+1,1))</f>
        <v>365.705101827279</v>
      </c>
      <c r="AO130" s="120" t="n">
        <f aca="false">$AO$3</f>
        <v>436.238338449625</v>
      </c>
      <c r="AP130" s="121" t="n">
        <f aca="false">IF(ISNA(VLOOKUP(A130,'Données projet'!$A$61:$I$81,3,0)),0,VLOOKUP(A130,'Données projet'!$A$61:$I$81,3,0))</f>
        <v>0</v>
      </c>
      <c r="AQ130" s="121" t="n">
        <f aca="false">IF(ISNA(VLOOKUP(A130,'Données projet'!$A$61:$I$81,4,0)),0,VLOOKUP(A130,'Données projet'!$A$61:$I$81,4,0))</f>
        <v>0</v>
      </c>
      <c r="AR130" s="122" t="n">
        <f aca="false">IF(ISNA(VLOOKUP(A130,'Données projet'!$A$61:$I$81,5,0)),0%,VLOOKUP(A130,'Données projet'!$A$61:$I$81,5,0)*VLOOKUP('Données projet'!$B$10,Paramètres!$A$1:$I$89,7,0))</f>
        <v>0</v>
      </c>
      <c r="AS130" s="122" t="n">
        <f aca="false">IF(ISNA(VLOOKUP(A130,'Données projet'!$A$61:$I$81,6,0)),0%,VLOOKUP(A130,'Données projet'!$A$61:$I$81,6,0)*VLOOKUP('Données projet'!$B$10,Paramètres!$A$1:$I$89,7,0))</f>
        <v>0</v>
      </c>
      <c r="AT130" s="122" t="n">
        <f aca="false">IF(ISNA(VLOOKUP(A130,'Données projet'!$A$61:$I$81,7,0)),0%,VLOOKUP(A130,'Données projet'!$A$61:$I$81,7,0))</f>
        <v>0</v>
      </c>
      <c r="AU130" s="129" t="n">
        <f aca="false">EXP(-LN(2)/35)*AU129+(1-EXP(-LN(2)/35))/(LN(2)/35)*AQ130*AR130*VLOOKUP('Données projet'!$B$10,Paramètres!$A$1:$I$89,3,0)*0.475*44/12</f>
        <v>0.501763434127162</v>
      </c>
      <c r="AV130" s="129" t="n">
        <f aca="false">EXP(-LN(2)/25)*AV129+(1-EXP(-LN(2)/25))/(LN(2)/25)*Calculateur!AQ130*Calculateur!AS130*VLOOKUP('Données projet'!$B$10,Paramètres!$A$1:$I$89,3,0)*0.475*44/12</f>
        <v>0.89710885581248</v>
      </c>
      <c r="AW130" s="129" t="n">
        <f aca="false">EXP(-LN(2)/2)*AW129+(1-EXP(-LN(2)/2))/(LN(2)/2)*AQ130*AT130*VLOOKUP('Données projet'!$B$10,Paramètres!$A$1:$I$89,3,0)*0.475*44/12</f>
        <v>1.49298626954149E-014</v>
      </c>
      <c r="AX130" s="129" t="n">
        <f aca="false">SUM(AU130:AW130)</f>
        <v>1.39887228993966</v>
      </c>
      <c r="AY130" s="124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8" t="e">
        <f aca="false">VLOOKUP(A130,'Données projet'!$A$87:$I$107,2,0)</f>
        <v>#N/A</v>
      </c>
      <c r="BB130" s="118" t="e">
        <f aca="false">VLOOKUP(A130,'Données projet'!$A$87:$I$107,9,0)</f>
        <v>#N/A</v>
      </c>
      <c r="BC130" s="118" t="e">
        <f aca="false" t="array" ref="BC130:BC130">INDEX(BB:BB,MIN(IF(ISNUMBER(BB130:BB326),ROW(BB130:BB326),"")))</f>
        <v>#N/A</v>
      </c>
      <c r="BD130" s="118" t="n">
        <f aca="false">IF('Données projet'!$A$88&gt;35,BD129+BC130-BL129,IF(A130&lt;'Données projet'!$A$88,$BA$205^A130,IF(A130='Données projet'!$A$88,'Données projet'!$B$88,BD129+BC130-BL129)))</f>
        <v>1.98951966012828E-013</v>
      </c>
      <c r="BE130" s="117" t="n">
        <f aca="false">BD130*VLOOKUP('Données projet'!$B$11,Paramètres!$A$1:$I$89,3,0)*VLOOKUP('Données projet'!$B$11,Paramètres!$A$1:$I$89,5,0)</f>
        <v>1.73804437508807E-013</v>
      </c>
      <c r="BF130" s="117" t="n">
        <f aca="false">EXP(-1.0587+0.8836*LN(BE130)+0.284)</f>
        <v>2.44832936339505E-012</v>
      </c>
      <c r="BG130" s="128" t="n">
        <f aca="false">(BE130+BF130)*0.475*44/12</f>
        <v>4.56688303657421E-012</v>
      </c>
      <c r="BH130" s="120" t="n">
        <f aca="false">BG130+(AY130+AZ130)*44/12</f>
        <v>293.333333333338</v>
      </c>
      <c r="BI130" s="120" t="n">
        <f aca="true">AVERAGE(OFFSET($BH$3,0,0,'Données projet'!$E$11+1,1))-AVERAGE(OFFSET($H$3,0,0,'Données projet'!$E$11+1,1))</f>
        <v>321.235999689929</v>
      </c>
      <c r="BJ130" s="120" t="n">
        <f aca="false">$BJ$3</f>
        <v>388.051958478005</v>
      </c>
      <c r="BK130" s="121" t="n">
        <f aca="false">IF(ISNA(VLOOKUP(A130,'Données projet'!$A$87:$I$107,3,0)),0,VLOOKUP(A130,'Données projet'!$A$87:$I$107,3,0))</f>
        <v>0</v>
      </c>
      <c r="BL130" s="121" t="n">
        <f aca="false">IF(ISNA(VLOOKUP(A130,'Données projet'!$A$87:$I$107,4,0)),0,VLOOKUP(A130,'Données projet'!$A$87:$I$107,4,0))</f>
        <v>0</v>
      </c>
      <c r="BM130" s="122" t="n">
        <f aca="false">IF(ISNA(VLOOKUP(A130,'Données projet'!$A$87:$I$107,5,0)),0%,VLOOKUP(A130,'Données projet'!$A$87:$I$107,5,0)*VLOOKUP('Données projet'!$B$11,Paramètres!$A$1:$I$89,7,0))</f>
        <v>0</v>
      </c>
      <c r="BN130" s="122" t="n">
        <f aca="false">IF(ISNA(VLOOKUP(A130,'Données projet'!$A$87:$I$107,6,0)),0%,VLOOKUP(A130,'Données projet'!$A$87:$I$107,6,0)*VLOOKUP('Données projet'!$B$11,Paramètres!$A$1:$I$89,7,0))</f>
        <v>0</v>
      </c>
      <c r="BO130" s="122" t="n">
        <f aca="false">IF(ISNA(VLOOKUP(A130,'Données projet'!$A$87:$I$107,7,0)),0%,VLOOKUP(A130,'Données projet'!$A$87:$I$107,7,0))</f>
        <v>0</v>
      </c>
      <c r="BP130" s="129" t="n">
        <f aca="false">EXP(-LN(2)/35)*BP129+(1-EXP(-LN(2)/35))/(LN(2)/35)*BL130*BM130*VLOOKUP('Données projet'!$B$11,Paramètres!$A$1:$I$89,3,0)*0.475*44/12</f>
        <v>1.25973799134781</v>
      </c>
      <c r="BQ130" s="129" t="n">
        <f aca="false">EXP(-LN(2)/25)*BQ129+(1-EXP(-LN(2)/25))/(LN(2)/25)*Calculateur!BL130*Calculateur!BN130*VLOOKUP('Données projet'!$B$11,Paramètres!$A$1:$I$89,3,0)*0.475*44/12</f>
        <v>0.915715435041798</v>
      </c>
      <c r="BR130" s="129" t="n">
        <f aca="false">EXP(-LN(2)/2)*BR129+(1-EXP(-LN(2)/2))/(LN(2)/2)*BL130*BO130*VLOOKUP('Données projet'!$B$11,Paramètres!$A$1:$I$89,3,0)*0.475*44/12</f>
        <v>1.51758951075341E-014</v>
      </c>
      <c r="BS130" s="130" t="n">
        <f aca="false">SUM(BP130:BR130)</f>
        <v>2.17545342638962</v>
      </c>
      <c r="BT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8" t="e">
        <f aca="false">VLOOKUP(A130,'Données projet'!$A$113:$I$133,2,0)</f>
        <v>#N/A</v>
      </c>
      <c r="BW130" s="118" t="e">
        <f aca="false">VLOOKUP(A130,'Données projet'!$A$113:$I$133,9,0)</f>
        <v>#N/A</v>
      </c>
      <c r="BX130" s="118" t="e">
        <f aca="false" t="array" ref="BX130:BX130">INDEX(BW:BW,MIN(IF(ISNUMBER(BW130:BW326),ROW(BW130:BW326),"")))</f>
        <v>#N/A</v>
      </c>
      <c r="BY130" s="118" t="n">
        <f aca="false">IF('Données projet'!$A$114&gt;35,BY129+BX130-CG129,IF(A130&lt;'Données projet'!$A$114,$BV$205^A130,IF(A130='Données projet'!$A$114,'Données projet'!$B$114,BY129+BX130-CG129)))</f>
        <v>0</v>
      </c>
      <c r="BZ130" s="117" t="n">
        <f aca="false">BY130*VLOOKUP('Données projet'!$B$12,Paramètres!$A$1:$I$89,3,0)*VLOOKUP('Données projet'!$B$12,Paramètres!$A$1:$I$89,5,0)</f>
        <v>0</v>
      </c>
      <c r="CA130" s="117" t="e">
        <f aca="false">EXP(-1.0587+0.8836*LN(BZ130)+0.284)</f>
        <v>#VALUE!</v>
      </c>
      <c r="CB130" s="128" t="e">
        <f aca="false">(BZ130+CA130)*0.475*44/12</f>
        <v>#VALUE!</v>
      </c>
      <c r="CC130" s="120" t="e">
        <f aca="false">CB130+(BT130+BU130)*44/12</f>
        <v>#VALUE!</v>
      </c>
      <c r="CD130" s="120" t="n">
        <f aca="true">AVERAGE(OFFSET($CC$3,0,0,'Données projet'!$E$12+1,1))-AVERAGE(OFFSET($H$3,0,0,'Données projet'!$E$12+1,1))</f>
        <v>240.228848647662</v>
      </c>
      <c r="CE130" s="120" t="n">
        <f aca="false">$CE$3</f>
        <v>343.237768841432</v>
      </c>
      <c r="CF130" s="121" t="n">
        <f aca="false">IF(ISNA(VLOOKUP(A130,'Données projet'!$A$113:$I$133,3,0)),0,VLOOKUP(A130,'Données projet'!$A$113:$I$133,3,0))</f>
        <v>0</v>
      </c>
      <c r="CG130" s="121" t="n">
        <f aca="false">IF(ISNA(VLOOKUP(A130,'Données projet'!$A$113:$I$133,4,0)),0,VLOOKUP(A130,'Données projet'!$A$113:$I$133,4,0))</f>
        <v>0</v>
      </c>
      <c r="CH130" s="122" t="n">
        <f aca="false">IF(ISNA(VLOOKUP(A130,'Données projet'!$A$113:$I$133,5,0)),0%,VLOOKUP(A130,'Données projet'!$A$113:$I$133,5,0)*VLOOKUP('Données projet'!$B$12,Paramètres!$A$1:$I$89,7,0))</f>
        <v>0</v>
      </c>
      <c r="CI130" s="122" t="n">
        <f aca="false">IF(ISNA(VLOOKUP(A130,'Données projet'!$A$113:$I$133,6,0)),0%,VLOOKUP(A130,'Données projet'!$A$113:$I$133,6,0)*VLOOKUP('Données projet'!$B$12,Paramètres!$A$1:$I$89,7,0))</f>
        <v>0</v>
      </c>
      <c r="CJ130" s="122" t="n">
        <f aca="false">IF(ISNA(VLOOKUP(A130,'Données projet'!$A$113:$I$133,7,0)),0%,VLOOKUP(A130,'Données projet'!$A$113:$I$133,7,0))</f>
        <v>0</v>
      </c>
      <c r="CK130" s="129" t="n">
        <f aca="false">EXP(-LN(2)/35)*CK129+(1-EXP(-LN(2)/35))/(LN(2)/35)*CG130*CH130*VLOOKUP('Données projet'!$B$12,Paramètres!$A$1:$I$89,3,0)*0.475*44/12</f>
        <v>0.771057793065237</v>
      </c>
      <c r="CL130" s="129" t="n">
        <f aca="false">EXP(-LN(2)/25)*CL129+(1-EXP(-LN(2)/25))/(LN(2)/25)*Calculateur!CG130*Calculateur!CI130*VLOOKUP('Données projet'!$B$12,Paramètres!$A$1:$I$89,3,0)*0.475*44/12</f>
        <v>1.61720646894658</v>
      </c>
      <c r="CM130" s="129" t="n">
        <f aca="false">EXP(-LN(2)/2)*CM129+(1-EXP(-LN(2)/2))/(LN(2)/2)*CG130*CJ130*VLOOKUP('Données projet'!$B$12,Paramètres!$A$1:$I$89,3,0)*0.475*44/12</f>
        <v>2.42166827003077E-014</v>
      </c>
      <c r="CN130" s="130" t="n">
        <f aca="false">SUM(CK130:CM130)</f>
        <v>2.38826426201184</v>
      </c>
      <c r="CO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8" t="e">
        <f aca="false">VLOOKUP(A130,'Données projet'!$A$139:$I$159,2,0)</f>
        <v>#N/A</v>
      </c>
      <c r="CR130" s="118" t="e">
        <f aca="false">VLOOKUP(A130,'Données projet'!$A$139:$I$159,9,0)</f>
        <v>#N/A</v>
      </c>
      <c r="CS130" s="118" t="e">
        <f aca="false" t="array" ref="CS130:CS130">INDEX(CR:CR,MIN(IF(ISNUMBER(CR130:CR326),ROW(CR130:CR326),"")))</f>
        <v>#N/A</v>
      </c>
      <c r="CT130" s="118" t="n">
        <f aca="false">IF('Données projet'!$A$140&gt;35,CT129+CS130-DB129,IF(A130&lt;'Données projet'!$A$140,$CQ$205^A130,IF(A130='Données projet'!$A$140,'Données projet'!$B$140,CT129+CS130-DB129)))</f>
        <v>-5.6843418860808E-014</v>
      </c>
      <c r="CU130" s="125" t="n">
        <f aca="false">CT130*VLOOKUP('Données projet'!$B$13,Paramètres!$A$1:$I$89,3,0)*VLOOKUP('Données projet'!$B$13,Paramètres!$A$1:$I$89,5,0)</f>
        <v>-3.10365066980012E-014</v>
      </c>
      <c r="CV130" s="117" t="e">
        <f aca="false">EXP(-1.0587+0.8836*LN(CU130)+0.284)</f>
        <v>#VALUE!</v>
      </c>
      <c r="CW130" s="128" t="e">
        <f aca="false">(CU130+CV130)*0.475*44/12</f>
        <v>#VALUE!</v>
      </c>
      <c r="CX130" s="120" t="e">
        <f aca="false">CW130+(CO130+CP130)*44/12</f>
        <v>#VALUE!</v>
      </c>
      <c r="CY130" s="120" t="n">
        <f aca="true">AVERAGE(OFFSET($CX$3,0,0,'Données projet'!$E$13+1,1))-AVERAGE(OFFSET($H$3,0,0,'Données projet'!$E$13+1,1))</f>
        <v>207.023069645676</v>
      </c>
      <c r="CZ130" s="120" t="n">
        <f aca="false">$CZ$3</f>
        <v>342.068879333518</v>
      </c>
      <c r="DA130" s="121" t="n">
        <f aca="false">IF(ISNA(VLOOKUP(A130,'Données projet'!$A$139:$I$159,3,0)),0,VLOOKUP(A130,'Données projet'!$A$139:$I$159,3,0))</f>
        <v>0</v>
      </c>
      <c r="DB130" s="121" t="n">
        <f aca="false">IF(ISNA(VLOOKUP(A130,'Données projet'!$A$139:$I$159,4,0)),0,VLOOKUP(A130,'Données projet'!$A$139:$I$159,4,0))</f>
        <v>0</v>
      </c>
      <c r="DC130" s="122" t="n">
        <f aca="false">IF(ISNA(VLOOKUP(A130,'Données projet'!$A$139:$I$159,5,0)),0%,VLOOKUP(A130,'Données projet'!$A$139:$I$159,5,0)*VLOOKUP('Données projet'!$B$13,Paramètres!$A$1:$I$89,7,0))</f>
        <v>0</v>
      </c>
      <c r="DD130" s="122" t="n">
        <f aca="false">IF(ISNA(VLOOKUP(A130,'Données projet'!$A$139:$I$159,6,0)),0%,VLOOKUP(A130,'Données projet'!$A$139:$I$159,6,0)*VLOOKUP('Données projet'!$B$13,Paramètres!$A$1:$I$89,7,0))</f>
        <v>0</v>
      </c>
      <c r="DE130" s="122" t="n">
        <f aca="false">IF(ISNA(VLOOKUP(A130,'Données projet'!$A$139:$I$159,7,0)),0%,VLOOKUP(A130,'Données projet'!$A$139:$I$159,7,0))</f>
        <v>0</v>
      </c>
      <c r="DF130" s="129" t="n">
        <f aca="false">EXP(-LN(2)/35)*DF129+(1-EXP(-LN(2)/35))/(LN(2)/35)*DB130*DC130*VLOOKUP('Données projet'!$B$13,Paramètres!$A$1:$I$89,3,0)*0.475*44/12</f>
        <v>0.967459306393174</v>
      </c>
      <c r="DG130" s="129" t="n">
        <f aca="false">EXP(-LN(2)/25)*DG129+(1-EXP(-LN(2)/25))/(LN(2)/25)*Calculateur!DB130*Calculateur!DD130*VLOOKUP('Données projet'!$B$13,Paramètres!$A$1:$I$89,3,0)*0.475*44/12</f>
        <v>2.64345902830317</v>
      </c>
      <c r="DH130" s="129" t="n">
        <f aca="false">EXP(-LN(2)/2)*DH129+(1-EXP(-LN(2)/2))/(LN(2)/2)*DB130*DE130*VLOOKUP('Données projet'!$B$13,Paramètres!$A$1:$I$89,3,0)*0.475*44/12</f>
        <v>3.33463833057878E-014</v>
      </c>
      <c r="DI130" s="130" t="n">
        <f aca="false">SUM(DF130:DH130)</f>
        <v>3.61091833469637</v>
      </c>
      <c r="DJ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8" t="e">
        <f aca="false">VLOOKUP(A130,'Données projet'!$A$165:$I$185,2,0)</f>
        <v>#N/A</v>
      </c>
      <c r="DM130" s="118" t="e">
        <f aca="false">VLOOKUP(A130,'Données projet'!$A$165:$I$185,9,0)</f>
        <v>#N/A</v>
      </c>
      <c r="DN130" s="118" t="e">
        <f aca="false" t="array" ref="DN130:DN130">INDEX(DM:DM,MIN(IF(ISNUMBER(DM130:DM326),ROW(DM130:DM326),"")))</f>
        <v>#N/A</v>
      </c>
      <c r="DO130" s="118" t="n">
        <f aca="false">IF('Données projet'!$A$166&gt;35,DO129+DN130-DW129,IF(A130&lt;'Données projet'!$A$166,$DL$205^A130,IF(A130='Données projet'!$A$166,'Données projet'!$B$166,DO129+DN130-DW129)))</f>
        <v>0</v>
      </c>
      <c r="DP130" s="125" t="n">
        <f aca="false">DO130*VLOOKUP('Données projet'!$B$14,Paramètres!$A$1:$I$89,3,0)*VLOOKUP('Données projet'!$B$14,Paramètres!$A$1:$I$89,5,0)</f>
        <v>0</v>
      </c>
      <c r="DQ130" s="117" t="e">
        <f aca="false">EXP(-1.0587+0.8836*LN(DP130)+0.284)</f>
        <v>#VALUE!</v>
      </c>
      <c r="DR130" s="128" t="e">
        <f aca="false">(DP130+DQ130)*0.475*44/12</f>
        <v>#VALUE!</v>
      </c>
      <c r="DS130" s="120" t="e">
        <f aca="false">DR130+(DJ130+DK130)*44/12</f>
        <v>#VALUE!</v>
      </c>
      <c r="DT130" s="120" t="n">
        <f aca="true">AVERAGE(OFFSET($DS$3,0,0,'Données projet'!$E$14+1,1))-AVERAGE(OFFSET($H$3,0,0,'Données projet'!$E$14+1,1))</f>
        <v>549.432320957297</v>
      </c>
      <c r="DU130" s="120" t="n">
        <f aca="false">$DU$3</f>
        <v>280.26155987301</v>
      </c>
      <c r="DV130" s="121" t="n">
        <f aca="false">IF(ISNA(VLOOKUP(A130,'Données projet'!$A$165:$I$185,3,0)),0,VLOOKUP(A130,'Données projet'!$A$165:$I$185,3,0))</f>
        <v>0</v>
      </c>
      <c r="DW130" s="121" t="n">
        <f aca="false">IF(ISNA(VLOOKUP(A130,'Données projet'!$A$165:$I$185,4,0)),0,VLOOKUP(A130,'Données projet'!$A$165:$I$185,4,0))</f>
        <v>0</v>
      </c>
      <c r="DX130" s="122" t="n">
        <f aca="false">IF(ISNA(VLOOKUP(A130,'Données projet'!$A$165:$I$185,5,0)),0%,VLOOKUP(A130,'Données projet'!$A$165:$I$185,5,0)*VLOOKUP('Données projet'!$B$14,Paramètres!$A$1:$I$89,7,0))</f>
        <v>0</v>
      </c>
      <c r="DY130" s="122" t="n">
        <f aca="false">IF(ISNA(VLOOKUP(A130,'Données projet'!$A$165:$I$185,6,0)),0%,VLOOKUP(A130,'Données projet'!$A$165:$I$185,6,0)*VLOOKUP('Données projet'!$B$14,Paramètres!$A$1:$I$89,7,0))</f>
        <v>0</v>
      </c>
      <c r="DZ130" s="122" t="n">
        <f aca="false">IF(ISNA(VLOOKUP(A130,'Données projet'!$A$165:$I$185,7,0)),0%,VLOOKUP(A130,'Données projet'!$A$165:$I$185,7,0))</f>
        <v>0</v>
      </c>
      <c r="EA130" s="129" t="n">
        <f aca="false">EXP(-LN(2)/35)*EA129+(1-EXP(-LN(2)/35))/(LN(2)/35)*DW130*DX130*VLOOKUP('Données projet'!$B$14,Paramètres!$A$1:$I$89,3,0)*0.475*44/12</f>
        <v>0.351767125045039</v>
      </c>
      <c r="EB130" s="129" t="n">
        <f aca="false">EXP(-LN(2)/25)*EB129+(1-EXP(-LN(2)/25))/(LN(2)/25)*Calculateur!DW130*Calculateur!DY130*VLOOKUP('Données projet'!$B$14,Paramètres!$A$1:$I$89,3,0)*0.475*44/12</f>
        <v>0.526629192967936</v>
      </c>
      <c r="EC130" s="129" t="n">
        <f aca="false">EXP(-LN(2)/2)*EC129+(1-EXP(-LN(2)/2))/(LN(2)/2)*DW130*DZ130*VLOOKUP('Données projet'!$B$14,Paramètres!$A$1:$I$89,3,0)*0.475*44/12</f>
        <v>1.53719953278579E-014</v>
      </c>
      <c r="ED130" s="130" t="n">
        <f aca="false">SUM(EA130:EC130)</f>
        <v>0.878396318012991</v>
      </c>
      <c r="EE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8" t="e">
        <f aca="false">VLOOKUP(A130,'Données projet'!$A$191:$I$211,2,0)</f>
        <v>#N/A</v>
      </c>
      <c r="EH130" s="118" t="e">
        <f aca="false">VLOOKUP(A130,'Données projet'!$A$191:$I$211,9,0)</f>
        <v>#N/A</v>
      </c>
      <c r="EI130" s="118" t="e">
        <f aca="false" t="array" ref="EI130:EI130">INDEX(EH:EH,MIN(IF(ISNUMBER(EH130:EH326),ROW(EH130:EH326),"")))</f>
        <v>#N/A</v>
      </c>
      <c r="EJ130" s="118" t="n">
        <f aca="false">IF('Données projet'!$A$192&gt;35,EJ129+EI130-ER129,IF(A130&lt;'Données projet'!$A$192,$EG$205^A130,IF(A130='Données projet'!$A$192,'Données projet'!$B$192,EJ129+EI130-ER129)))</f>
        <v>0</v>
      </c>
      <c r="EK130" s="125" t="e">
        <f aca="false">EJ130*VLOOKUP('Données projet'!$B$15,Paramètres!$A$1:$I$89,3,0)*VLOOKUP('Données projet'!$B$15,Paramètres!$A$1:$I$89,5,0)</f>
        <v>#N/A</v>
      </c>
      <c r="EL130" s="117" t="e">
        <f aca="false">EXP(-1.0587+0.8836*LN(EK130)+0.284)</f>
        <v>#N/A</v>
      </c>
      <c r="EM130" s="128" t="e">
        <f aca="false">(EK130+EL130)*0.475*44/12</f>
        <v>#N/A</v>
      </c>
      <c r="EN130" s="120" t="e">
        <f aca="false">EM130+(EE130+EF130)*44/12</f>
        <v>#N/A</v>
      </c>
      <c r="EO130" s="120" t="e">
        <f aca="true">AVERAGE(OFFSET($EN$3,0,0,'Données projet'!$E$15+1,1))-AVERAGE(OFFSET($H$3,0,0,'Données projet'!$E$15+1,1))</f>
        <v>#N/A</v>
      </c>
      <c r="EP130" s="120" t="e">
        <f aca="false">$EP$3</f>
        <v>#N/A</v>
      </c>
      <c r="EQ130" s="121" t="n">
        <f aca="false">IF(ISNA(VLOOKUP(A130,'Données projet'!$A$191:$I$211,3,0)),0,VLOOKUP(A130,'Données projet'!$A$191:$I$211,3,0))</f>
        <v>0</v>
      </c>
      <c r="ER130" s="121" t="n">
        <f aca="false">IF(ISNA(VLOOKUP(A130,'Données projet'!$A$191:$I$211,4,0)),0,VLOOKUP(A130,'Données projet'!$A$191:$I$211,4,0))</f>
        <v>0</v>
      </c>
      <c r="ES130" s="122" t="n">
        <f aca="false">IF(ISNA(VLOOKUP(A130,'Données projet'!$A$191:$I$211,5,0)),0%,VLOOKUP(A130,'Données projet'!$A$191:$I$211,5,0)*VLOOKUP('Données projet'!$B$15,Paramètres!$A$1:$I$89,7,0))</f>
        <v>0</v>
      </c>
      <c r="ET130" s="122" t="n">
        <f aca="false">IF(ISNA(VLOOKUP(A130,'Données projet'!$A$191:$I$211,6,0)),0%,VLOOKUP(A130,'Données projet'!$A$191:$I$211,6,0)*VLOOKUP('Données projet'!$B$15,Paramètres!$A$1:$I$89,7,0))</f>
        <v>0</v>
      </c>
      <c r="EU130" s="122" t="n">
        <f aca="false">IF(ISNA(VLOOKUP(A130,'Données projet'!$A$191:$I$211,7,0)),0%,VLOOKUP(A130,'Données projet'!$A$191:$I$211,7,0))</f>
        <v>0</v>
      </c>
      <c r="EV130" s="129" t="e">
        <f aca="false">EXP(-LN(2)/35)*EV129+(1-EXP(-LN(2)/35))/(LN(2)/35)*ER130*ES130*VLOOKUP('Données projet'!$B$15,Paramètres!$A$1:$I$89,3,0)*0.475*44/12</f>
        <v>#N/A</v>
      </c>
      <c r="EW130" s="129" t="e">
        <f aca="false">EXP(-LN(2)/25)*EW129+(1-EXP(-LN(2)/25))/(LN(2)/25)*Calculateur!ER130*Calculateur!ET130*VLOOKUP('Données projet'!$B$15,Paramètres!$A$1:$I$89,3,0)*0.475*44/12</f>
        <v>#N/A</v>
      </c>
      <c r="EX130" s="129" t="e">
        <f aca="false">EXP(-LN(2)/2)*EX129+(1-EXP(-LN(2)/2))/(LN(2)/2)*ER130*EU130*VLOOKUP('Données projet'!$B$15,Paramètres!$A$1:$I$89,3,0)*0.475*44/12</f>
        <v>#N/A</v>
      </c>
      <c r="EY130" s="130" t="e">
        <f aca="false">SUM(EV130:EX130)</f>
        <v>#N/A</v>
      </c>
      <c r="EZ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8" t="e">
        <f aca="false">VLOOKUP(A130,'Données projet'!$A$217:$I$237,2,0)</f>
        <v>#N/A</v>
      </c>
      <c r="FC130" s="118" t="e">
        <f aca="false">VLOOKUP(A130,'Données projet'!$A$217:$I$237,9,0)</f>
        <v>#N/A</v>
      </c>
      <c r="FD130" s="118" t="e">
        <f aca="false" t="array" ref="FD130:FD130">INDEX(FC:FC,MIN(IF(ISNUMBER(FC130:FC326),ROW(FC130:FC326),"")))</f>
        <v>#N/A</v>
      </c>
      <c r="FE130" s="118" t="n">
        <f aca="false">IF('Données projet'!$A$218&gt;35,FE129+FD130-FM129,IF(A130&lt;'Données projet'!$A$218,$FB$205^A130,IF(A130='Données projet'!$A$218,'Données projet'!$B$218,FE129+FD130-FM129)))</f>
        <v>0</v>
      </c>
      <c r="FF130" s="125" t="e">
        <f aca="false">FE130*VLOOKUP('Données projet'!$B$16,Paramètres!$A$1:$I$89,3,0)*VLOOKUP('Données projet'!$B$16,Paramètres!$A$1:$I$89,5,0)</f>
        <v>#N/A</v>
      </c>
      <c r="FG130" s="117" t="e">
        <f aca="false">EXP(-1.0587+0.8836*LN(FF130)+0.284)</f>
        <v>#N/A</v>
      </c>
      <c r="FH130" s="128" t="e">
        <f aca="false">(FF130+FG130)*0.475*44/12</f>
        <v>#N/A</v>
      </c>
      <c r="FI130" s="120" t="e">
        <f aca="false">FH130+(EZ130+FA130)*44/12</f>
        <v>#N/A</v>
      </c>
      <c r="FJ130" s="120" t="e">
        <f aca="true">AVERAGE(OFFSET($FI$3,0,0,'Données projet'!$E$16+1,1))-AVERAGE(OFFSET($H$3,0,0,'Données projet'!$E$16+1,1))</f>
        <v>#N/A</v>
      </c>
      <c r="FK130" s="120" t="e">
        <f aca="false">$FK$3</f>
        <v>#N/A</v>
      </c>
      <c r="FL130" s="121" t="n">
        <f aca="false">IF(ISNA(VLOOKUP(A130,'Données projet'!$A$217:$I$237,3,0)),0,VLOOKUP(A130,'Données projet'!$A$217:$I$237,3,0))</f>
        <v>0</v>
      </c>
      <c r="FM130" s="121" t="n">
        <f aca="false">IF(ISNA(VLOOKUP(A130,'Données projet'!$A$217:$I$237,4,0)),0,VLOOKUP(A130,'Données projet'!$A$217:$I$237,4,0))</f>
        <v>0</v>
      </c>
      <c r="FN130" s="122" t="n">
        <f aca="false">IF(ISNA(VLOOKUP(A130,'Données projet'!$A$217:$I$237,5,0)),0%,VLOOKUP(A130,'Données projet'!$A$217:$I$237,5,0)*VLOOKUP('Données projet'!$B$16,Paramètres!$A$1:$I$89,7,0))</f>
        <v>0</v>
      </c>
      <c r="FO130" s="122" t="n">
        <f aca="false">IF(ISNA(VLOOKUP(A130,'Données projet'!$A$217:$I$237,6,0)),0%,VLOOKUP(A130,'Données projet'!$A$217:$I$237,6,0)*VLOOKUP('Données projet'!$B$16,Paramètres!$A$1:$I$89,7,0))</f>
        <v>0</v>
      </c>
      <c r="FP130" s="122" t="n">
        <f aca="false">IF(ISNA(VLOOKUP(A130,'Données projet'!$A$217:$I$237,7,0)),0%,VLOOKUP(A130,'Données projet'!$A$217:$I$237,7,0))</f>
        <v>0</v>
      </c>
      <c r="FQ130" s="129" t="e">
        <f aca="false">EXP(-LN(2)/35)*FQ129+(1-EXP(-LN(2)/35))/(LN(2)/35)*FM130*FN130*VLOOKUP('Données projet'!$B$16,Paramètres!$A$1:$I$89,3,0)*0.475*44/12</f>
        <v>#N/A</v>
      </c>
      <c r="FR130" s="129" t="e">
        <f aca="false">EXP(-LN(2)/25)*FR129+(1-EXP(-LN(2)/25))/(LN(2)/25)*Calculateur!FM130*Calculateur!FO130*VLOOKUP('Données projet'!$B$16,Paramètres!$A$1:$I$89,3,0)*0.475*44/12</f>
        <v>#N/A</v>
      </c>
      <c r="FS130" s="129" t="e">
        <f aca="false">EXP(-LN(2)/2)*FS129+(1-EXP(-LN(2)/2))/(LN(2)/2)*FM130*FP130*VLOOKUP('Données projet'!$B$16,Paramètres!$A$1:$I$89,3,0)*0.475*44/12</f>
        <v>#N/A</v>
      </c>
      <c r="FT130" s="130" t="e">
        <f aca="false">SUM(FQ130:FS130)</f>
        <v>#N/A</v>
      </c>
      <c r="FU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8" t="e">
        <f aca="false">VLOOKUP(A130,'Données projet'!$A$243:$I$263,2,0)</f>
        <v>#N/A</v>
      </c>
      <c r="FX130" s="118" t="e">
        <f aca="false">VLOOKUP(A130,'Données projet'!$A$243:$I$263,9,0)</f>
        <v>#N/A</v>
      </c>
      <c r="FY130" s="118" t="e">
        <f aca="false" t="array" ref="FY130:FY130">INDEX(FX:FX,MIN(IF(ISNUMBER(FX130:FX326),ROW(FX130:FX326),"")))</f>
        <v>#N/A</v>
      </c>
      <c r="FZ130" s="118" t="n">
        <f aca="false">IF('Données projet'!$A$244&gt;35,FZ129+FY130-GH129,IF(A130&lt;'Données projet'!$A$244,$FW$205^A130,IF(A130='Données projet'!$A$244,'Données projet'!$B$244,FZ129+FY130-GH129)))</f>
        <v>0</v>
      </c>
      <c r="GA130" s="125" t="e">
        <f aca="false">FZ130*VLOOKUP('Données projet'!$B$17,Paramètres!$A$1:$I$89,3,0)*VLOOKUP('Données projet'!$B$17,Paramètres!$A$1:$I$89,5,0)</f>
        <v>#N/A</v>
      </c>
      <c r="GB130" s="117" t="e">
        <f aca="false">EXP(-1.0587+0.8836*LN(GA130)+0.284)</f>
        <v>#N/A</v>
      </c>
      <c r="GC130" s="128" t="e">
        <f aca="false">(GA130+GB130)*0.475*44/12</f>
        <v>#N/A</v>
      </c>
      <c r="GD130" s="120" t="e">
        <f aca="false">GC130+(FU130+FV130)*44/12</f>
        <v>#N/A</v>
      </c>
      <c r="GE130" s="120" t="e">
        <f aca="true">AVERAGE(OFFSET($GD$3,0,0,'Données projet'!$E$17+1,1))-AVERAGE(OFFSET($H$3,0,0,'Données projet'!$E$17+1,1))</f>
        <v>#N/A</v>
      </c>
      <c r="GF130" s="120" t="e">
        <f aca="false">$GF$3</f>
        <v>#N/A</v>
      </c>
      <c r="GG130" s="121" t="n">
        <f aca="false">IF(ISNA(VLOOKUP(A130,'Données projet'!$A$243:$I$263,3,0)),0,VLOOKUP(A130,'Données projet'!$A$243:$I$263,3,0))</f>
        <v>0</v>
      </c>
      <c r="GH130" s="121" t="n">
        <f aca="false">IF(ISNA(VLOOKUP(A130,'Données projet'!$A$243:$I$263,4,0)),0,VLOOKUP(A130,'Données projet'!$A$243:$I$263,4,0))</f>
        <v>0</v>
      </c>
      <c r="GI130" s="122" t="n">
        <f aca="false">IF(ISNA(VLOOKUP(A130,'Données projet'!$A$243:$I$263,5,0)),0%,VLOOKUP(A130,'Données projet'!$A$243:$I$263,5,0)*VLOOKUP('Données projet'!$B$17,Paramètres!$A$1:$I$89,7,0))</f>
        <v>0</v>
      </c>
      <c r="GJ130" s="122" t="n">
        <f aca="false">IF(ISNA(VLOOKUP(A130,'Données projet'!$A$243:$I$263,6,0)),0%,VLOOKUP(A130,'Données projet'!$A$243:$I$263,6,0)*VLOOKUP('Données projet'!$B$17,Paramètres!$A$1:$I$89,7,0))</f>
        <v>0</v>
      </c>
      <c r="GK130" s="122" t="n">
        <f aca="false">IF(ISNA(VLOOKUP(A130,'Données projet'!$A$243:$I$263,7,0)),0%,VLOOKUP(A130,'Données projet'!$A$243:$I$263,7,0))</f>
        <v>0</v>
      </c>
      <c r="GL130" s="129" t="e">
        <f aca="false">EXP(-LN(2)/35)*GL129+(1-EXP(-LN(2)/35))/(LN(2)/35)*GH130*GI130*VLOOKUP('Données projet'!$B$17,Paramètres!$A$1:$I$89,3,0)*0.475*44/12</f>
        <v>#N/A</v>
      </c>
      <c r="GM130" s="129" t="e">
        <f aca="false">EXP(-LN(2)/25)*GM129+(1-EXP(-LN(2)/25))/(LN(2)/25)*Calculateur!GH130*Calculateur!GJ130*VLOOKUP('Données projet'!$B$17,Paramètres!$A$1:$I$89,3,0)*0.475*44/12</f>
        <v>#N/A</v>
      </c>
      <c r="GN130" s="129" t="e">
        <f aca="false">EXP(-LN(2)/2)*GN129+(1-EXP(-LN(2)/2))/(LN(2)/2)*GH130*GK130*VLOOKUP('Données projet'!$B$17,Paramètres!$A$1:$I$89,3,0)*0.475*44/12</f>
        <v>#N/A</v>
      </c>
      <c r="GO130" s="129" t="e">
        <f aca="false">SUM(GL130:GN130)</f>
        <v>#N/A</v>
      </c>
      <c r="GP130" s="126" t="n">
        <f aca="false"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8" t="n">
        <f aca="false"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8" t="e">
        <f aca="false">VLOOKUP(A130,'Données projet'!$A$269:$I$289,2,0)</f>
        <v>#N/A</v>
      </c>
      <c r="GS130" s="118" t="e">
        <f aca="false">VLOOKUP(A130,'Données projet'!$A$269:$I$289,9,0)</f>
        <v>#N/A</v>
      </c>
      <c r="GT130" s="118" t="e">
        <f aca="false" t="array" ref="GT130:GT130">INDEX(GS:GS,MIN(IF(ISNUMBER(GS130:GS326),ROW(GS130:GS326),"")))</f>
        <v>#N/A</v>
      </c>
      <c r="GU130" s="118" t="n">
        <f aca="false">IF('Données projet'!$A$270&gt;35,GU129+GT130-HC129,IF(A130&lt;'Données projet'!$A$270,$GR$205^A130,IF(A130='Données projet'!$A$270,'Données projet'!$B$270,GU129+GT130-HC129)))</f>
        <v>0</v>
      </c>
      <c r="GV130" s="125" t="e">
        <f aca="false">GU130*VLOOKUP('Données projet'!$B$18,Paramètres!$A$1:$I$89,3,0)*VLOOKUP('Données projet'!$B$18,Paramètres!$A$1:$I$89,5,0)</f>
        <v>#N/A</v>
      </c>
      <c r="GW130" s="117" t="e">
        <f aca="false">EXP(-1.0587+0.8836*LN(GV130)+0.284)</f>
        <v>#N/A</v>
      </c>
      <c r="GX130" s="128" t="e">
        <f aca="false">(GV130+GW130)*0.475*44/12</f>
        <v>#N/A</v>
      </c>
      <c r="GY130" s="120" t="e">
        <f aca="false">GX130+(GP130+GQ130)*44/12</f>
        <v>#N/A</v>
      </c>
      <c r="GZ130" s="120" t="e">
        <f aca="true">AVERAGE(OFFSET($GY$3,0,0,'Données projet'!$E$18+1,1))-AVERAGE(OFFSET($H$3,0,0,'Données projet'!$E$18+1,1))</f>
        <v>#N/A</v>
      </c>
      <c r="HA130" s="120" t="e">
        <f aca="false">$HA$3</f>
        <v>#N/A</v>
      </c>
      <c r="HB130" s="121" t="n">
        <f aca="false">IF(ISNA(VLOOKUP(A130,'Données projet'!$A$269:$I$289,3,0)),0,VLOOKUP(A130,'Données projet'!$A$269:$I$289,3,0))</f>
        <v>0</v>
      </c>
      <c r="HC130" s="121" t="n">
        <f aca="false">IF(ISNA(VLOOKUP(A130,'Données projet'!$A$269:$I$289,4,0)),0,VLOOKUP(A130,'Données projet'!$A$269:$I$289,4,0))</f>
        <v>0</v>
      </c>
      <c r="HD130" s="122" t="n">
        <f aca="false">IF(ISNA(VLOOKUP(A130,'Données projet'!$A$269:$I$289,5,0)),0%,VLOOKUP(A130,'Données projet'!$A$269:$I$289,5,0)*VLOOKUP('Données projet'!$B$18,Paramètres!$A$1:$I$89,7,0))</f>
        <v>0</v>
      </c>
      <c r="HE130" s="122" t="n">
        <f aca="false">IF(ISNA(VLOOKUP(A130,'Données projet'!$A$269:$I$289,6,0)),0%,VLOOKUP(A130,'Données projet'!$A$269:$I$289,6,0)*VLOOKUP('Données projet'!$B$18,Paramètres!$A$1:$I$89,7,0))</f>
        <v>0</v>
      </c>
      <c r="HF130" s="122" t="n">
        <f aca="false">IF(ISNA(VLOOKUP(A130,'Données projet'!$A$269:$I$289,7,0)),0%,VLOOKUP(A130,'Données projet'!$A$269:$I$289,7,0))</f>
        <v>0</v>
      </c>
      <c r="HG130" s="129" t="e">
        <f aca="false">EXP(-LN(2)/35)*HG129+(1-EXP(-LN(2)/35))/(LN(2)/35)*HC130*HD130*VLOOKUP('Données projet'!$B$18,Paramètres!$A$1:$I$89,3,0)*0.475*44/12</f>
        <v>#N/A</v>
      </c>
      <c r="HH130" s="129" t="e">
        <f aca="false">EXP(-LN(2)/25)*HH129+(1-EXP(-LN(2)/25))/(LN(2)/25)*Calculateur!HC130*Calculateur!HE130*VLOOKUP('Données projet'!$B$18,Paramètres!$A$1:$I$89,3,0)*0.475*44/12</f>
        <v>#N/A</v>
      </c>
      <c r="HI130" s="129" t="e">
        <f aca="false">EXP(-LN(2)/2)*HI129+(1-EXP(-LN(2)/2))/(LN(2)/2)*HC130*HF130*VLOOKUP('Données projet'!$B$18,Paramètres!$A$1:$I$89,3,0)*0.475*44/12</f>
        <v>#N/A</v>
      </c>
      <c r="HJ130" s="130" t="e">
        <f aca="false">SUM(HG130:HI130)</f>
        <v>#N/A</v>
      </c>
    </row>
    <row r="131" customFormat="false" ht="14.25" hidden="false" customHeight="false" outlineLevel="0" collapsed="false">
      <c r="A131" s="112" t="n">
        <f aca="false">A130+1</f>
        <v>128</v>
      </c>
      <c r="B131" s="113" t="n">
        <f aca="false">'Scénario référence'!$B$16*5+'Scénario référence'!$B$17*0+'Scénario référence'!$B$18*5</f>
        <v>0</v>
      </c>
      <c r="C131" s="127" t="n">
        <f aca="false"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4" t="n">
        <f aca="false">IFERROR(EXP(-1.0587+0.8836*LN(C131)+0.284),0)</f>
        <v>0</v>
      </c>
      <c r="E13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1" s="114" t="n">
        <f aca="false">IF(OR('Scénario référence'!$F$8&gt;0,'Scénario référence'!$F$9&gt;0),('Scénario référence'!$F$8+'Scénario référence'!$F$9)*10,0)</f>
        <v>0</v>
      </c>
      <c r="G131" s="114" t="n">
        <f aca="false"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15" t="n">
        <f aca="false">(B131+E131+F131)*44/12+(C131+D131)*0.475*44/12</f>
        <v>256.666666666667</v>
      </c>
      <c r="I131" s="11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7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8" t="e">
        <f aca="false">VLOOKUP(A131,'Données projet'!$A$35:$I$55,2,0)</f>
        <v>#N/A</v>
      </c>
      <c r="L131" s="118" t="e">
        <f aca="false">VLOOKUP(A131,'Données projet'!$A$35:$I$55,9,0)</f>
        <v>#N/A</v>
      </c>
      <c r="M131" s="118" t="e">
        <f aca="false" t="array" ref="M131:M131">INDEX(L:L,MIN(IF(ISNUMBER(L131:L327),ROW(L131:L327),"")))</f>
        <v>#N/A</v>
      </c>
      <c r="N131" s="117" t="n">
        <f aca="false">IF('Données projet'!$A$36&gt;35,N130+M131-V130,IF(A131&lt;'Données projet'!$A$36,$K$205^A131,IF(A131='Données projet'!$A$36,'Données projet'!$B$36,N130+M131-V130)))</f>
        <v>-1.13686837721616E-013</v>
      </c>
      <c r="O131" s="117" t="n">
        <f aca="false">N131*VLOOKUP('Données projet'!$B$9,Paramètres!$A$1:$I$89,3,0)*VLOOKUP('Données projet'!$B$9,Paramètres!$A$1:$I$89,5,0)</f>
        <v>-5.32054400537163E-014</v>
      </c>
      <c r="P131" s="117" t="e">
        <f aca="false">EXP(-1.0587+0.8836*LN(O131)+0.284)</f>
        <v>#VALUE!</v>
      </c>
      <c r="Q131" s="128" t="e">
        <f aca="false">(O131+P131)*0.475*44/12</f>
        <v>#VALUE!</v>
      </c>
      <c r="R131" s="120" t="e">
        <f aca="false">Q131+(I131+J131)*44/12</f>
        <v>#VALUE!</v>
      </c>
      <c r="S131" s="120" t="n">
        <f aca="true">AVERAGE(OFFSET($R$3,0,0,'Données projet'!$E$9+1,1))-AVERAGE(OFFSET($H$3,0,0,'Données projet'!$E$9+1,1))</f>
        <v>319.229030946746</v>
      </c>
      <c r="T131" s="120" t="n">
        <f aca="false">$T$3</f>
        <v>254.586909731428</v>
      </c>
      <c r="U131" s="121" t="n">
        <f aca="false">IF(ISNA(VLOOKUP(A131,'Données projet'!$A$35:$I$55,3,0)),0,VLOOKUP(A131,'Données projet'!$A$35:$I$55,3,0))</f>
        <v>0</v>
      </c>
      <c r="V131" s="121" t="n">
        <f aca="false">IF(ISNA(VLOOKUP(A131,'Données projet'!$A$35:$I$55,4,0)),0,VLOOKUP(A131,'Données projet'!$A$35:$I$55,4,0))</f>
        <v>0</v>
      </c>
      <c r="W131" s="122" t="n">
        <f aca="false">IF(ISNA(VLOOKUP(A131,'Données projet'!$A$35:$I$55,5,0)),0%,VLOOKUP(A131,'Données projet'!$A$35:$I$55,5,0)*VLOOKUP('Données projet'!$B$9,Paramètres!$A$1:$I$89,7,0))</f>
        <v>0</v>
      </c>
      <c r="X131" s="122" t="n">
        <f aca="false">IF(ISNA(VLOOKUP(A131,'Données projet'!$A$35:$I$55,6,0)),0%,VLOOKUP(A131,'Données projet'!$A$35:$I$55,6,0)*VLOOKUP('Données projet'!$B$9,Paramètres!$A$1:$I$89,7,0))</f>
        <v>0</v>
      </c>
      <c r="Y131" s="122" t="n">
        <f aca="false">IF(ISNA(VLOOKUP(A131,'Données projet'!$A$35:$I$55,7,0)),0%,VLOOKUP(A131,'Données projet'!$A$35:$I$55,7,0))</f>
        <v>0</v>
      </c>
      <c r="Z131" s="129" t="n">
        <f aca="false">EXP(-LN(2)/35)*Z130+(1-EXP(-LN(2)/35))/(LN(2)/35)*V131*W131*VLOOKUP('Données projet'!$B$9,Paramètres!$A$1:$I$89,3,0)*0.475*44/12</f>
        <v>1.30322228220635</v>
      </c>
      <c r="AA131" s="129" t="n">
        <f aca="false">EXP(-LN(2)/25)*AA130+(1-EXP(-LN(2)/25))/(LN(2)/25)*Calculateur!V131*Calculateur!X131*VLOOKUP('Données projet'!$B$9,Paramètres!$A$1:$I$89,3,0)*0.475*44/12</f>
        <v>0.736696665319882</v>
      </c>
      <c r="AB131" s="129" t="n">
        <f aca="false">EXP(-LN(2)/2)*AB130+(1-EXP(-LN(2)/2))/(LN(2)/2)*V131*Y131*VLOOKUP('Données projet'!$B$9,Paramètres!$A$1:$I$89,3,0)*0.475*44/12</f>
        <v>1.96165370944329E-014</v>
      </c>
      <c r="AC131" s="130" t="n">
        <f aca="false">SUM(Z131:AB131)</f>
        <v>2.03991894752625</v>
      </c>
      <c r="AD131" s="117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7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8" t="e">
        <f aca="false">VLOOKUP(A131,'Données projet'!$A$61:$I$81,2,0)</f>
        <v>#N/A</v>
      </c>
      <c r="AG131" s="118" t="e">
        <f aca="false">VLOOKUP(A131,'Données projet'!$A$61:$I$81,9,0)</f>
        <v>#N/A</v>
      </c>
      <c r="AH131" s="118" t="e">
        <f aca="false" t="array" ref="AH131:AH131">INDEX(AG:AG,MIN(IF(ISNUMBER(AG131:AG327),ROW(AG131:AG327),"")))</f>
        <v>#N/A</v>
      </c>
      <c r="AI131" s="117" t="n">
        <f aca="false">IF('Données projet'!$A$62&gt;35,AI130+AH131-AQ130,IF(A131&lt;'Données projet'!$A$62,$AF$205^A131,IF(A131='Données projet'!$A$62,'Données projet'!$B$62,AI130+AH131-AQ130)))</f>
        <v>1.13686837721616E-013</v>
      </c>
      <c r="AJ131" s="117" t="n">
        <f aca="false">AI131*VLOOKUP('Données projet'!$B$10,Paramètres!$A$1:$I$89,3,0)*VLOOKUP('Données projet'!$B$10,Paramètres!$A$1:$I$89,5,0)</f>
        <v>6.35509422863834E-014</v>
      </c>
      <c r="AK131" s="117" t="n">
        <f aca="false">EXP(-1.0587+0.8836*LN(AJ131)+0.284)</f>
        <v>1.0064464192544E-012</v>
      </c>
      <c r="AL131" s="128" t="n">
        <f aca="false">(AJ131+AK131)*0.475*44/12</f>
        <v>1.86357873801686E-012</v>
      </c>
      <c r="AM131" s="120" t="n">
        <f aca="false">AL131+(AD131+AE131)*44/12</f>
        <v>293.333333333335</v>
      </c>
      <c r="AN131" s="120" t="n">
        <f aca="true">AVERAGE(OFFSET($AM$3,0,0,'Données projet'!$E$10+1,1))-AVERAGE(OFFSET($H$3,0,0,'Données projet'!$E$10+1,1))</f>
        <v>365.705101827279</v>
      </c>
      <c r="AO131" s="120" t="n">
        <f aca="false">$AO$3</f>
        <v>436.238338449625</v>
      </c>
      <c r="AP131" s="121" t="n">
        <f aca="false">IF(ISNA(VLOOKUP(A131,'Données projet'!$A$61:$I$81,3,0)),0,VLOOKUP(A131,'Données projet'!$A$61:$I$81,3,0))</f>
        <v>0</v>
      </c>
      <c r="AQ131" s="121" t="n">
        <f aca="false">IF(ISNA(VLOOKUP(A131,'Données projet'!$A$61:$I$81,4,0)),0,VLOOKUP(A131,'Données projet'!$A$61:$I$81,4,0))</f>
        <v>0</v>
      </c>
      <c r="AR131" s="122" t="n">
        <f aca="false">IF(ISNA(VLOOKUP(A131,'Données projet'!$A$61:$I$81,5,0)),0%,VLOOKUP(A131,'Données projet'!$A$61:$I$81,5,0)*VLOOKUP('Données projet'!$B$10,Paramètres!$A$1:$I$89,7,0))</f>
        <v>0</v>
      </c>
      <c r="AS131" s="122" t="n">
        <f aca="false">IF(ISNA(VLOOKUP(A131,'Données projet'!$A$61:$I$81,6,0)),0%,VLOOKUP(A131,'Données projet'!$A$61:$I$81,6,0)*VLOOKUP('Données projet'!$B$10,Paramètres!$A$1:$I$89,7,0))</f>
        <v>0</v>
      </c>
      <c r="AT131" s="122" t="n">
        <f aca="false">IF(ISNA(VLOOKUP(A131,'Données projet'!$A$61:$I$81,7,0)),0%,VLOOKUP(A131,'Données projet'!$A$61:$I$81,7,0))</f>
        <v>0</v>
      </c>
      <c r="AU131" s="129" t="n">
        <f aca="false">EXP(-LN(2)/35)*AU130+(1-EXP(-LN(2)/35))/(LN(2)/35)*AQ131*AR131*VLOOKUP('Données projet'!$B$10,Paramètres!$A$1:$I$89,3,0)*0.475*44/12</f>
        <v>0.491924159229403</v>
      </c>
      <c r="AV131" s="129" t="n">
        <f aca="false">EXP(-LN(2)/25)*AV130+(1-EXP(-LN(2)/25))/(LN(2)/25)*Calculateur!AQ131*Calculateur!AS131*VLOOKUP('Données projet'!$B$10,Paramètres!$A$1:$I$89,3,0)*0.475*44/12</f>
        <v>0.872577366973384</v>
      </c>
      <c r="AW131" s="129" t="n">
        <f aca="false">EXP(-LN(2)/2)*AW130+(1-EXP(-LN(2)/2))/(LN(2)/2)*AQ131*AT131*VLOOKUP('Données projet'!$B$10,Paramètres!$A$1:$I$89,3,0)*0.475*44/12</f>
        <v>1.0557007154112E-014</v>
      </c>
      <c r="AX131" s="129" t="n">
        <f aca="false">SUM(AU131:AW131)</f>
        <v>1.3645015262028</v>
      </c>
      <c r="AY131" s="124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8" t="e">
        <f aca="false">VLOOKUP(A131,'Données projet'!$A$87:$I$107,2,0)</f>
        <v>#N/A</v>
      </c>
      <c r="BB131" s="118" t="e">
        <f aca="false">VLOOKUP(A131,'Données projet'!$A$87:$I$107,9,0)</f>
        <v>#N/A</v>
      </c>
      <c r="BC131" s="118" t="e">
        <f aca="false" t="array" ref="BC131:BC131">INDEX(BB:BB,MIN(IF(ISNUMBER(BB131:BB327),ROW(BB131:BB327),"")))</f>
        <v>#N/A</v>
      </c>
      <c r="BD131" s="118" t="n">
        <f aca="false">IF('Données projet'!$A$88&gt;35,BD130+BC131-BL130,IF(A131&lt;'Données projet'!$A$88,$BA$205^A131,IF(A131='Données projet'!$A$88,'Données projet'!$B$88,BD130+BC131-BL130)))</f>
        <v>1.98951966012828E-013</v>
      </c>
      <c r="BE131" s="117" t="n">
        <f aca="false">BD131*VLOOKUP('Données projet'!$B$11,Paramètres!$A$1:$I$89,3,0)*VLOOKUP('Données projet'!$B$11,Paramètres!$A$1:$I$89,5,0)</f>
        <v>1.73804437508807E-013</v>
      </c>
      <c r="BF131" s="117" t="n">
        <f aca="false">EXP(-1.0587+0.8836*LN(BE131)+0.284)</f>
        <v>2.44832936339505E-012</v>
      </c>
      <c r="BG131" s="128" t="n">
        <f aca="false">(BE131+BF131)*0.475*44/12</f>
        <v>4.56688303657421E-012</v>
      </c>
      <c r="BH131" s="120" t="n">
        <f aca="false">BG131+(AY131+AZ131)*44/12</f>
        <v>293.333333333338</v>
      </c>
      <c r="BI131" s="120" t="n">
        <f aca="true">AVERAGE(OFFSET($BH$3,0,0,'Données projet'!$E$11+1,1))-AVERAGE(OFFSET($H$3,0,0,'Données projet'!$E$11+1,1))</f>
        <v>321.235999689929</v>
      </c>
      <c r="BJ131" s="120" t="n">
        <f aca="false">$BJ$3</f>
        <v>388.051958478005</v>
      </c>
      <c r="BK131" s="121" t="n">
        <f aca="false">IF(ISNA(VLOOKUP(A131,'Données projet'!$A$87:$I$107,3,0)),0,VLOOKUP(A131,'Données projet'!$A$87:$I$107,3,0))</f>
        <v>0</v>
      </c>
      <c r="BL131" s="121" t="n">
        <f aca="false">IF(ISNA(VLOOKUP(A131,'Données projet'!$A$87:$I$107,4,0)),0,VLOOKUP(A131,'Données projet'!$A$87:$I$107,4,0))</f>
        <v>0</v>
      </c>
      <c r="BM131" s="122" t="n">
        <f aca="false">IF(ISNA(VLOOKUP(A131,'Données projet'!$A$87:$I$107,5,0)),0%,VLOOKUP(A131,'Données projet'!$A$87:$I$107,5,0)*VLOOKUP('Données projet'!$B$11,Paramètres!$A$1:$I$89,7,0))</f>
        <v>0</v>
      </c>
      <c r="BN131" s="122" t="n">
        <f aca="false">IF(ISNA(VLOOKUP(A131,'Données projet'!$A$87:$I$107,6,0)),0%,VLOOKUP(A131,'Données projet'!$A$87:$I$107,6,0)*VLOOKUP('Données projet'!$B$11,Paramètres!$A$1:$I$89,7,0))</f>
        <v>0</v>
      </c>
      <c r="BO131" s="122" t="n">
        <f aca="false">IF(ISNA(VLOOKUP(A131,'Données projet'!$A$87:$I$107,7,0)),0%,VLOOKUP(A131,'Données projet'!$A$87:$I$107,7,0))</f>
        <v>0</v>
      </c>
      <c r="BP131" s="129" t="n">
        <f aca="false">EXP(-LN(2)/35)*BP130+(1-EXP(-LN(2)/35))/(LN(2)/35)*BL131*BM131*VLOOKUP('Données projet'!$B$11,Paramètres!$A$1:$I$89,3,0)*0.475*44/12</f>
        <v>1.23503529770178</v>
      </c>
      <c r="BQ131" s="129" t="n">
        <f aca="false">EXP(-LN(2)/25)*BQ130+(1-EXP(-LN(2)/25))/(LN(2)/25)*Calculateur!BL131*Calculateur!BN131*VLOOKUP('Données projet'!$B$11,Paramètres!$A$1:$I$89,3,0)*0.475*44/12</f>
        <v>0.890675148315198</v>
      </c>
      <c r="BR131" s="129" t="n">
        <f aca="false">EXP(-LN(2)/2)*BR130+(1-EXP(-LN(2)/2))/(LN(2)/2)*BL131*BO131*VLOOKUP('Données projet'!$B$11,Paramètres!$A$1:$I$89,3,0)*0.475*44/12</f>
        <v>1.07309783411131E-014</v>
      </c>
      <c r="BS131" s="130" t="n">
        <f aca="false">SUM(BP131:BR131)</f>
        <v>2.12571044601699</v>
      </c>
      <c r="BT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8" t="e">
        <f aca="false">VLOOKUP(A131,'Données projet'!$A$113:$I$133,2,0)</f>
        <v>#N/A</v>
      </c>
      <c r="BW131" s="118" t="e">
        <f aca="false">VLOOKUP(A131,'Données projet'!$A$113:$I$133,9,0)</f>
        <v>#N/A</v>
      </c>
      <c r="BX131" s="118" t="e">
        <f aca="false" t="array" ref="BX131:BX131">INDEX(BW:BW,MIN(IF(ISNUMBER(BW131:BW327),ROW(BW131:BW327),"")))</f>
        <v>#N/A</v>
      </c>
      <c r="BY131" s="118" t="n">
        <f aca="false">IF('Données projet'!$A$114&gt;35,BY130+BX131-CG130,IF(A131&lt;'Données projet'!$A$114,$BV$205^A131,IF(A131='Données projet'!$A$114,'Données projet'!$B$114,BY130+BX131-CG130)))</f>
        <v>0</v>
      </c>
      <c r="BZ131" s="117" t="n">
        <f aca="false">BY131*VLOOKUP('Données projet'!$B$12,Paramètres!$A$1:$I$89,3,0)*VLOOKUP('Données projet'!$B$12,Paramètres!$A$1:$I$89,5,0)</f>
        <v>0</v>
      </c>
      <c r="CA131" s="117" t="e">
        <f aca="false">EXP(-1.0587+0.8836*LN(BZ131)+0.284)</f>
        <v>#VALUE!</v>
      </c>
      <c r="CB131" s="128" t="e">
        <f aca="false">(BZ131+CA131)*0.475*44/12</f>
        <v>#VALUE!</v>
      </c>
      <c r="CC131" s="120" t="e">
        <f aca="false">CB131+(BT131+BU131)*44/12</f>
        <v>#VALUE!</v>
      </c>
      <c r="CD131" s="120" t="n">
        <f aca="true">AVERAGE(OFFSET($CC$3,0,0,'Données projet'!$E$12+1,1))-AVERAGE(OFFSET($H$3,0,0,'Données projet'!$E$12+1,1))</f>
        <v>240.228848647662</v>
      </c>
      <c r="CE131" s="120" t="n">
        <f aca="false">$CE$3</f>
        <v>343.237768841432</v>
      </c>
      <c r="CF131" s="121" t="n">
        <f aca="false">IF(ISNA(VLOOKUP(A131,'Données projet'!$A$113:$I$133,3,0)),0,VLOOKUP(A131,'Données projet'!$A$113:$I$133,3,0))</f>
        <v>0</v>
      </c>
      <c r="CG131" s="121" t="n">
        <f aca="false">IF(ISNA(VLOOKUP(A131,'Données projet'!$A$113:$I$133,4,0)),0,VLOOKUP(A131,'Données projet'!$A$113:$I$133,4,0))</f>
        <v>0</v>
      </c>
      <c r="CH131" s="122" t="n">
        <f aca="false">IF(ISNA(VLOOKUP(A131,'Données projet'!$A$113:$I$133,5,0)),0%,VLOOKUP(A131,'Données projet'!$A$113:$I$133,5,0)*VLOOKUP('Données projet'!$B$12,Paramètres!$A$1:$I$89,7,0))</f>
        <v>0</v>
      </c>
      <c r="CI131" s="122" t="n">
        <f aca="false">IF(ISNA(VLOOKUP(A131,'Données projet'!$A$113:$I$133,6,0)),0%,VLOOKUP(A131,'Données projet'!$A$113:$I$133,6,0)*VLOOKUP('Données projet'!$B$12,Paramètres!$A$1:$I$89,7,0))</f>
        <v>0</v>
      </c>
      <c r="CJ131" s="122" t="n">
        <f aca="false">IF(ISNA(VLOOKUP(A131,'Données projet'!$A$113:$I$133,7,0)),0%,VLOOKUP(A131,'Données projet'!$A$113:$I$133,7,0))</f>
        <v>0</v>
      </c>
      <c r="CK131" s="129" t="n">
        <f aca="false">EXP(-LN(2)/35)*CK130+(1-EXP(-LN(2)/35))/(LN(2)/35)*CG131*CH131*VLOOKUP('Données projet'!$B$12,Paramètres!$A$1:$I$89,3,0)*0.475*44/12</f>
        <v>0.755937820042044</v>
      </c>
      <c r="CL131" s="129" t="n">
        <f aca="false">EXP(-LN(2)/25)*CL130+(1-EXP(-LN(2)/25))/(LN(2)/25)*Calculateur!CG131*Calculateur!CI131*VLOOKUP('Données projet'!$B$12,Paramètres!$A$1:$I$89,3,0)*0.475*44/12</f>
        <v>1.57298387300805</v>
      </c>
      <c r="CM131" s="129" t="n">
        <f aca="false">EXP(-LN(2)/2)*CM130+(1-EXP(-LN(2)/2))/(LN(2)/2)*CG131*CJ131*VLOOKUP('Données projet'!$B$12,Paramètres!$A$1:$I$89,3,0)*0.475*44/12</f>
        <v>1.71237805552306E-014</v>
      </c>
      <c r="CN131" s="130" t="n">
        <f aca="false">SUM(CK131:CM131)</f>
        <v>2.32892169305011</v>
      </c>
      <c r="CO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8" t="e">
        <f aca="false">VLOOKUP(A131,'Données projet'!$A$139:$I$159,2,0)</f>
        <v>#N/A</v>
      </c>
      <c r="CR131" s="118" t="e">
        <f aca="false">VLOOKUP(A131,'Données projet'!$A$139:$I$159,9,0)</f>
        <v>#N/A</v>
      </c>
      <c r="CS131" s="118" t="e">
        <f aca="false" t="array" ref="CS131:CS131">INDEX(CR:CR,MIN(IF(ISNUMBER(CR131:CR327),ROW(CR131:CR327),"")))</f>
        <v>#N/A</v>
      </c>
      <c r="CT131" s="118" t="n">
        <f aca="false">IF('Données projet'!$A$140&gt;35,CT130+CS131-DB130,IF(A131&lt;'Données projet'!$A$140,$CQ$205^A131,IF(A131='Données projet'!$A$140,'Données projet'!$B$140,CT130+CS131-DB130)))</f>
        <v>-5.6843418860808E-014</v>
      </c>
      <c r="CU131" s="125" t="n">
        <f aca="false">CT131*VLOOKUP('Données projet'!$B$13,Paramètres!$A$1:$I$89,3,0)*VLOOKUP('Données projet'!$B$13,Paramètres!$A$1:$I$89,5,0)</f>
        <v>-3.10365066980012E-014</v>
      </c>
      <c r="CV131" s="117" t="e">
        <f aca="false">EXP(-1.0587+0.8836*LN(CU131)+0.284)</f>
        <v>#VALUE!</v>
      </c>
      <c r="CW131" s="128" t="e">
        <f aca="false">(CU131+CV131)*0.475*44/12</f>
        <v>#VALUE!</v>
      </c>
      <c r="CX131" s="120" t="e">
        <f aca="false">CW131+(CO131+CP131)*44/12</f>
        <v>#VALUE!</v>
      </c>
      <c r="CY131" s="120" t="n">
        <f aca="true">AVERAGE(OFFSET($CX$3,0,0,'Données projet'!$E$13+1,1))-AVERAGE(OFFSET($H$3,0,0,'Données projet'!$E$13+1,1))</f>
        <v>207.023069645676</v>
      </c>
      <c r="CZ131" s="120" t="n">
        <f aca="false">$CZ$3</f>
        <v>342.068879333518</v>
      </c>
      <c r="DA131" s="121" t="n">
        <f aca="false">IF(ISNA(VLOOKUP(A131,'Données projet'!$A$139:$I$159,3,0)),0,VLOOKUP(A131,'Données projet'!$A$139:$I$159,3,0))</f>
        <v>0</v>
      </c>
      <c r="DB131" s="121" t="n">
        <f aca="false">IF(ISNA(VLOOKUP(A131,'Données projet'!$A$139:$I$159,4,0)),0,VLOOKUP(A131,'Données projet'!$A$139:$I$159,4,0))</f>
        <v>0</v>
      </c>
      <c r="DC131" s="122" t="n">
        <f aca="false">IF(ISNA(VLOOKUP(A131,'Données projet'!$A$139:$I$159,5,0)),0%,VLOOKUP(A131,'Données projet'!$A$139:$I$159,5,0)*VLOOKUP('Données projet'!$B$13,Paramètres!$A$1:$I$89,7,0))</f>
        <v>0</v>
      </c>
      <c r="DD131" s="122" t="n">
        <f aca="false">IF(ISNA(VLOOKUP(A131,'Données projet'!$A$139:$I$159,6,0)),0%,VLOOKUP(A131,'Données projet'!$A$139:$I$159,6,0)*VLOOKUP('Données projet'!$B$13,Paramètres!$A$1:$I$89,7,0))</f>
        <v>0</v>
      </c>
      <c r="DE131" s="122" t="n">
        <f aca="false">IF(ISNA(VLOOKUP(A131,'Données projet'!$A$139:$I$159,7,0)),0%,VLOOKUP(A131,'Données projet'!$A$139:$I$159,7,0))</f>
        <v>0</v>
      </c>
      <c r="DF131" s="129" t="n">
        <f aca="false">EXP(-LN(2)/35)*DF130+(1-EXP(-LN(2)/35))/(LN(2)/35)*DB131*DC131*VLOOKUP('Données projet'!$B$13,Paramètres!$A$1:$I$89,3,0)*0.475*44/12</f>
        <v>0.948488019486714</v>
      </c>
      <c r="DG131" s="129" t="n">
        <f aca="false">EXP(-LN(2)/25)*DG130+(1-EXP(-LN(2)/25))/(LN(2)/25)*Calculateur!DB131*Calculateur!DD131*VLOOKUP('Données projet'!$B$13,Paramètres!$A$1:$I$89,3,0)*0.475*44/12</f>
        <v>2.57117350216075</v>
      </c>
      <c r="DH131" s="129" t="n">
        <f aca="false">EXP(-LN(2)/2)*DH130+(1-EXP(-LN(2)/2))/(LN(2)/2)*DB131*DE131*VLOOKUP('Données projet'!$B$13,Paramètres!$A$1:$I$89,3,0)*0.475*44/12</f>
        <v>2.35794537635685E-014</v>
      </c>
      <c r="DI131" s="130" t="n">
        <f aca="false">SUM(DF131:DH131)</f>
        <v>3.51966152164749</v>
      </c>
      <c r="DJ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8" t="e">
        <f aca="false">VLOOKUP(A131,'Données projet'!$A$165:$I$185,2,0)</f>
        <v>#N/A</v>
      </c>
      <c r="DM131" s="118" t="e">
        <f aca="false">VLOOKUP(A131,'Données projet'!$A$165:$I$185,9,0)</f>
        <v>#N/A</v>
      </c>
      <c r="DN131" s="118" t="e">
        <f aca="false" t="array" ref="DN131:DN131">INDEX(DM:DM,MIN(IF(ISNUMBER(DM131:DM327),ROW(DM131:DM327),"")))</f>
        <v>#N/A</v>
      </c>
      <c r="DO131" s="118" t="n">
        <f aca="false">IF('Données projet'!$A$166&gt;35,DO130+DN131-DW130,IF(A131&lt;'Données projet'!$A$166,$DL$205^A131,IF(A131='Données projet'!$A$166,'Données projet'!$B$166,DO130+DN131-DW130)))</f>
        <v>0</v>
      </c>
      <c r="DP131" s="125" t="n">
        <f aca="false">DO131*VLOOKUP('Données projet'!$B$14,Paramètres!$A$1:$I$89,3,0)*VLOOKUP('Données projet'!$B$14,Paramètres!$A$1:$I$89,5,0)</f>
        <v>0</v>
      </c>
      <c r="DQ131" s="117" t="e">
        <f aca="false">EXP(-1.0587+0.8836*LN(DP131)+0.284)</f>
        <v>#VALUE!</v>
      </c>
      <c r="DR131" s="128" t="e">
        <f aca="false">(DP131+DQ131)*0.475*44/12</f>
        <v>#VALUE!</v>
      </c>
      <c r="DS131" s="120" t="e">
        <f aca="false">DR131+(DJ131+DK131)*44/12</f>
        <v>#VALUE!</v>
      </c>
      <c r="DT131" s="120" t="n">
        <f aca="true">AVERAGE(OFFSET($DS$3,0,0,'Données projet'!$E$14+1,1))-AVERAGE(OFFSET($H$3,0,0,'Données projet'!$E$14+1,1))</f>
        <v>549.432320957297</v>
      </c>
      <c r="DU131" s="120" t="n">
        <f aca="false">$DU$3</f>
        <v>280.26155987301</v>
      </c>
      <c r="DV131" s="121" t="n">
        <f aca="false">IF(ISNA(VLOOKUP(A131,'Données projet'!$A$165:$I$185,3,0)),0,VLOOKUP(A131,'Données projet'!$A$165:$I$185,3,0))</f>
        <v>0</v>
      </c>
      <c r="DW131" s="121" t="n">
        <f aca="false">IF(ISNA(VLOOKUP(A131,'Données projet'!$A$165:$I$185,4,0)),0,VLOOKUP(A131,'Données projet'!$A$165:$I$185,4,0))</f>
        <v>0</v>
      </c>
      <c r="DX131" s="122" t="n">
        <f aca="false">IF(ISNA(VLOOKUP(A131,'Données projet'!$A$165:$I$185,5,0)),0%,VLOOKUP(A131,'Données projet'!$A$165:$I$185,5,0)*VLOOKUP('Données projet'!$B$14,Paramètres!$A$1:$I$89,7,0))</f>
        <v>0</v>
      </c>
      <c r="DY131" s="122" t="n">
        <f aca="false">IF(ISNA(VLOOKUP(A131,'Données projet'!$A$165:$I$185,6,0)),0%,VLOOKUP(A131,'Données projet'!$A$165:$I$185,6,0)*VLOOKUP('Données projet'!$B$14,Paramètres!$A$1:$I$89,7,0))</f>
        <v>0</v>
      </c>
      <c r="DZ131" s="122" t="n">
        <f aca="false">IF(ISNA(VLOOKUP(A131,'Données projet'!$A$165:$I$185,7,0)),0%,VLOOKUP(A131,'Données projet'!$A$165:$I$185,7,0))</f>
        <v>0</v>
      </c>
      <c r="EA131" s="129" t="n">
        <f aca="false">EXP(-LN(2)/35)*EA130+(1-EXP(-LN(2)/35))/(LN(2)/35)*DW131*DX131*VLOOKUP('Données projet'!$B$14,Paramètres!$A$1:$I$89,3,0)*0.475*44/12</f>
        <v>0.344869186279667</v>
      </c>
      <c r="EB131" s="129" t="n">
        <f aca="false">EXP(-LN(2)/25)*EB130+(1-EXP(-LN(2)/25))/(LN(2)/25)*Calculateur!DW131*Calculateur!DY131*VLOOKUP('Données projet'!$B$14,Paramètres!$A$1:$I$89,3,0)*0.475*44/12</f>
        <v>0.512228489992002</v>
      </c>
      <c r="EC131" s="129" t="n">
        <f aca="false">EXP(-LN(2)/2)*EC130+(1-EXP(-LN(2)/2))/(LN(2)/2)*DW131*DZ131*VLOOKUP('Données projet'!$B$14,Paramètres!$A$1:$I$89,3,0)*0.475*44/12</f>
        <v>1.08696421366962E-014</v>
      </c>
      <c r="ED131" s="130" t="n">
        <f aca="false">SUM(EA131:EC131)</f>
        <v>0.857097676271679</v>
      </c>
      <c r="EE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8" t="e">
        <f aca="false">VLOOKUP(A131,'Données projet'!$A$191:$I$211,2,0)</f>
        <v>#N/A</v>
      </c>
      <c r="EH131" s="118" t="e">
        <f aca="false">VLOOKUP(A131,'Données projet'!$A$191:$I$211,9,0)</f>
        <v>#N/A</v>
      </c>
      <c r="EI131" s="118" t="e">
        <f aca="false" t="array" ref="EI131:EI131">INDEX(EH:EH,MIN(IF(ISNUMBER(EH131:EH327),ROW(EH131:EH327),"")))</f>
        <v>#N/A</v>
      </c>
      <c r="EJ131" s="118" t="n">
        <f aca="false">IF('Données projet'!$A$192&gt;35,EJ130+EI131-ER130,IF(A131&lt;'Données projet'!$A$192,$EG$205^A131,IF(A131='Données projet'!$A$192,'Données projet'!$B$192,EJ130+EI131-ER130)))</f>
        <v>0</v>
      </c>
      <c r="EK131" s="125" t="e">
        <f aca="false">EJ131*VLOOKUP('Données projet'!$B$15,Paramètres!$A$1:$I$89,3,0)*VLOOKUP('Données projet'!$B$15,Paramètres!$A$1:$I$89,5,0)</f>
        <v>#N/A</v>
      </c>
      <c r="EL131" s="117" t="e">
        <f aca="false">EXP(-1.0587+0.8836*LN(EK131)+0.284)</f>
        <v>#N/A</v>
      </c>
      <c r="EM131" s="128" t="e">
        <f aca="false">(EK131+EL131)*0.475*44/12</f>
        <v>#N/A</v>
      </c>
      <c r="EN131" s="120" t="e">
        <f aca="false">EM131+(EE131+EF131)*44/12</f>
        <v>#N/A</v>
      </c>
      <c r="EO131" s="120" t="e">
        <f aca="true">AVERAGE(OFFSET($EN$3,0,0,'Données projet'!$E$15+1,1))-AVERAGE(OFFSET($H$3,0,0,'Données projet'!$E$15+1,1))</f>
        <v>#N/A</v>
      </c>
      <c r="EP131" s="120" t="e">
        <f aca="false">$EP$3</f>
        <v>#N/A</v>
      </c>
      <c r="EQ131" s="121" t="n">
        <f aca="false">IF(ISNA(VLOOKUP(A131,'Données projet'!$A$191:$I$211,3,0)),0,VLOOKUP(A131,'Données projet'!$A$191:$I$211,3,0))</f>
        <v>0</v>
      </c>
      <c r="ER131" s="121" t="n">
        <f aca="false">IF(ISNA(VLOOKUP(A131,'Données projet'!$A$191:$I$211,4,0)),0,VLOOKUP(A131,'Données projet'!$A$191:$I$211,4,0))</f>
        <v>0</v>
      </c>
      <c r="ES131" s="122" t="n">
        <f aca="false">IF(ISNA(VLOOKUP(A131,'Données projet'!$A$191:$I$211,5,0)),0%,VLOOKUP(A131,'Données projet'!$A$191:$I$211,5,0)*VLOOKUP('Données projet'!$B$15,Paramètres!$A$1:$I$89,7,0))</f>
        <v>0</v>
      </c>
      <c r="ET131" s="122" t="n">
        <f aca="false">IF(ISNA(VLOOKUP(A131,'Données projet'!$A$191:$I$211,6,0)),0%,VLOOKUP(A131,'Données projet'!$A$191:$I$211,6,0)*VLOOKUP('Données projet'!$B$15,Paramètres!$A$1:$I$89,7,0))</f>
        <v>0</v>
      </c>
      <c r="EU131" s="122" t="n">
        <f aca="false">IF(ISNA(VLOOKUP(A131,'Données projet'!$A$191:$I$211,7,0)),0%,VLOOKUP(A131,'Données projet'!$A$191:$I$211,7,0))</f>
        <v>0</v>
      </c>
      <c r="EV131" s="129" t="e">
        <f aca="false">EXP(-LN(2)/35)*EV130+(1-EXP(-LN(2)/35))/(LN(2)/35)*ER131*ES131*VLOOKUP('Données projet'!$B$15,Paramètres!$A$1:$I$89,3,0)*0.475*44/12</f>
        <v>#N/A</v>
      </c>
      <c r="EW131" s="129" t="e">
        <f aca="false">EXP(-LN(2)/25)*EW130+(1-EXP(-LN(2)/25))/(LN(2)/25)*Calculateur!ER131*Calculateur!ET131*VLOOKUP('Données projet'!$B$15,Paramètres!$A$1:$I$89,3,0)*0.475*44/12</f>
        <v>#N/A</v>
      </c>
      <c r="EX131" s="129" t="e">
        <f aca="false">EXP(-LN(2)/2)*EX130+(1-EXP(-LN(2)/2))/(LN(2)/2)*ER131*EU131*VLOOKUP('Données projet'!$B$15,Paramètres!$A$1:$I$89,3,0)*0.475*44/12</f>
        <v>#N/A</v>
      </c>
      <c r="EY131" s="130" t="e">
        <f aca="false">SUM(EV131:EX131)</f>
        <v>#N/A</v>
      </c>
      <c r="EZ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8" t="e">
        <f aca="false">VLOOKUP(A131,'Données projet'!$A$217:$I$237,2,0)</f>
        <v>#N/A</v>
      </c>
      <c r="FC131" s="118" t="e">
        <f aca="false">VLOOKUP(A131,'Données projet'!$A$217:$I$237,9,0)</f>
        <v>#N/A</v>
      </c>
      <c r="FD131" s="118" t="e">
        <f aca="false" t="array" ref="FD131:FD131">INDEX(FC:FC,MIN(IF(ISNUMBER(FC131:FC327),ROW(FC131:FC327),"")))</f>
        <v>#N/A</v>
      </c>
      <c r="FE131" s="118" t="n">
        <f aca="false">IF('Données projet'!$A$218&gt;35,FE130+FD131-FM130,IF(A131&lt;'Données projet'!$A$218,$FB$205^A131,IF(A131='Données projet'!$A$218,'Données projet'!$B$218,FE130+FD131-FM130)))</f>
        <v>0</v>
      </c>
      <c r="FF131" s="125" t="e">
        <f aca="false">FE131*VLOOKUP('Données projet'!$B$16,Paramètres!$A$1:$I$89,3,0)*VLOOKUP('Données projet'!$B$16,Paramètres!$A$1:$I$89,5,0)</f>
        <v>#N/A</v>
      </c>
      <c r="FG131" s="117" t="e">
        <f aca="false">EXP(-1.0587+0.8836*LN(FF131)+0.284)</f>
        <v>#N/A</v>
      </c>
      <c r="FH131" s="128" t="e">
        <f aca="false">(FF131+FG131)*0.475*44/12</f>
        <v>#N/A</v>
      </c>
      <c r="FI131" s="120" t="e">
        <f aca="false">FH131+(EZ131+FA131)*44/12</f>
        <v>#N/A</v>
      </c>
      <c r="FJ131" s="120" t="e">
        <f aca="true">AVERAGE(OFFSET($FI$3,0,0,'Données projet'!$E$16+1,1))-AVERAGE(OFFSET($H$3,0,0,'Données projet'!$E$16+1,1))</f>
        <v>#N/A</v>
      </c>
      <c r="FK131" s="120" t="e">
        <f aca="false">$FK$3</f>
        <v>#N/A</v>
      </c>
      <c r="FL131" s="121" t="n">
        <f aca="false">IF(ISNA(VLOOKUP(A131,'Données projet'!$A$217:$I$237,3,0)),0,VLOOKUP(A131,'Données projet'!$A$217:$I$237,3,0))</f>
        <v>0</v>
      </c>
      <c r="FM131" s="121" t="n">
        <f aca="false">IF(ISNA(VLOOKUP(A131,'Données projet'!$A$217:$I$237,4,0)),0,VLOOKUP(A131,'Données projet'!$A$217:$I$237,4,0))</f>
        <v>0</v>
      </c>
      <c r="FN131" s="122" t="n">
        <f aca="false">IF(ISNA(VLOOKUP(A131,'Données projet'!$A$217:$I$237,5,0)),0%,VLOOKUP(A131,'Données projet'!$A$217:$I$237,5,0)*VLOOKUP('Données projet'!$B$16,Paramètres!$A$1:$I$89,7,0))</f>
        <v>0</v>
      </c>
      <c r="FO131" s="122" t="n">
        <f aca="false">IF(ISNA(VLOOKUP(A131,'Données projet'!$A$217:$I$237,6,0)),0%,VLOOKUP(A131,'Données projet'!$A$217:$I$237,6,0)*VLOOKUP('Données projet'!$B$16,Paramètres!$A$1:$I$89,7,0))</f>
        <v>0</v>
      </c>
      <c r="FP131" s="122" t="n">
        <f aca="false">IF(ISNA(VLOOKUP(A131,'Données projet'!$A$217:$I$237,7,0)),0%,VLOOKUP(A131,'Données projet'!$A$217:$I$237,7,0))</f>
        <v>0</v>
      </c>
      <c r="FQ131" s="129" t="e">
        <f aca="false">EXP(-LN(2)/35)*FQ130+(1-EXP(-LN(2)/35))/(LN(2)/35)*FM131*FN131*VLOOKUP('Données projet'!$B$16,Paramètres!$A$1:$I$89,3,0)*0.475*44/12</f>
        <v>#N/A</v>
      </c>
      <c r="FR131" s="129" t="e">
        <f aca="false">EXP(-LN(2)/25)*FR130+(1-EXP(-LN(2)/25))/(LN(2)/25)*Calculateur!FM131*Calculateur!FO131*VLOOKUP('Données projet'!$B$16,Paramètres!$A$1:$I$89,3,0)*0.475*44/12</f>
        <v>#N/A</v>
      </c>
      <c r="FS131" s="129" t="e">
        <f aca="false">EXP(-LN(2)/2)*FS130+(1-EXP(-LN(2)/2))/(LN(2)/2)*FM131*FP131*VLOOKUP('Données projet'!$B$16,Paramètres!$A$1:$I$89,3,0)*0.475*44/12</f>
        <v>#N/A</v>
      </c>
      <c r="FT131" s="130" t="e">
        <f aca="false">SUM(FQ131:FS131)</f>
        <v>#N/A</v>
      </c>
      <c r="FU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8" t="e">
        <f aca="false">VLOOKUP(A131,'Données projet'!$A$243:$I$263,2,0)</f>
        <v>#N/A</v>
      </c>
      <c r="FX131" s="118" t="e">
        <f aca="false">VLOOKUP(A131,'Données projet'!$A$243:$I$263,9,0)</f>
        <v>#N/A</v>
      </c>
      <c r="FY131" s="118" t="e">
        <f aca="false" t="array" ref="FY131:FY131">INDEX(FX:FX,MIN(IF(ISNUMBER(FX131:FX327),ROW(FX131:FX327),"")))</f>
        <v>#N/A</v>
      </c>
      <c r="FZ131" s="118" t="n">
        <f aca="false">IF('Données projet'!$A$244&gt;35,FZ130+FY131-GH130,IF(A131&lt;'Données projet'!$A$244,$FW$205^A131,IF(A131='Données projet'!$A$244,'Données projet'!$B$244,FZ130+FY131-GH130)))</f>
        <v>0</v>
      </c>
      <c r="GA131" s="125" t="e">
        <f aca="false">FZ131*VLOOKUP('Données projet'!$B$17,Paramètres!$A$1:$I$89,3,0)*VLOOKUP('Données projet'!$B$17,Paramètres!$A$1:$I$89,5,0)</f>
        <v>#N/A</v>
      </c>
      <c r="GB131" s="117" t="e">
        <f aca="false">EXP(-1.0587+0.8836*LN(GA131)+0.284)</f>
        <v>#N/A</v>
      </c>
      <c r="GC131" s="128" t="e">
        <f aca="false">(GA131+GB131)*0.475*44/12</f>
        <v>#N/A</v>
      </c>
      <c r="GD131" s="120" t="e">
        <f aca="false">GC131+(FU131+FV131)*44/12</f>
        <v>#N/A</v>
      </c>
      <c r="GE131" s="120" t="e">
        <f aca="true">AVERAGE(OFFSET($GD$3,0,0,'Données projet'!$E$17+1,1))-AVERAGE(OFFSET($H$3,0,0,'Données projet'!$E$17+1,1))</f>
        <v>#N/A</v>
      </c>
      <c r="GF131" s="120" t="e">
        <f aca="false">$GF$3</f>
        <v>#N/A</v>
      </c>
      <c r="GG131" s="121" t="n">
        <f aca="false">IF(ISNA(VLOOKUP(A131,'Données projet'!$A$243:$I$263,3,0)),0,VLOOKUP(A131,'Données projet'!$A$243:$I$263,3,0))</f>
        <v>0</v>
      </c>
      <c r="GH131" s="121" t="n">
        <f aca="false">IF(ISNA(VLOOKUP(A131,'Données projet'!$A$243:$I$263,4,0)),0,VLOOKUP(A131,'Données projet'!$A$243:$I$263,4,0))</f>
        <v>0</v>
      </c>
      <c r="GI131" s="122" t="n">
        <f aca="false">IF(ISNA(VLOOKUP(A131,'Données projet'!$A$243:$I$263,5,0)),0%,VLOOKUP(A131,'Données projet'!$A$243:$I$263,5,0)*VLOOKUP('Données projet'!$B$17,Paramètres!$A$1:$I$89,7,0))</f>
        <v>0</v>
      </c>
      <c r="GJ131" s="122" t="n">
        <f aca="false">IF(ISNA(VLOOKUP(A131,'Données projet'!$A$243:$I$263,6,0)),0%,VLOOKUP(A131,'Données projet'!$A$243:$I$263,6,0)*VLOOKUP('Données projet'!$B$17,Paramètres!$A$1:$I$89,7,0))</f>
        <v>0</v>
      </c>
      <c r="GK131" s="122" t="n">
        <f aca="false">IF(ISNA(VLOOKUP(A131,'Données projet'!$A$243:$I$263,7,0)),0%,VLOOKUP(A131,'Données projet'!$A$243:$I$263,7,0))</f>
        <v>0</v>
      </c>
      <c r="GL131" s="129" t="e">
        <f aca="false">EXP(-LN(2)/35)*GL130+(1-EXP(-LN(2)/35))/(LN(2)/35)*GH131*GI131*VLOOKUP('Données projet'!$B$17,Paramètres!$A$1:$I$89,3,0)*0.475*44/12</f>
        <v>#N/A</v>
      </c>
      <c r="GM131" s="129" t="e">
        <f aca="false">EXP(-LN(2)/25)*GM130+(1-EXP(-LN(2)/25))/(LN(2)/25)*Calculateur!GH131*Calculateur!GJ131*VLOOKUP('Données projet'!$B$17,Paramètres!$A$1:$I$89,3,0)*0.475*44/12</f>
        <v>#N/A</v>
      </c>
      <c r="GN131" s="129" t="e">
        <f aca="false">EXP(-LN(2)/2)*GN130+(1-EXP(-LN(2)/2))/(LN(2)/2)*GH131*GK131*VLOOKUP('Données projet'!$B$17,Paramètres!$A$1:$I$89,3,0)*0.475*44/12</f>
        <v>#N/A</v>
      </c>
      <c r="GO131" s="129" t="e">
        <f aca="false">SUM(GL131:GN131)</f>
        <v>#N/A</v>
      </c>
      <c r="GP131" s="126" t="n">
        <f aca="false"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8" t="n">
        <f aca="false"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8" t="e">
        <f aca="false">VLOOKUP(A131,'Données projet'!$A$269:$I$289,2,0)</f>
        <v>#N/A</v>
      </c>
      <c r="GS131" s="118" t="e">
        <f aca="false">VLOOKUP(A131,'Données projet'!$A$269:$I$289,9,0)</f>
        <v>#N/A</v>
      </c>
      <c r="GT131" s="118" t="e">
        <f aca="false" t="array" ref="GT131:GT131">INDEX(GS:GS,MIN(IF(ISNUMBER(GS131:GS327),ROW(GS131:GS327),"")))</f>
        <v>#N/A</v>
      </c>
      <c r="GU131" s="118" t="n">
        <f aca="false">IF('Données projet'!$A$270&gt;35,GU130+GT131-HC130,IF(A131&lt;'Données projet'!$A$270,$GR$205^A131,IF(A131='Données projet'!$A$270,'Données projet'!$B$270,GU130+GT131-HC130)))</f>
        <v>0</v>
      </c>
      <c r="GV131" s="125" t="e">
        <f aca="false">GU131*VLOOKUP('Données projet'!$B$18,Paramètres!$A$1:$I$89,3,0)*VLOOKUP('Données projet'!$B$18,Paramètres!$A$1:$I$89,5,0)</f>
        <v>#N/A</v>
      </c>
      <c r="GW131" s="117" t="e">
        <f aca="false">EXP(-1.0587+0.8836*LN(GV131)+0.284)</f>
        <v>#N/A</v>
      </c>
      <c r="GX131" s="128" t="e">
        <f aca="false">(GV131+GW131)*0.475*44/12</f>
        <v>#N/A</v>
      </c>
      <c r="GY131" s="120" t="e">
        <f aca="false">GX131+(GP131+GQ131)*44/12</f>
        <v>#N/A</v>
      </c>
      <c r="GZ131" s="120" t="e">
        <f aca="true">AVERAGE(OFFSET($GY$3,0,0,'Données projet'!$E$18+1,1))-AVERAGE(OFFSET($H$3,0,0,'Données projet'!$E$18+1,1))</f>
        <v>#N/A</v>
      </c>
      <c r="HA131" s="120" t="e">
        <f aca="false">$HA$3</f>
        <v>#N/A</v>
      </c>
      <c r="HB131" s="121" t="n">
        <f aca="false">IF(ISNA(VLOOKUP(A131,'Données projet'!$A$269:$I$289,3,0)),0,VLOOKUP(A131,'Données projet'!$A$269:$I$289,3,0))</f>
        <v>0</v>
      </c>
      <c r="HC131" s="121" t="n">
        <f aca="false">IF(ISNA(VLOOKUP(A131,'Données projet'!$A$269:$I$289,4,0)),0,VLOOKUP(A131,'Données projet'!$A$269:$I$289,4,0))</f>
        <v>0</v>
      </c>
      <c r="HD131" s="122" t="n">
        <f aca="false">IF(ISNA(VLOOKUP(A131,'Données projet'!$A$269:$I$289,5,0)),0%,VLOOKUP(A131,'Données projet'!$A$269:$I$289,5,0)*VLOOKUP('Données projet'!$B$18,Paramètres!$A$1:$I$89,7,0))</f>
        <v>0</v>
      </c>
      <c r="HE131" s="122" t="n">
        <f aca="false">IF(ISNA(VLOOKUP(A131,'Données projet'!$A$269:$I$289,6,0)),0%,VLOOKUP(A131,'Données projet'!$A$269:$I$289,6,0)*VLOOKUP('Données projet'!$B$18,Paramètres!$A$1:$I$89,7,0))</f>
        <v>0</v>
      </c>
      <c r="HF131" s="122" t="n">
        <f aca="false">IF(ISNA(VLOOKUP(A131,'Données projet'!$A$269:$I$289,7,0)),0%,VLOOKUP(A131,'Données projet'!$A$269:$I$289,7,0))</f>
        <v>0</v>
      </c>
      <c r="HG131" s="129" t="e">
        <f aca="false">EXP(-LN(2)/35)*HG130+(1-EXP(-LN(2)/35))/(LN(2)/35)*HC131*HD131*VLOOKUP('Données projet'!$B$18,Paramètres!$A$1:$I$89,3,0)*0.475*44/12</f>
        <v>#N/A</v>
      </c>
      <c r="HH131" s="129" t="e">
        <f aca="false">EXP(-LN(2)/25)*HH130+(1-EXP(-LN(2)/25))/(LN(2)/25)*Calculateur!HC131*Calculateur!HE131*VLOOKUP('Données projet'!$B$18,Paramètres!$A$1:$I$89,3,0)*0.475*44/12</f>
        <v>#N/A</v>
      </c>
      <c r="HI131" s="129" t="e">
        <f aca="false">EXP(-LN(2)/2)*HI130+(1-EXP(-LN(2)/2))/(LN(2)/2)*HC131*HF131*VLOOKUP('Données projet'!$B$18,Paramètres!$A$1:$I$89,3,0)*0.475*44/12</f>
        <v>#N/A</v>
      </c>
      <c r="HJ131" s="130" t="e">
        <f aca="false">SUM(HG131:HI131)</f>
        <v>#N/A</v>
      </c>
    </row>
    <row r="132" customFormat="false" ht="14.25" hidden="false" customHeight="false" outlineLevel="0" collapsed="false">
      <c r="A132" s="112" t="n">
        <f aca="false">A131+1</f>
        <v>129</v>
      </c>
      <c r="B132" s="113" t="n">
        <f aca="false">'Scénario référence'!$B$16*5+'Scénario référence'!$B$17*0+'Scénario référence'!$B$18*5</f>
        <v>0</v>
      </c>
      <c r="C132" s="127" t="n">
        <f aca="false"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4" t="n">
        <f aca="false">IFERROR(EXP(-1.0587+0.8836*LN(C132)+0.284),0)</f>
        <v>0</v>
      </c>
      <c r="E13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2" s="114" t="n">
        <f aca="false">IF(OR('Scénario référence'!$F$8&gt;0,'Scénario référence'!$F$9&gt;0),('Scénario référence'!$F$8+'Scénario référence'!$F$9)*10,0)</f>
        <v>0</v>
      </c>
      <c r="G132" s="114" t="n">
        <f aca="false"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15" t="n">
        <f aca="false">(B132+E132+F132)*44/12+(C132+D132)*0.475*44/12</f>
        <v>256.666666666667</v>
      </c>
      <c r="I132" s="11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7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8" t="e">
        <f aca="false">VLOOKUP(A132,'Données projet'!$A$35:$I$55,2,0)</f>
        <v>#N/A</v>
      </c>
      <c r="L132" s="118" t="e">
        <f aca="false">VLOOKUP(A132,'Données projet'!$A$35:$I$55,9,0)</f>
        <v>#N/A</v>
      </c>
      <c r="M132" s="118" t="e">
        <f aca="false" t="array" ref="M132:M132">INDEX(L:L,MIN(IF(ISNUMBER(L132:L328),ROW(L132:L328),"")))</f>
        <v>#N/A</v>
      </c>
      <c r="N132" s="117" t="n">
        <f aca="false">IF('Données projet'!$A$36&gt;35,N131+M132-V131,IF(A132&lt;'Données projet'!$A$36,$K$205^A132,IF(A132='Données projet'!$A$36,'Données projet'!$B$36,N131+M132-V131)))</f>
        <v>-1.13686837721616E-013</v>
      </c>
      <c r="O132" s="117" t="n">
        <f aca="false">N132*VLOOKUP('Données projet'!$B$9,Paramètres!$A$1:$I$89,3,0)*VLOOKUP('Données projet'!$B$9,Paramètres!$A$1:$I$89,5,0)</f>
        <v>-5.32054400537163E-014</v>
      </c>
      <c r="P132" s="117" t="e">
        <f aca="false">EXP(-1.0587+0.8836*LN(O132)+0.284)</f>
        <v>#VALUE!</v>
      </c>
      <c r="Q132" s="128" t="e">
        <f aca="false">(O132+P132)*0.475*44/12</f>
        <v>#VALUE!</v>
      </c>
      <c r="R132" s="120" t="e">
        <f aca="false">Q132+(I132+J132)*44/12</f>
        <v>#VALUE!</v>
      </c>
      <c r="S132" s="120" t="n">
        <f aca="true">AVERAGE(OFFSET($R$3,0,0,'Données projet'!$E$9+1,1))-AVERAGE(OFFSET($H$3,0,0,'Données projet'!$E$9+1,1))</f>
        <v>319.229030946746</v>
      </c>
      <c r="T132" s="120" t="n">
        <f aca="false">$T$3</f>
        <v>254.586909731428</v>
      </c>
      <c r="U132" s="121" t="n">
        <f aca="false">IF(ISNA(VLOOKUP(A132,'Données projet'!$A$35:$I$55,3,0)),0,VLOOKUP(A132,'Données projet'!$A$35:$I$55,3,0))</f>
        <v>0</v>
      </c>
      <c r="V132" s="121" t="n">
        <f aca="false">IF(ISNA(VLOOKUP(A132,'Données projet'!$A$35:$I$55,4,0)),0,VLOOKUP(A132,'Données projet'!$A$35:$I$55,4,0))</f>
        <v>0</v>
      </c>
      <c r="W132" s="122" t="n">
        <f aca="false">IF(ISNA(VLOOKUP(A132,'Données projet'!$A$35:$I$55,5,0)),0%,VLOOKUP(A132,'Données projet'!$A$35:$I$55,5,0)*VLOOKUP('Données projet'!$B$9,Paramètres!$A$1:$I$89,7,0))</f>
        <v>0</v>
      </c>
      <c r="X132" s="122" t="n">
        <f aca="false">IF(ISNA(VLOOKUP(A132,'Données projet'!$A$35:$I$55,6,0)),0%,VLOOKUP(A132,'Données projet'!$A$35:$I$55,6,0)*VLOOKUP('Données projet'!$B$9,Paramètres!$A$1:$I$89,7,0))</f>
        <v>0</v>
      </c>
      <c r="Y132" s="122" t="n">
        <f aca="false">IF(ISNA(VLOOKUP(A132,'Données projet'!$A$35:$I$55,7,0)),0%,VLOOKUP(A132,'Données projet'!$A$35:$I$55,7,0))</f>
        <v>0</v>
      </c>
      <c r="Z132" s="129" t="n">
        <f aca="false">EXP(-LN(2)/35)*Z131+(1-EXP(-LN(2)/35))/(LN(2)/35)*V132*W132*VLOOKUP('Données projet'!$B$9,Paramètres!$A$1:$I$89,3,0)*0.475*44/12</f>
        <v>1.27766688813938</v>
      </c>
      <c r="AA132" s="129" t="n">
        <f aca="false">EXP(-LN(2)/25)*AA131+(1-EXP(-LN(2)/25))/(LN(2)/25)*Calculateur!V132*Calculateur!X132*VLOOKUP('Données projet'!$B$9,Paramètres!$A$1:$I$89,3,0)*0.475*44/12</f>
        <v>0.716551656265516</v>
      </c>
      <c r="AB132" s="129" t="n">
        <f aca="false">EXP(-LN(2)/2)*AB131+(1-EXP(-LN(2)/2))/(LN(2)/2)*V132*Y132*VLOOKUP('Données projet'!$B$9,Paramètres!$A$1:$I$89,3,0)*0.475*44/12</f>
        <v>1.3870986402871E-014</v>
      </c>
      <c r="AC132" s="130" t="n">
        <f aca="false">SUM(Z132:AB132)</f>
        <v>1.99421854440491</v>
      </c>
      <c r="AD132" s="117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7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8" t="e">
        <f aca="false">VLOOKUP(A132,'Données projet'!$A$61:$I$81,2,0)</f>
        <v>#N/A</v>
      </c>
      <c r="AG132" s="118" t="e">
        <f aca="false">VLOOKUP(A132,'Données projet'!$A$61:$I$81,9,0)</f>
        <v>#N/A</v>
      </c>
      <c r="AH132" s="118" t="e">
        <f aca="false" t="array" ref="AH132:AH132">INDEX(AG:AG,MIN(IF(ISNUMBER(AG132:AG328),ROW(AG132:AG328),"")))</f>
        <v>#N/A</v>
      </c>
      <c r="AI132" s="117" t="n">
        <f aca="false">IF('Données projet'!$A$62&gt;35,AI131+AH132-AQ131,IF(A132&lt;'Données projet'!$A$62,$AF$205^A132,IF(A132='Données projet'!$A$62,'Données projet'!$B$62,AI131+AH132-AQ131)))</f>
        <v>1.13686837721616E-013</v>
      </c>
      <c r="AJ132" s="117" t="n">
        <f aca="false">AI132*VLOOKUP('Données projet'!$B$10,Paramètres!$A$1:$I$89,3,0)*VLOOKUP('Données projet'!$B$10,Paramètres!$A$1:$I$89,5,0)</f>
        <v>6.35509422863834E-014</v>
      </c>
      <c r="AK132" s="117" t="n">
        <f aca="false">EXP(-1.0587+0.8836*LN(AJ132)+0.284)</f>
        <v>1.0064464192544E-012</v>
      </c>
      <c r="AL132" s="128" t="n">
        <f aca="false">(AJ132+AK132)*0.475*44/12</f>
        <v>1.86357873801686E-012</v>
      </c>
      <c r="AM132" s="120" t="n">
        <f aca="false">AL132+(AD132+AE132)*44/12</f>
        <v>293.333333333335</v>
      </c>
      <c r="AN132" s="120" t="n">
        <f aca="true">AVERAGE(OFFSET($AM$3,0,0,'Données projet'!$E$10+1,1))-AVERAGE(OFFSET($H$3,0,0,'Données projet'!$E$10+1,1))</f>
        <v>365.705101827279</v>
      </c>
      <c r="AO132" s="120" t="n">
        <f aca="false">$AO$3</f>
        <v>436.238338449625</v>
      </c>
      <c r="AP132" s="121" t="n">
        <f aca="false">IF(ISNA(VLOOKUP(A132,'Données projet'!$A$61:$I$81,3,0)),0,VLOOKUP(A132,'Données projet'!$A$61:$I$81,3,0))</f>
        <v>0</v>
      </c>
      <c r="AQ132" s="121" t="n">
        <f aca="false">IF(ISNA(VLOOKUP(A132,'Données projet'!$A$61:$I$81,4,0)),0,VLOOKUP(A132,'Données projet'!$A$61:$I$81,4,0))</f>
        <v>0</v>
      </c>
      <c r="AR132" s="122" t="n">
        <f aca="false">IF(ISNA(VLOOKUP(A132,'Données projet'!$A$61:$I$81,5,0)),0%,VLOOKUP(A132,'Données projet'!$A$61:$I$81,5,0)*VLOOKUP('Données projet'!$B$10,Paramètres!$A$1:$I$89,7,0))</f>
        <v>0</v>
      </c>
      <c r="AS132" s="122" t="n">
        <f aca="false">IF(ISNA(VLOOKUP(A132,'Données projet'!$A$61:$I$81,6,0)),0%,VLOOKUP(A132,'Données projet'!$A$61:$I$81,6,0)*VLOOKUP('Données projet'!$B$10,Paramètres!$A$1:$I$89,7,0))</f>
        <v>0</v>
      </c>
      <c r="AT132" s="122" t="n">
        <f aca="false">IF(ISNA(VLOOKUP(A132,'Données projet'!$A$61:$I$81,7,0)),0%,VLOOKUP(A132,'Données projet'!$A$61:$I$81,7,0))</f>
        <v>0</v>
      </c>
      <c r="AU132" s="129" t="n">
        <f aca="false">EXP(-LN(2)/35)*AU131+(1-EXP(-LN(2)/35))/(LN(2)/35)*AQ132*AR132*VLOOKUP('Données projet'!$B$10,Paramètres!$A$1:$I$89,3,0)*0.475*44/12</f>
        <v>0.482277826511025</v>
      </c>
      <c r="AV132" s="129" t="n">
        <f aca="false">EXP(-LN(2)/25)*AV131+(1-EXP(-LN(2)/25))/(LN(2)/25)*Calculateur!AQ132*Calculateur!AS132*VLOOKUP('Données projet'!$B$10,Paramètres!$A$1:$I$89,3,0)*0.475*44/12</f>
        <v>0.848716692986647</v>
      </c>
      <c r="AW132" s="129" t="n">
        <f aca="false">EXP(-LN(2)/2)*AW131+(1-EXP(-LN(2)/2))/(LN(2)/2)*AQ132*AT132*VLOOKUP('Données projet'!$B$10,Paramètres!$A$1:$I$89,3,0)*0.475*44/12</f>
        <v>7.46493134770747E-015</v>
      </c>
      <c r="AX132" s="129" t="n">
        <f aca="false">SUM(AU132:AW132)</f>
        <v>1.33099451949768</v>
      </c>
      <c r="AY132" s="124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8" t="e">
        <f aca="false">VLOOKUP(A132,'Données projet'!$A$87:$I$107,2,0)</f>
        <v>#N/A</v>
      </c>
      <c r="BB132" s="118" t="e">
        <f aca="false">VLOOKUP(A132,'Données projet'!$A$87:$I$107,9,0)</f>
        <v>#N/A</v>
      </c>
      <c r="BC132" s="118" t="e">
        <f aca="false" t="array" ref="BC132:BC132">INDEX(BB:BB,MIN(IF(ISNUMBER(BB132:BB328),ROW(BB132:BB328),"")))</f>
        <v>#N/A</v>
      </c>
      <c r="BD132" s="118" t="n">
        <f aca="false">IF('Données projet'!$A$88&gt;35,BD131+BC132-BL131,IF(A132&lt;'Données projet'!$A$88,$BA$205^A132,IF(A132='Données projet'!$A$88,'Données projet'!$B$88,BD131+BC132-BL131)))</f>
        <v>1.98951966012828E-013</v>
      </c>
      <c r="BE132" s="117" t="n">
        <f aca="false">BD132*VLOOKUP('Données projet'!$B$11,Paramètres!$A$1:$I$89,3,0)*VLOOKUP('Données projet'!$B$11,Paramètres!$A$1:$I$89,5,0)</f>
        <v>1.73804437508807E-013</v>
      </c>
      <c r="BF132" s="117" t="n">
        <f aca="false">EXP(-1.0587+0.8836*LN(BE132)+0.284)</f>
        <v>2.44832936339505E-012</v>
      </c>
      <c r="BG132" s="128" t="n">
        <f aca="false">(BE132+BF132)*0.475*44/12</f>
        <v>4.56688303657421E-012</v>
      </c>
      <c r="BH132" s="120" t="n">
        <f aca="false">BG132+(AY132+AZ132)*44/12</f>
        <v>293.333333333338</v>
      </c>
      <c r="BI132" s="120" t="n">
        <f aca="true">AVERAGE(OFFSET($BH$3,0,0,'Données projet'!$E$11+1,1))-AVERAGE(OFFSET($H$3,0,0,'Données projet'!$E$11+1,1))</f>
        <v>321.235999689929</v>
      </c>
      <c r="BJ132" s="120" t="n">
        <f aca="false">$BJ$3</f>
        <v>388.051958478005</v>
      </c>
      <c r="BK132" s="121" t="n">
        <f aca="false">IF(ISNA(VLOOKUP(A132,'Données projet'!$A$87:$I$107,3,0)),0,VLOOKUP(A132,'Données projet'!$A$87:$I$107,3,0))</f>
        <v>0</v>
      </c>
      <c r="BL132" s="121" t="n">
        <f aca="false">IF(ISNA(VLOOKUP(A132,'Données projet'!$A$87:$I$107,4,0)),0,VLOOKUP(A132,'Données projet'!$A$87:$I$107,4,0))</f>
        <v>0</v>
      </c>
      <c r="BM132" s="122" t="n">
        <f aca="false">IF(ISNA(VLOOKUP(A132,'Données projet'!$A$87:$I$107,5,0)),0%,VLOOKUP(A132,'Données projet'!$A$87:$I$107,5,0)*VLOOKUP('Données projet'!$B$11,Paramètres!$A$1:$I$89,7,0))</f>
        <v>0</v>
      </c>
      <c r="BN132" s="122" t="n">
        <f aca="false">IF(ISNA(VLOOKUP(A132,'Données projet'!$A$87:$I$107,6,0)),0%,VLOOKUP(A132,'Données projet'!$A$87:$I$107,6,0)*VLOOKUP('Données projet'!$B$11,Paramètres!$A$1:$I$89,7,0))</f>
        <v>0</v>
      </c>
      <c r="BO132" s="122" t="n">
        <f aca="false">IF(ISNA(VLOOKUP(A132,'Données projet'!$A$87:$I$107,7,0)),0%,VLOOKUP(A132,'Données projet'!$A$87:$I$107,7,0))</f>
        <v>0</v>
      </c>
      <c r="BP132" s="129" t="n">
        <f aca="false">EXP(-LN(2)/35)*BP131+(1-EXP(-LN(2)/35))/(LN(2)/35)*BL132*BM132*VLOOKUP('Données projet'!$B$11,Paramètres!$A$1:$I$89,3,0)*0.475*44/12</f>
        <v>1.210817008811</v>
      </c>
      <c r="BQ132" s="129" t="n">
        <f aca="false">EXP(-LN(2)/25)*BQ131+(1-EXP(-LN(2)/25))/(LN(2)/25)*Calculateur!BL132*Calculateur!BN132*VLOOKUP('Données projet'!$B$11,Paramètres!$A$1:$I$89,3,0)*0.475*44/12</f>
        <v>0.866319589545949</v>
      </c>
      <c r="BR132" s="129" t="n">
        <f aca="false">EXP(-LN(2)/2)*BR131+(1-EXP(-LN(2)/2))/(LN(2)/2)*BL132*BO132*VLOOKUP('Données projet'!$B$11,Paramètres!$A$1:$I$89,3,0)*0.475*44/12</f>
        <v>7.58794755376705E-015</v>
      </c>
      <c r="BS132" s="130" t="n">
        <f aca="false">SUM(BP132:BR132)</f>
        <v>2.07713659835695</v>
      </c>
      <c r="BT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8" t="e">
        <f aca="false">VLOOKUP(A132,'Données projet'!$A$113:$I$133,2,0)</f>
        <v>#N/A</v>
      </c>
      <c r="BW132" s="118" t="e">
        <f aca="false">VLOOKUP(A132,'Données projet'!$A$113:$I$133,9,0)</f>
        <v>#N/A</v>
      </c>
      <c r="BX132" s="118" t="e">
        <f aca="false" t="array" ref="BX132:BX132">INDEX(BW:BW,MIN(IF(ISNUMBER(BW132:BW328),ROW(BW132:BW328),"")))</f>
        <v>#N/A</v>
      </c>
      <c r="BY132" s="118" t="n">
        <f aca="false">IF('Données projet'!$A$114&gt;35,BY131+BX132-CG131,IF(A132&lt;'Données projet'!$A$114,$BV$205^A132,IF(A132='Données projet'!$A$114,'Données projet'!$B$114,BY131+BX132-CG131)))</f>
        <v>0</v>
      </c>
      <c r="BZ132" s="117" t="n">
        <f aca="false">BY132*VLOOKUP('Données projet'!$B$12,Paramètres!$A$1:$I$89,3,0)*VLOOKUP('Données projet'!$B$12,Paramètres!$A$1:$I$89,5,0)</f>
        <v>0</v>
      </c>
      <c r="CA132" s="117" t="e">
        <f aca="false">EXP(-1.0587+0.8836*LN(BZ132)+0.284)</f>
        <v>#VALUE!</v>
      </c>
      <c r="CB132" s="128" t="e">
        <f aca="false">(BZ132+CA132)*0.475*44/12</f>
        <v>#VALUE!</v>
      </c>
      <c r="CC132" s="120" t="e">
        <f aca="false">CB132+(BT132+BU132)*44/12</f>
        <v>#VALUE!</v>
      </c>
      <c r="CD132" s="120" t="n">
        <f aca="true">AVERAGE(OFFSET($CC$3,0,0,'Données projet'!$E$12+1,1))-AVERAGE(OFFSET($H$3,0,0,'Données projet'!$E$12+1,1))</f>
        <v>240.228848647662</v>
      </c>
      <c r="CE132" s="120" t="n">
        <f aca="false">$CE$3</f>
        <v>343.237768841432</v>
      </c>
      <c r="CF132" s="121" t="n">
        <f aca="false">IF(ISNA(VLOOKUP(A132,'Données projet'!$A$113:$I$133,3,0)),0,VLOOKUP(A132,'Données projet'!$A$113:$I$133,3,0))</f>
        <v>0</v>
      </c>
      <c r="CG132" s="121" t="n">
        <f aca="false">IF(ISNA(VLOOKUP(A132,'Données projet'!$A$113:$I$133,4,0)),0,VLOOKUP(A132,'Données projet'!$A$113:$I$133,4,0))</f>
        <v>0</v>
      </c>
      <c r="CH132" s="122" t="n">
        <f aca="false">IF(ISNA(VLOOKUP(A132,'Données projet'!$A$113:$I$133,5,0)),0%,VLOOKUP(A132,'Données projet'!$A$113:$I$133,5,0)*VLOOKUP('Données projet'!$B$12,Paramètres!$A$1:$I$89,7,0))</f>
        <v>0</v>
      </c>
      <c r="CI132" s="122" t="n">
        <f aca="false">IF(ISNA(VLOOKUP(A132,'Données projet'!$A$113:$I$133,6,0)),0%,VLOOKUP(A132,'Données projet'!$A$113:$I$133,6,0)*VLOOKUP('Données projet'!$B$12,Paramètres!$A$1:$I$89,7,0))</f>
        <v>0</v>
      </c>
      <c r="CJ132" s="122" t="n">
        <f aca="false">IF(ISNA(VLOOKUP(A132,'Données projet'!$A$113:$I$133,7,0)),0%,VLOOKUP(A132,'Données projet'!$A$113:$I$133,7,0))</f>
        <v>0</v>
      </c>
      <c r="CK132" s="129" t="n">
        <f aca="false">EXP(-LN(2)/35)*CK131+(1-EXP(-LN(2)/35))/(LN(2)/35)*CG132*CH132*VLOOKUP('Données projet'!$B$12,Paramètres!$A$1:$I$89,3,0)*0.475*44/12</f>
        <v>0.741114340467562</v>
      </c>
      <c r="CL132" s="129" t="n">
        <f aca="false">EXP(-LN(2)/25)*CL131+(1-EXP(-LN(2)/25))/(LN(2)/25)*Calculateur!CG132*Calculateur!CI132*VLOOKUP('Données projet'!$B$12,Paramètres!$A$1:$I$89,3,0)*0.475*44/12</f>
        <v>1.52997054628101</v>
      </c>
      <c r="CM132" s="129" t="n">
        <f aca="false">EXP(-LN(2)/2)*CM131+(1-EXP(-LN(2)/2))/(LN(2)/2)*CG132*CJ132*VLOOKUP('Données projet'!$B$12,Paramètres!$A$1:$I$89,3,0)*0.475*44/12</f>
        <v>1.21083413501539E-014</v>
      </c>
      <c r="CN132" s="130" t="n">
        <f aca="false">SUM(CK132:CM132)</f>
        <v>2.27108488674859</v>
      </c>
      <c r="CO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8" t="e">
        <f aca="false">VLOOKUP(A132,'Données projet'!$A$139:$I$159,2,0)</f>
        <v>#N/A</v>
      </c>
      <c r="CR132" s="118" t="e">
        <f aca="false">VLOOKUP(A132,'Données projet'!$A$139:$I$159,9,0)</f>
        <v>#N/A</v>
      </c>
      <c r="CS132" s="118" t="e">
        <f aca="false" t="array" ref="CS132:CS132">INDEX(CR:CR,MIN(IF(ISNUMBER(CR132:CR328),ROW(CR132:CR328),"")))</f>
        <v>#N/A</v>
      </c>
      <c r="CT132" s="118" t="n">
        <f aca="false">IF('Données projet'!$A$140&gt;35,CT131+CS132-DB131,IF(A132&lt;'Données projet'!$A$140,$CQ$205^A132,IF(A132='Données projet'!$A$140,'Données projet'!$B$140,CT131+CS132-DB131)))</f>
        <v>-5.6843418860808E-014</v>
      </c>
      <c r="CU132" s="125" t="n">
        <f aca="false">CT132*VLOOKUP('Données projet'!$B$13,Paramètres!$A$1:$I$89,3,0)*VLOOKUP('Données projet'!$B$13,Paramètres!$A$1:$I$89,5,0)</f>
        <v>-3.10365066980012E-014</v>
      </c>
      <c r="CV132" s="117" t="e">
        <f aca="false">EXP(-1.0587+0.8836*LN(CU132)+0.284)</f>
        <v>#VALUE!</v>
      </c>
      <c r="CW132" s="128" t="e">
        <f aca="false">(CU132+CV132)*0.475*44/12</f>
        <v>#VALUE!</v>
      </c>
      <c r="CX132" s="120" t="e">
        <f aca="false">CW132+(CO132+CP132)*44/12</f>
        <v>#VALUE!</v>
      </c>
      <c r="CY132" s="120" t="n">
        <f aca="true">AVERAGE(OFFSET($CX$3,0,0,'Données projet'!$E$13+1,1))-AVERAGE(OFFSET($H$3,0,0,'Données projet'!$E$13+1,1))</f>
        <v>207.023069645676</v>
      </c>
      <c r="CZ132" s="120" t="n">
        <f aca="false">$CZ$3</f>
        <v>342.068879333518</v>
      </c>
      <c r="DA132" s="121" t="n">
        <f aca="false">IF(ISNA(VLOOKUP(A132,'Données projet'!$A$139:$I$159,3,0)),0,VLOOKUP(A132,'Données projet'!$A$139:$I$159,3,0))</f>
        <v>0</v>
      </c>
      <c r="DB132" s="121" t="n">
        <f aca="false">IF(ISNA(VLOOKUP(A132,'Données projet'!$A$139:$I$159,4,0)),0,VLOOKUP(A132,'Données projet'!$A$139:$I$159,4,0))</f>
        <v>0</v>
      </c>
      <c r="DC132" s="122" t="n">
        <f aca="false">IF(ISNA(VLOOKUP(A132,'Données projet'!$A$139:$I$159,5,0)),0%,VLOOKUP(A132,'Données projet'!$A$139:$I$159,5,0)*VLOOKUP('Données projet'!$B$13,Paramètres!$A$1:$I$89,7,0))</f>
        <v>0</v>
      </c>
      <c r="DD132" s="122" t="n">
        <f aca="false">IF(ISNA(VLOOKUP(A132,'Données projet'!$A$139:$I$159,6,0)),0%,VLOOKUP(A132,'Données projet'!$A$139:$I$159,6,0)*VLOOKUP('Données projet'!$B$13,Paramètres!$A$1:$I$89,7,0))</f>
        <v>0</v>
      </c>
      <c r="DE132" s="122" t="n">
        <f aca="false">IF(ISNA(VLOOKUP(A132,'Données projet'!$A$139:$I$159,7,0)),0%,VLOOKUP(A132,'Données projet'!$A$139:$I$159,7,0))</f>
        <v>0</v>
      </c>
      <c r="DF132" s="129" t="n">
        <f aca="false">EXP(-LN(2)/35)*DF131+(1-EXP(-LN(2)/35))/(LN(2)/35)*DB132*DC132*VLOOKUP('Données projet'!$B$13,Paramètres!$A$1:$I$89,3,0)*0.475*44/12</f>
        <v>0.929888747945148</v>
      </c>
      <c r="DG132" s="129" t="n">
        <f aca="false">EXP(-LN(2)/25)*DG131+(1-EXP(-LN(2)/25))/(LN(2)/25)*Calculateur!DB132*Calculateur!DD132*VLOOKUP('Données projet'!$B$13,Paramètres!$A$1:$I$89,3,0)*0.475*44/12</f>
        <v>2.50086462753202</v>
      </c>
      <c r="DH132" s="129" t="n">
        <f aca="false">EXP(-LN(2)/2)*DH131+(1-EXP(-LN(2)/2))/(LN(2)/2)*DB132*DE132*VLOOKUP('Données projet'!$B$13,Paramètres!$A$1:$I$89,3,0)*0.475*44/12</f>
        <v>1.66731916528939E-014</v>
      </c>
      <c r="DI132" s="130" t="n">
        <f aca="false">SUM(DF132:DH132)</f>
        <v>3.43075337547719</v>
      </c>
      <c r="DJ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8" t="e">
        <f aca="false">VLOOKUP(A132,'Données projet'!$A$165:$I$185,2,0)</f>
        <v>#N/A</v>
      </c>
      <c r="DM132" s="118" t="e">
        <f aca="false">VLOOKUP(A132,'Données projet'!$A$165:$I$185,9,0)</f>
        <v>#N/A</v>
      </c>
      <c r="DN132" s="118" t="e">
        <f aca="false" t="array" ref="DN132:DN132">INDEX(DM:DM,MIN(IF(ISNUMBER(DM132:DM328),ROW(DM132:DM328),"")))</f>
        <v>#N/A</v>
      </c>
      <c r="DO132" s="118" t="n">
        <f aca="false">IF('Données projet'!$A$166&gt;35,DO131+DN132-DW131,IF(A132&lt;'Données projet'!$A$166,$DL$205^A132,IF(A132='Données projet'!$A$166,'Données projet'!$B$166,DO131+DN132-DW131)))</f>
        <v>0</v>
      </c>
      <c r="DP132" s="125" t="n">
        <f aca="false">DO132*VLOOKUP('Données projet'!$B$14,Paramètres!$A$1:$I$89,3,0)*VLOOKUP('Données projet'!$B$14,Paramètres!$A$1:$I$89,5,0)</f>
        <v>0</v>
      </c>
      <c r="DQ132" s="117" t="e">
        <f aca="false">EXP(-1.0587+0.8836*LN(DP132)+0.284)</f>
        <v>#VALUE!</v>
      </c>
      <c r="DR132" s="128" t="e">
        <f aca="false">(DP132+DQ132)*0.475*44/12</f>
        <v>#VALUE!</v>
      </c>
      <c r="DS132" s="120" t="e">
        <f aca="false">DR132+(DJ132+DK132)*44/12</f>
        <v>#VALUE!</v>
      </c>
      <c r="DT132" s="120" t="n">
        <f aca="true">AVERAGE(OFFSET($DS$3,0,0,'Données projet'!$E$14+1,1))-AVERAGE(OFFSET($H$3,0,0,'Données projet'!$E$14+1,1))</f>
        <v>549.432320957297</v>
      </c>
      <c r="DU132" s="120" t="n">
        <f aca="false">$DU$3</f>
        <v>280.26155987301</v>
      </c>
      <c r="DV132" s="121" t="n">
        <f aca="false">IF(ISNA(VLOOKUP(A132,'Données projet'!$A$165:$I$185,3,0)),0,VLOOKUP(A132,'Données projet'!$A$165:$I$185,3,0))</f>
        <v>0</v>
      </c>
      <c r="DW132" s="121" t="n">
        <f aca="false">IF(ISNA(VLOOKUP(A132,'Données projet'!$A$165:$I$185,4,0)),0,VLOOKUP(A132,'Données projet'!$A$165:$I$185,4,0))</f>
        <v>0</v>
      </c>
      <c r="DX132" s="122" t="n">
        <f aca="false">IF(ISNA(VLOOKUP(A132,'Données projet'!$A$165:$I$185,5,0)),0%,VLOOKUP(A132,'Données projet'!$A$165:$I$185,5,0)*VLOOKUP('Données projet'!$B$14,Paramètres!$A$1:$I$89,7,0))</f>
        <v>0</v>
      </c>
      <c r="DY132" s="122" t="n">
        <f aca="false">IF(ISNA(VLOOKUP(A132,'Données projet'!$A$165:$I$185,6,0)),0%,VLOOKUP(A132,'Données projet'!$A$165:$I$185,6,0)*VLOOKUP('Données projet'!$B$14,Paramètres!$A$1:$I$89,7,0))</f>
        <v>0</v>
      </c>
      <c r="DZ132" s="122" t="n">
        <f aca="false">IF(ISNA(VLOOKUP(A132,'Données projet'!$A$165:$I$185,7,0)),0%,VLOOKUP(A132,'Données projet'!$A$165:$I$185,7,0))</f>
        <v>0</v>
      </c>
      <c r="EA132" s="129" t="n">
        <f aca="false">EXP(-LN(2)/35)*EA131+(1-EXP(-LN(2)/35))/(LN(2)/35)*DW132*DX132*VLOOKUP('Données projet'!$B$14,Paramètres!$A$1:$I$89,3,0)*0.475*44/12</f>
        <v>0.338106511886156</v>
      </c>
      <c r="EB132" s="129" t="n">
        <f aca="false">EXP(-LN(2)/25)*EB131+(1-EXP(-LN(2)/25))/(LN(2)/25)*Calculateur!DW132*Calculateur!DY132*VLOOKUP('Données projet'!$B$14,Paramètres!$A$1:$I$89,3,0)*0.475*44/12</f>
        <v>0.498221574996245</v>
      </c>
      <c r="EC132" s="129" t="n">
        <f aca="false">EXP(-LN(2)/2)*EC131+(1-EXP(-LN(2)/2))/(LN(2)/2)*DW132*DZ132*VLOOKUP('Données projet'!$B$14,Paramètres!$A$1:$I$89,3,0)*0.475*44/12</f>
        <v>7.68599766392894E-015</v>
      </c>
      <c r="ED132" s="130" t="n">
        <f aca="false">SUM(EA132:EC132)</f>
        <v>0.836328086882408</v>
      </c>
      <c r="EE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8" t="e">
        <f aca="false">VLOOKUP(A132,'Données projet'!$A$191:$I$211,2,0)</f>
        <v>#N/A</v>
      </c>
      <c r="EH132" s="118" t="e">
        <f aca="false">VLOOKUP(A132,'Données projet'!$A$191:$I$211,9,0)</f>
        <v>#N/A</v>
      </c>
      <c r="EI132" s="118" t="e">
        <f aca="false" t="array" ref="EI132:EI132">INDEX(EH:EH,MIN(IF(ISNUMBER(EH132:EH328),ROW(EH132:EH328),"")))</f>
        <v>#N/A</v>
      </c>
      <c r="EJ132" s="118" t="n">
        <f aca="false">IF('Données projet'!$A$192&gt;35,EJ131+EI132-ER131,IF(A132&lt;'Données projet'!$A$192,$EG$205^A132,IF(A132='Données projet'!$A$192,'Données projet'!$B$192,EJ131+EI132-ER131)))</f>
        <v>0</v>
      </c>
      <c r="EK132" s="125" t="e">
        <f aca="false">EJ132*VLOOKUP('Données projet'!$B$15,Paramètres!$A$1:$I$89,3,0)*VLOOKUP('Données projet'!$B$15,Paramètres!$A$1:$I$89,5,0)</f>
        <v>#N/A</v>
      </c>
      <c r="EL132" s="117" t="e">
        <f aca="false">EXP(-1.0587+0.8836*LN(EK132)+0.284)</f>
        <v>#N/A</v>
      </c>
      <c r="EM132" s="128" t="e">
        <f aca="false">(EK132+EL132)*0.475*44/12</f>
        <v>#N/A</v>
      </c>
      <c r="EN132" s="120" t="e">
        <f aca="false">EM132+(EE132+EF132)*44/12</f>
        <v>#N/A</v>
      </c>
      <c r="EO132" s="120" t="e">
        <f aca="true">AVERAGE(OFFSET($EN$3,0,0,'Données projet'!$E$15+1,1))-AVERAGE(OFFSET($H$3,0,0,'Données projet'!$E$15+1,1))</f>
        <v>#N/A</v>
      </c>
      <c r="EP132" s="120" t="e">
        <f aca="false">$EP$3</f>
        <v>#N/A</v>
      </c>
      <c r="EQ132" s="121" t="n">
        <f aca="false">IF(ISNA(VLOOKUP(A132,'Données projet'!$A$191:$I$211,3,0)),0,VLOOKUP(A132,'Données projet'!$A$191:$I$211,3,0))</f>
        <v>0</v>
      </c>
      <c r="ER132" s="121" t="n">
        <f aca="false">IF(ISNA(VLOOKUP(A132,'Données projet'!$A$191:$I$211,4,0)),0,VLOOKUP(A132,'Données projet'!$A$191:$I$211,4,0))</f>
        <v>0</v>
      </c>
      <c r="ES132" s="122" t="n">
        <f aca="false">IF(ISNA(VLOOKUP(A132,'Données projet'!$A$191:$I$211,5,0)),0%,VLOOKUP(A132,'Données projet'!$A$191:$I$211,5,0)*VLOOKUP('Données projet'!$B$15,Paramètres!$A$1:$I$89,7,0))</f>
        <v>0</v>
      </c>
      <c r="ET132" s="122" t="n">
        <f aca="false">IF(ISNA(VLOOKUP(A132,'Données projet'!$A$191:$I$211,6,0)),0%,VLOOKUP(A132,'Données projet'!$A$191:$I$211,6,0)*VLOOKUP('Données projet'!$B$15,Paramètres!$A$1:$I$89,7,0))</f>
        <v>0</v>
      </c>
      <c r="EU132" s="122" t="n">
        <f aca="false">IF(ISNA(VLOOKUP(A132,'Données projet'!$A$191:$I$211,7,0)),0%,VLOOKUP(A132,'Données projet'!$A$191:$I$211,7,0))</f>
        <v>0</v>
      </c>
      <c r="EV132" s="129" t="e">
        <f aca="false">EXP(-LN(2)/35)*EV131+(1-EXP(-LN(2)/35))/(LN(2)/35)*ER132*ES132*VLOOKUP('Données projet'!$B$15,Paramètres!$A$1:$I$89,3,0)*0.475*44/12</f>
        <v>#N/A</v>
      </c>
      <c r="EW132" s="129" t="e">
        <f aca="false">EXP(-LN(2)/25)*EW131+(1-EXP(-LN(2)/25))/(LN(2)/25)*Calculateur!ER132*Calculateur!ET132*VLOOKUP('Données projet'!$B$15,Paramètres!$A$1:$I$89,3,0)*0.475*44/12</f>
        <v>#N/A</v>
      </c>
      <c r="EX132" s="129" t="e">
        <f aca="false">EXP(-LN(2)/2)*EX131+(1-EXP(-LN(2)/2))/(LN(2)/2)*ER132*EU132*VLOOKUP('Données projet'!$B$15,Paramètres!$A$1:$I$89,3,0)*0.475*44/12</f>
        <v>#N/A</v>
      </c>
      <c r="EY132" s="130" t="e">
        <f aca="false">SUM(EV132:EX132)</f>
        <v>#N/A</v>
      </c>
      <c r="EZ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8" t="e">
        <f aca="false">VLOOKUP(A132,'Données projet'!$A$217:$I$237,2,0)</f>
        <v>#N/A</v>
      </c>
      <c r="FC132" s="118" t="e">
        <f aca="false">VLOOKUP(A132,'Données projet'!$A$217:$I$237,9,0)</f>
        <v>#N/A</v>
      </c>
      <c r="FD132" s="118" t="e">
        <f aca="false" t="array" ref="FD132:FD132">INDEX(FC:FC,MIN(IF(ISNUMBER(FC132:FC328),ROW(FC132:FC328),"")))</f>
        <v>#N/A</v>
      </c>
      <c r="FE132" s="118" t="n">
        <f aca="false">IF('Données projet'!$A$218&gt;35,FE131+FD132-FM131,IF(A132&lt;'Données projet'!$A$218,$FB$205^A132,IF(A132='Données projet'!$A$218,'Données projet'!$B$218,FE131+FD132-FM131)))</f>
        <v>0</v>
      </c>
      <c r="FF132" s="125" t="e">
        <f aca="false">FE132*VLOOKUP('Données projet'!$B$16,Paramètres!$A$1:$I$89,3,0)*VLOOKUP('Données projet'!$B$16,Paramètres!$A$1:$I$89,5,0)</f>
        <v>#N/A</v>
      </c>
      <c r="FG132" s="117" t="e">
        <f aca="false">EXP(-1.0587+0.8836*LN(FF132)+0.284)</f>
        <v>#N/A</v>
      </c>
      <c r="FH132" s="128" t="e">
        <f aca="false">(FF132+FG132)*0.475*44/12</f>
        <v>#N/A</v>
      </c>
      <c r="FI132" s="120" t="e">
        <f aca="false">FH132+(EZ132+FA132)*44/12</f>
        <v>#N/A</v>
      </c>
      <c r="FJ132" s="120" t="e">
        <f aca="true">AVERAGE(OFFSET($FI$3,0,0,'Données projet'!$E$16+1,1))-AVERAGE(OFFSET($H$3,0,0,'Données projet'!$E$16+1,1))</f>
        <v>#N/A</v>
      </c>
      <c r="FK132" s="120" t="e">
        <f aca="false">$FK$3</f>
        <v>#N/A</v>
      </c>
      <c r="FL132" s="121" t="n">
        <f aca="false">IF(ISNA(VLOOKUP(A132,'Données projet'!$A$217:$I$237,3,0)),0,VLOOKUP(A132,'Données projet'!$A$217:$I$237,3,0))</f>
        <v>0</v>
      </c>
      <c r="FM132" s="121" t="n">
        <f aca="false">IF(ISNA(VLOOKUP(A132,'Données projet'!$A$217:$I$237,4,0)),0,VLOOKUP(A132,'Données projet'!$A$217:$I$237,4,0))</f>
        <v>0</v>
      </c>
      <c r="FN132" s="122" t="n">
        <f aca="false">IF(ISNA(VLOOKUP(A132,'Données projet'!$A$217:$I$237,5,0)),0%,VLOOKUP(A132,'Données projet'!$A$217:$I$237,5,0)*VLOOKUP('Données projet'!$B$16,Paramètres!$A$1:$I$89,7,0))</f>
        <v>0</v>
      </c>
      <c r="FO132" s="122" t="n">
        <f aca="false">IF(ISNA(VLOOKUP(A132,'Données projet'!$A$217:$I$237,6,0)),0%,VLOOKUP(A132,'Données projet'!$A$217:$I$237,6,0)*VLOOKUP('Données projet'!$B$16,Paramètres!$A$1:$I$89,7,0))</f>
        <v>0</v>
      </c>
      <c r="FP132" s="122" t="n">
        <f aca="false">IF(ISNA(VLOOKUP(A132,'Données projet'!$A$217:$I$237,7,0)),0%,VLOOKUP(A132,'Données projet'!$A$217:$I$237,7,0))</f>
        <v>0</v>
      </c>
      <c r="FQ132" s="129" t="e">
        <f aca="false">EXP(-LN(2)/35)*FQ131+(1-EXP(-LN(2)/35))/(LN(2)/35)*FM132*FN132*VLOOKUP('Données projet'!$B$16,Paramètres!$A$1:$I$89,3,0)*0.475*44/12</f>
        <v>#N/A</v>
      </c>
      <c r="FR132" s="129" t="e">
        <f aca="false">EXP(-LN(2)/25)*FR131+(1-EXP(-LN(2)/25))/(LN(2)/25)*Calculateur!FM132*Calculateur!FO132*VLOOKUP('Données projet'!$B$16,Paramètres!$A$1:$I$89,3,0)*0.475*44/12</f>
        <v>#N/A</v>
      </c>
      <c r="FS132" s="129" t="e">
        <f aca="false">EXP(-LN(2)/2)*FS131+(1-EXP(-LN(2)/2))/(LN(2)/2)*FM132*FP132*VLOOKUP('Données projet'!$B$16,Paramètres!$A$1:$I$89,3,0)*0.475*44/12</f>
        <v>#N/A</v>
      </c>
      <c r="FT132" s="130" t="e">
        <f aca="false">SUM(FQ132:FS132)</f>
        <v>#N/A</v>
      </c>
      <c r="FU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8" t="e">
        <f aca="false">VLOOKUP(A132,'Données projet'!$A$243:$I$263,2,0)</f>
        <v>#N/A</v>
      </c>
      <c r="FX132" s="118" t="e">
        <f aca="false">VLOOKUP(A132,'Données projet'!$A$243:$I$263,9,0)</f>
        <v>#N/A</v>
      </c>
      <c r="FY132" s="118" t="e">
        <f aca="false" t="array" ref="FY132:FY132">INDEX(FX:FX,MIN(IF(ISNUMBER(FX132:FX328),ROW(FX132:FX328),"")))</f>
        <v>#N/A</v>
      </c>
      <c r="FZ132" s="118" t="n">
        <f aca="false">IF('Données projet'!$A$244&gt;35,FZ131+FY132-GH131,IF(A132&lt;'Données projet'!$A$244,$FW$205^A132,IF(A132='Données projet'!$A$244,'Données projet'!$B$244,FZ131+FY132-GH131)))</f>
        <v>0</v>
      </c>
      <c r="GA132" s="125" t="e">
        <f aca="false">FZ132*VLOOKUP('Données projet'!$B$17,Paramètres!$A$1:$I$89,3,0)*VLOOKUP('Données projet'!$B$17,Paramètres!$A$1:$I$89,5,0)</f>
        <v>#N/A</v>
      </c>
      <c r="GB132" s="117" t="e">
        <f aca="false">EXP(-1.0587+0.8836*LN(GA132)+0.284)</f>
        <v>#N/A</v>
      </c>
      <c r="GC132" s="128" t="e">
        <f aca="false">(GA132+GB132)*0.475*44/12</f>
        <v>#N/A</v>
      </c>
      <c r="GD132" s="120" t="e">
        <f aca="false">GC132+(FU132+FV132)*44/12</f>
        <v>#N/A</v>
      </c>
      <c r="GE132" s="120" t="e">
        <f aca="true">AVERAGE(OFFSET($GD$3,0,0,'Données projet'!$E$17+1,1))-AVERAGE(OFFSET($H$3,0,0,'Données projet'!$E$17+1,1))</f>
        <v>#N/A</v>
      </c>
      <c r="GF132" s="120" t="e">
        <f aca="false">$GF$3</f>
        <v>#N/A</v>
      </c>
      <c r="GG132" s="121" t="n">
        <f aca="false">IF(ISNA(VLOOKUP(A132,'Données projet'!$A$243:$I$263,3,0)),0,VLOOKUP(A132,'Données projet'!$A$243:$I$263,3,0))</f>
        <v>0</v>
      </c>
      <c r="GH132" s="121" t="n">
        <f aca="false">IF(ISNA(VLOOKUP(A132,'Données projet'!$A$243:$I$263,4,0)),0,VLOOKUP(A132,'Données projet'!$A$243:$I$263,4,0))</f>
        <v>0</v>
      </c>
      <c r="GI132" s="122" t="n">
        <f aca="false">IF(ISNA(VLOOKUP(A132,'Données projet'!$A$243:$I$263,5,0)),0%,VLOOKUP(A132,'Données projet'!$A$243:$I$263,5,0)*VLOOKUP('Données projet'!$B$17,Paramètres!$A$1:$I$89,7,0))</f>
        <v>0</v>
      </c>
      <c r="GJ132" s="122" t="n">
        <f aca="false">IF(ISNA(VLOOKUP(A132,'Données projet'!$A$243:$I$263,6,0)),0%,VLOOKUP(A132,'Données projet'!$A$243:$I$263,6,0)*VLOOKUP('Données projet'!$B$17,Paramètres!$A$1:$I$89,7,0))</f>
        <v>0</v>
      </c>
      <c r="GK132" s="122" t="n">
        <f aca="false">IF(ISNA(VLOOKUP(A132,'Données projet'!$A$243:$I$263,7,0)),0%,VLOOKUP(A132,'Données projet'!$A$243:$I$263,7,0))</f>
        <v>0</v>
      </c>
      <c r="GL132" s="129" t="e">
        <f aca="false">EXP(-LN(2)/35)*GL131+(1-EXP(-LN(2)/35))/(LN(2)/35)*GH132*GI132*VLOOKUP('Données projet'!$B$17,Paramètres!$A$1:$I$89,3,0)*0.475*44/12</f>
        <v>#N/A</v>
      </c>
      <c r="GM132" s="129" t="e">
        <f aca="false">EXP(-LN(2)/25)*GM131+(1-EXP(-LN(2)/25))/(LN(2)/25)*Calculateur!GH132*Calculateur!GJ132*VLOOKUP('Données projet'!$B$17,Paramètres!$A$1:$I$89,3,0)*0.475*44/12</f>
        <v>#N/A</v>
      </c>
      <c r="GN132" s="129" t="e">
        <f aca="false">EXP(-LN(2)/2)*GN131+(1-EXP(-LN(2)/2))/(LN(2)/2)*GH132*GK132*VLOOKUP('Données projet'!$B$17,Paramètres!$A$1:$I$89,3,0)*0.475*44/12</f>
        <v>#N/A</v>
      </c>
      <c r="GO132" s="129" t="e">
        <f aca="false">SUM(GL132:GN132)</f>
        <v>#N/A</v>
      </c>
      <c r="GP132" s="126" t="n">
        <f aca="false"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8" t="n">
        <f aca="false"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8" t="e">
        <f aca="false">VLOOKUP(A132,'Données projet'!$A$269:$I$289,2,0)</f>
        <v>#N/A</v>
      </c>
      <c r="GS132" s="118" t="e">
        <f aca="false">VLOOKUP(A132,'Données projet'!$A$269:$I$289,9,0)</f>
        <v>#N/A</v>
      </c>
      <c r="GT132" s="118" t="e">
        <f aca="false" t="array" ref="GT132:GT132">INDEX(GS:GS,MIN(IF(ISNUMBER(GS132:GS328),ROW(GS132:GS328),"")))</f>
        <v>#N/A</v>
      </c>
      <c r="GU132" s="118" t="n">
        <f aca="false">IF('Données projet'!$A$270&gt;35,GU131+GT132-HC131,IF(A132&lt;'Données projet'!$A$270,$GR$205^A132,IF(A132='Données projet'!$A$270,'Données projet'!$B$270,GU131+GT132-HC131)))</f>
        <v>0</v>
      </c>
      <c r="GV132" s="125" t="e">
        <f aca="false">GU132*VLOOKUP('Données projet'!$B$18,Paramètres!$A$1:$I$89,3,0)*VLOOKUP('Données projet'!$B$18,Paramètres!$A$1:$I$89,5,0)</f>
        <v>#N/A</v>
      </c>
      <c r="GW132" s="117" t="e">
        <f aca="false">EXP(-1.0587+0.8836*LN(GV132)+0.284)</f>
        <v>#N/A</v>
      </c>
      <c r="GX132" s="128" t="e">
        <f aca="false">(GV132+GW132)*0.475*44/12</f>
        <v>#N/A</v>
      </c>
      <c r="GY132" s="120" t="e">
        <f aca="false">GX132+(GP132+GQ132)*44/12</f>
        <v>#N/A</v>
      </c>
      <c r="GZ132" s="120" t="e">
        <f aca="true">AVERAGE(OFFSET($GY$3,0,0,'Données projet'!$E$18+1,1))-AVERAGE(OFFSET($H$3,0,0,'Données projet'!$E$18+1,1))</f>
        <v>#N/A</v>
      </c>
      <c r="HA132" s="120" t="e">
        <f aca="false">$HA$3</f>
        <v>#N/A</v>
      </c>
      <c r="HB132" s="121" t="n">
        <f aca="false">IF(ISNA(VLOOKUP(A132,'Données projet'!$A$269:$I$289,3,0)),0,VLOOKUP(A132,'Données projet'!$A$269:$I$289,3,0))</f>
        <v>0</v>
      </c>
      <c r="HC132" s="121" t="n">
        <f aca="false">IF(ISNA(VLOOKUP(A132,'Données projet'!$A$269:$I$289,4,0)),0,VLOOKUP(A132,'Données projet'!$A$269:$I$289,4,0))</f>
        <v>0</v>
      </c>
      <c r="HD132" s="122" t="n">
        <f aca="false">IF(ISNA(VLOOKUP(A132,'Données projet'!$A$269:$I$289,5,0)),0%,VLOOKUP(A132,'Données projet'!$A$269:$I$289,5,0)*VLOOKUP('Données projet'!$B$18,Paramètres!$A$1:$I$89,7,0))</f>
        <v>0</v>
      </c>
      <c r="HE132" s="122" t="n">
        <f aca="false">IF(ISNA(VLOOKUP(A132,'Données projet'!$A$269:$I$289,6,0)),0%,VLOOKUP(A132,'Données projet'!$A$269:$I$289,6,0)*VLOOKUP('Données projet'!$B$18,Paramètres!$A$1:$I$89,7,0))</f>
        <v>0</v>
      </c>
      <c r="HF132" s="122" t="n">
        <f aca="false">IF(ISNA(VLOOKUP(A132,'Données projet'!$A$269:$I$289,7,0)),0%,VLOOKUP(A132,'Données projet'!$A$269:$I$289,7,0))</f>
        <v>0</v>
      </c>
      <c r="HG132" s="129" t="e">
        <f aca="false">EXP(-LN(2)/35)*HG131+(1-EXP(-LN(2)/35))/(LN(2)/35)*HC132*HD132*VLOOKUP('Données projet'!$B$18,Paramètres!$A$1:$I$89,3,0)*0.475*44/12</f>
        <v>#N/A</v>
      </c>
      <c r="HH132" s="129" t="e">
        <f aca="false">EXP(-LN(2)/25)*HH131+(1-EXP(-LN(2)/25))/(LN(2)/25)*Calculateur!HC132*Calculateur!HE132*VLOOKUP('Données projet'!$B$18,Paramètres!$A$1:$I$89,3,0)*0.475*44/12</f>
        <v>#N/A</v>
      </c>
      <c r="HI132" s="129" t="e">
        <f aca="false">EXP(-LN(2)/2)*HI131+(1-EXP(-LN(2)/2))/(LN(2)/2)*HC132*HF132*VLOOKUP('Données projet'!$B$18,Paramètres!$A$1:$I$89,3,0)*0.475*44/12</f>
        <v>#N/A</v>
      </c>
      <c r="HJ132" s="130" t="e">
        <f aca="false">SUM(HG132:HI132)</f>
        <v>#N/A</v>
      </c>
    </row>
    <row r="133" customFormat="false" ht="14.25" hidden="false" customHeight="false" outlineLevel="0" collapsed="false">
      <c r="A133" s="112" t="n">
        <f aca="false">A132+1</f>
        <v>130</v>
      </c>
      <c r="B133" s="113" t="n">
        <f aca="false">'Scénario référence'!$B$16*5+'Scénario référence'!$B$17*0+'Scénario référence'!$B$18*5</f>
        <v>0</v>
      </c>
      <c r="C133" s="127" t="n">
        <f aca="false"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4" t="n">
        <f aca="false">IFERROR(EXP(-1.0587+0.8836*LN(C133)+0.284),0)</f>
        <v>0</v>
      </c>
      <c r="E13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3" s="114" t="n">
        <f aca="false">IF(OR('Scénario référence'!$F$8&gt;0,'Scénario référence'!$F$9&gt;0),('Scénario référence'!$F$8+'Scénario référence'!$F$9)*10,0)</f>
        <v>0</v>
      </c>
      <c r="G133" s="114" t="n">
        <f aca="false"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15" t="n">
        <f aca="false">(B133+E133+F133)*44/12+(C133+D133)*0.475*44/12</f>
        <v>256.666666666667</v>
      </c>
      <c r="I133" s="11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7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8" t="e">
        <f aca="false">VLOOKUP(A133,'Données projet'!$A$35:$I$55,2,0)</f>
        <v>#N/A</v>
      </c>
      <c r="L133" s="118" t="e">
        <f aca="false">VLOOKUP(A133,'Données projet'!$A$35:$I$55,9,0)</f>
        <v>#N/A</v>
      </c>
      <c r="M133" s="118" t="e">
        <f aca="false" t="array" ref="M133:M133">INDEX(L:L,MIN(IF(ISNUMBER(L133:L329),ROW(L133:L329),"")))</f>
        <v>#N/A</v>
      </c>
      <c r="N133" s="117" t="n">
        <f aca="false">IF('Données projet'!$A$36&gt;35,N132+M133-V132,IF(A133&lt;'Données projet'!$A$36,$K$205^A133,IF(A133='Données projet'!$A$36,'Données projet'!$B$36,N132+M133-V132)))</f>
        <v>-1.13686837721616E-013</v>
      </c>
      <c r="O133" s="117" t="n">
        <f aca="false">N133*VLOOKUP('Données projet'!$B$9,Paramètres!$A$1:$I$89,3,0)*VLOOKUP('Données projet'!$B$9,Paramètres!$A$1:$I$89,5,0)</f>
        <v>-5.32054400537163E-014</v>
      </c>
      <c r="P133" s="117" t="e">
        <f aca="false">EXP(-1.0587+0.8836*LN(O133)+0.284)</f>
        <v>#VALUE!</v>
      </c>
      <c r="Q133" s="128" t="e">
        <f aca="false">(O133+P133)*0.475*44/12</f>
        <v>#VALUE!</v>
      </c>
      <c r="R133" s="120" t="e">
        <f aca="false">Q133+(I133+J133)*44/12</f>
        <v>#VALUE!</v>
      </c>
      <c r="S133" s="120" t="n">
        <f aca="true">AVERAGE(OFFSET($R$3,0,0,'Données projet'!$E$9+1,1))-AVERAGE(OFFSET($H$3,0,0,'Données projet'!$E$9+1,1))</f>
        <v>319.229030946746</v>
      </c>
      <c r="T133" s="120" t="n">
        <f aca="false">$T$3</f>
        <v>254.586909731428</v>
      </c>
      <c r="U133" s="121" t="n">
        <f aca="false">IF(ISNA(VLOOKUP(A133,'Données projet'!$A$35:$I$55,3,0)),0,VLOOKUP(A133,'Données projet'!$A$35:$I$55,3,0))</f>
        <v>0</v>
      </c>
      <c r="V133" s="121" t="n">
        <f aca="false">IF(ISNA(VLOOKUP(A133,'Données projet'!$A$35:$I$55,4,0)),0,VLOOKUP(A133,'Données projet'!$A$35:$I$55,4,0))</f>
        <v>0</v>
      </c>
      <c r="W133" s="122" t="n">
        <f aca="false">IF(ISNA(VLOOKUP(A133,'Données projet'!$A$35:$I$55,5,0)),0%,VLOOKUP(A133,'Données projet'!$A$35:$I$55,5,0)*VLOOKUP('Données projet'!$B$9,Paramètres!$A$1:$I$89,7,0))</f>
        <v>0</v>
      </c>
      <c r="X133" s="122" t="n">
        <f aca="false">IF(ISNA(VLOOKUP(A133,'Données projet'!$A$35:$I$55,6,0)),0%,VLOOKUP(A133,'Données projet'!$A$35:$I$55,6,0)*VLOOKUP('Données projet'!$B$9,Paramètres!$A$1:$I$89,7,0))</f>
        <v>0</v>
      </c>
      <c r="Y133" s="122" t="n">
        <f aca="false">IF(ISNA(VLOOKUP(A133,'Données projet'!$A$35:$I$55,7,0)),0%,VLOOKUP(A133,'Données projet'!$A$35:$I$55,7,0))</f>
        <v>0</v>
      </c>
      <c r="Z133" s="129" t="n">
        <f aca="false">EXP(-LN(2)/35)*Z132+(1-EXP(-LN(2)/35))/(LN(2)/35)*V133*W133*VLOOKUP('Données projet'!$B$9,Paramètres!$A$1:$I$89,3,0)*0.475*44/12</f>
        <v>1.25261261976282</v>
      </c>
      <c r="AA133" s="129" t="n">
        <f aca="false">EXP(-LN(2)/25)*AA132+(1-EXP(-LN(2)/25))/(LN(2)/25)*Calculateur!V133*Calculateur!X133*VLOOKUP('Données projet'!$B$9,Paramètres!$A$1:$I$89,3,0)*0.475*44/12</f>
        <v>0.696957513543121</v>
      </c>
      <c r="AB133" s="129" t="n">
        <f aca="false">EXP(-LN(2)/2)*AB132+(1-EXP(-LN(2)/2))/(LN(2)/2)*V133*Y133*VLOOKUP('Données projet'!$B$9,Paramètres!$A$1:$I$89,3,0)*0.475*44/12</f>
        <v>9.80826854721645E-015</v>
      </c>
      <c r="AC133" s="130" t="n">
        <f aca="false">SUM(Z133:AB133)</f>
        <v>1.94957013330595</v>
      </c>
      <c r="AD133" s="117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7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8" t="e">
        <f aca="false">VLOOKUP(A133,'Données projet'!$A$61:$I$81,2,0)</f>
        <v>#N/A</v>
      </c>
      <c r="AG133" s="118" t="e">
        <f aca="false">VLOOKUP(A133,'Données projet'!$A$61:$I$81,9,0)</f>
        <v>#N/A</v>
      </c>
      <c r="AH133" s="118" t="e">
        <f aca="false" t="array" ref="AH133:AH133">INDEX(AG:AG,MIN(IF(ISNUMBER(AG133:AG329),ROW(AG133:AG329),"")))</f>
        <v>#N/A</v>
      </c>
      <c r="AI133" s="117" t="n">
        <f aca="false">IF('Données projet'!$A$62&gt;35,AI132+AH133-AQ132,IF(A133&lt;'Données projet'!$A$62,$AF$205^A133,IF(A133='Données projet'!$A$62,'Données projet'!$B$62,AI132+AH133-AQ132)))</f>
        <v>1.13686837721616E-013</v>
      </c>
      <c r="AJ133" s="117" t="n">
        <f aca="false">AI133*VLOOKUP('Données projet'!$B$10,Paramètres!$A$1:$I$89,3,0)*VLOOKUP('Données projet'!$B$10,Paramètres!$A$1:$I$89,5,0)</f>
        <v>6.35509422863834E-014</v>
      </c>
      <c r="AK133" s="117" t="n">
        <f aca="false">EXP(-1.0587+0.8836*LN(AJ133)+0.284)</f>
        <v>1.0064464192544E-012</v>
      </c>
      <c r="AL133" s="128" t="n">
        <f aca="false">(AJ133+AK133)*0.475*44/12</f>
        <v>1.86357873801686E-012</v>
      </c>
      <c r="AM133" s="120" t="n">
        <f aca="false">AL133+(AD133+AE133)*44/12</f>
        <v>293.333333333335</v>
      </c>
      <c r="AN133" s="120" t="n">
        <f aca="true">AVERAGE(OFFSET($AM$3,0,0,'Données projet'!$E$10+1,1))-AVERAGE(OFFSET($H$3,0,0,'Données projet'!$E$10+1,1))</f>
        <v>365.705101827279</v>
      </c>
      <c r="AO133" s="120" t="n">
        <f aca="false">$AO$3</f>
        <v>436.238338449625</v>
      </c>
      <c r="AP133" s="121" t="n">
        <f aca="false">IF(ISNA(VLOOKUP(A133,'Données projet'!$A$61:$I$81,3,0)),0,VLOOKUP(A133,'Données projet'!$A$61:$I$81,3,0))</f>
        <v>0</v>
      </c>
      <c r="AQ133" s="121" t="n">
        <f aca="false">IF(ISNA(VLOOKUP(A133,'Données projet'!$A$61:$I$81,4,0)),0,VLOOKUP(A133,'Données projet'!$A$61:$I$81,4,0))</f>
        <v>0</v>
      </c>
      <c r="AR133" s="122" t="n">
        <f aca="false">IF(ISNA(VLOOKUP(A133,'Données projet'!$A$61:$I$81,5,0)),0%,VLOOKUP(A133,'Données projet'!$A$61:$I$81,5,0)*VLOOKUP('Données projet'!$B$10,Paramètres!$A$1:$I$89,7,0))</f>
        <v>0</v>
      </c>
      <c r="AS133" s="122" t="n">
        <f aca="false">IF(ISNA(VLOOKUP(A133,'Données projet'!$A$61:$I$81,6,0)),0%,VLOOKUP(A133,'Données projet'!$A$61:$I$81,6,0)*VLOOKUP('Données projet'!$B$10,Paramètres!$A$1:$I$89,7,0))</f>
        <v>0</v>
      </c>
      <c r="AT133" s="122" t="n">
        <f aca="false">IF(ISNA(VLOOKUP(A133,'Données projet'!$A$61:$I$81,7,0)),0%,VLOOKUP(A133,'Données projet'!$A$61:$I$81,7,0))</f>
        <v>0</v>
      </c>
      <c r="AU133" s="129" t="n">
        <f aca="false">EXP(-LN(2)/35)*AU132+(1-EXP(-LN(2)/35))/(LN(2)/35)*AQ133*AR133*VLOOKUP('Données projet'!$B$10,Paramètres!$A$1:$I$89,3,0)*0.475*44/12</f>
        <v>0.472820652493572</v>
      </c>
      <c r="AV133" s="129" t="n">
        <f aca="false">EXP(-LN(2)/25)*AV132+(1-EXP(-LN(2)/25))/(LN(2)/25)*Calculateur!AQ133*Calculateur!AS133*VLOOKUP('Données projet'!$B$10,Paramètres!$A$1:$I$89,3,0)*0.475*44/12</f>
        <v>0.825508490384856</v>
      </c>
      <c r="AW133" s="129" t="n">
        <f aca="false">EXP(-LN(2)/2)*AW132+(1-EXP(-LN(2)/2))/(LN(2)/2)*AQ133*AT133*VLOOKUP('Données projet'!$B$10,Paramètres!$A$1:$I$89,3,0)*0.475*44/12</f>
        <v>5.27850357705599E-015</v>
      </c>
      <c r="AX133" s="129" t="n">
        <f aca="false">SUM(AU133:AW133)</f>
        <v>1.29832914287843</v>
      </c>
      <c r="AY133" s="124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8" t="e">
        <f aca="false">VLOOKUP(A133,'Données projet'!$A$87:$I$107,2,0)</f>
        <v>#N/A</v>
      </c>
      <c r="BB133" s="118" t="e">
        <f aca="false">VLOOKUP(A133,'Données projet'!$A$87:$I$107,9,0)</f>
        <v>#N/A</v>
      </c>
      <c r="BC133" s="118" t="e">
        <f aca="false" t="array" ref="BC133:BC133">INDEX(BB:BB,MIN(IF(ISNUMBER(BB133:BB329),ROW(BB133:BB329),"")))</f>
        <v>#N/A</v>
      </c>
      <c r="BD133" s="118" t="n">
        <f aca="false">IF('Données projet'!$A$88&gt;35,BD132+BC133-BL132,IF(A133&lt;'Données projet'!$A$88,$BA$205^A133,IF(A133='Données projet'!$A$88,'Données projet'!$B$88,BD132+BC133-BL132)))</f>
        <v>1.98951966012828E-013</v>
      </c>
      <c r="BE133" s="117" t="n">
        <f aca="false">BD133*VLOOKUP('Données projet'!$B$11,Paramètres!$A$1:$I$89,3,0)*VLOOKUP('Données projet'!$B$11,Paramètres!$A$1:$I$89,5,0)</f>
        <v>1.73804437508807E-013</v>
      </c>
      <c r="BF133" s="117" t="n">
        <f aca="false">EXP(-1.0587+0.8836*LN(BE133)+0.284)</f>
        <v>2.44832936339505E-012</v>
      </c>
      <c r="BG133" s="128" t="n">
        <f aca="false">(BE133+BF133)*0.475*44/12</f>
        <v>4.56688303657421E-012</v>
      </c>
      <c r="BH133" s="120" t="n">
        <f aca="false">BG133+(AY133+AZ133)*44/12</f>
        <v>293.333333333338</v>
      </c>
      <c r="BI133" s="120" t="n">
        <f aca="true">AVERAGE(OFFSET($BH$3,0,0,'Données projet'!$E$11+1,1))-AVERAGE(OFFSET($H$3,0,0,'Données projet'!$E$11+1,1))</f>
        <v>321.235999689929</v>
      </c>
      <c r="BJ133" s="120" t="n">
        <f aca="false">$BJ$3</f>
        <v>388.051958478005</v>
      </c>
      <c r="BK133" s="121" t="n">
        <f aca="false">IF(ISNA(VLOOKUP(A133,'Données projet'!$A$87:$I$107,3,0)),0,VLOOKUP(A133,'Données projet'!$A$87:$I$107,3,0))</f>
        <v>0</v>
      </c>
      <c r="BL133" s="121" t="n">
        <f aca="false">IF(ISNA(VLOOKUP(A133,'Données projet'!$A$87:$I$107,4,0)),0,VLOOKUP(A133,'Données projet'!$A$87:$I$107,4,0))</f>
        <v>0</v>
      </c>
      <c r="BM133" s="122" t="n">
        <f aca="false">IF(ISNA(VLOOKUP(A133,'Données projet'!$A$87:$I$107,5,0)),0%,VLOOKUP(A133,'Données projet'!$A$87:$I$107,5,0)*VLOOKUP('Données projet'!$B$11,Paramètres!$A$1:$I$89,7,0))</f>
        <v>0</v>
      </c>
      <c r="BN133" s="122" t="n">
        <f aca="false">IF(ISNA(VLOOKUP(A133,'Données projet'!$A$87:$I$107,6,0)),0%,VLOOKUP(A133,'Données projet'!$A$87:$I$107,6,0)*VLOOKUP('Données projet'!$B$11,Paramètres!$A$1:$I$89,7,0))</f>
        <v>0</v>
      </c>
      <c r="BO133" s="122" t="n">
        <f aca="false">IF(ISNA(VLOOKUP(A133,'Données projet'!$A$87:$I$107,7,0)),0%,VLOOKUP(A133,'Données projet'!$A$87:$I$107,7,0))</f>
        <v>0</v>
      </c>
      <c r="BP133" s="129" t="n">
        <f aca="false">EXP(-LN(2)/35)*BP132+(1-EXP(-LN(2)/35))/(LN(2)/35)*BL133*BM133*VLOOKUP('Données projet'!$B$11,Paramètres!$A$1:$I$89,3,0)*0.475*44/12</f>
        <v>1.18707362579367</v>
      </c>
      <c r="BQ133" s="129" t="n">
        <f aca="false">EXP(-LN(2)/25)*BQ132+(1-EXP(-LN(2)/25))/(LN(2)/25)*Calculateur!BL133*Calculateur!BN133*VLOOKUP('Données projet'!$B$11,Paramètres!$A$1:$I$89,3,0)*0.475*44/12</f>
        <v>0.842630034812048</v>
      </c>
      <c r="BR133" s="129" t="n">
        <f aca="false">EXP(-LN(2)/2)*BR132+(1-EXP(-LN(2)/2))/(LN(2)/2)*BL133*BO133*VLOOKUP('Données projet'!$B$11,Paramètres!$A$1:$I$89,3,0)*0.475*44/12</f>
        <v>5.36548917055656E-015</v>
      </c>
      <c r="BS133" s="130" t="n">
        <f aca="false">SUM(BP133:BR133)</f>
        <v>2.02970366060572</v>
      </c>
      <c r="BT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8" t="e">
        <f aca="false">VLOOKUP(A133,'Données projet'!$A$113:$I$133,2,0)</f>
        <v>#N/A</v>
      </c>
      <c r="BW133" s="118" t="e">
        <f aca="false">VLOOKUP(A133,'Données projet'!$A$113:$I$133,9,0)</f>
        <v>#N/A</v>
      </c>
      <c r="BX133" s="118" t="e">
        <f aca="false" t="array" ref="BX133:BX133">INDEX(BW:BW,MIN(IF(ISNUMBER(BW133:BW329),ROW(BW133:BW329),"")))</f>
        <v>#N/A</v>
      </c>
      <c r="BY133" s="118" t="n">
        <f aca="false">IF('Données projet'!$A$114&gt;35,BY132+BX133-CG132,IF(A133&lt;'Données projet'!$A$114,$BV$205^A133,IF(A133='Données projet'!$A$114,'Données projet'!$B$114,BY132+BX133-CG132)))</f>
        <v>0</v>
      </c>
      <c r="BZ133" s="117" t="n">
        <f aca="false">BY133*VLOOKUP('Données projet'!$B$12,Paramètres!$A$1:$I$89,3,0)*VLOOKUP('Données projet'!$B$12,Paramètres!$A$1:$I$89,5,0)</f>
        <v>0</v>
      </c>
      <c r="CA133" s="117" t="e">
        <f aca="false">EXP(-1.0587+0.8836*LN(BZ133)+0.284)</f>
        <v>#VALUE!</v>
      </c>
      <c r="CB133" s="128" t="e">
        <f aca="false">(BZ133+CA133)*0.475*44/12</f>
        <v>#VALUE!</v>
      </c>
      <c r="CC133" s="120" t="e">
        <f aca="false">CB133+(BT133+BU133)*44/12</f>
        <v>#VALUE!</v>
      </c>
      <c r="CD133" s="120" t="n">
        <f aca="true">AVERAGE(OFFSET($CC$3,0,0,'Données projet'!$E$12+1,1))-AVERAGE(OFFSET($H$3,0,0,'Données projet'!$E$12+1,1))</f>
        <v>240.228848647662</v>
      </c>
      <c r="CE133" s="120" t="n">
        <f aca="false">$CE$3</f>
        <v>343.237768841432</v>
      </c>
      <c r="CF133" s="121" t="n">
        <f aca="false">IF(ISNA(VLOOKUP(A133,'Données projet'!$A$113:$I$133,3,0)),0,VLOOKUP(A133,'Données projet'!$A$113:$I$133,3,0))</f>
        <v>0</v>
      </c>
      <c r="CG133" s="121" t="n">
        <f aca="false">IF(ISNA(VLOOKUP(A133,'Données projet'!$A$113:$I$133,4,0)),0,VLOOKUP(A133,'Données projet'!$A$113:$I$133,4,0))</f>
        <v>0</v>
      </c>
      <c r="CH133" s="122" t="n">
        <f aca="false">IF(ISNA(VLOOKUP(A133,'Données projet'!$A$113:$I$133,5,0)),0%,VLOOKUP(A133,'Données projet'!$A$113:$I$133,5,0)*VLOOKUP('Données projet'!$B$12,Paramètres!$A$1:$I$89,7,0))</f>
        <v>0</v>
      </c>
      <c r="CI133" s="122" t="n">
        <f aca="false">IF(ISNA(VLOOKUP(A133,'Données projet'!$A$113:$I$133,6,0)),0%,VLOOKUP(A133,'Données projet'!$A$113:$I$133,6,0)*VLOOKUP('Données projet'!$B$12,Paramètres!$A$1:$I$89,7,0))</f>
        <v>0</v>
      </c>
      <c r="CJ133" s="122" t="n">
        <f aca="false">IF(ISNA(VLOOKUP(A133,'Données projet'!$A$113:$I$133,7,0)),0%,VLOOKUP(A133,'Données projet'!$A$113:$I$133,7,0))</f>
        <v>0</v>
      </c>
      <c r="CK133" s="129" t="n">
        <f aca="false">EXP(-LN(2)/35)*CK132+(1-EXP(-LN(2)/35))/(LN(2)/35)*CG133*CH133*VLOOKUP('Données projet'!$B$12,Paramètres!$A$1:$I$89,3,0)*0.475*44/12</f>
        <v>0.726581540286106</v>
      </c>
      <c r="CL133" s="129" t="n">
        <f aca="false">EXP(-LN(2)/25)*CL132+(1-EXP(-LN(2)/25))/(LN(2)/25)*Calculateur!CG133*Calculateur!CI133*VLOOKUP('Données projet'!$B$12,Paramètres!$A$1:$I$89,3,0)*0.475*44/12</f>
        <v>1.4881334212353</v>
      </c>
      <c r="CM133" s="129" t="n">
        <f aca="false">EXP(-LN(2)/2)*CM132+(1-EXP(-LN(2)/2))/(LN(2)/2)*CG133*CJ133*VLOOKUP('Données projet'!$B$12,Paramètres!$A$1:$I$89,3,0)*0.475*44/12</f>
        <v>8.56189027761528E-015</v>
      </c>
      <c r="CN133" s="130" t="n">
        <f aca="false">SUM(CK133:CM133)</f>
        <v>2.21471496152142</v>
      </c>
      <c r="CO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8" t="e">
        <f aca="false">VLOOKUP(A133,'Données projet'!$A$139:$I$159,2,0)</f>
        <v>#N/A</v>
      </c>
      <c r="CR133" s="118" t="e">
        <f aca="false">VLOOKUP(A133,'Données projet'!$A$139:$I$159,9,0)</f>
        <v>#N/A</v>
      </c>
      <c r="CS133" s="118" t="e">
        <f aca="false" t="array" ref="CS133:CS133">INDEX(CR:CR,MIN(IF(ISNUMBER(CR133:CR329),ROW(CR133:CR329),"")))</f>
        <v>#N/A</v>
      </c>
      <c r="CT133" s="118" t="n">
        <f aca="false">IF('Données projet'!$A$140&gt;35,CT132+CS133-DB132,IF(A133&lt;'Données projet'!$A$140,$CQ$205^A133,IF(A133='Données projet'!$A$140,'Données projet'!$B$140,CT132+CS133-DB132)))</f>
        <v>-5.6843418860808E-014</v>
      </c>
      <c r="CU133" s="125" t="n">
        <f aca="false">CT133*VLOOKUP('Données projet'!$B$13,Paramètres!$A$1:$I$89,3,0)*VLOOKUP('Données projet'!$B$13,Paramètres!$A$1:$I$89,5,0)</f>
        <v>-3.10365066980012E-014</v>
      </c>
      <c r="CV133" s="117" t="e">
        <f aca="false">EXP(-1.0587+0.8836*LN(CU133)+0.284)</f>
        <v>#VALUE!</v>
      </c>
      <c r="CW133" s="128" t="e">
        <f aca="false">(CU133+CV133)*0.475*44/12</f>
        <v>#VALUE!</v>
      </c>
      <c r="CX133" s="120" t="e">
        <f aca="false">CW133+(CO133+CP133)*44/12</f>
        <v>#VALUE!</v>
      </c>
      <c r="CY133" s="120" t="n">
        <f aca="true">AVERAGE(OFFSET($CX$3,0,0,'Données projet'!$E$13+1,1))-AVERAGE(OFFSET($H$3,0,0,'Données projet'!$E$13+1,1))</f>
        <v>207.023069645676</v>
      </c>
      <c r="CZ133" s="120" t="n">
        <f aca="false">$CZ$3</f>
        <v>342.068879333518</v>
      </c>
      <c r="DA133" s="121" t="n">
        <f aca="false">IF(ISNA(VLOOKUP(A133,'Données projet'!$A$139:$I$159,3,0)),0,VLOOKUP(A133,'Données projet'!$A$139:$I$159,3,0))</f>
        <v>0</v>
      </c>
      <c r="DB133" s="121" t="n">
        <f aca="false">IF(ISNA(VLOOKUP(A133,'Données projet'!$A$139:$I$159,4,0)),0,VLOOKUP(A133,'Données projet'!$A$139:$I$159,4,0))</f>
        <v>0</v>
      </c>
      <c r="DC133" s="122" t="n">
        <f aca="false">IF(ISNA(VLOOKUP(A133,'Données projet'!$A$139:$I$159,5,0)),0%,VLOOKUP(A133,'Données projet'!$A$139:$I$159,5,0)*VLOOKUP('Données projet'!$B$13,Paramètres!$A$1:$I$89,7,0))</f>
        <v>0</v>
      </c>
      <c r="DD133" s="122" t="n">
        <f aca="false">IF(ISNA(VLOOKUP(A133,'Données projet'!$A$139:$I$159,6,0)),0%,VLOOKUP(A133,'Données projet'!$A$139:$I$159,6,0)*VLOOKUP('Données projet'!$B$13,Paramètres!$A$1:$I$89,7,0))</f>
        <v>0</v>
      </c>
      <c r="DE133" s="122" t="n">
        <f aca="false">IF(ISNA(VLOOKUP(A133,'Données projet'!$A$139:$I$159,7,0)),0%,VLOOKUP(A133,'Données projet'!$A$139:$I$159,7,0))</f>
        <v>0</v>
      </c>
      <c r="DF133" s="129" t="n">
        <f aca="false">EXP(-LN(2)/35)*DF132+(1-EXP(-LN(2)/35))/(LN(2)/35)*DB133*DC133*VLOOKUP('Données projet'!$B$13,Paramètres!$A$1:$I$89,3,0)*0.475*44/12</f>
        <v>0.911654196774076</v>
      </c>
      <c r="DG133" s="129" t="n">
        <f aca="false">EXP(-LN(2)/25)*DG132+(1-EXP(-LN(2)/25))/(LN(2)/25)*Calculateur!DB133*Calculateur!DD133*VLOOKUP('Données projet'!$B$13,Paramètres!$A$1:$I$89,3,0)*0.475*44/12</f>
        <v>2.43247835277741</v>
      </c>
      <c r="DH133" s="129" t="n">
        <f aca="false">EXP(-LN(2)/2)*DH132+(1-EXP(-LN(2)/2))/(LN(2)/2)*DB133*DE133*VLOOKUP('Données projet'!$B$13,Paramètres!$A$1:$I$89,3,0)*0.475*44/12</f>
        <v>1.17897268817842E-014</v>
      </c>
      <c r="DI133" s="130" t="n">
        <f aca="false">SUM(DF133:DH133)</f>
        <v>3.34413254955149</v>
      </c>
      <c r="DJ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8" t="e">
        <f aca="false">VLOOKUP(A133,'Données projet'!$A$165:$I$185,2,0)</f>
        <v>#N/A</v>
      </c>
      <c r="DM133" s="118" t="e">
        <f aca="false">VLOOKUP(A133,'Données projet'!$A$165:$I$185,9,0)</f>
        <v>#N/A</v>
      </c>
      <c r="DN133" s="118" t="e">
        <f aca="false" t="array" ref="DN133:DN133">INDEX(DM:DM,MIN(IF(ISNUMBER(DM133:DM329),ROW(DM133:DM329),"")))</f>
        <v>#N/A</v>
      </c>
      <c r="DO133" s="118" t="n">
        <f aca="false">IF('Données projet'!$A$166&gt;35,DO132+DN133-DW132,IF(A133&lt;'Données projet'!$A$166,$DL$205^A133,IF(A133='Données projet'!$A$166,'Données projet'!$B$166,DO132+DN133-DW132)))</f>
        <v>0</v>
      </c>
      <c r="DP133" s="125" t="n">
        <f aca="false">DO133*VLOOKUP('Données projet'!$B$14,Paramètres!$A$1:$I$89,3,0)*VLOOKUP('Données projet'!$B$14,Paramètres!$A$1:$I$89,5,0)</f>
        <v>0</v>
      </c>
      <c r="DQ133" s="117" t="e">
        <f aca="false">EXP(-1.0587+0.8836*LN(DP133)+0.284)</f>
        <v>#VALUE!</v>
      </c>
      <c r="DR133" s="128" t="e">
        <f aca="false">(DP133+DQ133)*0.475*44/12</f>
        <v>#VALUE!</v>
      </c>
      <c r="DS133" s="120" t="e">
        <f aca="false">DR133+(DJ133+DK133)*44/12</f>
        <v>#VALUE!</v>
      </c>
      <c r="DT133" s="120" t="n">
        <f aca="true">AVERAGE(OFFSET($DS$3,0,0,'Données projet'!$E$14+1,1))-AVERAGE(OFFSET($H$3,0,0,'Données projet'!$E$14+1,1))</f>
        <v>549.432320957297</v>
      </c>
      <c r="DU133" s="120" t="n">
        <f aca="false">$DU$3</f>
        <v>280.26155987301</v>
      </c>
      <c r="DV133" s="121" t="n">
        <f aca="false">IF(ISNA(VLOOKUP(A133,'Données projet'!$A$165:$I$185,3,0)),0,VLOOKUP(A133,'Données projet'!$A$165:$I$185,3,0))</f>
        <v>0</v>
      </c>
      <c r="DW133" s="121" t="n">
        <f aca="false">IF(ISNA(VLOOKUP(A133,'Données projet'!$A$165:$I$185,4,0)),0,VLOOKUP(A133,'Données projet'!$A$165:$I$185,4,0))</f>
        <v>0</v>
      </c>
      <c r="DX133" s="122" t="n">
        <f aca="false">IF(ISNA(VLOOKUP(A133,'Données projet'!$A$165:$I$185,5,0)),0%,VLOOKUP(A133,'Données projet'!$A$165:$I$185,5,0)*VLOOKUP('Données projet'!$B$14,Paramètres!$A$1:$I$89,7,0))</f>
        <v>0</v>
      </c>
      <c r="DY133" s="122" t="n">
        <f aca="false">IF(ISNA(VLOOKUP(A133,'Données projet'!$A$165:$I$185,6,0)),0%,VLOOKUP(A133,'Données projet'!$A$165:$I$185,6,0)*VLOOKUP('Données projet'!$B$14,Paramètres!$A$1:$I$89,7,0))</f>
        <v>0</v>
      </c>
      <c r="DZ133" s="122" t="n">
        <f aca="false">IF(ISNA(VLOOKUP(A133,'Données projet'!$A$165:$I$185,7,0)),0%,VLOOKUP(A133,'Données projet'!$A$165:$I$185,7,0))</f>
        <v>0</v>
      </c>
      <c r="EA133" s="129" t="n">
        <f aca="false">EXP(-LN(2)/35)*EA132+(1-EXP(-LN(2)/35))/(LN(2)/35)*DW133*DX133*VLOOKUP('Données projet'!$B$14,Paramètres!$A$1:$I$89,3,0)*0.475*44/12</f>
        <v>0.331476449412677</v>
      </c>
      <c r="EB133" s="129" t="n">
        <f aca="false">EXP(-LN(2)/25)*EB132+(1-EXP(-LN(2)/25))/(LN(2)/25)*Calculateur!DW133*Calculateur!DY133*VLOOKUP('Données projet'!$B$14,Paramètres!$A$1:$I$89,3,0)*0.475*44/12</f>
        <v>0.484597679827639</v>
      </c>
      <c r="EC133" s="129" t="n">
        <f aca="false">EXP(-LN(2)/2)*EC132+(1-EXP(-LN(2)/2))/(LN(2)/2)*DW133*DZ133*VLOOKUP('Données projet'!$B$14,Paramètres!$A$1:$I$89,3,0)*0.475*44/12</f>
        <v>5.43482106834812E-015</v>
      </c>
      <c r="ED133" s="130" t="n">
        <f aca="false">SUM(EA133:EC133)</f>
        <v>0.816074129240322</v>
      </c>
      <c r="EE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8" t="e">
        <f aca="false">VLOOKUP(A133,'Données projet'!$A$191:$I$211,2,0)</f>
        <v>#N/A</v>
      </c>
      <c r="EH133" s="118" t="e">
        <f aca="false">VLOOKUP(A133,'Données projet'!$A$191:$I$211,9,0)</f>
        <v>#N/A</v>
      </c>
      <c r="EI133" s="118" t="e">
        <f aca="false" t="array" ref="EI133:EI133">INDEX(EH:EH,MIN(IF(ISNUMBER(EH133:EH329),ROW(EH133:EH329),"")))</f>
        <v>#N/A</v>
      </c>
      <c r="EJ133" s="118" t="n">
        <f aca="false">IF('Données projet'!$A$192&gt;35,EJ132+EI133-ER132,IF(A133&lt;'Données projet'!$A$192,$EG$205^A133,IF(A133='Données projet'!$A$192,'Données projet'!$B$192,EJ132+EI133-ER132)))</f>
        <v>0</v>
      </c>
      <c r="EK133" s="125" t="e">
        <f aca="false">EJ133*VLOOKUP('Données projet'!$B$15,Paramètres!$A$1:$I$89,3,0)*VLOOKUP('Données projet'!$B$15,Paramètres!$A$1:$I$89,5,0)</f>
        <v>#N/A</v>
      </c>
      <c r="EL133" s="117" t="e">
        <f aca="false">EXP(-1.0587+0.8836*LN(EK133)+0.284)</f>
        <v>#N/A</v>
      </c>
      <c r="EM133" s="128" t="e">
        <f aca="false">(EK133+EL133)*0.475*44/12</f>
        <v>#N/A</v>
      </c>
      <c r="EN133" s="120" t="e">
        <f aca="false">EM133+(EE133+EF133)*44/12</f>
        <v>#N/A</v>
      </c>
      <c r="EO133" s="120" t="e">
        <f aca="true">AVERAGE(OFFSET($EN$3,0,0,'Données projet'!$E$15+1,1))-AVERAGE(OFFSET($H$3,0,0,'Données projet'!$E$15+1,1))</f>
        <v>#N/A</v>
      </c>
      <c r="EP133" s="120" t="e">
        <f aca="false">$EP$3</f>
        <v>#N/A</v>
      </c>
      <c r="EQ133" s="121" t="n">
        <f aca="false">IF(ISNA(VLOOKUP(A133,'Données projet'!$A$191:$I$211,3,0)),0,VLOOKUP(A133,'Données projet'!$A$191:$I$211,3,0))</f>
        <v>0</v>
      </c>
      <c r="ER133" s="121" t="n">
        <f aca="false">IF(ISNA(VLOOKUP(A133,'Données projet'!$A$191:$I$211,4,0)),0,VLOOKUP(A133,'Données projet'!$A$191:$I$211,4,0))</f>
        <v>0</v>
      </c>
      <c r="ES133" s="122" t="n">
        <f aca="false">IF(ISNA(VLOOKUP(A133,'Données projet'!$A$191:$I$211,5,0)),0%,VLOOKUP(A133,'Données projet'!$A$191:$I$211,5,0)*VLOOKUP('Données projet'!$B$15,Paramètres!$A$1:$I$89,7,0))</f>
        <v>0</v>
      </c>
      <c r="ET133" s="122" t="n">
        <f aca="false">IF(ISNA(VLOOKUP(A133,'Données projet'!$A$191:$I$211,6,0)),0%,VLOOKUP(A133,'Données projet'!$A$191:$I$211,6,0)*VLOOKUP('Données projet'!$B$15,Paramètres!$A$1:$I$89,7,0))</f>
        <v>0</v>
      </c>
      <c r="EU133" s="122" t="n">
        <f aca="false">IF(ISNA(VLOOKUP(A133,'Données projet'!$A$191:$I$211,7,0)),0%,VLOOKUP(A133,'Données projet'!$A$191:$I$211,7,0))</f>
        <v>0</v>
      </c>
      <c r="EV133" s="129" t="e">
        <f aca="false">EXP(-LN(2)/35)*EV132+(1-EXP(-LN(2)/35))/(LN(2)/35)*ER133*ES133*VLOOKUP('Données projet'!$B$15,Paramètres!$A$1:$I$89,3,0)*0.475*44/12</f>
        <v>#N/A</v>
      </c>
      <c r="EW133" s="129" t="e">
        <f aca="false">EXP(-LN(2)/25)*EW132+(1-EXP(-LN(2)/25))/(LN(2)/25)*Calculateur!ER133*Calculateur!ET133*VLOOKUP('Données projet'!$B$15,Paramètres!$A$1:$I$89,3,0)*0.475*44/12</f>
        <v>#N/A</v>
      </c>
      <c r="EX133" s="129" t="e">
        <f aca="false">EXP(-LN(2)/2)*EX132+(1-EXP(-LN(2)/2))/(LN(2)/2)*ER133*EU133*VLOOKUP('Données projet'!$B$15,Paramètres!$A$1:$I$89,3,0)*0.475*44/12</f>
        <v>#N/A</v>
      </c>
      <c r="EY133" s="130" t="e">
        <f aca="false">SUM(EV133:EX133)</f>
        <v>#N/A</v>
      </c>
      <c r="EZ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8" t="e">
        <f aca="false">VLOOKUP(A133,'Données projet'!$A$217:$I$237,2,0)</f>
        <v>#N/A</v>
      </c>
      <c r="FC133" s="118" t="e">
        <f aca="false">VLOOKUP(A133,'Données projet'!$A$217:$I$237,9,0)</f>
        <v>#N/A</v>
      </c>
      <c r="FD133" s="118" t="e">
        <f aca="false" t="array" ref="FD133:FD133">INDEX(FC:FC,MIN(IF(ISNUMBER(FC133:FC329),ROW(FC133:FC329),"")))</f>
        <v>#N/A</v>
      </c>
      <c r="FE133" s="118" t="n">
        <f aca="false">IF('Données projet'!$A$218&gt;35,FE132+FD133-FM132,IF(A133&lt;'Données projet'!$A$218,$FB$205^A133,IF(A133='Données projet'!$A$218,'Données projet'!$B$218,FE132+FD133-FM132)))</f>
        <v>0</v>
      </c>
      <c r="FF133" s="125" t="e">
        <f aca="false">FE133*VLOOKUP('Données projet'!$B$16,Paramètres!$A$1:$I$89,3,0)*VLOOKUP('Données projet'!$B$16,Paramètres!$A$1:$I$89,5,0)</f>
        <v>#N/A</v>
      </c>
      <c r="FG133" s="117" t="e">
        <f aca="false">EXP(-1.0587+0.8836*LN(FF133)+0.284)</f>
        <v>#N/A</v>
      </c>
      <c r="FH133" s="128" t="e">
        <f aca="false">(FF133+FG133)*0.475*44/12</f>
        <v>#N/A</v>
      </c>
      <c r="FI133" s="120" t="e">
        <f aca="false">FH133+(EZ133+FA133)*44/12</f>
        <v>#N/A</v>
      </c>
      <c r="FJ133" s="120" t="e">
        <f aca="true">AVERAGE(OFFSET($FI$3,0,0,'Données projet'!$E$16+1,1))-AVERAGE(OFFSET($H$3,0,0,'Données projet'!$E$16+1,1))</f>
        <v>#N/A</v>
      </c>
      <c r="FK133" s="120" t="e">
        <f aca="false">$FK$3</f>
        <v>#N/A</v>
      </c>
      <c r="FL133" s="121" t="n">
        <f aca="false">IF(ISNA(VLOOKUP(A133,'Données projet'!$A$217:$I$237,3,0)),0,VLOOKUP(A133,'Données projet'!$A$217:$I$237,3,0))</f>
        <v>0</v>
      </c>
      <c r="FM133" s="121" t="n">
        <f aca="false">IF(ISNA(VLOOKUP(A133,'Données projet'!$A$217:$I$237,4,0)),0,VLOOKUP(A133,'Données projet'!$A$217:$I$237,4,0))</f>
        <v>0</v>
      </c>
      <c r="FN133" s="122" t="n">
        <f aca="false">IF(ISNA(VLOOKUP(A133,'Données projet'!$A$217:$I$237,5,0)),0%,VLOOKUP(A133,'Données projet'!$A$217:$I$237,5,0)*VLOOKUP('Données projet'!$B$16,Paramètres!$A$1:$I$89,7,0))</f>
        <v>0</v>
      </c>
      <c r="FO133" s="122" t="n">
        <f aca="false">IF(ISNA(VLOOKUP(A133,'Données projet'!$A$217:$I$237,6,0)),0%,VLOOKUP(A133,'Données projet'!$A$217:$I$237,6,0)*VLOOKUP('Données projet'!$B$16,Paramètres!$A$1:$I$89,7,0))</f>
        <v>0</v>
      </c>
      <c r="FP133" s="122" t="n">
        <f aca="false">IF(ISNA(VLOOKUP(A133,'Données projet'!$A$217:$I$237,7,0)),0%,VLOOKUP(A133,'Données projet'!$A$217:$I$237,7,0))</f>
        <v>0</v>
      </c>
      <c r="FQ133" s="129" t="e">
        <f aca="false">EXP(-LN(2)/35)*FQ132+(1-EXP(-LN(2)/35))/(LN(2)/35)*FM133*FN133*VLOOKUP('Données projet'!$B$16,Paramètres!$A$1:$I$89,3,0)*0.475*44/12</f>
        <v>#N/A</v>
      </c>
      <c r="FR133" s="129" t="e">
        <f aca="false">EXP(-LN(2)/25)*FR132+(1-EXP(-LN(2)/25))/(LN(2)/25)*Calculateur!FM133*Calculateur!FO133*VLOOKUP('Données projet'!$B$16,Paramètres!$A$1:$I$89,3,0)*0.475*44/12</f>
        <v>#N/A</v>
      </c>
      <c r="FS133" s="129" t="e">
        <f aca="false">EXP(-LN(2)/2)*FS132+(1-EXP(-LN(2)/2))/(LN(2)/2)*FM133*FP133*VLOOKUP('Données projet'!$B$16,Paramètres!$A$1:$I$89,3,0)*0.475*44/12</f>
        <v>#N/A</v>
      </c>
      <c r="FT133" s="130" t="e">
        <f aca="false">SUM(FQ133:FS133)</f>
        <v>#N/A</v>
      </c>
      <c r="FU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8" t="e">
        <f aca="false">VLOOKUP(A133,'Données projet'!$A$243:$I$263,2,0)</f>
        <v>#N/A</v>
      </c>
      <c r="FX133" s="118" t="e">
        <f aca="false">VLOOKUP(A133,'Données projet'!$A$243:$I$263,9,0)</f>
        <v>#N/A</v>
      </c>
      <c r="FY133" s="118" t="e">
        <f aca="false" t="array" ref="FY133:FY133">INDEX(FX:FX,MIN(IF(ISNUMBER(FX133:FX329),ROW(FX133:FX329),"")))</f>
        <v>#N/A</v>
      </c>
      <c r="FZ133" s="118" t="n">
        <f aca="false">IF('Données projet'!$A$244&gt;35,FZ132+FY133-GH132,IF(A133&lt;'Données projet'!$A$244,$FW$205^A133,IF(A133='Données projet'!$A$244,'Données projet'!$B$244,FZ132+FY133-GH132)))</f>
        <v>0</v>
      </c>
      <c r="GA133" s="125" t="e">
        <f aca="false">FZ133*VLOOKUP('Données projet'!$B$17,Paramètres!$A$1:$I$89,3,0)*VLOOKUP('Données projet'!$B$17,Paramètres!$A$1:$I$89,5,0)</f>
        <v>#N/A</v>
      </c>
      <c r="GB133" s="117" t="e">
        <f aca="false">EXP(-1.0587+0.8836*LN(GA133)+0.284)</f>
        <v>#N/A</v>
      </c>
      <c r="GC133" s="128" t="e">
        <f aca="false">(GA133+GB133)*0.475*44/12</f>
        <v>#N/A</v>
      </c>
      <c r="GD133" s="120" t="e">
        <f aca="false">GC133+(FU133+FV133)*44/12</f>
        <v>#N/A</v>
      </c>
      <c r="GE133" s="120" t="e">
        <f aca="true">AVERAGE(OFFSET($GD$3,0,0,'Données projet'!$E$17+1,1))-AVERAGE(OFFSET($H$3,0,0,'Données projet'!$E$17+1,1))</f>
        <v>#N/A</v>
      </c>
      <c r="GF133" s="120" t="e">
        <f aca="false">$GF$3</f>
        <v>#N/A</v>
      </c>
      <c r="GG133" s="121" t="n">
        <f aca="false">IF(ISNA(VLOOKUP(A133,'Données projet'!$A$243:$I$263,3,0)),0,VLOOKUP(A133,'Données projet'!$A$243:$I$263,3,0))</f>
        <v>0</v>
      </c>
      <c r="GH133" s="121" t="n">
        <f aca="false">IF(ISNA(VLOOKUP(A133,'Données projet'!$A$243:$I$263,4,0)),0,VLOOKUP(A133,'Données projet'!$A$243:$I$263,4,0))</f>
        <v>0</v>
      </c>
      <c r="GI133" s="122" t="n">
        <f aca="false">IF(ISNA(VLOOKUP(A133,'Données projet'!$A$243:$I$263,5,0)),0%,VLOOKUP(A133,'Données projet'!$A$243:$I$263,5,0)*VLOOKUP('Données projet'!$B$17,Paramètres!$A$1:$I$89,7,0))</f>
        <v>0</v>
      </c>
      <c r="GJ133" s="122" t="n">
        <f aca="false">IF(ISNA(VLOOKUP(A133,'Données projet'!$A$243:$I$263,6,0)),0%,VLOOKUP(A133,'Données projet'!$A$243:$I$263,6,0)*VLOOKUP('Données projet'!$B$17,Paramètres!$A$1:$I$89,7,0))</f>
        <v>0</v>
      </c>
      <c r="GK133" s="122" t="n">
        <f aca="false">IF(ISNA(VLOOKUP(A133,'Données projet'!$A$243:$I$263,7,0)),0%,VLOOKUP(A133,'Données projet'!$A$243:$I$263,7,0))</f>
        <v>0</v>
      </c>
      <c r="GL133" s="129" t="e">
        <f aca="false">EXP(-LN(2)/35)*GL132+(1-EXP(-LN(2)/35))/(LN(2)/35)*GH133*GI133*VLOOKUP('Données projet'!$B$17,Paramètres!$A$1:$I$89,3,0)*0.475*44/12</f>
        <v>#N/A</v>
      </c>
      <c r="GM133" s="129" t="e">
        <f aca="false">EXP(-LN(2)/25)*GM132+(1-EXP(-LN(2)/25))/(LN(2)/25)*Calculateur!GH133*Calculateur!GJ133*VLOOKUP('Données projet'!$B$17,Paramètres!$A$1:$I$89,3,0)*0.475*44/12</f>
        <v>#N/A</v>
      </c>
      <c r="GN133" s="129" t="e">
        <f aca="false">EXP(-LN(2)/2)*GN132+(1-EXP(-LN(2)/2))/(LN(2)/2)*GH133*GK133*VLOOKUP('Données projet'!$B$17,Paramètres!$A$1:$I$89,3,0)*0.475*44/12</f>
        <v>#N/A</v>
      </c>
      <c r="GO133" s="129" t="e">
        <f aca="false">SUM(GL133:GN133)</f>
        <v>#N/A</v>
      </c>
      <c r="GP133" s="126" t="n">
        <f aca="false"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8" t="n">
        <f aca="false"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8" t="e">
        <f aca="false">VLOOKUP(A133,'Données projet'!$A$269:$I$289,2,0)</f>
        <v>#N/A</v>
      </c>
      <c r="GS133" s="118" t="e">
        <f aca="false">VLOOKUP(A133,'Données projet'!$A$269:$I$289,9,0)</f>
        <v>#N/A</v>
      </c>
      <c r="GT133" s="118" t="e">
        <f aca="false" t="array" ref="GT133:GT133">INDEX(GS:GS,MIN(IF(ISNUMBER(GS133:GS329),ROW(GS133:GS329),"")))</f>
        <v>#N/A</v>
      </c>
      <c r="GU133" s="118" t="n">
        <f aca="false">IF('Données projet'!$A$270&gt;35,GU132+GT133-HC132,IF(A133&lt;'Données projet'!$A$270,$GR$205^A133,IF(A133='Données projet'!$A$270,'Données projet'!$B$270,GU132+GT133-HC132)))</f>
        <v>0</v>
      </c>
      <c r="GV133" s="125" t="e">
        <f aca="false">GU133*VLOOKUP('Données projet'!$B$18,Paramètres!$A$1:$I$89,3,0)*VLOOKUP('Données projet'!$B$18,Paramètres!$A$1:$I$89,5,0)</f>
        <v>#N/A</v>
      </c>
      <c r="GW133" s="117" t="e">
        <f aca="false">EXP(-1.0587+0.8836*LN(GV133)+0.284)</f>
        <v>#N/A</v>
      </c>
      <c r="GX133" s="128" t="e">
        <f aca="false">(GV133+GW133)*0.475*44/12</f>
        <v>#N/A</v>
      </c>
      <c r="GY133" s="120" t="e">
        <f aca="false">GX133+(GP133+GQ133)*44/12</f>
        <v>#N/A</v>
      </c>
      <c r="GZ133" s="120" t="e">
        <f aca="true">AVERAGE(OFFSET($GY$3,0,0,'Données projet'!$E$18+1,1))-AVERAGE(OFFSET($H$3,0,0,'Données projet'!$E$18+1,1))</f>
        <v>#N/A</v>
      </c>
      <c r="HA133" s="120" t="e">
        <f aca="false">$HA$3</f>
        <v>#N/A</v>
      </c>
      <c r="HB133" s="121" t="n">
        <f aca="false">IF(ISNA(VLOOKUP(A133,'Données projet'!$A$269:$I$289,3,0)),0,VLOOKUP(A133,'Données projet'!$A$269:$I$289,3,0))</f>
        <v>0</v>
      </c>
      <c r="HC133" s="121" t="n">
        <f aca="false">IF(ISNA(VLOOKUP(A133,'Données projet'!$A$269:$I$289,4,0)),0,VLOOKUP(A133,'Données projet'!$A$269:$I$289,4,0))</f>
        <v>0</v>
      </c>
      <c r="HD133" s="122" t="n">
        <f aca="false">IF(ISNA(VLOOKUP(A133,'Données projet'!$A$269:$I$289,5,0)),0%,VLOOKUP(A133,'Données projet'!$A$269:$I$289,5,0)*VLOOKUP('Données projet'!$B$18,Paramètres!$A$1:$I$89,7,0))</f>
        <v>0</v>
      </c>
      <c r="HE133" s="122" t="n">
        <f aca="false">IF(ISNA(VLOOKUP(A133,'Données projet'!$A$269:$I$289,6,0)),0%,VLOOKUP(A133,'Données projet'!$A$269:$I$289,6,0)*VLOOKUP('Données projet'!$B$18,Paramètres!$A$1:$I$89,7,0))</f>
        <v>0</v>
      </c>
      <c r="HF133" s="122" t="n">
        <f aca="false">IF(ISNA(VLOOKUP(A133,'Données projet'!$A$269:$I$289,7,0)),0%,VLOOKUP(A133,'Données projet'!$A$269:$I$289,7,0))</f>
        <v>0</v>
      </c>
      <c r="HG133" s="129" t="e">
        <f aca="false">EXP(-LN(2)/35)*HG132+(1-EXP(-LN(2)/35))/(LN(2)/35)*HC133*HD133*VLOOKUP('Données projet'!$B$18,Paramètres!$A$1:$I$89,3,0)*0.475*44/12</f>
        <v>#N/A</v>
      </c>
      <c r="HH133" s="129" t="e">
        <f aca="false">EXP(-LN(2)/25)*HH132+(1-EXP(-LN(2)/25))/(LN(2)/25)*Calculateur!HC133*Calculateur!HE133*VLOOKUP('Données projet'!$B$18,Paramètres!$A$1:$I$89,3,0)*0.475*44/12</f>
        <v>#N/A</v>
      </c>
      <c r="HI133" s="129" t="e">
        <f aca="false">EXP(-LN(2)/2)*HI132+(1-EXP(-LN(2)/2))/(LN(2)/2)*HC133*HF133*VLOOKUP('Données projet'!$B$18,Paramètres!$A$1:$I$89,3,0)*0.475*44/12</f>
        <v>#N/A</v>
      </c>
      <c r="HJ133" s="130" t="e">
        <f aca="false">SUM(HG133:HI133)</f>
        <v>#N/A</v>
      </c>
    </row>
    <row r="134" customFormat="false" ht="14.25" hidden="false" customHeight="false" outlineLevel="0" collapsed="false">
      <c r="A134" s="112" t="n">
        <f aca="false">A133+1</f>
        <v>131</v>
      </c>
      <c r="B134" s="113" t="n">
        <f aca="false">'Scénario référence'!$B$16*5+'Scénario référence'!$B$17*0+'Scénario référence'!$B$18*5</f>
        <v>0</v>
      </c>
      <c r="C134" s="127" t="n">
        <f aca="false"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4" t="n">
        <f aca="false">IFERROR(EXP(-1.0587+0.8836*LN(C134)+0.284),0)</f>
        <v>0</v>
      </c>
      <c r="E13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4" s="114" t="n">
        <f aca="false">IF(OR('Scénario référence'!$F$8&gt;0,'Scénario référence'!$F$9&gt;0),('Scénario référence'!$F$8+'Scénario référence'!$F$9)*10,0)</f>
        <v>0</v>
      </c>
      <c r="G134" s="114" t="n">
        <f aca="false"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15" t="n">
        <f aca="false">(B134+E134+F134)*44/12+(C134+D134)*0.475*44/12</f>
        <v>256.666666666667</v>
      </c>
      <c r="I134" s="11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7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8" t="e">
        <f aca="false">VLOOKUP(A134,'Données projet'!$A$35:$I$55,2,0)</f>
        <v>#N/A</v>
      </c>
      <c r="L134" s="118" t="e">
        <f aca="false">VLOOKUP(A134,'Données projet'!$A$35:$I$55,9,0)</f>
        <v>#N/A</v>
      </c>
      <c r="M134" s="118" t="e">
        <f aca="false" t="array" ref="M134:M134">INDEX(L:L,MIN(IF(ISNUMBER(L134:L330),ROW(L134:L330),"")))</f>
        <v>#N/A</v>
      </c>
      <c r="N134" s="117" t="n">
        <f aca="false">IF('Données projet'!$A$36&gt;35,N133+M134-V133,IF(A134&lt;'Données projet'!$A$36,$K$205^A134,IF(A134='Données projet'!$A$36,'Données projet'!$B$36,N133+M134-V133)))</f>
        <v>-1.13686837721616E-013</v>
      </c>
      <c r="O134" s="117" t="n">
        <f aca="false">N134*VLOOKUP('Données projet'!$B$9,Paramètres!$A$1:$I$89,3,0)*VLOOKUP('Données projet'!$B$9,Paramètres!$A$1:$I$89,5,0)</f>
        <v>-5.32054400537163E-014</v>
      </c>
      <c r="P134" s="117" t="e">
        <f aca="false">EXP(-1.0587+0.8836*LN(O134)+0.284)</f>
        <v>#VALUE!</v>
      </c>
      <c r="Q134" s="128" t="e">
        <f aca="false">(O134+P134)*0.475*44/12</f>
        <v>#VALUE!</v>
      </c>
      <c r="R134" s="120" t="e">
        <f aca="false">Q134+(I134+J134)*44/12</f>
        <v>#VALUE!</v>
      </c>
      <c r="S134" s="120" t="n">
        <f aca="true">AVERAGE(OFFSET($R$3,0,0,'Données projet'!$E$9+1,1))-AVERAGE(OFFSET($H$3,0,0,'Données projet'!$E$9+1,1))</f>
        <v>319.229030946746</v>
      </c>
      <c r="T134" s="120" t="n">
        <f aca="false">$T$3</f>
        <v>254.586909731428</v>
      </c>
      <c r="U134" s="121" t="n">
        <f aca="false">IF(ISNA(VLOOKUP(A134,'Données projet'!$A$35:$I$55,3,0)),0,VLOOKUP(A134,'Données projet'!$A$35:$I$55,3,0))</f>
        <v>0</v>
      </c>
      <c r="V134" s="121" t="n">
        <f aca="false">IF(ISNA(VLOOKUP(A134,'Données projet'!$A$35:$I$55,4,0)),0,VLOOKUP(A134,'Données projet'!$A$35:$I$55,4,0))</f>
        <v>0</v>
      </c>
      <c r="W134" s="122" t="n">
        <f aca="false">IF(ISNA(VLOOKUP(A134,'Données projet'!$A$35:$I$55,5,0)),0%,VLOOKUP(A134,'Données projet'!$A$35:$I$55,5,0)*VLOOKUP('Données projet'!$B$9,Paramètres!$A$1:$I$89,7,0))</f>
        <v>0</v>
      </c>
      <c r="X134" s="122" t="n">
        <f aca="false">IF(ISNA(VLOOKUP(A134,'Données projet'!$A$35:$I$55,6,0)),0%,VLOOKUP(A134,'Données projet'!$A$35:$I$55,6,0)*VLOOKUP('Données projet'!$B$9,Paramètres!$A$1:$I$89,7,0))</f>
        <v>0</v>
      </c>
      <c r="Y134" s="122" t="n">
        <f aca="false">IF(ISNA(VLOOKUP(A134,'Données projet'!$A$35:$I$55,7,0)),0%,VLOOKUP(A134,'Données projet'!$A$35:$I$55,7,0))</f>
        <v>0</v>
      </c>
      <c r="Z134" s="129" t="n">
        <f aca="false">EXP(-LN(2)/35)*Z133+(1-EXP(-LN(2)/35))/(LN(2)/35)*V134*W134*VLOOKUP('Données projet'!$B$9,Paramètres!$A$1:$I$89,3,0)*0.475*44/12</f>
        <v>1.22804965030753</v>
      </c>
      <c r="AA134" s="129" t="n">
        <f aca="false">EXP(-LN(2)/25)*AA133+(1-EXP(-LN(2)/25))/(LN(2)/25)*Calculateur!V134*Calculateur!X134*VLOOKUP('Données projet'!$B$9,Paramètres!$A$1:$I$89,3,0)*0.475*44/12</f>
        <v>0.677899173683882</v>
      </c>
      <c r="AB134" s="129" t="n">
        <f aca="false">EXP(-LN(2)/2)*AB133+(1-EXP(-LN(2)/2))/(LN(2)/2)*V134*Y134*VLOOKUP('Données projet'!$B$9,Paramètres!$A$1:$I$89,3,0)*0.475*44/12</f>
        <v>6.93549320143548E-015</v>
      </c>
      <c r="AC134" s="130" t="n">
        <f aca="false">SUM(Z134:AB134)</f>
        <v>1.90594882399142</v>
      </c>
      <c r="AD134" s="117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7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8" t="e">
        <f aca="false">VLOOKUP(A134,'Données projet'!$A$61:$I$81,2,0)</f>
        <v>#N/A</v>
      </c>
      <c r="AG134" s="118" t="e">
        <f aca="false">VLOOKUP(A134,'Données projet'!$A$61:$I$81,9,0)</f>
        <v>#N/A</v>
      </c>
      <c r="AH134" s="118" t="e">
        <f aca="false" t="array" ref="AH134:AH134">INDEX(AG:AG,MIN(IF(ISNUMBER(AG134:AG330),ROW(AG134:AG330),"")))</f>
        <v>#N/A</v>
      </c>
      <c r="AI134" s="117" t="n">
        <f aca="false">IF('Données projet'!$A$62&gt;35,AI133+AH134-AQ133,IF(A134&lt;'Données projet'!$A$62,$AF$205^A134,IF(A134='Données projet'!$A$62,'Données projet'!$B$62,AI133+AH134-AQ133)))</f>
        <v>1.13686837721616E-013</v>
      </c>
      <c r="AJ134" s="117" t="n">
        <f aca="false">AI134*VLOOKUP('Données projet'!$B$10,Paramètres!$A$1:$I$89,3,0)*VLOOKUP('Données projet'!$B$10,Paramètres!$A$1:$I$89,5,0)</f>
        <v>6.35509422863834E-014</v>
      </c>
      <c r="AK134" s="117" t="n">
        <f aca="false">EXP(-1.0587+0.8836*LN(AJ134)+0.284)</f>
        <v>1.0064464192544E-012</v>
      </c>
      <c r="AL134" s="128" t="n">
        <f aca="false">(AJ134+AK134)*0.475*44/12</f>
        <v>1.86357873801686E-012</v>
      </c>
      <c r="AM134" s="120" t="n">
        <f aca="false">AL134+(AD134+AE134)*44/12</f>
        <v>293.333333333335</v>
      </c>
      <c r="AN134" s="120" t="n">
        <f aca="true">AVERAGE(OFFSET($AM$3,0,0,'Données projet'!$E$10+1,1))-AVERAGE(OFFSET($H$3,0,0,'Données projet'!$E$10+1,1))</f>
        <v>365.705101827279</v>
      </c>
      <c r="AO134" s="120" t="n">
        <f aca="false">$AO$3</f>
        <v>436.238338449625</v>
      </c>
      <c r="AP134" s="121" t="n">
        <f aca="false">IF(ISNA(VLOOKUP(A134,'Données projet'!$A$61:$I$81,3,0)),0,VLOOKUP(A134,'Données projet'!$A$61:$I$81,3,0))</f>
        <v>0</v>
      </c>
      <c r="AQ134" s="121" t="n">
        <f aca="false">IF(ISNA(VLOOKUP(A134,'Données projet'!$A$61:$I$81,4,0)),0,VLOOKUP(A134,'Données projet'!$A$61:$I$81,4,0))</f>
        <v>0</v>
      </c>
      <c r="AR134" s="122" t="n">
        <f aca="false">IF(ISNA(VLOOKUP(A134,'Données projet'!$A$61:$I$81,5,0)),0%,VLOOKUP(A134,'Données projet'!$A$61:$I$81,5,0)*VLOOKUP('Données projet'!$B$10,Paramètres!$A$1:$I$89,7,0))</f>
        <v>0</v>
      </c>
      <c r="AS134" s="122" t="n">
        <f aca="false">IF(ISNA(VLOOKUP(A134,'Données projet'!$A$61:$I$81,6,0)),0%,VLOOKUP(A134,'Données projet'!$A$61:$I$81,6,0)*VLOOKUP('Données projet'!$B$10,Paramètres!$A$1:$I$89,7,0))</f>
        <v>0</v>
      </c>
      <c r="AT134" s="122" t="n">
        <f aca="false">IF(ISNA(VLOOKUP(A134,'Données projet'!$A$61:$I$81,7,0)),0%,VLOOKUP(A134,'Données projet'!$A$61:$I$81,7,0))</f>
        <v>0</v>
      </c>
      <c r="AU134" s="129" t="n">
        <f aca="false">EXP(-LN(2)/35)*AU133+(1-EXP(-LN(2)/35))/(LN(2)/35)*AQ134*AR134*VLOOKUP('Données projet'!$B$10,Paramètres!$A$1:$I$89,3,0)*0.475*44/12</f>
        <v>0.463548927890295</v>
      </c>
      <c r="AV134" s="129" t="n">
        <f aca="false">EXP(-LN(2)/25)*AV133+(1-EXP(-LN(2)/25))/(LN(2)/25)*Calculateur!AQ134*Calculateur!AS134*VLOOKUP('Données projet'!$B$10,Paramètres!$A$1:$I$89,3,0)*0.475*44/12</f>
        <v>0.802934917303677</v>
      </c>
      <c r="AW134" s="129" t="n">
        <f aca="false">EXP(-LN(2)/2)*AW133+(1-EXP(-LN(2)/2))/(LN(2)/2)*AQ134*AT134*VLOOKUP('Données projet'!$B$10,Paramètres!$A$1:$I$89,3,0)*0.475*44/12</f>
        <v>3.73246567385373E-015</v>
      </c>
      <c r="AX134" s="129" t="n">
        <f aca="false">SUM(AU134:AW134)</f>
        <v>1.26648384519398</v>
      </c>
      <c r="AY134" s="124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8" t="e">
        <f aca="false">VLOOKUP(A134,'Données projet'!$A$87:$I$107,2,0)</f>
        <v>#N/A</v>
      </c>
      <c r="BB134" s="118" t="e">
        <f aca="false">VLOOKUP(A134,'Données projet'!$A$87:$I$107,9,0)</f>
        <v>#N/A</v>
      </c>
      <c r="BC134" s="118" t="e">
        <f aca="false" t="array" ref="BC134:BC134">INDEX(BB:BB,MIN(IF(ISNUMBER(BB134:BB330),ROW(BB134:BB330),"")))</f>
        <v>#N/A</v>
      </c>
      <c r="BD134" s="118" t="n">
        <f aca="false">IF('Données projet'!$A$88&gt;35,BD133+BC134-BL133,IF(A134&lt;'Données projet'!$A$88,$BA$205^A134,IF(A134='Données projet'!$A$88,'Données projet'!$B$88,BD133+BC134-BL133)))</f>
        <v>1.98951966012828E-013</v>
      </c>
      <c r="BE134" s="117" t="n">
        <f aca="false">BD134*VLOOKUP('Données projet'!$B$11,Paramètres!$A$1:$I$89,3,0)*VLOOKUP('Données projet'!$B$11,Paramètres!$A$1:$I$89,5,0)</f>
        <v>1.73804437508807E-013</v>
      </c>
      <c r="BF134" s="117" t="n">
        <f aca="false">EXP(-1.0587+0.8836*LN(BE134)+0.284)</f>
        <v>2.44832936339505E-012</v>
      </c>
      <c r="BG134" s="128" t="n">
        <f aca="false">(BE134+BF134)*0.475*44/12</f>
        <v>4.56688303657421E-012</v>
      </c>
      <c r="BH134" s="120" t="n">
        <f aca="false">BG134+(AY134+AZ134)*44/12</f>
        <v>293.333333333338</v>
      </c>
      <c r="BI134" s="120" t="n">
        <f aca="true">AVERAGE(OFFSET($BH$3,0,0,'Données projet'!$E$11+1,1))-AVERAGE(OFFSET($H$3,0,0,'Données projet'!$E$11+1,1))</f>
        <v>321.235999689929</v>
      </c>
      <c r="BJ134" s="120" t="n">
        <f aca="false">$BJ$3</f>
        <v>388.051958478005</v>
      </c>
      <c r="BK134" s="121" t="n">
        <f aca="false">IF(ISNA(VLOOKUP(A134,'Données projet'!$A$87:$I$107,3,0)),0,VLOOKUP(A134,'Données projet'!$A$87:$I$107,3,0))</f>
        <v>0</v>
      </c>
      <c r="BL134" s="121" t="n">
        <f aca="false">IF(ISNA(VLOOKUP(A134,'Données projet'!$A$87:$I$107,4,0)),0,VLOOKUP(A134,'Données projet'!$A$87:$I$107,4,0))</f>
        <v>0</v>
      </c>
      <c r="BM134" s="122" t="n">
        <f aca="false">IF(ISNA(VLOOKUP(A134,'Données projet'!$A$87:$I$107,5,0)),0%,VLOOKUP(A134,'Données projet'!$A$87:$I$107,5,0)*VLOOKUP('Données projet'!$B$11,Paramètres!$A$1:$I$89,7,0))</f>
        <v>0</v>
      </c>
      <c r="BN134" s="122" t="n">
        <f aca="false">IF(ISNA(VLOOKUP(A134,'Données projet'!$A$87:$I$107,6,0)),0%,VLOOKUP(A134,'Données projet'!$A$87:$I$107,6,0)*VLOOKUP('Données projet'!$B$11,Paramètres!$A$1:$I$89,7,0))</f>
        <v>0</v>
      </c>
      <c r="BO134" s="122" t="n">
        <f aca="false">IF(ISNA(VLOOKUP(A134,'Données projet'!$A$87:$I$107,7,0)),0%,VLOOKUP(A134,'Données projet'!$A$87:$I$107,7,0))</f>
        <v>0</v>
      </c>
      <c r="BP134" s="129" t="n">
        <f aca="false">EXP(-LN(2)/35)*BP133+(1-EXP(-LN(2)/35))/(LN(2)/35)*BL134*BM134*VLOOKUP('Données projet'!$B$11,Paramètres!$A$1:$I$89,3,0)*0.475*44/12</f>
        <v>1.16379583603527</v>
      </c>
      <c r="BQ134" s="129" t="n">
        <f aca="false">EXP(-LN(2)/25)*BQ133+(1-EXP(-LN(2)/25))/(LN(2)/25)*Calculateur!BL134*Calculateur!BN134*VLOOKUP('Données projet'!$B$11,Paramètres!$A$1:$I$89,3,0)*0.475*44/12</f>
        <v>0.819588272198125</v>
      </c>
      <c r="BR134" s="129" t="n">
        <f aca="false">EXP(-LN(2)/2)*BR133+(1-EXP(-LN(2)/2))/(LN(2)/2)*BL134*BO134*VLOOKUP('Données projet'!$B$11,Paramètres!$A$1:$I$89,3,0)*0.475*44/12</f>
        <v>3.79397377688352E-015</v>
      </c>
      <c r="BS134" s="130" t="n">
        <f aca="false">SUM(BP134:BR134)</f>
        <v>1.9833841082334</v>
      </c>
      <c r="BT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8" t="e">
        <f aca="false">VLOOKUP(A134,'Données projet'!$A$113:$I$133,2,0)</f>
        <v>#N/A</v>
      </c>
      <c r="BW134" s="118" t="e">
        <f aca="false">VLOOKUP(A134,'Données projet'!$A$113:$I$133,9,0)</f>
        <v>#N/A</v>
      </c>
      <c r="BX134" s="118" t="e">
        <f aca="false" t="array" ref="BX134:BX134">INDEX(BW:BW,MIN(IF(ISNUMBER(BW134:BW330),ROW(BW134:BW330),"")))</f>
        <v>#N/A</v>
      </c>
      <c r="BY134" s="118" t="n">
        <f aca="false">IF('Données projet'!$A$114&gt;35,BY133+BX134-CG133,IF(A134&lt;'Données projet'!$A$114,$BV$205^A134,IF(A134='Données projet'!$A$114,'Données projet'!$B$114,BY133+BX134-CG133)))</f>
        <v>0</v>
      </c>
      <c r="BZ134" s="117" t="n">
        <f aca="false">BY134*VLOOKUP('Données projet'!$B$12,Paramètres!$A$1:$I$89,3,0)*VLOOKUP('Données projet'!$B$12,Paramètres!$A$1:$I$89,5,0)</f>
        <v>0</v>
      </c>
      <c r="CA134" s="117" t="e">
        <f aca="false">EXP(-1.0587+0.8836*LN(BZ134)+0.284)</f>
        <v>#VALUE!</v>
      </c>
      <c r="CB134" s="128" t="e">
        <f aca="false">(BZ134+CA134)*0.475*44/12</f>
        <v>#VALUE!</v>
      </c>
      <c r="CC134" s="120" t="e">
        <f aca="false">CB134+(BT134+BU134)*44/12</f>
        <v>#VALUE!</v>
      </c>
      <c r="CD134" s="120" t="n">
        <f aca="true">AVERAGE(OFFSET($CC$3,0,0,'Données projet'!$E$12+1,1))-AVERAGE(OFFSET($H$3,0,0,'Données projet'!$E$12+1,1))</f>
        <v>240.228848647662</v>
      </c>
      <c r="CE134" s="120" t="n">
        <f aca="false">$CE$3</f>
        <v>343.237768841432</v>
      </c>
      <c r="CF134" s="121" t="n">
        <f aca="false">IF(ISNA(VLOOKUP(A134,'Données projet'!$A$113:$I$133,3,0)),0,VLOOKUP(A134,'Données projet'!$A$113:$I$133,3,0))</f>
        <v>0</v>
      </c>
      <c r="CG134" s="121" t="n">
        <f aca="false">IF(ISNA(VLOOKUP(A134,'Données projet'!$A$113:$I$133,4,0)),0,VLOOKUP(A134,'Données projet'!$A$113:$I$133,4,0))</f>
        <v>0</v>
      </c>
      <c r="CH134" s="122" t="n">
        <f aca="false">IF(ISNA(VLOOKUP(A134,'Données projet'!$A$113:$I$133,5,0)),0%,VLOOKUP(A134,'Données projet'!$A$113:$I$133,5,0)*VLOOKUP('Données projet'!$B$12,Paramètres!$A$1:$I$89,7,0))</f>
        <v>0</v>
      </c>
      <c r="CI134" s="122" t="n">
        <f aca="false">IF(ISNA(VLOOKUP(A134,'Données projet'!$A$113:$I$133,6,0)),0%,VLOOKUP(A134,'Données projet'!$A$113:$I$133,6,0)*VLOOKUP('Données projet'!$B$12,Paramètres!$A$1:$I$89,7,0))</f>
        <v>0</v>
      </c>
      <c r="CJ134" s="122" t="n">
        <f aca="false">IF(ISNA(VLOOKUP(A134,'Données projet'!$A$113:$I$133,7,0)),0%,VLOOKUP(A134,'Données projet'!$A$113:$I$133,7,0))</f>
        <v>0</v>
      </c>
      <c r="CK134" s="129" t="n">
        <f aca="false">EXP(-LN(2)/35)*CK133+(1-EXP(-LN(2)/35))/(LN(2)/35)*CG134*CH134*VLOOKUP('Données projet'!$B$12,Paramètres!$A$1:$I$89,3,0)*0.475*44/12</f>
        <v>0.712333719452075</v>
      </c>
      <c r="CL134" s="129" t="n">
        <f aca="false">EXP(-LN(2)/25)*CL133+(1-EXP(-LN(2)/25))/(LN(2)/25)*Calculateur!CG134*Calculateur!CI134*VLOOKUP('Données projet'!$B$12,Paramètres!$A$1:$I$89,3,0)*0.475*44/12</f>
        <v>1.44744033457409</v>
      </c>
      <c r="CM134" s="129" t="n">
        <f aca="false">EXP(-LN(2)/2)*CM133+(1-EXP(-LN(2)/2))/(LN(2)/2)*CG134*CJ134*VLOOKUP('Données projet'!$B$12,Paramètres!$A$1:$I$89,3,0)*0.475*44/12</f>
        <v>6.05417067507693E-015</v>
      </c>
      <c r="CN134" s="130" t="n">
        <f aca="false">SUM(CK134:CM134)</f>
        <v>2.15977405402617</v>
      </c>
      <c r="CO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8" t="e">
        <f aca="false">VLOOKUP(A134,'Données projet'!$A$139:$I$159,2,0)</f>
        <v>#N/A</v>
      </c>
      <c r="CR134" s="118" t="e">
        <f aca="false">VLOOKUP(A134,'Données projet'!$A$139:$I$159,9,0)</f>
        <v>#N/A</v>
      </c>
      <c r="CS134" s="118" t="e">
        <f aca="false" t="array" ref="CS134:CS134">INDEX(CR:CR,MIN(IF(ISNUMBER(CR134:CR330),ROW(CR134:CR330),"")))</f>
        <v>#N/A</v>
      </c>
      <c r="CT134" s="118" t="n">
        <f aca="false">IF('Données projet'!$A$140&gt;35,CT133+CS134-DB133,IF(A134&lt;'Données projet'!$A$140,$CQ$205^A134,IF(A134='Données projet'!$A$140,'Données projet'!$B$140,CT133+CS134-DB133)))</f>
        <v>-5.6843418860808E-014</v>
      </c>
      <c r="CU134" s="125" t="n">
        <f aca="false">CT134*VLOOKUP('Données projet'!$B$13,Paramètres!$A$1:$I$89,3,0)*VLOOKUP('Données projet'!$B$13,Paramètres!$A$1:$I$89,5,0)</f>
        <v>-3.10365066980012E-014</v>
      </c>
      <c r="CV134" s="117" t="e">
        <f aca="false">EXP(-1.0587+0.8836*LN(CU134)+0.284)</f>
        <v>#VALUE!</v>
      </c>
      <c r="CW134" s="128" t="e">
        <f aca="false">(CU134+CV134)*0.475*44/12</f>
        <v>#VALUE!</v>
      </c>
      <c r="CX134" s="120" t="e">
        <f aca="false">CW134+(CO134+CP134)*44/12</f>
        <v>#VALUE!</v>
      </c>
      <c r="CY134" s="120" t="n">
        <f aca="true">AVERAGE(OFFSET($CX$3,0,0,'Données projet'!$E$13+1,1))-AVERAGE(OFFSET($H$3,0,0,'Données projet'!$E$13+1,1))</f>
        <v>207.023069645676</v>
      </c>
      <c r="CZ134" s="120" t="n">
        <f aca="false">$CZ$3</f>
        <v>342.068879333518</v>
      </c>
      <c r="DA134" s="121" t="n">
        <f aca="false">IF(ISNA(VLOOKUP(A134,'Données projet'!$A$139:$I$159,3,0)),0,VLOOKUP(A134,'Données projet'!$A$139:$I$159,3,0))</f>
        <v>0</v>
      </c>
      <c r="DB134" s="121" t="n">
        <f aca="false">IF(ISNA(VLOOKUP(A134,'Données projet'!$A$139:$I$159,4,0)),0,VLOOKUP(A134,'Données projet'!$A$139:$I$159,4,0))</f>
        <v>0</v>
      </c>
      <c r="DC134" s="122" t="n">
        <f aca="false">IF(ISNA(VLOOKUP(A134,'Données projet'!$A$139:$I$159,5,0)),0%,VLOOKUP(A134,'Données projet'!$A$139:$I$159,5,0)*VLOOKUP('Données projet'!$B$13,Paramètres!$A$1:$I$89,7,0))</f>
        <v>0</v>
      </c>
      <c r="DD134" s="122" t="n">
        <f aca="false">IF(ISNA(VLOOKUP(A134,'Données projet'!$A$139:$I$159,6,0)),0%,VLOOKUP(A134,'Données projet'!$A$139:$I$159,6,0)*VLOOKUP('Données projet'!$B$13,Paramètres!$A$1:$I$89,7,0))</f>
        <v>0</v>
      </c>
      <c r="DE134" s="122" t="n">
        <f aca="false">IF(ISNA(VLOOKUP(A134,'Données projet'!$A$139:$I$159,7,0)),0%,VLOOKUP(A134,'Données projet'!$A$139:$I$159,7,0))</f>
        <v>0</v>
      </c>
      <c r="DF134" s="129" t="n">
        <f aca="false">EXP(-LN(2)/35)*DF133+(1-EXP(-LN(2)/35))/(LN(2)/35)*DB134*DC134*VLOOKUP('Données projet'!$B$13,Paramètres!$A$1:$I$89,3,0)*0.475*44/12</f>
        <v>0.89377721402949</v>
      </c>
      <c r="DG134" s="129" t="n">
        <f aca="false">EXP(-LN(2)/25)*DG133+(1-EXP(-LN(2)/25))/(LN(2)/25)*Calculateur!DB134*Calculateur!DD134*VLOOKUP('Données projet'!$B$13,Paramètres!$A$1:$I$89,3,0)*0.475*44/12</f>
        <v>2.36596210430223</v>
      </c>
      <c r="DH134" s="129" t="n">
        <f aca="false">EXP(-LN(2)/2)*DH133+(1-EXP(-LN(2)/2))/(LN(2)/2)*DB134*DE134*VLOOKUP('Données projet'!$B$13,Paramètres!$A$1:$I$89,3,0)*0.475*44/12</f>
        <v>8.33659582644696E-015</v>
      </c>
      <c r="DI134" s="130" t="n">
        <f aca="false">SUM(DF134:DH134)</f>
        <v>3.25973931833173</v>
      </c>
      <c r="DJ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8" t="e">
        <f aca="false">VLOOKUP(A134,'Données projet'!$A$165:$I$185,2,0)</f>
        <v>#N/A</v>
      </c>
      <c r="DM134" s="118" t="e">
        <f aca="false">VLOOKUP(A134,'Données projet'!$A$165:$I$185,9,0)</f>
        <v>#N/A</v>
      </c>
      <c r="DN134" s="118" t="e">
        <f aca="false" t="array" ref="DN134:DN134">INDEX(DM:DM,MIN(IF(ISNUMBER(DM134:DM330),ROW(DM134:DM330),"")))</f>
        <v>#N/A</v>
      </c>
      <c r="DO134" s="118" t="n">
        <f aca="false">IF('Données projet'!$A$166&gt;35,DO133+DN134-DW133,IF(A134&lt;'Données projet'!$A$166,$DL$205^A134,IF(A134='Données projet'!$A$166,'Données projet'!$B$166,DO133+DN134-DW133)))</f>
        <v>0</v>
      </c>
      <c r="DP134" s="125" t="n">
        <f aca="false">DO134*VLOOKUP('Données projet'!$B$14,Paramètres!$A$1:$I$89,3,0)*VLOOKUP('Données projet'!$B$14,Paramètres!$A$1:$I$89,5,0)</f>
        <v>0</v>
      </c>
      <c r="DQ134" s="117" t="e">
        <f aca="false">EXP(-1.0587+0.8836*LN(DP134)+0.284)</f>
        <v>#VALUE!</v>
      </c>
      <c r="DR134" s="128" t="e">
        <f aca="false">(DP134+DQ134)*0.475*44/12</f>
        <v>#VALUE!</v>
      </c>
      <c r="DS134" s="120" t="e">
        <f aca="false">DR134+(DJ134+DK134)*44/12</f>
        <v>#VALUE!</v>
      </c>
      <c r="DT134" s="120" t="n">
        <f aca="true">AVERAGE(OFFSET($DS$3,0,0,'Données projet'!$E$14+1,1))-AVERAGE(OFFSET($H$3,0,0,'Données projet'!$E$14+1,1))</f>
        <v>549.432320957297</v>
      </c>
      <c r="DU134" s="120" t="n">
        <f aca="false">$DU$3</f>
        <v>280.26155987301</v>
      </c>
      <c r="DV134" s="121" t="n">
        <f aca="false">IF(ISNA(VLOOKUP(A134,'Données projet'!$A$165:$I$185,3,0)),0,VLOOKUP(A134,'Données projet'!$A$165:$I$185,3,0))</f>
        <v>0</v>
      </c>
      <c r="DW134" s="121" t="n">
        <f aca="false">IF(ISNA(VLOOKUP(A134,'Données projet'!$A$165:$I$185,4,0)),0,VLOOKUP(A134,'Données projet'!$A$165:$I$185,4,0))</f>
        <v>0</v>
      </c>
      <c r="DX134" s="122" t="n">
        <f aca="false">IF(ISNA(VLOOKUP(A134,'Données projet'!$A$165:$I$185,5,0)),0%,VLOOKUP(A134,'Données projet'!$A$165:$I$185,5,0)*VLOOKUP('Données projet'!$B$14,Paramètres!$A$1:$I$89,7,0))</f>
        <v>0</v>
      </c>
      <c r="DY134" s="122" t="n">
        <f aca="false">IF(ISNA(VLOOKUP(A134,'Données projet'!$A$165:$I$185,6,0)),0%,VLOOKUP(A134,'Données projet'!$A$165:$I$185,6,0)*VLOOKUP('Données projet'!$B$14,Paramètres!$A$1:$I$89,7,0))</f>
        <v>0</v>
      </c>
      <c r="DZ134" s="122" t="n">
        <f aca="false">IF(ISNA(VLOOKUP(A134,'Données projet'!$A$165:$I$185,7,0)),0%,VLOOKUP(A134,'Données projet'!$A$165:$I$185,7,0))</f>
        <v>0</v>
      </c>
      <c r="EA134" s="129" t="n">
        <f aca="false">EXP(-LN(2)/35)*EA133+(1-EXP(-LN(2)/35))/(LN(2)/35)*DW134*DX134*VLOOKUP('Données projet'!$B$14,Paramètres!$A$1:$I$89,3,0)*0.475*44/12</f>
        <v>0.324976398420365</v>
      </c>
      <c r="EB134" s="129" t="n">
        <f aca="false">EXP(-LN(2)/25)*EB133+(1-EXP(-LN(2)/25))/(LN(2)/25)*Calculateur!DW134*Calculateur!DY134*VLOOKUP('Données projet'!$B$14,Paramètres!$A$1:$I$89,3,0)*0.475*44/12</f>
        <v>0.471346330788868</v>
      </c>
      <c r="EC134" s="129" t="n">
        <f aca="false">EXP(-LN(2)/2)*EC133+(1-EXP(-LN(2)/2))/(LN(2)/2)*DW134*DZ134*VLOOKUP('Données projet'!$B$14,Paramètres!$A$1:$I$89,3,0)*0.475*44/12</f>
        <v>3.84299883196447E-015</v>
      </c>
      <c r="ED134" s="130" t="n">
        <f aca="false">SUM(EA134:EC134)</f>
        <v>0.796322729209237</v>
      </c>
      <c r="EE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8" t="e">
        <f aca="false">VLOOKUP(A134,'Données projet'!$A$191:$I$211,2,0)</f>
        <v>#N/A</v>
      </c>
      <c r="EH134" s="118" t="e">
        <f aca="false">VLOOKUP(A134,'Données projet'!$A$191:$I$211,9,0)</f>
        <v>#N/A</v>
      </c>
      <c r="EI134" s="118" t="e">
        <f aca="false" t="array" ref="EI134:EI134">INDEX(EH:EH,MIN(IF(ISNUMBER(EH134:EH330),ROW(EH134:EH330),"")))</f>
        <v>#N/A</v>
      </c>
      <c r="EJ134" s="118" t="n">
        <f aca="false">IF('Données projet'!$A$192&gt;35,EJ133+EI134-ER133,IF(A134&lt;'Données projet'!$A$192,$EG$205^A134,IF(A134='Données projet'!$A$192,'Données projet'!$B$192,EJ133+EI134-ER133)))</f>
        <v>0</v>
      </c>
      <c r="EK134" s="125" t="e">
        <f aca="false">EJ134*VLOOKUP('Données projet'!$B$15,Paramètres!$A$1:$I$89,3,0)*VLOOKUP('Données projet'!$B$15,Paramètres!$A$1:$I$89,5,0)</f>
        <v>#N/A</v>
      </c>
      <c r="EL134" s="117" t="e">
        <f aca="false">EXP(-1.0587+0.8836*LN(EK134)+0.284)</f>
        <v>#N/A</v>
      </c>
      <c r="EM134" s="128" t="e">
        <f aca="false">(EK134+EL134)*0.475*44/12</f>
        <v>#N/A</v>
      </c>
      <c r="EN134" s="120" t="e">
        <f aca="false">EM134+(EE134+EF134)*44/12</f>
        <v>#N/A</v>
      </c>
      <c r="EO134" s="120" t="e">
        <f aca="true">AVERAGE(OFFSET($EN$3,0,0,'Données projet'!$E$15+1,1))-AVERAGE(OFFSET($H$3,0,0,'Données projet'!$E$15+1,1))</f>
        <v>#N/A</v>
      </c>
      <c r="EP134" s="120" t="e">
        <f aca="false">$EP$3</f>
        <v>#N/A</v>
      </c>
      <c r="EQ134" s="121" t="n">
        <f aca="false">IF(ISNA(VLOOKUP(A134,'Données projet'!$A$191:$I$211,3,0)),0,VLOOKUP(A134,'Données projet'!$A$191:$I$211,3,0))</f>
        <v>0</v>
      </c>
      <c r="ER134" s="121" t="n">
        <f aca="false">IF(ISNA(VLOOKUP(A134,'Données projet'!$A$191:$I$211,4,0)),0,VLOOKUP(A134,'Données projet'!$A$191:$I$211,4,0))</f>
        <v>0</v>
      </c>
      <c r="ES134" s="122" t="n">
        <f aca="false">IF(ISNA(VLOOKUP(A134,'Données projet'!$A$191:$I$211,5,0)),0%,VLOOKUP(A134,'Données projet'!$A$191:$I$211,5,0)*VLOOKUP('Données projet'!$B$15,Paramètres!$A$1:$I$89,7,0))</f>
        <v>0</v>
      </c>
      <c r="ET134" s="122" t="n">
        <f aca="false">IF(ISNA(VLOOKUP(A134,'Données projet'!$A$191:$I$211,6,0)),0%,VLOOKUP(A134,'Données projet'!$A$191:$I$211,6,0)*VLOOKUP('Données projet'!$B$15,Paramètres!$A$1:$I$89,7,0))</f>
        <v>0</v>
      </c>
      <c r="EU134" s="122" t="n">
        <f aca="false">IF(ISNA(VLOOKUP(A134,'Données projet'!$A$191:$I$211,7,0)),0%,VLOOKUP(A134,'Données projet'!$A$191:$I$211,7,0))</f>
        <v>0</v>
      </c>
      <c r="EV134" s="129" t="e">
        <f aca="false">EXP(-LN(2)/35)*EV133+(1-EXP(-LN(2)/35))/(LN(2)/35)*ER134*ES134*VLOOKUP('Données projet'!$B$15,Paramètres!$A$1:$I$89,3,0)*0.475*44/12</f>
        <v>#N/A</v>
      </c>
      <c r="EW134" s="129" t="e">
        <f aca="false">EXP(-LN(2)/25)*EW133+(1-EXP(-LN(2)/25))/(LN(2)/25)*Calculateur!ER134*Calculateur!ET134*VLOOKUP('Données projet'!$B$15,Paramètres!$A$1:$I$89,3,0)*0.475*44/12</f>
        <v>#N/A</v>
      </c>
      <c r="EX134" s="129" t="e">
        <f aca="false">EXP(-LN(2)/2)*EX133+(1-EXP(-LN(2)/2))/(LN(2)/2)*ER134*EU134*VLOOKUP('Données projet'!$B$15,Paramètres!$A$1:$I$89,3,0)*0.475*44/12</f>
        <v>#N/A</v>
      </c>
      <c r="EY134" s="130" t="e">
        <f aca="false">SUM(EV134:EX134)</f>
        <v>#N/A</v>
      </c>
      <c r="EZ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8" t="e">
        <f aca="false">VLOOKUP(A134,'Données projet'!$A$217:$I$237,2,0)</f>
        <v>#N/A</v>
      </c>
      <c r="FC134" s="118" t="e">
        <f aca="false">VLOOKUP(A134,'Données projet'!$A$217:$I$237,9,0)</f>
        <v>#N/A</v>
      </c>
      <c r="FD134" s="118" t="e">
        <f aca="false" t="array" ref="FD134:FD134">INDEX(FC:FC,MIN(IF(ISNUMBER(FC134:FC330),ROW(FC134:FC330),"")))</f>
        <v>#N/A</v>
      </c>
      <c r="FE134" s="118" t="n">
        <f aca="false">IF('Données projet'!$A$218&gt;35,FE133+FD134-FM133,IF(A134&lt;'Données projet'!$A$218,$FB$205^A134,IF(A134='Données projet'!$A$218,'Données projet'!$B$218,FE133+FD134-FM133)))</f>
        <v>0</v>
      </c>
      <c r="FF134" s="125" t="e">
        <f aca="false">FE134*VLOOKUP('Données projet'!$B$16,Paramètres!$A$1:$I$89,3,0)*VLOOKUP('Données projet'!$B$16,Paramètres!$A$1:$I$89,5,0)</f>
        <v>#N/A</v>
      </c>
      <c r="FG134" s="117" t="e">
        <f aca="false">EXP(-1.0587+0.8836*LN(FF134)+0.284)</f>
        <v>#N/A</v>
      </c>
      <c r="FH134" s="128" t="e">
        <f aca="false">(FF134+FG134)*0.475*44/12</f>
        <v>#N/A</v>
      </c>
      <c r="FI134" s="120" t="e">
        <f aca="false">FH134+(EZ134+FA134)*44/12</f>
        <v>#N/A</v>
      </c>
      <c r="FJ134" s="120" t="e">
        <f aca="true">AVERAGE(OFFSET($FI$3,0,0,'Données projet'!$E$16+1,1))-AVERAGE(OFFSET($H$3,0,0,'Données projet'!$E$16+1,1))</f>
        <v>#N/A</v>
      </c>
      <c r="FK134" s="120" t="e">
        <f aca="false">$FK$3</f>
        <v>#N/A</v>
      </c>
      <c r="FL134" s="121" t="n">
        <f aca="false">IF(ISNA(VLOOKUP(A134,'Données projet'!$A$217:$I$237,3,0)),0,VLOOKUP(A134,'Données projet'!$A$217:$I$237,3,0))</f>
        <v>0</v>
      </c>
      <c r="FM134" s="121" t="n">
        <f aca="false">IF(ISNA(VLOOKUP(A134,'Données projet'!$A$217:$I$237,4,0)),0,VLOOKUP(A134,'Données projet'!$A$217:$I$237,4,0))</f>
        <v>0</v>
      </c>
      <c r="FN134" s="122" t="n">
        <f aca="false">IF(ISNA(VLOOKUP(A134,'Données projet'!$A$217:$I$237,5,0)),0%,VLOOKUP(A134,'Données projet'!$A$217:$I$237,5,0)*VLOOKUP('Données projet'!$B$16,Paramètres!$A$1:$I$89,7,0))</f>
        <v>0</v>
      </c>
      <c r="FO134" s="122" t="n">
        <f aca="false">IF(ISNA(VLOOKUP(A134,'Données projet'!$A$217:$I$237,6,0)),0%,VLOOKUP(A134,'Données projet'!$A$217:$I$237,6,0)*VLOOKUP('Données projet'!$B$16,Paramètres!$A$1:$I$89,7,0))</f>
        <v>0</v>
      </c>
      <c r="FP134" s="122" t="n">
        <f aca="false">IF(ISNA(VLOOKUP(A134,'Données projet'!$A$217:$I$237,7,0)),0%,VLOOKUP(A134,'Données projet'!$A$217:$I$237,7,0))</f>
        <v>0</v>
      </c>
      <c r="FQ134" s="129" t="e">
        <f aca="false">EXP(-LN(2)/35)*FQ133+(1-EXP(-LN(2)/35))/(LN(2)/35)*FM134*FN134*VLOOKUP('Données projet'!$B$16,Paramètres!$A$1:$I$89,3,0)*0.475*44/12</f>
        <v>#N/A</v>
      </c>
      <c r="FR134" s="129" t="e">
        <f aca="false">EXP(-LN(2)/25)*FR133+(1-EXP(-LN(2)/25))/(LN(2)/25)*Calculateur!FM134*Calculateur!FO134*VLOOKUP('Données projet'!$B$16,Paramètres!$A$1:$I$89,3,0)*0.475*44/12</f>
        <v>#N/A</v>
      </c>
      <c r="FS134" s="129" t="e">
        <f aca="false">EXP(-LN(2)/2)*FS133+(1-EXP(-LN(2)/2))/(LN(2)/2)*FM134*FP134*VLOOKUP('Données projet'!$B$16,Paramètres!$A$1:$I$89,3,0)*0.475*44/12</f>
        <v>#N/A</v>
      </c>
      <c r="FT134" s="130" t="e">
        <f aca="false">SUM(FQ134:FS134)</f>
        <v>#N/A</v>
      </c>
      <c r="FU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8" t="e">
        <f aca="false">VLOOKUP(A134,'Données projet'!$A$243:$I$263,2,0)</f>
        <v>#N/A</v>
      </c>
      <c r="FX134" s="118" t="e">
        <f aca="false">VLOOKUP(A134,'Données projet'!$A$243:$I$263,9,0)</f>
        <v>#N/A</v>
      </c>
      <c r="FY134" s="118" t="e">
        <f aca="false" t="array" ref="FY134:FY134">INDEX(FX:FX,MIN(IF(ISNUMBER(FX134:FX330),ROW(FX134:FX330),"")))</f>
        <v>#N/A</v>
      </c>
      <c r="FZ134" s="118" t="n">
        <f aca="false">IF('Données projet'!$A$244&gt;35,FZ133+FY134-GH133,IF(A134&lt;'Données projet'!$A$244,$FW$205^A134,IF(A134='Données projet'!$A$244,'Données projet'!$B$244,FZ133+FY134-GH133)))</f>
        <v>0</v>
      </c>
      <c r="GA134" s="125" t="e">
        <f aca="false">FZ134*VLOOKUP('Données projet'!$B$17,Paramètres!$A$1:$I$89,3,0)*VLOOKUP('Données projet'!$B$17,Paramètres!$A$1:$I$89,5,0)</f>
        <v>#N/A</v>
      </c>
      <c r="GB134" s="117" t="e">
        <f aca="false">EXP(-1.0587+0.8836*LN(GA134)+0.284)</f>
        <v>#N/A</v>
      </c>
      <c r="GC134" s="128" t="e">
        <f aca="false">(GA134+GB134)*0.475*44/12</f>
        <v>#N/A</v>
      </c>
      <c r="GD134" s="120" t="e">
        <f aca="false">GC134+(FU134+FV134)*44/12</f>
        <v>#N/A</v>
      </c>
      <c r="GE134" s="120" t="e">
        <f aca="true">AVERAGE(OFFSET($GD$3,0,0,'Données projet'!$E$17+1,1))-AVERAGE(OFFSET($H$3,0,0,'Données projet'!$E$17+1,1))</f>
        <v>#N/A</v>
      </c>
      <c r="GF134" s="120" t="e">
        <f aca="false">$GF$3</f>
        <v>#N/A</v>
      </c>
      <c r="GG134" s="121" t="n">
        <f aca="false">IF(ISNA(VLOOKUP(A134,'Données projet'!$A$243:$I$263,3,0)),0,VLOOKUP(A134,'Données projet'!$A$243:$I$263,3,0))</f>
        <v>0</v>
      </c>
      <c r="GH134" s="121" t="n">
        <f aca="false">IF(ISNA(VLOOKUP(A134,'Données projet'!$A$243:$I$263,4,0)),0,VLOOKUP(A134,'Données projet'!$A$243:$I$263,4,0))</f>
        <v>0</v>
      </c>
      <c r="GI134" s="122" t="n">
        <f aca="false">IF(ISNA(VLOOKUP(A134,'Données projet'!$A$243:$I$263,5,0)),0%,VLOOKUP(A134,'Données projet'!$A$243:$I$263,5,0)*VLOOKUP('Données projet'!$B$17,Paramètres!$A$1:$I$89,7,0))</f>
        <v>0</v>
      </c>
      <c r="GJ134" s="122" t="n">
        <f aca="false">IF(ISNA(VLOOKUP(A134,'Données projet'!$A$243:$I$263,6,0)),0%,VLOOKUP(A134,'Données projet'!$A$243:$I$263,6,0)*VLOOKUP('Données projet'!$B$17,Paramètres!$A$1:$I$89,7,0))</f>
        <v>0</v>
      </c>
      <c r="GK134" s="122" t="n">
        <f aca="false">IF(ISNA(VLOOKUP(A134,'Données projet'!$A$243:$I$263,7,0)),0%,VLOOKUP(A134,'Données projet'!$A$243:$I$263,7,0))</f>
        <v>0</v>
      </c>
      <c r="GL134" s="129" t="e">
        <f aca="false">EXP(-LN(2)/35)*GL133+(1-EXP(-LN(2)/35))/(LN(2)/35)*GH134*GI134*VLOOKUP('Données projet'!$B$17,Paramètres!$A$1:$I$89,3,0)*0.475*44/12</f>
        <v>#N/A</v>
      </c>
      <c r="GM134" s="129" t="e">
        <f aca="false">EXP(-LN(2)/25)*GM133+(1-EXP(-LN(2)/25))/(LN(2)/25)*Calculateur!GH134*Calculateur!GJ134*VLOOKUP('Données projet'!$B$17,Paramètres!$A$1:$I$89,3,0)*0.475*44/12</f>
        <v>#N/A</v>
      </c>
      <c r="GN134" s="129" t="e">
        <f aca="false">EXP(-LN(2)/2)*GN133+(1-EXP(-LN(2)/2))/(LN(2)/2)*GH134*GK134*VLOOKUP('Données projet'!$B$17,Paramètres!$A$1:$I$89,3,0)*0.475*44/12</f>
        <v>#N/A</v>
      </c>
      <c r="GO134" s="129" t="e">
        <f aca="false">SUM(GL134:GN134)</f>
        <v>#N/A</v>
      </c>
      <c r="GP134" s="126" t="n">
        <f aca="false"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8" t="n">
        <f aca="false"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8" t="e">
        <f aca="false">VLOOKUP(A134,'Données projet'!$A$269:$I$289,2,0)</f>
        <v>#N/A</v>
      </c>
      <c r="GS134" s="118" t="e">
        <f aca="false">VLOOKUP(A134,'Données projet'!$A$269:$I$289,9,0)</f>
        <v>#N/A</v>
      </c>
      <c r="GT134" s="118" t="e">
        <f aca="false" t="array" ref="GT134:GT134">INDEX(GS:GS,MIN(IF(ISNUMBER(GS134:GS330),ROW(GS134:GS330),"")))</f>
        <v>#N/A</v>
      </c>
      <c r="GU134" s="118" t="n">
        <f aca="false">IF('Données projet'!$A$270&gt;35,GU133+GT134-HC133,IF(A134&lt;'Données projet'!$A$270,$GR$205^A134,IF(A134='Données projet'!$A$270,'Données projet'!$B$270,GU133+GT134-HC133)))</f>
        <v>0</v>
      </c>
      <c r="GV134" s="125" t="e">
        <f aca="false">GU134*VLOOKUP('Données projet'!$B$18,Paramètres!$A$1:$I$89,3,0)*VLOOKUP('Données projet'!$B$18,Paramètres!$A$1:$I$89,5,0)</f>
        <v>#N/A</v>
      </c>
      <c r="GW134" s="117" t="e">
        <f aca="false">EXP(-1.0587+0.8836*LN(GV134)+0.284)</f>
        <v>#N/A</v>
      </c>
      <c r="GX134" s="128" t="e">
        <f aca="false">(GV134+GW134)*0.475*44/12</f>
        <v>#N/A</v>
      </c>
      <c r="GY134" s="120" t="e">
        <f aca="false">GX134+(GP134+GQ134)*44/12</f>
        <v>#N/A</v>
      </c>
      <c r="GZ134" s="120" t="e">
        <f aca="true">AVERAGE(OFFSET($GY$3,0,0,'Données projet'!$E$18+1,1))-AVERAGE(OFFSET($H$3,0,0,'Données projet'!$E$18+1,1))</f>
        <v>#N/A</v>
      </c>
      <c r="HA134" s="120" t="e">
        <f aca="false">$HA$3</f>
        <v>#N/A</v>
      </c>
      <c r="HB134" s="121" t="n">
        <f aca="false">IF(ISNA(VLOOKUP(A134,'Données projet'!$A$269:$I$289,3,0)),0,VLOOKUP(A134,'Données projet'!$A$269:$I$289,3,0))</f>
        <v>0</v>
      </c>
      <c r="HC134" s="121" t="n">
        <f aca="false">IF(ISNA(VLOOKUP(A134,'Données projet'!$A$269:$I$289,4,0)),0,VLOOKUP(A134,'Données projet'!$A$269:$I$289,4,0))</f>
        <v>0</v>
      </c>
      <c r="HD134" s="122" t="n">
        <f aca="false">IF(ISNA(VLOOKUP(A134,'Données projet'!$A$269:$I$289,5,0)),0%,VLOOKUP(A134,'Données projet'!$A$269:$I$289,5,0)*VLOOKUP('Données projet'!$B$18,Paramètres!$A$1:$I$89,7,0))</f>
        <v>0</v>
      </c>
      <c r="HE134" s="122" t="n">
        <f aca="false">IF(ISNA(VLOOKUP(A134,'Données projet'!$A$269:$I$289,6,0)),0%,VLOOKUP(A134,'Données projet'!$A$269:$I$289,6,0)*VLOOKUP('Données projet'!$B$18,Paramètres!$A$1:$I$89,7,0))</f>
        <v>0</v>
      </c>
      <c r="HF134" s="122" t="n">
        <f aca="false">IF(ISNA(VLOOKUP(A134,'Données projet'!$A$269:$I$289,7,0)),0%,VLOOKUP(A134,'Données projet'!$A$269:$I$289,7,0))</f>
        <v>0</v>
      </c>
      <c r="HG134" s="129" t="e">
        <f aca="false">EXP(-LN(2)/35)*HG133+(1-EXP(-LN(2)/35))/(LN(2)/35)*HC134*HD134*VLOOKUP('Données projet'!$B$18,Paramètres!$A$1:$I$89,3,0)*0.475*44/12</f>
        <v>#N/A</v>
      </c>
      <c r="HH134" s="129" t="e">
        <f aca="false">EXP(-LN(2)/25)*HH133+(1-EXP(-LN(2)/25))/(LN(2)/25)*Calculateur!HC134*Calculateur!HE134*VLOOKUP('Données projet'!$B$18,Paramètres!$A$1:$I$89,3,0)*0.475*44/12</f>
        <v>#N/A</v>
      </c>
      <c r="HI134" s="129" t="e">
        <f aca="false">EXP(-LN(2)/2)*HI133+(1-EXP(-LN(2)/2))/(LN(2)/2)*HC134*HF134*VLOOKUP('Données projet'!$B$18,Paramètres!$A$1:$I$89,3,0)*0.475*44/12</f>
        <v>#N/A</v>
      </c>
      <c r="HJ134" s="130" t="e">
        <f aca="false">SUM(HG134:HI134)</f>
        <v>#N/A</v>
      </c>
    </row>
    <row r="135" customFormat="false" ht="14.25" hidden="false" customHeight="false" outlineLevel="0" collapsed="false">
      <c r="A135" s="112" t="n">
        <f aca="false">A134+1</f>
        <v>132</v>
      </c>
      <c r="B135" s="113" t="n">
        <f aca="false">'Scénario référence'!$B$16*5+'Scénario référence'!$B$17*0+'Scénario référence'!$B$18*5</f>
        <v>0</v>
      </c>
      <c r="C135" s="127" t="n">
        <f aca="false"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4" t="n">
        <f aca="false">IFERROR(EXP(-1.0587+0.8836*LN(C135)+0.284),0)</f>
        <v>0</v>
      </c>
      <c r="E13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5" s="114" t="n">
        <f aca="false">IF(OR('Scénario référence'!$F$8&gt;0,'Scénario référence'!$F$9&gt;0),('Scénario référence'!$F$8+'Scénario référence'!$F$9)*10,0)</f>
        <v>0</v>
      </c>
      <c r="G135" s="114" t="n">
        <f aca="false"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15" t="n">
        <f aca="false">(B135+E135+F135)*44/12+(C135+D135)*0.475*44/12</f>
        <v>256.666666666667</v>
      </c>
      <c r="I135" s="11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7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8" t="e">
        <f aca="false">VLOOKUP(A135,'Données projet'!$A$35:$I$55,2,0)</f>
        <v>#N/A</v>
      </c>
      <c r="L135" s="118" t="e">
        <f aca="false">VLOOKUP(A135,'Données projet'!$A$35:$I$55,9,0)</f>
        <v>#N/A</v>
      </c>
      <c r="M135" s="118" t="e">
        <f aca="false" t="array" ref="M135:M135">INDEX(L:L,MIN(IF(ISNUMBER(L135:L331),ROW(L135:L331),"")))</f>
        <v>#N/A</v>
      </c>
      <c r="N135" s="117" t="n">
        <f aca="false">IF('Données projet'!$A$36&gt;35,N134+M135-V134,IF(A135&lt;'Données projet'!$A$36,$K$205^A135,IF(A135='Données projet'!$A$36,'Données projet'!$B$36,N134+M135-V134)))</f>
        <v>-1.13686837721616E-013</v>
      </c>
      <c r="O135" s="117" t="n">
        <f aca="false">N135*VLOOKUP('Données projet'!$B$9,Paramètres!$A$1:$I$89,3,0)*VLOOKUP('Données projet'!$B$9,Paramètres!$A$1:$I$89,5,0)</f>
        <v>-5.32054400537163E-014</v>
      </c>
      <c r="P135" s="117" t="e">
        <f aca="false">EXP(-1.0587+0.8836*LN(O135)+0.284)</f>
        <v>#VALUE!</v>
      </c>
      <c r="Q135" s="128" t="e">
        <f aca="false">(O135+P135)*0.475*44/12</f>
        <v>#VALUE!</v>
      </c>
      <c r="R135" s="120" t="e">
        <f aca="false">Q135+(I135+J135)*44/12</f>
        <v>#VALUE!</v>
      </c>
      <c r="S135" s="120" t="n">
        <f aca="true">AVERAGE(OFFSET($R$3,0,0,'Données projet'!$E$9+1,1))-AVERAGE(OFFSET($H$3,0,0,'Données projet'!$E$9+1,1))</f>
        <v>319.229030946746</v>
      </c>
      <c r="T135" s="120" t="n">
        <f aca="false">$T$3</f>
        <v>254.586909731428</v>
      </c>
      <c r="U135" s="121" t="n">
        <f aca="false">IF(ISNA(VLOOKUP(A135,'Données projet'!$A$35:$I$55,3,0)),0,VLOOKUP(A135,'Données projet'!$A$35:$I$55,3,0))</f>
        <v>0</v>
      </c>
      <c r="V135" s="121" t="n">
        <f aca="false">IF(ISNA(VLOOKUP(A135,'Données projet'!$A$35:$I$55,4,0)),0,VLOOKUP(A135,'Données projet'!$A$35:$I$55,4,0))</f>
        <v>0</v>
      </c>
      <c r="W135" s="122" t="n">
        <f aca="false">IF(ISNA(VLOOKUP(A135,'Données projet'!$A$35:$I$55,5,0)),0%,VLOOKUP(A135,'Données projet'!$A$35:$I$55,5,0)*VLOOKUP('Données projet'!$B$9,Paramètres!$A$1:$I$89,7,0))</f>
        <v>0</v>
      </c>
      <c r="X135" s="122" t="n">
        <f aca="false">IF(ISNA(VLOOKUP(A135,'Données projet'!$A$35:$I$55,6,0)),0%,VLOOKUP(A135,'Données projet'!$A$35:$I$55,6,0)*VLOOKUP('Données projet'!$B$9,Paramètres!$A$1:$I$89,7,0))</f>
        <v>0</v>
      </c>
      <c r="Y135" s="122" t="n">
        <f aca="false">IF(ISNA(VLOOKUP(A135,'Données projet'!$A$35:$I$55,7,0)),0%,VLOOKUP(A135,'Données projet'!$A$35:$I$55,7,0))</f>
        <v>0</v>
      </c>
      <c r="Z135" s="129" t="n">
        <f aca="false">EXP(-LN(2)/35)*Z134+(1-EXP(-LN(2)/35))/(LN(2)/35)*V135*W135*VLOOKUP('Données projet'!$B$9,Paramètres!$A$1:$I$89,3,0)*0.475*44/12</f>
        <v>1.20396834570133</v>
      </c>
      <c r="AA135" s="129" t="n">
        <f aca="false">EXP(-LN(2)/25)*AA134+(1-EXP(-LN(2)/25))/(LN(2)/25)*Calculateur!V135*Calculateur!X135*VLOOKUP('Données projet'!$B$9,Paramètres!$A$1:$I$89,3,0)*0.475*44/12</f>
        <v>0.659361985130328</v>
      </c>
      <c r="AB135" s="129" t="n">
        <f aca="false">EXP(-LN(2)/2)*AB134+(1-EXP(-LN(2)/2))/(LN(2)/2)*V135*Y135*VLOOKUP('Données projet'!$B$9,Paramètres!$A$1:$I$89,3,0)*0.475*44/12</f>
        <v>4.90413427360822E-015</v>
      </c>
      <c r="AC135" s="130" t="n">
        <f aca="false">SUM(Z135:AB135)</f>
        <v>1.86333033083166</v>
      </c>
      <c r="AD135" s="117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7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8" t="e">
        <f aca="false">VLOOKUP(A135,'Données projet'!$A$61:$I$81,2,0)</f>
        <v>#N/A</v>
      </c>
      <c r="AG135" s="118" t="e">
        <f aca="false">VLOOKUP(A135,'Données projet'!$A$61:$I$81,9,0)</f>
        <v>#N/A</v>
      </c>
      <c r="AH135" s="118" t="e">
        <f aca="false" t="array" ref="AH135:AH135">INDEX(AG:AG,MIN(IF(ISNUMBER(AG135:AG331),ROW(AG135:AG331),"")))</f>
        <v>#N/A</v>
      </c>
      <c r="AI135" s="117" t="n">
        <f aca="false">IF('Données projet'!$A$62&gt;35,AI134+AH135-AQ134,IF(A135&lt;'Données projet'!$A$62,$AF$205^A135,IF(A135='Données projet'!$A$62,'Données projet'!$B$62,AI134+AH135-AQ134)))</f>
        <v>1.13686837721616E-013</v>
      </c>
      <c r="AJ135" s="117" t="n">
        <f aca="false">AI135*VLOOKUP('Données projet'!$B$10,Paramètres!$A$1:$I$89,3,0)*VLOOKUP('Données projet'!$B$10,Paramètres!$A$1:$I$89,5,0)</f>
        <v>6.35509422863834E-014</v>
      </c>
      <c r="AK135" s="117" t="n">
        <f aca="false">EXP(-1.0587+0.8836*LN(AJ135)+0.284)</f>
        <v>1.0064464192544E-012</v>
      </c>
      <c r="AL135" s="128" t="n">
        <f aca="false">(AJ135+AK135)*0.475*44/12</f>
        <v>1.86357873801686E-012</v>
      </c>
      <c r="AM135" s="120" t="n">
        <f aca="false">AL135+(AD135+AE135)*44/12</f>
        <v>293.333333333335</v>
      </c>
      <c r="AN135" s="120" t="n">
        <f aca="true">AVERAGE(OFFSET($AM$3,0,0,'Données projet'!$E$10+1,1))-AVERAGE(OFFSET($H$3,0,0,'Données projet'!$E$10+1,1))</f>
        <v>365.705101827279</v>
      </c>
      <c r="AO135" s="120" t="n">
        <f aca="false">$AO$3</f>
        <v>436.238338449625</v>
      </c>
      <c r="AP135" s="121" t="n">
        <f aca="false">IF(ISNA(VLOOKUP(A135,'Données projet'!$A$61:$I$81,3,0)),0,VLOOKUP(A135,'Données projet'!$A$61:$I$81,3,0))</f>
        <v>0</v>
      </c>
      <c r="AQ135" s="121" t="n">
        <f aca="false">IF(ISNA(VLOOKUP(A135,'Données projet'!$A$61:$I$81,4,0)),0,VLOOKUP(A135,'Données projet'!$A$61:$I$81,4,0))</f>
        <v>0</v>
      </c>
      <c r="AR135" s="122" t="n">
        <f aca="false">IF(ISNA(VLOOKUP(A135,'Données projet'!$A$61:$I$81,5,0)),0%,VLOOKUP(A135,'Données projet'!$A$61:$I$81,5,0)*VLOOKUP('Données projet'!$B$10,Paramètres!$A$1:$I$89,7,0))</f>
        <v>0</v>
      </c>
      <c r="AS135" s="122" t="n">
        <f aca="false">IF(ISNA(VLOOKUP(A135,'Données projet'!$A$61:$I$81,6,0)),0%,VLOOKUP(A135,'Données projet'!$A$61:$I$81,6,0)*VLOOKUP('Données projet'!$B$10,Paramètres!$A$1:$I$89,7,0))</f>
        <v>0</v>
      </c>
      <c r="AT135" s="122" t="n">
        <f aca="false">IF(ISNA(VLOOKUP(A135,'Données projet'!$A$61:$I$81,7,0)),0%,VLOOKUP(A135,'Données projet'!$A$61:$I$81,7,0))</f>
        <v>0</v>
      </c>
      <c r="AU135" s="129" t="n">
        <f aca="false">EXP(-LN(2)/35)*AU134+(1-EXP(-LN(2)/35))/(LN(2)/35)*AQ135*AR135*VLOOKUP('Données projet'!$B$10,Paramètres!$A$1:$I$89,3,0)*0.475*44/12</f>
        <v>0.454459016151294</v>
      </c>
      <c r="AV135" s="129" t="n">
        <f aca="false">EXP(-LN(2)/25)*AV134+(1-EXP(-LN(2)/25))/(LN(2)/25)*Calculateur!AQ135*Calculateur!AS135*VLOOKUP('Données projet'!$B$10,Paramètres!$A$1:$I$89,3,0)*0.475*44/12</f>
        <v>0.780978619765496</v>
      </c>
      <c r="AW135" s="129" t="n">
        <f aca="false">EXP(-LN(2)/2)*AW134+(1-EXP(-LN(2)/2))/(LN(2)/2)*AQ135*AT135*VLOOKUP('Données projet'!$B$10,Paramètres!$A$1:$I$89,3,0)*0.475*44/12</f>
        <v>2.63925178852799E-015</v>
      </c>
      <c r="AX135" s="129" t="n">
        <f aca="false">SUM(AU135:AW135)</f>
        <v>1.23543763591679</v>
      </c>
      <c r="AY135" s="124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8" t="e">
        <f aca="false">VLOOKUP(A135,'Données projet'!$A$87:$I$107,2,0)</f>
        <v>#N/A</v>
      </c>
      <c r="BB135" s="118" t="e">
        <f aca="false">VLOOKUP(A135,'Données projet'!$A$87:$I$107,9,0)</f>
        <v>#N/A</v>
      </c>
      <c r="BC135" s="118" t="e">
        <f aca="false" t="array" ref="BC135:BC135">INDEX(BB:BB,MIN(IF(ISNUMBER(BB135:BB331),ROW(BB135:BB331),"")))</f>
        <v>#N/A</v>
      </c>
      <c r="BD135" s="118" t="n">
        <f aca="false">IF('Données projet'!$A$88&gt;35,BD134+BC135-BL134,IF(A135&lt;'Données projet'!$A$88,$BA$205^A135,IF(A135='Données projet'!$A$88,'Données projet'!$B$88,BD134+BC135-BL134)))</f>
        <v>1.98951966012828E-013</v>
      </c>
      <c r="BE135" s="117" t="n">
        <f aca="false">BD135*VLOOKUP('Données projet'!$B$11,Paramètres!$A$1:$I$89,3,0)*VLOOKUP('Données projet'!$B$11,Paramètres!$A$1:$I$89,5,0)</f>
        <v>1.73804437508807E-013</v>
      </c>
      <c r="BF135" s="117" t="n">
        <f aca="false">EXP(-1.0587+0.8836*LN(BE135)+0.284)</f>
        <v>2.44832936339505E-012</v>
      </c>
      <c r="BG135" s="128" t="n">
        <f aca="false">(BE135+BF135)*0.475*44/12</f>
        <v>4.56688303657421E-012</v>
      </c>
      <c r="BH135" s="120" t="n">
        <f aca="false">BG135+(AY135+AZ135)*44/12</f>
        <v>293.333333333338</v>
      </c>
      <c r="BI135" s="120" t="n">
        <f aca="true">AVERAGE(OFFSET($BH$3,0,0,'Données projet'!$E$11+1,1))-AVERAGE(OFFSET($H$3,0,0,'Données projet'!$E$11+1,1))</f>
        <v>321.235999689929</v>
      </c>
      <c r="BJ135" s="120" t="n">
        <f aca="false">$BJ$3</f>
        <v>388.051958478005</v>
      </c>
      <c r="BK135" s="121" t="n">
        <f aca="false">IF(ISNA(VLOOKUP(A135,'Données projet'!$A$87:$I$107,3,0)),0,VLOOKUP(A135,'Données projet'!$A$87:$I$107,3,0))</f>
        <v>0</v>
      </c>
      <c r="BL135" s="121" t="n">
        <f aca="false">IF(ISNA(VLOOKUP(A135,'Données projet'!$A$87:$I$107,4,0)),0,VLOOKUP(A135,'Données projet'!$A$87:$I$107,4,0))</f>
        <v>0</v>
      </c>
      <c r="BM135" s="122" t="n">
        <f aca="false">IF(ISNA(VLOOKUP(A135,'Données projet'!$A$87:$I$107,5,0)),0%,VLOOKUP(A135,'Données projet'!$A$87:$I$107,5,0)*VLOOKUP('Données projet'!$B$11,Paramètres!$A$1:$I$89,7,0))</f>
        <v>0</v>
      </c>
      <c r="BN135" s="122" t="n">
        <f aca="false">IF(ISNA(VLOOKUP(A135,'Données projet'!$A$87:$I$107,6,0)),0%,VLOOKUP(A135,'Données projet'!$A$87:$I$107,6,0)*VLOOKUP('Données projet'!$B$11,Paramètres!$A$1:$I$89,7,0))</f>
        <v>0</v>
      </c>
      <c r="BO135" s="122" t="n">
        <f aca="false">IF(ISNA(VLOOKUP(A135,'Données projet'!$A$87:$I$107,7,0)),0%,VLOOKUP(A135,'Données projet'!$A$87:$I$107,7,0))</f>
        <v>0</v>
      </c>
      <c r="BP135" s="129" t="n">
        <f aca="false">EXP(-LN(2)/35)*BP134+(1-EXP(-LN(2)/35))/(LN(2)/35)*BL135*BM135*VLOOKUP('Données projet'!$B$11,Paramètres!$A$1:$I$89,3,0)*0.475*44/12</f>
        <v>1.14097450953599</v>
      </c>
      <c r="BQ135" s="129" t="n">
        <f aca="false">EXP(-LN(2)/25)*BQ134+(1-EXP(-LN(2)/25))/(LN(2)/25)*Calculateur!BL135*Calculateur!BN135*VLOOKUP('Données projet'!$B$11,Paramètres!$A$1:$I$89,3,0)*0.475*44/12</f>
        <v>0.797176587794593</v>
      </c>
      <c r="BR135" s="129" t="n">
        <f aca="false">EXP(-LN(2)/2)*BR134+(1-EXP(-LN(2)/2))/(LN(2)/2)*BL135*BO135*VLOOKUP('Données projet'!$B$11,Paramètres!$A$1:$I$89,3,0)*0.475*44/12</f>
        <v>2.68274458527828E-015</v>
      </c>
      <c r="BS135" s="130" t="n">
        <f aca="false">SUM(BP135:BR135)</f>
        <v>1.93815109733058</v>
      </c>
      <c r="BT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8" t="e">
        <f aca="false">VLOOKUP(A135,'Données projet'!$A$113:$I$133,2,0)</f>
        <v>#N/A</v>
      </c>
      <c r="BW135" s="118" t="e">
        <f aca="false">VLOOKUP(A135,'Données projet'!$A$113:$I$133,9,0)</f>
        <v>#N/A</v>
      </c>
      <c r="BX135" s="118" t="e">
        <f aca="false" t="array" ref="BX135:BX135">INDEX(BW:BW,MIN(IF(ISNUMBER(BW135:BW331),ROW(BW135:BW331),"")))</f>
        <v>#N/A</v>
      </c>
      <c r="BY135" s="118" t="n">
        <f aca="false">IF('Données projet'!$A$114&gt;35,BY134+BX135-CG134,IF(A135&lt;'Données projet'!$A$114,$BV$205^A135,IF(A135='Données projet'!$A$114,'Données projet'!$B$114,BY134+BX135-CG134)))</f>
        <v>0</v>
      </c>
      <c r="BZ135" s="117" t="n">
        <f aca="false">BY135*VLOOKUP('Données projet'!$B$12,Paramètres!$A$1:$I$89,3,0)*VLOOKUP('Données projet'!$B$12,Paramètres!$A$1:$I$89,5,0)</f>
        <v>0</v>
      </c>
      <c r="CA135" s="117" t="e">
        <f aca="false">EXP(-1.0587+0.8836*LN(BZ135)+0.284)</f>
        <v>#VALUE!</v>
      </c>
      <c r="CB135" s="128" t="e">
        <f aca="false">(BZ135+CA135)*0.475*44/12</f>
        <v>#VALUE!</v>
      </c>
      <c r="CC135" s="120" t="e">
        <f aca="false">CB135+(BT135+BU135)*44/12</f>
        <v>#VALUE!</v>
      </c>
      <c r="CD135" s="120" t="n">
        <f aca="true">AVERAGE(OFFSET($CC$3,0,0,'Données projet'!$E$12+1,1))-AVERAGE(OFFSET($H$3,0,0,'Données projet'!$E$12+1,1))</f>
        <v>240.228848647662</v>
      </c>
      <c r="CE135" s="120" t="n">
        <f aca="false">$CE$3</f>
        <v>343.237768841432</v>
      </c>
      <c r="CF135" s="121" t="n">
        <f aca="false">IF(ISNA(VLOOKUP(A135,'Données projet'!$A$113:$I$133,3,0)),0,VLOOKUP(A135,'Données projet'!$A$113:$I$133,3,0))</f>
        <v>0</v>
      </c>
      <c r="CG135" s="121" t="n">
        <f aca="false">IF(ISNA(VLOOKUP(A135,'Données projet'!$A$113:$I$133,4,0)),0,VLOOKUP(A135,'Données projet'!$A$113:$I$133,4,0))</f>
        <v>0</v>
      </c>
      <c r="CH135" s="122" t="n">
        <f aca="false">IF(ISNA(VLOOKUP(A135,'Données projet'!$A$113:$I$133,5,0)),0%,VLOOKUP(A135,'Données projet'!$A$113:$I$133,5,0)*VLOOKUP('Données projet'!$B$12,Paramètres!$A$1:$I$89,7,0))</f>
        <v>0</v>
      </c>
      <c r="CI135" s="122" t="n">
        <f aca="false">IF(ISNA(VLOOKUP(A135,'Données projet'!$A$113:$I$133,6,0)),0%,VLOOKUP(A135,'Données projet'!$A$113:$I$133,6,0)*VLOOKUP('Données projet'!$B$12,Paramètres!$A$1:$I$89,7,0))</f>
        <v>0</v>
      </c>
      <c r="CJ135" s="122" t="n">
        <f aca="false">IF(ISNA(VLOOKUP(A135,'Données projet'!$A$113:$I$133,7,0)),0%,VLOOKUP(A135,'Données projet'!$A$113:$I$133,7,0))</f>
        <v>0</v>
      </c>
      <c r="CK135" s="129" t="n">
        <f aca="false">EXP(-LN(2)/35)*CK134+(1-EXP(-LN(2)/35))/(LN(2)/35)*CG135*CH135*VLOOKUP('Données projet'!$B$12,Paramètres!$A$1:$I$89,3,0)*0.475*44/12</f>
        <v>0.698365289694288</v>
      </c>
      <c r="CL135" s="129" t="n">
        <f aca="false">EXP(-LN(2)/25)*CL134+(1-EXP(-LN(2)/25))/(LN(2)/25)*Calculateur!CG135*Calculateur!CI135*VLOOKUP('Données projet'!$B$12,Paramètres!$A$1:$I$89,3,0)*0.475*44/12</f>
        <v>1.40786000250758</v>
      </c>
      <c r="CM135" s="129" t="n">
        <f aca="false">EXP(-LN(2)/2)*CM134+(1-EXP(-LN(2)/2))/(LN(2)/2)*CG135*CJ135*VLOOKUP('Données projet'!$B$12,Paramètres!$A$1:$I$89,3,0)*0.475*44/12</f>
        <v>4.28094513880764E-015</v>
      </c>
      <c r="CN135" s="130" t="n">
        <f aca="false">SUM(CK135:CM135)</f>
        <v>2.10622529220187</v>
      </c>
      <c r="CO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8" t="e">
        <f aca="false">VLOOKUP(A135,'Données projet'!$A$139:$I$159,2,0)</f>
        <v>#N/A</v>
      </c>
      <c r="CR135" s="118" t="e">
        <f aca="false">VLOOKUP(A135,'Données projet'!$A$139:$I$159,9,0)</f>
        <v>#N/A</v>
      </c>
      <c r="CS135" s="118" t="e">
        <f aca="false" t="array" ref="CS135:CS135">INDEX(CR:CR,MIN(IF(ISNUMBER(CR135:CR331),ROW(CR135:CR331),"")))</f>
        <v>#N/A</v>
      </c>
      <c r="CT135" s="118" t="n">
        <f aca="false">IF('Données projet'!$A$140&gt;35,CT134+CS135-DB134,IF(A135&lt;'Données projet'!$A$140,$CQ$205^A135,IF(A135='Données projet'!$A$140,'Données projet'!$B$140,CT134+CS135-DB134)))</f>
        <v>-5.6843418860808E-014</v>
      </c>
      <c r="CU135" s="125" t="n">
        <f aca="false">CT135*VLOOKUP('Données projet'!$B$13,Paramètres!$A$1:$I$89,3,0)*VLOOKUP('Données projet'!$B$13,Paramètres!$A$1:$I$89,5,0)</f>
        <v>-3.10365066980012E-014</v>
      </c>
      <c r="CV135" s="117" t="e">
        <f aca="false">EXP(-1.0587+0.8836*LN(CU135)+0.284)</f>
        <v>#VALUE!</v>
      </c>
      <c r="CW135" s="128" t="e">
        <f aca="false">(CU135+CV135)*0.475*44/12</f>
        <v>#VALUE!</v>
      </c>
      <c r="CX135" s="120" t="e">
        <f aca="false">CW135+(CO135+CP135)*44/12</f>
        <v>#VALUE!</v>
      </c>
      <c r="CY135" s="120" t="n">
        <f aca="true">AVERAGE(OFFSET($CX$3,0,0,'Données projet'!$E$13+1,1))-AVERAGE(OFFSET($H$3,0,0,'Données projet'!$E$13+1,1))</f>
        <v>207.023069645676</v>
      </c>
      <c r="CZ135" s="120" t="n">
        <f aca="false">$CZ$3</f>
        <v>342.068879333518</v>
      </c>
      <c r="DA135" s="121" t="n">
        <f aca="false">IF(ISNA(VLOOKUP(A135,'Données projet'!$A$139:$I$159,3,0)),0,VLOOKUP(A135,'Données projet'!$A$139:$I$159,3,0))</f>
        <v>0</v>
      </c>
      <c r="DB135" s="121" t="n">
        <f aca="false">IF(ISNA(VLOOKUP(A135,'Données projet'!$A$139:$I$159,4,0)),0,VLOOKUP(A135,'Données projet'!$A$139:$I$159,4,0))</f>
        <v>0</v>
      </c>
      <c r="DC135" s="122" t="n">
        <f aca="false">IF(ISNA(VLOOKUP(A135,'Données projet'!$A$139:$I$159,5,0)),0%,VLOOKUP(A135,'Données projet'!$A$139:$I$159,5,0)*VLOOKUP('Données projet'!$B$13,Paramètres!$A$1:$I$89,7,0))</f>
        <v>0</v>
      </c>
      <c r="DD135" s="122" t="n">
        <f aca="false">IF(ISNA(VLOOKUP(A135,'Données projet'!$A$139:$I$159,6,0)),0%,VLOOKUP(A135,'Données projet'!$A$139:$I$159,6,0)*VLOOKUP('Données projet'!$B$13,Paramètres!$A$1:$I$89,7,0))</f>
        <v>0</v>
      </c>
      <c r="DE135" s="122" t="n">
        <f aca="false">IF(ISNA(VLOOKUP(A135,'Données projet'!$A$139:$I$159,7,0)),0%,VLOOKUP(A135,'Données projet'!$A$139:$I$159,7,0))</f>
        <v>0</v>
      </c>
      <c r="DF135" s="129" t="n">
        <f aca="false">EXP(-LN(2)/35)*DF134+(1-EXP(-LN(2)/35))/(LN(2)/35)*DB135*DC135*VLOOKUP('Données projet'!$B$13,Paramètres!$A$1:$I$89,3,0)*0.475*44/12</f>
        <v>0.876250788012643</v>
      </c>
      <c r="DG135" s="129" t="n">
        <f aca="false">EXP(-LN(2)/25)*DG134+(1-EXP(-LN(2)/25))/(LN(2)/25)*Calculateur!DB135*Calculateur!DD135*VLOOKUP('Données projet'!$B$13,Paramètres!$A$1:$I$89,3,0)*0.475*44/12</f>
        <v>2.30126474613955</v>
      </c>
      <c r="DH135" s="129" t="n">
        <f aca="false">EXP(-LN(2)/2)*DH134+(1-EXP(-LN(2)/2))/(LN(2)/2)*DB135*DE135*VLOOKUP('Données projet'!$B$13,Paramètres!$A$1:$I$89,3,0)*0.475*44/12</f>
        <v>5.89486344089211E-015</v>
      </c>
      <c r="DI135" s="130" t="n">
        <f aca="false">SUM(DF135:DH135)</f>
        <v>3.1775155341522</v>
      </c>
      <c r="DJ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8" t="e">
        <f aca="false">VLOOKUP(A135,'Données projet'!$A$165:$I$185,2,0)</f>
        <v>#N/A</v>
      </c>
      <c r="DM135" s="118" t="e">
        <f aca="false">VLOOKUP(A135,'Données projet'!$A$165:$I$185,9,0)</f>
        <v>#N/A</v>
      </c>
      <c r="DN135" s="118" t="e">
        <f aca="false" t="array" ref="DN135:DN135">INDEX(DM:DM,MIN(IF(ISNUMBER(DM135:DM331),ROW(DM135:DM331),"")))</f>
        <v>#N/A</v>
      </c>
      <c r="DO135" s="118" t="n">
        <f aca="false">IF('Données projet'!$A$166&gt;35,DO134+DN135-DW134,IF(A135&lt;'Données projet'!$A$166,$DL$205^A135,IF(A135='Données projet'!$A$166,'Données projet'!$B$166,DO134+DN135-DW134)))</f>
        <v>0</v>
      </c>
      <c r="DP135" s="125" t="n">
        <f aca="false">DO135*VLOOKUP('Données projet'!$B$14,Paramètres!$A$1:$I$89,3,0)*VLOOKUP('Données projet'!$B$14,Paramètres!$A$1:$I$89,5,0)</f>
        <v>0</v>
      </c>
      <c r="DQ135" s="117" t="e">
        <f aca="false">EXP(-1.0587+0.8836*LN(DP135)+0.284)</f>
        <v>#VALUE!</v>
      </c>
      <c r="DR135" s="128" t="e">
        <f aca="false">(DP135+DQ135)*0.475*44/12</f>
        <v>#VALUE!</v>
      </c>
      <c r="DS135" s="120" t="e">
        <f aca="false">DR135+(DJ135+DK135)*44/12</f>
        <v>#VALUE!</v>
      </c>
      <c r="DT135" s="120" t="n">
        <f aca="true">AVERAGE(OFFSET($DS$3,0,0,'Données projet'!$E$14+1,1))-AVERAGE(OFFSET($H$3,0,0,'Données projet'!$E$14+1,1))</f>
        <v>549.432320957297</v>
      </c>
      <c r="DU135" s="120" t="n">
        <f aca="false">$DU$3</f>
        <v>280.26155987301</v>
      </c>
      <c r="DV135" s="121" t="n">
        <f aca="false">IF(ISNA(VLOOKUP(A135,'Données projet'!$A$165:$I$185,3,0)),0,VLOOKUP(A135,'Données projet'!$A$165:$I$185,3,0))</f>
        <v>0</v>
      </c>
      <c r="DW135" s="121" t="n">
        <f aca="false">IF(ISNA(VLOOKUP(A135,'Données projet'!$A$165:$I$185,4,0)),0,VLOOKUP(A135,'Données projet'!$A$165:$I$185,4,0))</f>
        <v>0</v>
      </c>
      <c r="DX135" s="122" t="n">
        <f aca="false">IF(ISNA(VLOOKUP(A135,'Données projet'!$A$165:$I$185,5,0)),0%,VLOOKUP(A135,'Données projet'!$A$165:$I$185,5,0)*VLOOKUP('Données projet'!$B$14,Paramètres!$A$1:$I$89,7,0))</f>
        <v>0</v>
      </c>
      <c r="DY135" s="122" t="n">
        <f aca="false">IF(ISNA(VLOOKUP(A135,'Données projet'!$A$165:$I$185,6,0)),0%,VLOOKUP(A135,'Données projet'!$A$165:$I$185,6,0)*VLOOKUP('Données projet'!$B$14,Paramètres!$A$1:$I$89,7,0))</f>
        <v>0</v>
      </c>
      <c r="DZ135" s="122" t="n">
        <f aca="false">IF(ISNA(VLOOKUP(A135,'Données projet'!$A$165:$I$185,7,0)),0%,VLOOKUP(A135,'Données projet'!$A$165:$I$185,7,0))</f>
        <v>0</v>
      </c>
      <c r="EA135" s="129" t="n">
        <f aca="false">EXP(-LN(2)/35)*EA134+(1-EXP(-LN(2)/35))/(LN(2)/35)*DW135*DX135*VLOOKUP('Données projet'!$B$14,Paramètres!$A$1:$I$89,3,0)*0.475*44/12</f>
        <v>0.318603809463373</v>
      </c>
      <c r="EB135" s="129" t="n">
        <f aca="false">EXP(-LN(2)/25)*EB134+(1-EXP(-LN(2)/25))/(LN(2)/25)*Calculateur!DW135*Calculateur!DY135*VLOOKUP('Données projet'!$B$14,Paramètres!$A$1:$I$89,3,0)*0.475*44/12</f>
        <v>0.45845734058642</v>
      </c>
      <c r="EC135" s="129" t="n">
        <f aca="false">EXP(-LN(2)/2)*EC134+(1-EXP(-LN(2)/2))/(LN(2)/2)*DW135*DZ135*VLOOKUP('Données projet'!$B$14,Paramètres!$A$1:$I$89,3,0)*0.475*44/12</f>
        <v>2.71741053417406E-015</v>
      </c>
      <c r="ED135" s="130" t="n">
        <f aca="false">SUM(EA135:EC135)</f>
        <v>0.777061150049795</v>
      </c>
      <c r="EE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8" t="e">
        <f aca="false">VLOOKUP(A135,'Données projet'!$A$191:$I$211,2,0)</f>
        <v>#N/A</v>
      </c>
      <c r="EH135" s="118" t="e">
        <f aca="false">VLOOKUP(A135,'Données projet'!$A$191:$I$211,9,0)</f>
        <v>#N/A</v>
      </c>
      <c r="EI135" s="118" t="e">
        <f aca="false" t="array" ref="EI135:EI135">INDEX(EH:EH,MIN(IF(ISNUMBER(EH135:EH331),ROW(EH135:EH331),"")))</f>
        <v>#N/A</v>
      </c>
      <c r="EJ135" s="118" t="n">
        <f aca="false">IF('Données projet'!$A$192&gt;35,EJ134+EI135-ER134,IF(A135&lt;'Données projet'!$A$192,$EG$205^A135,IF(A135='Données projet'!$A$192,'Données projet'!$B$192,EJ134+EI135-ER134)))</f>
        <v>0</v>
      </c>
      <c r="EK135" s="125" t="e">
        <f aca="false">EJ135*VLOOKUP('Données projet'!$B$15,Paramètres!$A$1:$I$89,3,0)*VLOOKUP('Données projet'!$B$15,Paramètres!$A$1:$I$89,5,0)</f>
        <v>#N/A</v>
      </c>
      <c r="EL135" s="117" t="e">
        <f aca="false">EXP(-1.0587+0.8836*LN(EK135)+0.284)</f>
        <v>#N/A</v>
      </c>
      <c r="EM135" s="128" t="e">
        <f aca="false">(EK135+EL135)*0.475*44/12</f>
        <v>#N/A</v>
      </c>
      <c r="EN135" s="120" t="e">
        <f aca="false">EM135+(EE135+EF135)*44/12</f>
        <v>#N/A</v>
      </c>
      <c r="EO135" s="120" t="e">
        <f aca="true">AVERAGE(OFFSET($EN$3,0,0,'Données projet'!$E$15+1,1))-AVERAGE(OFFSET($H$3,0,0,'Données projet'!$E$15+1,1))</f>
        <v>#N/A</v>
      </c>
      <c r="EP135" s="120" t="e">
        <f aca="false">$EP$3</f>
        <v>#N/A</v>
      </c>
      <c r="EQ135" s="121" t="n">
        <f aca="false">IF(ISNA(VLOOKUP(A135,'Données projet'!$A$191:$I$211,3,0)),0,VLOOKUP(A135,'Données projet'!$A$191:$I$211,3,0))</f>
        <v>0</v>
      </c>
      <c r="ER135" s="121" t="n">
        <f aca="false">IF(ISNA(VLOOKUP(A135,'Données projet'!$A$191:$I$211,4,0)),0,VLOOKUP(A135,'Données projet'!$A$191:$I$211,4,0))</f>
        <v>0</v>
      </c>
      <c r="ES135" s="122" t="n">
        <f aca="false">IF(ISNA(VLOOKUP(A135,'Données projet'!$A$191:$I$211,5,0)),0%,VLOOKUP(A135,'Données projet'!$A$191:$I$211,5,0)*VLOOKUP('Données projet'!$B$15,Paramètres!$A$1:$I$89,7,0))</f>
        <v>0</v>
      </c>
      <c r="ET135" s="122" t="n">
        <f aca="false">IF(ISNA(VLOOKUP(A135,'Données projet'!$A$191:$I$211,6,0)),0%,VLOOKUP(A135,'Données projet'!$A$191:$I$211,6,0)*VLOOKUP('Données projet'!$B$15,Paramètres!$A$1:$I$89,7,0))</f>
        <v>0</v>
      </c>
      <c r="EU135" s="122" t="n">
        <f aca="false">IF(ISNA(VLOOKUP(A135,'Données projet'!$A$191:$I$211,7,0)),0%,VLOOKUP(A135,'Données projet'!$A$191:$I$211,7,0))</f>
        <v>0</v>
      </c>
      <c r="EV135" s="129" t="e">
        <f aca="false">EXP(-LN(2)/35)*EV134+(1-EXP(-LN(2)/35))/(LN(2)/35)*ER135*ES135*VLOOKUP('Données projet'!$B$15,Paramètres!$A$1:$I$89,3,0)*0.475*44/12</f>
        <v>#N/A</v>
      </c>
      <c r="EW135" s="129" t="e">
        <f aca="false">EXP(-LN(2)/25)*EW134+(1-EXP(-LN(2)/25))/(LN(2)/25)*Calculateur!ER135*Calculateur!ET135*VLOOKUP('Données projet'!$B$15,Paramètres!$A$1:$I$89,3,0)*0.475*44/12</f>
        <v>#N/A</v>
      </c>
      <c r="EX135" s="129" t="e">
        <f aca="false">EXP(-LN(2)/2)*EX134+(1-EXP(-LN(2)/2))/(LN(2)/2)*ER135*EU135*VLOOKUP('Données projet'!$B$15,Paramètres!$A$1:$I$89,3,0)*0.475*44/12</f>
        <v>#N/A</v>
      </c>
      <c r="EY135" s="130" t="e">
        <f aca="false">SUM(EV135:EX135)</f>
        <v>#N/A</v>
      </c>
      <c r="EZ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8" t="e">
        <f aca="false">VLOOKUP(A135,'Données projet'!$A$217:$I$237,2,0)</f>
        <v>#N/A</v>
      </c>
      <c r="FC135" s="118" t="e">
        <f aca="false">VLOOKUP(A135,'Données projet'!$A$217:$I$237,9,0)</f>
        <v>#N/A</v>
      </c>
      <c r="FD135" s="118" t="e">
        <f aca="false" t="array" ref="FD135:FD135">INDEX(FC:FC,MIN(IF(ISNUMBER(FC135:FC331),ROW(FC135:FC331),"")))</f>
        <v>#N/A</v>
      </c>
      <c r="FE135" s="118" t="n">
        <f aca="false">IF('Données projet'!$A$218&gt;35,FE134+FD135-FM134,IF(A135&lt;'Données projet'!$A$218,$FB$205^A135,IF(A135='Données projet'!$A$218,'Données projet'!$B$218,FE134+FD135-FM134)))</f>
        <v>0</v>
      </c>
      <c r="FF135" s="125" t="e">
        <f aca="false">FE135*VLOOKUP('Données projet'!$B$16,Paramètres!$A$1:$I$89,3,0)*VLOOKUP('Données projet'!$B$16,Paramètres!$A$1:$I$89,5,0)</f>
        <v>#N/A</v>
      </c>
      <c r="FG135" s="117" t="e">
        <f aca="false">EXP(-1.0587+0.8836*LN(FF135)+0.284)</f>
        <v>#N/A</v>
      </c>
      <c r="FH135" s="128" t="e">
        <f aca="false">(FF135+FG135)*0.475*44/12</f>
        <v>#N/A</v>
      </c>
      <c r="FI135" s="120" t="e">
        <f aca="false">FH135+(EZ135+FA135)*44/12</f>
        <v>#N/A</v>
      </c>
      <c r="FJ135" s="120" t="e">
        <f aca="true">AVERAGE(OFFSET($FI$3,0,0,'Données projet'!$E$16+1,1))-AVERAGE(OFFSET($H$3,0,0,'Données projet'!$E$16+1,1))</f>
        <v>#N/A</v>
      </c>
      <c r="FK135" s="120" t="e">
        <f aca="false">$FK$3</f>
        <v>#N/A</v>
      </c>
      <c r="FL135" s="121" t="n">
        <f aca="false">IF(ISNA(VLOOKUP(A135,'Données projet'!$A$217:$I$237,3,0)),0,VLOOKUP(A135,'Données projet'!$A$217:$I$237,3,0))</f>
        <v>0</v>
      </c>
      <c r="FM135" s="121" t="n">
        <f aca="false">IF(ISNA(VLOOKUP(A135,'Données projet'!$A$217:$I$237,4,0)),0,VLOOKUP(A135,'Données projet'!$A$217:$I$237,4,0))</f>
        <v>0</v>
      </c>
      <c r="FN135" s="122" t="n">
        <f aca="false">IF(ISNA(VLOOKUP(A135,'Données projet'!$A$217:$I$237,5,0)),0%,VLOOKUP(A135,'Données projet'!$A$217:$I$237,5,0)*VLOOKUP('Données projet'!$B$16,Paramètres!$A$1:$I$89,7,0))</f>
        <v>0</v>
      </c>
      <c r="FO135" s="122" t="n">
        <f aca="false">IF(ISNA(VLOOKUP(A135,'Données projet'!$A$217:$I$237,6,0)),0%,VLOOKUP(A135,'Données projet'!$A$217:$I$237,6,0)*VLOOKUP('Données projet'!$B$16,Paramètres!$A$1:$I$89,7,0))</f>
        <v>0</v>
      </c>
      <c r="FP135" s="122" t="n">
        <f aca="false">IF(ISNA(VLOOKUP(A135,'Données projet'!$A$217:$I$237,7,0)),0%,VLOOKUP(A135,'Données projet'!$A$217:$I$237,7,0))</f>
        <v>0</v>
      </c>
      <c r="FQ135" s="129" t="e">
        <f aca="false">EXP(-LN(2)/35)*FQ134+(1-EXP(-LN(2)/35))/(LN(2)/35)*FM135*FN135*VLOOKUP('Données projet'!$B$16,Paramètres!$A$1:$I$89,3,0)*0.475*44/12</f>
        <v>#N/A</v>
      </c>
      <c r="FR135" s="129" t="e">
        <f aca="false">EXP(-LN(2)/25)*FR134+(1-EXP(-LN(2)/25))/(LN(2)/25)*Calculateur!FM135*Calculateur!FO135*VLOOKUP('Données projet'!$B$16,Paramètres!$A$1:$I$89,3,0)*0.475*44/12</f>
        <v>#N/A</v>
      </c>
      <c r="FS135" s="129" t="e">
        <f aca="false">EXP(-LN(2)/2)*FS134+(1-EXP(-LN(2)/2))/(LN(2)/2)*FM135*FP135*VLOOKUP('Données projet'!$B$16,Paramètres!$A$1:$I$89,3,0)*0.475*44/12</f>
        <v>#N/A</v>
      </c>
      <c r="FT135" s="130" t="e">
        <f aca="false">SUM(FQ135:FS135)</f>
        <v>#N/A</v>
      </c>
      <c r="FU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8" t="e">
        <f aca="false">VLOOKUP(A135,'Données projet'!$A$243:$I$263,2,0)</f>
        <v>#N/A</v>
      </c>
      <c r="FX135" s="118" t="e">
        <f aca="false">VLOOKUP(A135,'Données projet'!$A$243:$I$263,9,0)</f>
        <v>#N/A</v>
      </c>
      <c r="FY135" s="118" t="e">
        <f aca="false" t="array" ref="FY135:FY135">INDEX(FX:FX,MIN(IF(ISNUMBER(FX135:FX331),ROW(FX135:FX331),"")))</f>
        <v>#N/A</v>
      </c>
      <c r="FZ135" s="118" t="n">
        <f aca="false">IF('Données projet'!$A$244&gt;35,FZ134+FY135-GH134,IF(A135&lt;'Données projet'!$A$244,$FW$205^A135,IF(A135='Données projet'!$A$244,'Données projet'!$B$244,FZ134+FY135-GH134)))</f>
        <v>0</v>
      </c>
      <c r="GA135" s="125" t="e">
        <f aca="false">FZ135*VLOOKUP('Données projet'!$B$17,Paramètres!$A$1:$I$89,3,0)*VLOOKUP('Données projet'!$B$17,Paramètres!$A$1:$I$89,5,0)</f>
        <v>#N/A</v>
      </c>
      <c r="GB135" s="117" t="e">
        <f aca="false">EXP(-1.0587+0.8836*LN(GA135)+0.284)</f>
        <v>#N/A</v>
      </c>
      <c r="GC135" s="128" t="e">
        <f aca="false">(GA135+GB135)*0.475*44/12</f>
        <v>#N/A</v>
      </c>
      <c r="GD135" s="120" t="e">
        <f aca="false">GC135+(FU135+FV135)*44/12</f>
        <v>#N/A</v>
      </c>
      <c r="GE135" s="120" t="e">
        <f aca="true">AVERAGE(OFFSET($GD$3,0,0,'Données projet'!$E$17+1,1))-AVERAGE(OFFSET($H$3,0,0,'Données projet'!$E$17+1,1))</f>
        <v>#N/A</v>
      </c>
      <c r="GF135" s="120" t="e">
        <f aca="false">$GF$3</f>
        <v>#N/A</v>
      </c>
      <c r="GG135" s="121" t="n">
        <f aca="false">IF(ISNA(VLOOKUP(A135,'Données projet'!$A$243:$I$263,3,0)),0,VLOOKUP(A135,'Données projet'!$A$243:$I$263,3,0))</f>
        <v>0</v>
      </c>
      <c r="GH135" s="121" t="n">
        <f aca="false">IF(ISNA(VLOOKUP(A135,'Données projet'!$A$243:$I$263,4,0)),0,VLOOKUP(A135,'Données projet'!$A$243:$I$263,4,0))</f>
        <v>0</v>
      </c>
      <c r="GI135" s="122" t="n">
        <f aca="false">IF(ISNA(VLOOKUP(A135,'Données projet'!$A$243:$I$263,5,0)),0%,VLOOKUP(A135,'Données projet'!$A$243:$I$263,5,0)*VLOOKUP('Données projet'!$B$17,Paramètres!$A$1:$I$89,7,0))</f>
        <v>0</v>
      </c>
      <c r="GJ135" s="122" t="n">
        <f aca="false">IF(ISNA(VLOOKUP(A135,'Données projet'!$A$243:$I$263,6,0)),0%,VLOOKUP(A135,'Données projet'!$A$243:$I$263,6,0)*VLOOKUP('Données projet'!$B$17,Paramètres!$A$1:$I$89,7,0))</f>
        <v>0</v>
      </c>
      <c r="GK135" s="122" t="n">
        <f aca="false">IF(ISNA(VLOOKUP(A135,'Données projet'!$A$243:$I$263,7,0)),0%,VLOOKUP(A135,'Données projet'!$A$243:$I$263,7,0))</f>
        <v>0</v>
      </c>
      <c r="GL135" s="129" t="e">
        <f aca="false">EXP(-LN(2)/35)*GL134+(1-EXP(-LN(2)/35))/(LN(2)/35)*GH135*GI135*VLOOKUP('Données projet'!$B$17,Paramètres!$A$1:$I$89,3,0)*0.475*44/12</f>
        <v>#N/A</v>
      </c>
      <c r="GM135" s="129" t="e">
        <f aca="false">EXP(-LN(2)/25)*GM134+(1-EXP(-LN(2)/25))/(LN(2)/25)*Calculateur!GH135*Calculateur!GJ135*VLOOKUP('Données projet'!$B$17,Paramètres!$A$1:$I$89,3,0)*0.475*44/12</f>
        <v>#N/A</v>
      </c>
      <c r="GN135" s="129" t="e">
        <f aca="false">EXP(-LN(2)/2)*GN134+(1-EXP(-LN(2)/2))/(LN(2)/2)*GH135*GK135*VLOOKUP('Données projet'!$B$17,Paramètres!$A$1:$I$89,3,0)*0.475*44/12</f>
        <v>#N/A</v>
      </c>
      <c r="GO135" s="129" t="e">
        <f aca="false">SUM(GL135:GN135)</f>
        <v>#N/A</v>
      </c>
      <c r="GP135" s="126" t="n">
        <f aca="false"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8" t="n">
        <f aca="false"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8" t="e">
        <f aca="false">VLOOKUP(A135,'Données projet'!$A$269:$I$289,2,0)</f>
        <v>#N/A</v>
      </c>
      <c r="GS135" s="118" t="e">
        <f aca="false">VLOOKUP(A135,'Données projet'!$A$269:$I$289,9,0)</f>
        <v>#N/A</v>
      </c>
      <c r="GT135" s="118" t="e">
        <f aca="false" t="array" ref="GT135:GT135">INDEX(GS:GS,MIN(IF(ISNUMBER(GS135:GS331),ROW(GS135:GS331),"")))</f>
        <v>#N/A</v>
      </c>
      <c r="GU135" s="118" t="n">
        <f aca="false">IF('Données projet'!$A$270&gt;35,GU134+GT135-HC134,IF(A135&lt;'Données projet'!$A$270,$GR$205^A135,IF(A135='Données projet'!$A$270,'Données projet'!$B$270,GU134+GT135-HC134)))</f>
        <v>0</v>
      </c>
      <c r="GV135" s="125" t="e">
        <f aca="false">GU135*VLOOKUP('Données projet'!$B$18,Paramètres!$A$1:$I$89,3,0)*VLOOKUP('Données projet'!$B$18,Paramètres!$A$1:$I$89,5,0)</f>
        <v>#N/A</v>
      </c>
      <c r="GW135" s="117" t="e">
        <f aca="false">EXP(-1.0587+0.8836*LN(GV135)+0.284)</f>
        <v>#N/A</v>
      </c>
      <c r="GX135" s="128" t="e">
        <f aca="false">(GV135+GW135)*0.475*44/12</f>
        <v>#N/A</v>
      </c>
      <c r="GY135" s="120" t="e">
        <f aca="false">GX135+(GP135+GQ135)*44/12</f>
        <v>#N/A</v>
      </c>
      <c r="GZ135" s="120" t="e">
        <f aca="true">AVERAGE(OFFSET($GY$3,0,0,'Données projet'!$E$18+1,1))-AVERAGE(OFFSET($H$3,0,0,'Données projet'!$E$18+1,1))</f>
        <v>#N/A</v>
      </c>
      <c r="HA135" s="120" t="e">
        <f aca="false">$HA$3</f>
        <v>#N/A</v>
      </c>
      <c r="HB135" s="121" t="n">
        <f aca="false">IF(ISNA(VLOOKUP(A135,'Données projet'!$A$269:$I$289,3,0)),0,VLOOKUP(A135,'Données projet'!$A$269:$I$289,3,0))</f>
        <v>0</v>
      </c>
      <c r="HC135" s="121" t="n">
        <f aca="false">IF(ISNA(VLOOKUP(A135,'Données projet'!$A$269:$I$289,4,0)),0,VLOOKUP(A135,'Données projet'!$A$269:$I$289,4,0))</f>
        <v>0</v>
      </c>
      <c r="HD135" s="122" t="n">
        <f aca="false">IF(ISNA(VLOOKUP(A135,'Données projet'!$A$269:$I$289,5,0)),0%,VLOOKUP(A135,'Données projet'!$A$269:$I$289,5,0)*VLOOKUP('Données projet'!$B$18,Paramètres!$A$1:$I$89,7,0))</f>
        <v>0</v>
      </c>
      <c r="HE135" s="122" t="n">
        <f aca="false">IF(ISNA(VLOOKUP(A135,'Données projet'!$A$269:$I$289,6,0)),0%,VLOOKUP(A135,'Données projet'!$A$269:$I$289,6,0)*VLOOKUP('Données projet'!$B$18,Paramètres!$A$1:$I$89,7,0))</f>
        <v>0</v>
      </c>
      <c r="HF135" s="122" t="n">
        <f aca="false">IF(ISNA(VLOOKUP(A135,'Données projet'!$A$269:$I$289,7,0)),0%,VLOOKUP(A135,'Données projet'!$A$269:$I$289,7,0))</f>
        <v>0</v>
      </c>
      <c r="HG135" s="129" t="e">
        <f aca="false">EXP(-LN(2)/35)*HG134+(1-EXP(-LN(2)/35))/(LN(2)/35)*HC135*HD135*VLOOKUP('Données projet'!$B$18,Paramètres!$A$1:$I$89,3,0)*0.475*44/12</f>
        <v>#N/A</v>
      </c>
      <c r="HH135" s="129" t="e">
        <f aca="false">EXP(-LN(2)/25)*HH134+(1-EXP(-LN(2)/25))/(LN(2)/25)*Calculateur!HC135*Calculateur!HE135*VLOOKUP('Données projet'!$B$18,Paramètres!$A$1:$I$89,3,0)*0.475*44/12</f>
        <v>#N/A</v>
      </c>
      <c r="HI135" s="129" t="e">
        <f aca="false">EXP(-LN(2)/2)*HI134+(1-EXP(-LN(2)/2))/(LN(2)/2)*HC135*HF135*VLOOKUP('Données projet'!$B$18,Paramètres!$A$1:$I$89,3,0)*0.475*44/12</f>
        <v>#N/A</v>
      </c>
      <c r="HJ135" s="130" t="e">
        <f aca="false">SUM(HG135:HI135)</f>
        <v>#N/A</v>
      </c>
    </row>
    <row r="136" customFormat="false" ht="14.25" hidden="false" customHeight="false" outlineLevel="0" collapsed="false">
      <c r="A136" s="112" t="n">
        <f aca="false">A135+1</f>
        <v>133</v>
      </c>
      <c r="B136" s="113" t="n">
        <f aca="false">'Scénario référence'!$B$16*5+'Scénario référence'!$B$17*0+'Scénario référence'!$B$18*5</f>
        <v>0</v>
      </c>
      <c r="C136" s="127" t="n">
        <f aca="false"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4" t="n">
        <f aca="false">IFERROR(EXP(-1.0587+0.8836*LN(C136)+0.284),0)</f>
        <v>0</v>
      </c>
      <c r="E13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6" s="114" t="n">
        <f aca="false">IF(OR('Scénario référence'!$F$8&gt;0,'Scénario référence'!$F$9&gt;0),('Scénario référence'!$F$8+'Scénario référence'!$F$9)*10,0)</f>
        <v>0</v>
      </c>
      <c r="G136" s="114" t="n">
        <f aca="false"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15" t="n">
        <f aca="false">(B136+E136+F136)*44/12+(C136+D136)*0.475*44/12</f>
        <v>256.666666666667</v>
      </c>
      <c r="I136" s="11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7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8" t="e">
        <f aca="false">VLOOKUP(A136,'Données projet'!$A$35:$I$55,2,0)</f>
        <v>#N/A</v>
      </c>
      <c r="L136" s="118" t="e">
        <f aca="false">VLOOKUP(A136,'Données projet'!$A$35:$I$55,9,0)</f>
        <v>#N/A</v>
      </c>
      <c r="M136" s="118" t="e">
        <f aca="false" t="array" ref="M136:M136">INDEX(L:L,MIN(IF(ISNUMBER(L136:L332),ROW(L136:L332),"")))</f>
        <v>#N/A</v>
      </c>
      <c r="N136" s="117" t="n">
        <f aca="false">IF('Données projet'!$A$36&gt;35,N135+M136-V135,IF(A136&lt;'Données projet'!$A$36,$K$205^A136,IF(A136='Données projet'!$A$36,'Données projet'!$B$36,N135+M136-V135)))</f>
        <v>-1.13686837721616E-013</v>
      </c>
      <c r="O136" s="117" t="n">
        <f aca="false">N136*VLOOKUP('Données projet'!$B$9,Paramètres!$A$1:$I$89,3,0)*VLOOKUP('Données projet'!$B$9,Paramètres!$A$1:$I$89,5,0)</f>
        <v>-5.32054400537163E-014</v>
      </c>
      <c r="P136" s="117" t="e">
        <f aca="false">EXP(-1.0587+0.8836*LN(O136)+0.284)</f>
        <v>#VALUE!</v>
      </c>
      <c r="Q136" s="128" t="e">
        <f aca="false">(O136+P136)*0.475*44/12</f>
        <v>#VALUE!</v>
      </c>
      <c r="R136" s="120" t="e">
        <f aca="false">Q136+(I136+J136)*44/12</f>
        <v>#VALUE!</v>
      </c>
      <c r="S136" s="120" t="n">
        <f aca="true">AVERAGE(OFFSET($R$3,0,0,'Données projet'!$E$9+1,1))-AVERAGE(OFFSET($H$3,0,0,'Données projet'!$E$9+1,1))</f>
        <v>319.229030946746</v>
      </c>
      <c r="T136" s="120" t="n">
        <f aca="false">$T$3</f>
        <v>254.586909731428</v>
      </c>
      <c r="U136" s="121" t="n">
        <f aca="false">IF(ISNA(VLOOKUP(A136,'Données projet'!$A$35:$I$55,3,0)),0,VLOOKUP(A136,'Données projet'!$A$35:$I$55,3,0))</f>
        <v>0</v>
      </c>
      <c r="V136" s="121" t="n">
        <f aca="false">IF(ISNA(VLOOKUP(A136,'Données projet'!$A$35:$I$55,4,0)),0,VLOOKUP(A136,'Données projet'!$A$35:$I$55,4,0))</f>
        <v>0</v>
      </c>
      <c r="W136" s="122" t="n">
        <f aca="false">IF(ISNA(VLOOKUP(A136,'Données projet'!$A$35:$I$55,5,0)),0%,VLOOKUP(A136,'Données projet'!$A$35:$I$55,5,0)*VLOOKUP('Données projet'!$B$9,Paramètres!$A$1:$I$89,7,0))</f>
        <v>0</v>
      </c>
      <c r="X136" s="122" t="n">
        <f aca="false">IF(ISNA(VLOOKUP(A136,'Données projet'!$A$35:$I$55,6,0)),0%,VLOOKUP(A136,'Données projet'!$A$35:$I$55,6,0)*VLOOKUP('Données projet'!$B$9,Paramètres!$A$1:$I$89,7,0))</f>
        <v>0</v>
      </c>
      <c r="Y136" s="122" t="n">
        <f aca="false">IF(ISNA(VLOOKUP(A136,'Données projet'!$A$35:$I$55,7,0)),0%,VLOOKUP(A136,'Données projet'!$A$35:$I$55,7,0))</f>
        <v>0</v>
      </c>
      <c r="Z136" s="129" t="n">
        <f aca="false">EXP(-LN(2)/35)*Z135+(1-EXP(-LN(2)/35))/(LN(2)/35)*V136*W136*VLOOKUP('Données projet'!$B$9,Paramètres!$A$1:$I$89,3,0)*0.475*44/12</f>
        <v>1.1803592607903</v>
      </c>
      <c r="AA136" s="129" t="n">
        <f aca="false">EXP(-LN(2)/25)*AA135+(1-EXP(-LN(2)/25))/(LN(2)/25)*Calculateur!V136*Calculateur!X136*VLOOKUP('Données projet'!$B$9,Paramètres!$A$1:$I$89,3,0)*0.475*44/12</f>
        <v>0.641331696972599</v>
      </c>
      <c r="AB136" s="129" t="n">
        <f aca="false">EXP(-LN(2)/2)*AB135+(1-EXP(-LN(2)/2))/(LN(2)/2)*V136*Y136*VLOOKUP('Données projet'!$B$9,Paramètres!$A$1:$I$89,3,0)*0.475*44/12</f>
        <v>3.46774660071774E-015</v>
      </c>
      <c r="AC136" s="130" t="n">
        <f aca="false">SUM(Z136:AB136)</f>
        <v>1.82169095776291</v>
      </c>
      <c r="AD136" s="117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7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8" t="e">
        <f aca="false">VLOOKUP(A136,'Données projet'!$A$61:$I$81,2,0)</f>
        <v>#N/A</v>
      </c>
      <c r="AG136" s="118" t="e">
        <f aca="false">VLOOKUP(A136,'Données projet'!$A$61:$I$81,9,0)</f>
        <v>#N/A</v>
      </c>
      <c r="AH136" s="118" t="e">
        <f aca="false" t="array" ref="AH136:AH136">INDEX(AG:AG,MIN(IF(ISNUMBER(AG136:AG332),ROW(AG136:AG332),"")))</f>
        <v>#N/A</v>
      </c>
      <c r="AI136" s="117" t="n">
        <f aca="false">IF('Données projet'!$A$62&gt;35,AI135+AH136-AQ135,IF(A136&lt;'Données projet'!$A$62,$AF$205^A136,IF(A136='Données projet'!$A$62,'Données projet'!$B$62,AI135+AH136-AQ135)))</f>
        <v>1.13686837721616E-013</v>
      </c>
      <c r="AJ136" s="117" t="n">
        <f aca="false">AI136*VLOOKUP('Données projet'!$B$10,Paramètres!$A$1:$I$89,3,0)*VLOOKUP('Données projet'!$B$10,Paramètres!$A$1:$I$89,5,0)</f>
        <v>6.35509422863834E-014</v>
      </c>
      <c r="AK136" s="117" t="n">
        <f aca="false">EXP(-1.0587+0.8836*LN(AJ136)+0.284)</f>
        <v>1.0064464192544E-012</v>
      </c>
      <c r="AL136" s="128" t="n">
        <f aca="false">(AJ136+AK136)*0.475*44/12</f>
        <v>1.86357873801686E-012</v>
      </c>
      <c r="AM136" s="120" t="n">
        <f aca="false">AL136+(AD136+AE136)*44/12</f>
        <v>293.333333333335</v>
      </c>
      <c r="AN136" s="120" t="n">
        <f aca="true">AVERAGE(OFFSET($AM$3,0,0,'Données projet'!$E$10+1,1))-AVERAGE(OFFSET($H$3,0,0,'Données projet'!$E$10+1,1))</f>
        <v>365.705101827279</v>
      </c>
      <c r="AO136" s="120" t="n">
        <f aca="false">$AO$3</f>
        <v>436.238338449625</v>
      </c>
      <c r="AP136" s="121" t="n">
        <f aca="false">IF(ISNA(VLOOKUP(A136,'Données projet'!$A$61:$I$81,3,0)),0,VLOOKUP(A136,'Données projet'!$A$61:$I$81,3,0))</f>
        <v>0</v>
      </c>
      <c r="AQ136" s="121" t="n">
        <f aca="false">IF(ISNA(VLOOKUP(A136,'Données projet'!$A$61:$I$81,4,0)),0,VLOOKUP(A136,'Données projet'!$A$61:$I$81,4,0))</f>
        <v>0</v>
      </c>
      <c r="AR136" s="122" t="n">
        <f aca="false">IF(ISNA(VLOOKUP(A136,'Données projet'!$A$61:$I$81,5,0)),0%,VLOOKUP(A136,'Données projet'!$A$61:$I$81,5,0)*VLOOKUP('Données projet'!$B$10,Paramètres!$A$1:$I$89,7,0))</f>
        <v>0</v>
      </c>
      <c r="AS136" s="122" t="n">
        <f aca="false">IF(ISNA(VLOOKUP(A136,'Données projet'!$A$61:$I$81,6,0)),0%,VLOOKUP(A136,'Données projet'!$A$61:$I$81,6,0)*VLOOKUP('Données projet'!$B$10,Paramètres!$A$1:$I$89,7,0))</f>
        <v>0</v>
      </c>
      <c r="AT136" s="122" t="n">
        <f aca="false">IF(ISNA(VLOOKUP(A136,'Données projet'!$A$61:$I$81,7,0)),0%,VLOOKUP(A136,'Données projet'!$A$61:$I$81,7,0))</f>
        <v>0</v>
      </c>
      <c r="AU136" s="129" t="n">
        <f aca="false">EXP(-LN(2)/35)*AU135+(1-EXP(-LN(2)/35))/(LN(2)/35)*AQ136*AR136*VLOOKUP('Données projet'!$B$10,Paramètres!$A$1:$I$89,3,0)*0.475*44/12</f>
        <v>0.445547352037196</v>
      </c>
      <c r="AV136" s="129" t="n">
        <f aca="false">EXP(-LN(2)/25)*AV135+(1-EXP(-LN(2)/25))/(LN(2)/25)*Calculateur!AQ136*Calculateur!AS136*VLOOKUP('Données projet'!$B$10,Paramètres!$A$1:$I$89,3,0)*0.475*44/12</f>
        <v>0.759622718338128</v>
      </c>
      <c r="AW136" s="129" t="n">
        <f aca="false">EXP(-LN(2)/2)*AW135+(1-EXP(-LN(2)/2))/(LN(2)/2)*AQ136*AT136*VLOOKUP('Données projet'!$B$10,Paramètres!$A$1:$I$89,3,0)*0.475*44/12</f>
        <v>1.86623283692687E-015</v>
      </c>
      <c r="AX136" s="129" t="n">
        <f aca="false">SUM(AU136:AW136)</f>
        <v>1.20517007037533</v>
      </c>
      <c r="AY136" s="124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8" t="e">
        <f aca="false">VLOOKUP(A136,'Données projet'!$A$87:$I$107,2,0)</f>
        <v>#N/A</v>
      </c>
      <c r="BB136" s="118" t="e">
        <f aca="false">VLOOKUP(A136,'Données projet'!$A$87:$I$107,9,0)</f>
        <v>#N/A</v>
      </c>
      <c r="BC136" s="118" t="e">
        <f aca="false" t="array" ref="BC136:BC136">INDEX(BB:BB,MIN(IF(ISNUMBER(BB136:BB332),ROW(BB136:BB332),"")))</f>
        <v>#N/A</v>
      </c>
      <c r="BD136" s="118" t="n">
        <f aca="false">IF('Données projet'!$A$88&gt;35,BD135+BC136-BL135,IF(A136&lt;'Données projet'!$A$88,$BA$205^A136,IF(A136='Données projet'!$A$88,'Données projet'!$B$88,BD135+BC136-BL135)))</f>
        <v>1.98951966012828E-013</v>
      </c>
      <c r="BE136" s="117" t="n">
        <f aca="false">BD136*VLOOKUP('Données projet'!$B$11,Paramètres!$A$1:$I$89,3,0)*VLOOKUP('Données projet'!$B$11,Paramètres!$A$1:$I$89,5,0)</f>
        <v>1.73804437508807E-013</v>
      </c>
      <c r="BF136" s="117" t="n">
        <f aca="false">EXP(-1.0587+0.8836*LN(BE136)+0.284)</f>
        <v>2.44832936339505E-012</v>
      </c>
      <c r="BG136" s="128" t="n">
        <f aca="false">(BE136+BF136)*0.475*44/12</f>
        <v>4.56688303657421E-012</v>
      </c>
      <c r="BH136" s="120" t="n">
        <f aca="false">BG136+(AY136+AZ136)*44/12</f>
        <v>293.333333333338</v>
      </c>
      <c r="BI136" s="120" t="n">
        <f aca="true">AVERAGE(OFFSET($BH$3,0,0,'Données projet'!$E$11+1,1))-AVERAGE(OFFSET($H$3,0,0,'Données projet'!$E$11+1,1))</f>
        <v>321.235999689929</v>
      </c>
      <c r="BJ136" s="120" t="n">
        <f aca="false">$BJ$3</f>
        <v>388.051958478005</v>
      </c>
      <c r="BK136" s="121" t="n">
        <f aca="false">IF(ISNA(VLOOKUP(A136,'Données projet'!$A$87:$I$107,3,0)),0,VLOOKUP(A136,'Données projet'!$A$87:$I$107,3,0))</f>
        <v>0</v>
      </c>
      <c r="BL136" s="121" t="n">
        <f aca="false">IF(ISNA(VLOOKUP(A136,'Données projet'!$A$87:$I$107,4,0)),0,VLOOKUP(A136,'Données projet'!$A$87:$I$107,4,0))</f>
        <v>0</v>
      </c>
      <c r="BM136" s="122" t="n">
        <f aca="false">IF(ISNA(VLOOKUP(A136,'Données projet'!$A$87:$I$107,5,0)),0%,VLOOKUP(A136,'Données projet'!$A$87:$I$107,5,0)*VLOOKUP('Données projet'!$B$11,Paramètres!$A$1:$I$89,7,0))</f>
        <v>0</v>
      </c>
      <c r="BN136" s="122" t="n">
        <f aca="false">IF(ISNA(VLOOKUP(A136,'Données projet'!$A$87:$I$107,6,0)),0%,VLOOKUP(A136,'Données projet'!$A$87:$I$107,6,0)*VLOOKUP('Données projet'!$B$11,Paramètres!$A$1:$I$89,7,0))</f>
        <v>0</v>
      </c>
      <c r="BO136" s="122" t="n">
        <f aca="false">IF(ISNA(VLOOKUP(A136,'Données projet'!$A$87:$I$107,7,0)),0%,VLOOKUP(A136,'Données projet'!$A$87:$I$107,7,0))</f>
        <v>0</v>
      </c>
      <c r="BP136" s="129" t="n">
        <f aca="false">EXP(-LN(2)/35)*BP135+(1-EXP(-LN(2)/35))/(LN(2)/35)*BL136*BM136*VLOOKUP('Données projet'!$B$11,Paramètres!$A$1:$I$89,3,0)*0.475*44/12</f>
        <v>1.11860069532972</v>
      </c>
      <c r="BQ136" s="129" t="n">
        <f aca="false">EXP(-LN(2)/25)*BQ135+(1-EXP(-LN(2)/25))/(LN(2)/25)*Calculateur!BL136*Calculateur!BN136*VLOOKUP('Données projet'!$B$11,Paramètres!$A$1:$I$89,3,0)*0.475*44/12</f>
        <v>0.775377752079655</v>
      </c>
      <c r="BR136" s="129" t="n">
        <f aca="false">EXP(-LN(2)/2)*BR135+(1-EXP(-LN(2)/2))/(LN(2)/2)*BL136*BO136*VLOOKUP('Données projet'!$B$11,Paramètres!$A$1:$I$89,3,0)*0.475*44/12</f>
        <v>1.89698688844176E-015</v>
      </c>
      <c r="BS136" s="130" t="n">
        <f aca="false">SUM(BP136:BR136)</f>
        <v>1.89397844740938</v>
      </c>
      <c r="BT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8" t="e">
        <f aca="false">VLOOKUP(A136,'Données projet'!$A$113:$I$133,2,0)</f>
        <v>#N/A</v>
      </c>
      <c r="BW136" s="118" t="e">
        <f aca="false">VLOOKUP(A136,'Données projet'!$A$113:$I$133,9,0)</f>
        <v>#N/A</v>
      </c>
      <c r="BX136" s="118" t="e">
        <f aca="false" t="array" ref="BX136:BX136">INDEX(BW:BW,MIN(IF(ISNUMBER(BW136:BW332),ROW(BW136:BW332),"")))</f>
        <v>#N/A</v>
      </c>
      <c r="BY136" s="118" t="n">
        <f aca="false">IF('Données projet'!$A$114&gt;35,BY135+BX136-CG135,IF(A136&lt;'Données projet'!$A$114,$BV$205^A136,IF(A136='Données projet'!$A$114,'Données projet'!$B$114,BY135+BX136-CG135)))</f>
        <v>0</v>
      </c>
      <c r="BZ136" s="117" t="n">
        <f aca="false">BY136*VLOOKUP('Données projet'!$B$12,Paramètres!$A$1:$I$89,3,0)*VLOOKUP('Données projet'!$B$12,Paramètres!$A$1:$I$89,5,0)</f>
        <v>0</v>
      </c>
      <c r="CA136" s="117" t="e">
        <f aca="false">EXP(-1.0587+0.8836*LN(BZ136)+0.284)</f>
        <v>#VALUE!</v>
      </c>
      <c r="CB136" s="128" t="e">
        <f aca="false">(BZ136+CA136)*0.475*44/12</f>
        <v>#VALUE!</v>
      </c>
      <c r="CC136" s="120" t="e">
        <f aca="false">CB136+(BT136+BU136)*44/12</f>
        <v>#VALUE!</v>
      </c>
      <c r="CD136" s="120" t="n">
        <f aca="true">AVERAGE(OFFSET($CC$3,0,0,'Données projet'!$E$12+1,1))-AVERAGE(OFFSET($H$3,0,0,'Données projet'!$E$12+1,1))</f>
        <v>240.228848647662</v>
      </c>
      <c r="CE136" s="120" t="n">
        <f aca="false">$CE$3</f>
        <v>343.237768841432</v>
      </c>
      <c r="CF136" s="121" t="n">
        <f aca="false">IF(ISNA(VLOOKUP(A136,'Données projet'!$A$113:$I$133,3,0)),0,VLOOKUP(A136,'Données projet'!$A$113:$I$133,3,0))</f>
        <v>0</v>
      </c>
      <c r="CG136" s="121" t="n">
        <f aca="false">IF(ISNA(VLOOKUP(A136,'Données projet'!$A$113:$I$133,4,0)),0,VLOOKUP(A136,'Données projet'!$A$113:$I$133,4,0))</f>
        <v>0</v>
      </c>
      <c r="CH136" s="122" t="n">
        <f aca="false">IF(ISNA(VLOOKUP(A136,'Données projet'!$A$113:$I$133,5,0)),0%,VLOOKUP(A136,'Données projet'!$A$113:$I$133,5,0)*VLOOKUP('Données projet'!$B$12,Paramètres!$A$1:$I$89,7,0))</f>
        <v>0</v>
      </c>
      <c r="CI136" s="122" t="n">
        <f aca="false">IF(ISNA(VLOOKUP(A136,'Données projet'!$A$113:$I$133,6,0)),0%,VLOOKUP(A136,'Données projet'!$A$113:$I$133,6,0)*VLOOKUP('Données projet'!$B$12,Paramètres!$A$1:$I$89,7,0))</f>
        <v>0</v>
      </c>
      <c r="CJ136" s="122" t="n">
        <f aca="false">IF(ISNA(VLOOKUP(A136,'Données projet'!$A$113:$I$133,7,0)),0%,VLOOKUP(A136,'Données projet'!$A$113:$I$133,7,0))</f>
        <v>0</v>
      </c>
      <c r="CK136" s="129" t="n">
        <f aca="false">EXP(-LN(2)/35)*CK135+(1-EXP(-LN(2)/35))/(LN(2)/35)*CG136*CH136*VLOOKUP('Données projet'!$B$12,Paramètres!$A$1:$I$89,3,0)*0.475*44/12</f>
        <v>0.684670772324149</v>
      </c>
      <c r="CL136" s="129" t="n">
        <f aca="false">EXP(-LN(2)/25)*CL135+(1-EXP(-LN(2)/25))/(LN(2)/25)*Calculateur!CG136*Calculateur!CI136*VLOOKUP('Données projet'!$B$12,Paramètres!$A$1:$I$89,3,0)*0.475*44/12</f>
        <v>1.36936199670287</v>
      </c>
      <c r="CM136" s="129" t="n">
        <f aca="false">EXP(-LN(2)/2)*CM135+(1-EXP(-LN(2)/2))/(LN(2)/2)*CG136*CJ136*VLOOKUP('Données projet'!$B$12,Paramètres!$A$1:$I$89,3,0)*0.475*44/12</f>
        <v>3.02708533753847E-015</v>
      </c>
      <c r="CN136" s="130" t="n">
        <f aca="false">SUM(CK136:CM136)</f>
        <v>2.05403276902702</v>
      </c>
      <c r="CO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8" t="e">
        <f aca="false">VLOOKUP(A136,'Données projet'!$A$139:$I$159,2,0)</f>
        <v>#N/A</v>
      </c>
      <c r="CR136" s="118" t="e">
        <f aca="false">VLOOKUP(A136,'Données projet'!$A$139:$I$159,9,0)</f>
        <v>#N/A</v>
      </c>
      <c r="CS136" s="118" t="e">
        <f aca="false" t="array" ref="CS136:CS136">INDEX(CR:CR,MIN(IF(ISNUMBER(CR136:CR332),ROW(CR136:CR332),"")))</f>
        <v>#N/A</v>
      </c>
      <c r="CT136" s="118" t="n">
        <f aca="false">IF('Données projet'!$A$140&gt;35,CT135+CS136-DB135,IF(A136&lt;'Données projet'!$A$140,$CQ$205^A136,IF(A136='Données projet'!$A$140,'Données projet'!$B$140,CT135+CS136-DB135)))</f>
        <v>-5.6843418860808E-014</v>
      </c>
      <c r="CU136" s="125" t="n">
        <f aca="false">CT136*VLOOKUP('Données projet'!$B$13,Paramètres!$A$1:$I$89,3,0)*VLOOKUP('Données projet'!$B$13,Paramètres!$A$1:$I$89,5,0)</f>
        <v>-3.10365066980012E-014</v>
      </c>
      <c r="CV136" s="117" t="e">
        <f aca="false">EXP(-1.0587+0.8836*LN(CU136)+0.284)</f>
        <v>#VALUE!</v>
      </c>
      <c r="CW136" s="128" t="e">
        <f aca="false">(CU136+CV136)*0.475*44/12</f>
        <v>#VALUE!</v>
      </c>
      <c r="CX136" s="120" t="e">
        <f aca="false">CW136+(CO136+CP136)*44/12</f>
        <v>#VALUE!</v>
      </c>
      <c r="CY136" s="120" t="n">
        <f aca="true">AVERAGE(OFFSET($CX$3,0,0,'Données projet'!$E$13+1,1))-AVERAGE(OFFSET($H$3,0,0,'Données projet'!$E$13+1,1))</f>
        <v>207.023069645676</v>
      </c>
      <c r="CZ136" s="120" t="n">
        <f aca="false">$CZ$3</f>
        <v>342.068879333518</v>
      </c>
      <c r="DA136" s="121" t="n">
        <f aca="false">IF(ISNA(VLOOKUP(A136,'Données projet'!$A$139:$I$159,3,0)),0,VLOOKUP(A136,'Données projet'!$A$139:$I$159,3,0))</f>
        <v>0</v>
      </c>
      <c r="DB136" s="121" t="n">
        <f aca="false">IF(ISNA(VLOOKUP(A136,'Données projet'!$A$139:$I$159,4,0)),0,VLOOKUP(A136,'Données projet'!$A$139:$I$159,4,0))</f>
        <v>0</v>
      </c>
      <c r="DC136" s="122" t="n">
        <f aca="false">IF(ISNA(VLOOKUP(A136,'Données projet'!$A$139:$I$159,5,0)),0%,VLOOKUP(A136,'Données projet'!$A$139:$I$159,5,0)*VLOOKUP('Données projet'!$B$13,Paramètres!$A$1:$I$89,7,0))</f>
        <v>0</v>
      </c>
      <c r="DD136" s="122" t="n">
        <f aca="false">IF(ISNA(VLOOKUP(A136,'Données projet'!$A$139:$I$159,6,0)),0%,VLOOKUP(A136,'Données projet'!$A$139:$I$159,6,0)*VLOOKUP('Données projet'!$B$13,Paramètres!$A$1:$I$89,7,0))</f>
        <v>0</v>
      </c>
      <c r="DE136" s="122" t="n">
        <f aca="false">IF(ISNA(VLOOKUP(A136,'Données projet'!$A$139:$I$159,7,0)),0%,VLOOKUP(A136,'Données projet'!$A$139:$I$159,7,0))</f>
        <v>0</v>
      </c>
      <c r="DF136" s="129" t="n">
        <f aca="false">EXP(-LN(2)/35)*DF135+(1-EXP(-LN(2)/35))/(LN(2)/35)*DB136*DC136*VLOOKUP('Données projet'!$B$13,Paramètres!$A$1:$I$89,3,0)*0.475*44/12</f>
        <v>0.859068044519923</v>
      </c>
      <c r="DG136" s="129" t="n">
        <f aca="false">EXP(-LN(2)/25)*DG135+(1-EXP(-LN(2)/25))/(LN(2)/25)*Calculateur!DB136*Calculateur!DD136*VLOOKUP('Données projet'!$B$13,Paramètres!$A$1:$I$89,3,0)*0.475*44/12</f>
        <v>2.23833654063811</v>
      </c>
      <c r="DH136" s="129" t="n">
        <f aca="false">EXP(-LN(2)/2)*DH135+(1-EXP(-LN(2)/2))/(LN(2)/2)*DB136*DE136*VLOOKUP('Données projet'!$B$13,Paramètres!$A$1:$I$89,3,0)*0.475*44/12</f>
        <v>4.16829791322348E-015</v>
      </c>
      <c r="DI136" s="130" t="n">
        <f aca="false">SUM(DF136:DH136)</f>
        <v>3.09740458515803</v>
      </c>
      <c r="DJ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8" t="e">
        <f aca="false">VLOOKUP(A136,'Données projet'!$A$165:$I$185,2,0)</f>
        <v>#N/A</v>
      </c>
      <c r="DM136" s="118" t="e">
        <f aca="false">VLOOKUP(A136,'Données projet'!$A$165:$I$185,9,0)</f>
        <v>#N/A</v>
      </c>
      <c r="DN136" s="118" t="e">
        <f aca="false" t="array" ref="DN136:DN136">INDEX(DM:DM,MIN(IF(ISNUMBER(DM136:DM332),ROW(DM136:DM332),"")))</f>
        <v>#N/A</v>
      </c>
      <c r="DO136" s="118" t="n">
        <f aca="false">IF('Données projet'!$A$166&gt;35,DO135+DN136-DW135,IF(A136&lt;'Données projet'!$A$166,$DL$205^A136,IF(A136='Données projet'!$A$166,'Données projet'!$B$166,DO135+DN136-DW135)))</f>
        <v>0</v>
      </c>
      <c r="DP136" s="125" t="n">
        <f aca="false">DO136*VLOOKUP('Données projet'!$B$14,Paramètres!$A$1:$I$89,3,0)*VLOOKUP('Données projet'!$B$14,Paramètres!$A$1:$I$89,5,0)</f>
        <v>0</v>
      </c>
      <c r="DQ136" s="117" t="e">
        <f aca="false">EXP(-1.0587+0.8836*LN(DP136)+0.284)</f>
        <v>#VALUE!</v>
      </c>
      <c r="DR136" s="128" t="e">
        <f aca="false">(DP136+DQ136)*0.475*44/12</f>
        <v>#VALUE!</v>
      </c>
      <c r="DS136" s="120" t="e">
        <f aca="false">DR136+(DJ136+DK136)*44/12</f>
        <v>#VALUE!</v>
      </c>
      <c r="DT136" s="120" t="n">
        <f aca="true">AVERAGE(OFFSET($DS$3,0,0,'Données projet'!$E$14+1,1))-AVERAGE(OFFSET($H$3,0,0,'Données projet'!$E$14+1,1))</f>
        <v>549.432320957297</v>
      </c>
      <c r="DU136" s="120" t="n">
        <f aca="false">$DU$3</f>
        <v>280.26155987301</v>
      </c>
      <c r="DV136" s="121" t="n">
        <f aca="false">IF(ISNA(VLOOKUP(A136,'Données projet'!$A$165:$I$185,3,0)),0,VLOOKUP(A136,'Données projet'!$A$165:$I$185,3,0))</f>
        <v>0</v>
      </c>
      <c r="DW136" s="121" t="n">
        <f aca="false">IF(ISNA(VLOOKUP(A136,'Données projet'!$A$165:$I$185,4,0)),0,VLOOKUP(A136,'Données projet'!$A$165:$I$185,4,0))</f>
        <v>0</v>
      </c>
      <c r="DX136" s="122" t="n">
        <f aca="false">IF(ISNA(VLOOKUP(A136,'Données projet'!$A$165:$I$185,5,0)),0%,VLOOKUP(A136,'Données projet'!$A$165:$I$185,5,0)*VLOOKUP('Données projet'!$B$14,Paramètres!$A$1:$I$89,7,0))</f>
        <v>0</v>
      </c>
      <c r="DY136" s="122" t="n">
        <f aca="false">IF(ISNA(VLOOKUP(A136,'Données projet'!$A$165:$I$185,6,0)),0%,VLOOKUP(A136,'Données projet'!$A$165:$I$185,6,0)*VLOOKUP('Données projet'!$B$14,Paramètres!$A$1:$I$89,7,0))</f>
        <v>0</v>
      </c>
      <c r="DZ136" s="122" t="n">
        <f aca="false">IF(ISNA(VLOOKUP(A136,'Données projet'!$A$165:$I$185,7,0)),0%,VLOOKUP(A136,'Données projet'!$A$165:$I$185,7,0))</f>
        <v>0</v>
      </c>
      <c r="EA136" s="129" t="n">
        <f aca="false">EXP(-LN(2)/35)*EA135+(1-EXP(-LN(2)/35))/(LN(2)/35)*DW136*DX136*VLOOKUP('Données projet'!$B$14,Paramètres!$A$1:$I$89,3,0)*0.475*44/12</f>
        <v>0.312356183088931</v>
      </c>
      <c r="EB136" s="129" t="n">
        <f aca="false">EXP(-LN(2)/25)*EB135+(1-EXP(-LN(2)/25))/(LN(2)/25)*Calculateur!DW136*Calculateur!DY136*VLOOKUP('Données projet'!$B$14,Paramètres!$A$1:$I$89,3,0)*0.475*44/12</f>
        <v>0.44592080049886</v>
      </c>
      <c r="EC136" s="129" t="n">
        <f aca="false">EXP(-LN(2)/2)*EC135+(1-EXP(-LN(2)/2))/(LN(2)/2)*DW136*DZ136*VLOOKUP('Données projet'!$B$14,Paramètres!$A$1:$I$89,3,0)*0.475*44/12</f>
        <v>1.92149941598223E-015</v>
      </c>
      <c r="ED136" s="130" t="n">
        <f aca="false">SUM(EA136:EC136)</f>
        <v>0.758276983587794</v>
      </c>
      <c r="EE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8" t="e">
        <f aca="false">VLOOKUP(A136,'Données projet'!$A$191:$I$211,2,0)</f>
        <v>#N/A</v>
      </c>
      <c r="EH136" s="118" t="e">
        <f aca="false">VLOOKUP(A136,'Données projet'!$A$191:$I$211,9,0)</f>
        <v>#N/A</v>
      </c>
      <c r="EI136" s="118" t="e">
        <f aca="false" t="array" ref="EI136:EI136">INDEX(EH:EH,MIN(IF(ISNUMBER(EH136:EH332),ROW(EH136:EH332),"")))</f>
        <v>#N/A</v>
      </c>
      <c r="EJ136" s="118" t="n">
        <f aca="false">IF('Données projet'!$A$192&gt;35,EJ135+EI136-ER135,IF(A136&lt;'Données projet'!$A$192,$EG$205^A136,IF(A136='Données projet'!$A$192,'Données projet'!$B$192,EJ135+EI136-ER135)))</f>
        <v>0</v>
      </c>
      <c r="EK136" s="125" t="e">
        <f aca="false">EJ136*VLOOKUP('Données projet'!$B$15,Paramètres!$A$1:$I$89,3,0)*VLOOKUP('Données projet'!$B$15,Paramètres!$A$1:$I$89,5,0)</f>
        <v>#N/A</v>
      </c>
      <c r="EL136" s="117" t="e">
        <f aca="false">EXP(-1.0587+0.8836*LN(EK136)+0.284)</f>
        <v>#N/A</v>
      </c>
      <c r="EM136" s="128" t="e">
        <f aca="false">(EK136+EL136)*0.475*44/12</f>
        <v>#N/A</v>
      </c>
      <c r="EN136" s="120" t="e">
        <f aca="false">EM136+(EE136+EF136)*44/12</f>
        <v>#N/A</v>
      </c>
      <c r="EO136" s="120" t="e">
        <f aca="true">AVERAGE(OFFSET($EN$3,0,0,'Données projet'!$E$15+1,1))-AVERAGE(OFFSET($H$3,0,0,'Données projet'!$E$15+1,1))</f>
        <v>#N/A</v>
      </c>
      <c r="EP136" s="120" t="e">
        <f aca="false">$EP$3</f>
        <v>#N/A</v>
      </c>
      <c r="EQ136" s="121" t="n">
        <f aca="false">IF(ISNA(VLOOKUP(A136,'Données projet'!$A$191:$I$211,3,0)),0,VLOOKUP(A136,'Données projet'!$A$191:$I$211,3,0))</f>
        <v>0</v>
      </c>
      <c r="ER136" s="121" t="n">
        <f aca="false">IF(ISNA(VLOOKUP(A136,'Données projet'!$A$191:$I$211,4,0)),0,VLOOKUP(A136,'Données projet'!$A$191:$I$211,4,0))</f>
        <v>0</v>
      </c>
      <c r="ES136" s="122" t="n">
        <f aca="false">IF(ISNA(VLOOKUP(A136,'Données projet'!$A$191:$I$211,5,0)),0%,VLOOKUP(A136,'Données projet'!$A$191:$I$211,5,0)*VLOOKUP('Données projet'!$B$15,Paramètres!$A$1:$I$89,7,0))</f>
        <v>0</v>
      </c>
      <c r="ET136" s="122" t="n">
        <f aca="false">IF(ISNA(VLOOKUP(A136,'Données projet'!$A$191:$I$211,6,0)),0%,VLOOKUP(A136,'Données projet'!$A$191:$I$211,6,0)*VLOOKUP('Données projet'!$B$15,Paramètres!$A$1:$I$89,7,0))</f>
        <v>0</v>
      </c>
      <c r="EU136" s="122" t="n">
        <f aca="false">IF(ISNA(VLOOKUP(A136,'Données projet'!$A$191:$I$211,7,0)),0%,VLOOKUP(A136,'Données projet'!$A$191:$I$211,7,0))</f>
        <v>0</v>
      </c>
      <c r="EV136" s="129" t="e">
        <f aca="false">EXP(-LN(2)/35)*EV135+(1-EXP(-LN(2)/35))/(LN(2)/35)*ER136*ES136*VLOOKUP('Données projet'!$B$15,Paramètres!$A$1:$I$89,3,0)*0.475*44/12</f>
        <v>#N/A</v>
      </c>
      <c r="EW136" s="129" t="e">
        <f aca="false">EXP(-LN(2)/25)*EW135+(1-EXP(-LN(2)/25))/(LN(2)/25)*Calculateur!ER136*Calculateur!ET136*VLOOKUP('Données projet'!$B$15,Paramètres!$A$1:$I$89,3,0)*0.475*44/12</f>
        <v>#N/A</v>
      </c>
      <c r="EX136" s="129" t="e">
        <f aca="false">EXP(-LN(2)/2)*EX135+(1-EXP(-LN(2)/2))/(LN(2)/2)*ER136*EU136*VLOOKUP('Données projet'!$B$15,Paramètres!$A$1:$I$89,3,0)*0.475*44/12</f>
        <v>#N/A</v>
      </c>
      <c r="EY136" s="130" t="e">
        <f aca="false">SUM(EV136:EX136)</f>
        <v>#N/A</v>
      </c>
      <c r="EZ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8" t="e">
        <f aca="false">VLOOKUP(A136,'Données projet'!$A$217:$I$237,2,0)</f>
        <v>#N/A</v>
      </c>
      <c r="FC136" s="118" t="e">
        <f aca="false">VLOOKUP(A136,'Données projet'!$A$217:$I$237,9,0)</f>
        <v>#N/A</v>
      </c>
      <c r="FD136" s="118" t="e">
        <f aca="false" t="array" ref="FD136:FD136">INDEX(FC:FC,MIN(IF(ISNUMBER(FC136:FC332),ROW(FC136:FC332),"")))</f>
        <v>#N/A</v>
      </c>
      <c r="FE136" s="118" t="n">
        <f aca="false">IF('Données projet'!$A$218&gt;35,FE135+FD136-FM135,IF(A136&lt;'Données projet'!$A$218,$FB$205^A136,IF(A136='Données projet'!$A$218,'Données projet'!$B$218,FE135+FD136-FM135)))</f>
        <v>0</v>
      </c>
      <c r="FF136" s="125" t="e">
        <f aca="false">FE136*VLOOKUP('Données projet'!$B$16,Paramètres!$A$1:$I$89,3,0)*VLOOKUP('Données projet'!$B$16,Paramètres!$A$1:$I$89,5,0)</f>
        <v>#N/A</v>
      </c>
      <c r="FG136" s="117" t="e">
        <f aca="false">EXP(-1.0587+0.8836*LN(FF136)+0.284)</f>
        <v>#N/A</v>
      </c>
      <c r="FH136" s="128" t="e">
        <f aca="false">(FF136+FG136)*0.475*44/12</f>
        <v>#N/A</v>
      </c>
      <c r="FI136" s="120" t="e">
        <f aca="false">FH136+(EZ136+FA136)*44/12</f>
        <v>#N/A</v>
      </c>
      <c r="FJ136" s="120" t="e">
        <f aca="true">AVERAGE(OFFSET($FI$3,0,0,'Données projet'!$E$16+1,1))-AVERAGE(OFFSET($H$3,0,0,'Données projet'!$E$16+1,1))</f>
        <v>#N/A</v>
      </c>
      <c r="FK136" s="120" t="e">
        <f aca="false">$FK$3</f>
        <v>#N/A</v>
      </c>
      <c r="FL136" s="121" t="n">
        <f aca="false">IF(ISNA(VLOOKUP(A136,'Données projet'!$A$217:$I$237,3,0)),0,VLOOKUP(A136,'Données projet'!$A$217:$I$237,3,0))</f>
        <v>0</v>
      </c>
      <c r="FM136" s="121" t="n">
        <f aca="false">IF(ISNA(VLOOKUP(A136,'Données projet'!$A$217:$I$237,4,0)),0,VLOOKUP(A136,'Données projet'!$A$217:$I$237,4,0))</f>
        <v>0</v>
      </c>
      <c r="FN136" s="122" t="n">
        <f aca="false">IF(ISNA(VLOOKUP(A136,'Données projet'!$A$217:$I$237,5,0)),0%,VLOOKUP(A136,'Données projet'!$A$217:$I$237,5,0)*VLOOKUP('Données projet'!$B$16,Paramètres!$A$1:$I$89,7,0))</f>
        <v>0</v>
      </c>
      <c r="FO136" s="122" t="n">
        <f aca="false">IF(ISNA(VLOOKUP(A136,'Données projet'!$A$217:$I$237,6,0)),0%,VLOOKUP(A136,'Données projet'!$A$217:$I$237,6,0)*VLOOKUP('Données projet'!$B$16,Paramètres!$A$1:$I$89,7,0))</f>
        <v>0</v>
      </c>
      <c r="FP136" s="122" t="n">
        <f aca="false">IF(ISNA(VLOOKUP(A136,'Données projet'!$A$217:$I$237,7,0)),0%,VLOOKUP(A136,'Données projet'!$A$217:$I$237,7,0))</f>
        <v>0</v>
      </c>
      <c r="FQ136" s="129" t="e">
        <f aca="false">EXP(-LN(2)/35)*FQ135+(1-EXP(-LN(2)/35))/(LN(2)/35)*FM136*FN136*VLOOKUP('Données projet'!$B$16,Paramètres!$A$1:$I$89,3,0)*0.475*44/12</f>
        <v>#N/A</v>
      </c>
      <c r="FR136" s="129" t="e">
        <f aca="false">EXP(-LN(2)/25)*FR135+(1-EXP(-LN(2)/25))/(LN(2)/25)*Calculateur!FM136*Calculateur!FO136*VLOOKUP('Données projet'!$B$16,Paramètres!$A$1:$I$89,3,0)*0.475*44/12</f>
        <v>#N/A</v>
      </c>
      <c r="FS136" s="129" t="e">
        <f aca="false">EXP(-LN(2)/2)*FS135+(1-EXP(-LN(2)/2))/(LN(2)/2)*FM136*FP136*VLOOKUP('Données projet'!$B$16,Paramètres!$A$1:$I$89,3,0)*0.475*44/12</f>
        <v>#N/A</v>
      </c>
      <c r="FT136" s="130" t="e">
        <f aca="false">SUM(FQ136:FS136)</f>
        <v>#N/A</v>
      </c>
      <c r="FU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8" t="e">
        <f aca="false">VLOOKUP(A136,'Données projet'!$A$243:$I$263,2,0)</f>
        <v>#N/A</v>
      </c>
      <c r="FX136" s="118" t="e">
        <f aca="false">VLOOKUP(A136,'Données projet'!$A$243:$I$263,9,0)</f>
        <v>#N/A</v>
      </c>
      <c r="FY136" s="118" t="e">
        <f aca="false" t="array" ref="FY136:FY136">INDEX(FX:FX,MIN(IF(ISNUMBER(FX136:FX332),ROW(FX136:FX332),"")))</f>
        <v>#N/A</v>
      </c>
      <c r="FZ136" s="118" t="n">
        <f aca="false">IF('Données projet'!$A$244&gt;35,FZ135+FY136-GH135,IF(A136&lt;'Données projet'!$A$244,$FW$205^A136,IF(A136='Données projet'!$A$244,'Données projet'!$B$244,FZ135+FY136-GH135)))</f>
        <v>0</v>
      </c>
      <c r="GA136" s="125" t="e">
        <f aca="false">FZ136*VLOOKUP('Données projet'!$B$17,Paramètres!$A$1:$I$89,3,0)*VLOOKUP('Données projet'!$B$17,Paramètres!$A$1:$I$89,5,0)</f>
        <v>#N/A</v>
      </c>
      <c r="GB136" s="117" t="e">
        <f aca="false">EXP(-1.0587+0.8836*LN(GA136)+0.284)</f>
        <v>#N/A</v>
      </c>
      <c r="GC136" s="128" t="e">
        <f aca="false">(GA136+GB136)*0.475*44/12</f>
        <v>#N/A</v>
      </c>
      <c r="GD136" s="120" t="e">
        <f aca="false">GC136+(FU136+FV136)*44/12</f>
        <v>#N/A</v>
      </c>
      <c r="GE136" s="120" t="e">
        <f aca="true">AVERAGE(OFFSET($GD$3,0,0,'Données projet'!$E$17+1,1))-AVERAGE(OFFSET($H$3,0,0,'Données projet'!$E$17+1,1))</f>
        <v>#N/A</v>
      </c>
      <c r="GF136" s="120" t="e">
        <f aca="false">$GF$3</f>
        <v>#N/A</v>
      </c>
      <c r="GG136" s="121" t="n">
        <f aca="false">IF(ISNA(VLOOKUP(A136,'Données projet'!$A$243:$I$263,3,0)),0,VLOOKUP(A136,'Données projet'!$A$243:$I$263,3,0))</f>
        <v>0</v>
      </c>
      <c r="GH136" s="121" t="n">
        <f aca="false">IF(ISNA(VLOOKUP(A136,'Données projet'!$A$243:$I$263,4,0)),0,VLOOKUP(A136,'Données projet'!$A$243:$I$263,4,0))</f>
        <v>0</v>
      </c>
      <c r="GI136" s="122" t="n">
        <f aca="false">IF(ISNA(VLOOKUP(A136,'Données projet'!$A$243:$I$263,5,0)),0%,VLOOKUP(A136,'Données projet'!$A$243:$I$263,5,0)*VLOOKUP('Données projet'!$B$17,Paramètres!$A$1:$I$89,7,0))</f>
        <v>0</v>
      </c>
      <c r="GJ136" s="122" t="n">
        <f aca="false">IF(ISNA(VLOOKUP(A136,'Données projet'!$A$243:$I$263,6,0)),0%,VLOOKUP(A136,'Données projet'!$A$243:$I$263,6,0)*VLOOKUP('Données projet'!$B$17,Paramètres!$A$1:$I$89,7,0))</f>
        <v>0</v>
      </c>
      <c r="GK136" s="122" t="n">
        <f aca="false">IF(ISNA(VLOOKUP(A136,'Données projet'!$A$243:$I$263,7,0)),0%,VLOOKUP(A136,'Données projet'!$A$243:$I$263,7,0))</f>
        <v>0</v>
      </c>
      <c r="GL136" s="129" t="e">
        <f aca="false">EXP(-LN(2)/35)*GL135+(1-EXP(-LN(2)/35))/(LN(2)/35)*GH136*GI136*VLOOKUP('Données projet'!$B$17,Paramètres!$A$1:$I$89,3,0)*0.475*44/12</f>
        <v>#N/A</v>
      </c>
      <c r="GM136" s="129" t="e">
        <f aca="false">EXP(-LN(2)/25)*GM135+(1-EXP(-LN(2)/25))/(LN(2)/25)*Calculateur!GH136*Calculateur!GJ136*VLOOKUP('Données projet'!$B$17,Paramètres!$A$1:$I$89,3,0)*0.475*44/12</f>
        <v>#N/A</v>
      </c>
      <c r="GN136" s="129" t="e">
        <f aca="false">EXP(-LN(2)/2)*GN135+(1-EXP(-LN(2)/2))/(LN(2)/2)*GH136*GK136*VLOOKUP('Données projet'!$B$17,Paramètres!$A$1:$I$89,3,0)*0.475*44/12</f>
        <v>#N/A</v>
      </c>
      <c r="GO136" s="129" t="e">
        <f aca="false">SUM(GL136:GN136)</f>
        <v>#N/A</v>
      </c>
      <c r="GP136" s="126" t="n">
        <f aca="false"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8" t="n">
        <f aca="false"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8" t="e">
        <f aca="false">VLOOKUP(A136,'Données projet'!$A$269:$I$289,2,0)</f>
        <v>#N/A</v>
      </c>
      <c r="GS136" s="118" t="e">
        <f aca="false">VLOOKUP(A136,'Données projet'!$A$269:$I$289,9,0)</f>
        <v>#N/A</v>
      </c>
      <c r="GT136" s="118" t="e">
        <f aca="false" t="array" ref="GT136:GT136">INDEX(GS:GS,MIN(IF(ISNUMBER(GS136:GS332),ROW(GS136:GS332),"")))</f>
        <v>#N/A</v>
      </c>
      <c r="GU136" s="118" t="n">
        <f aca="false">IF('Données projet'!$A$270&gt;35,GU135+GT136-HC135,IF(A136&lt;'Données projet'!$A$270,$GR$205^A136,IF(A136='Données projet'!$A$270,'Données projet'!$B$270,GU135+GT136-HC135)))</f>
        <v>0</v>
      </c>
      <c r="GV136" s="125" t="e">
        <f aca="false">GU136*VLOOKUP('Données projet'!$B$18,Paramètres!$A$1:$I$89,3,0)*VLOOKUP('Données projet'!$B$18,Paramètres!$A$1:$I$89,5,0)</f>
        <v>#N/A</v>
      </c>
      <c r="GW136" s="117" t="e">
        <f aca="false">EXP(-1.0587+0.8836*LN(GV136)+0.284)</f>
        <v>#N/A</v>
      </c>
      <c r="GX136" s="128" t="e">
        <f aca="false">(GV136+GW136)*0.475*44/12</f>
        <v>#N/A</v>
      </c>
      <c r="GY136" s="120" t="e">
        <f aca="false">GX136+(GP136+GQ136)*44/12</f>
        <v>#N/A</v>
      </c>
      <c r="GZ136" s="120" t="e">
        <f aca="true">AVERAGE(OFFSET($GY$3,0,0,'Données projet'!$E$18+1,1))-AVERAGE(OFFSET($H$3,0,0,'Données projet'!$E$18+1,1))</f>
        <v>#N/A</v>
      </c>
      <c r="HA136" s="120" t="e">
        <f aca="false">$HA$3</f>
        <v>#N/A</v>
      </c>
      <c r="HB136" s="121" t="n">
        <f aca="false">IF(ISNA(VLOOKUP(A136,'Données projet'!$A$269:$I$289,3,0)),0,VLOOKUP(A136,'Données projet'!$A$269:$I$289,3,0))</f>
        <v>0</v>
      </c>
      <c r="HC136" s="121" t="n">
        <f aca="false">IF(ISNA(VLOOKUP(A136,'Données projet'!$A$269:$I$289,4,0)),0,VLOOKUP(A136,'Données projet'!$A$269:$I$289,4,0))</f>
        <v>0</v>
      </c>
      <c r="HD136" s="122" t="n">
        <f aca="false">IF(ISNA(VLOOKUP(A136,'Données projet'!$A$269:$I$289,5,0)),0%,VLOOKUP(A136,'Données projet'!$A$269:$I$289,5,0)*VLOOKUP('Données projet'!$B$18,Paramètres!$A$1:$I$89,7,0))</f>
        <v>0</v>
      </c>
      <c r="HE136" s="122" t="n">
        <f aca="false">IF(ISNA(VLOOKUP(A136,'Données projet'!$A$269:$I$289,6,0)),0%,VLOOKUP(A136,'Données projet'!$A$269:$I$289,6,0)*VLOOKUP('Données projet'!$B$18,Paramètres!$A$1:$I$89,7,0))</f>
        <v>0</v>
      </c>
      <c r="HF136" s="122" t="n">
        <f aca="false">IF(ISNA(VLOOKUP(A136,'Données projet'!$A$269:$I$289,7,0)),0%,VLOOKUP(A136,'Données projet'!$A$269:$I$289,7,0))</f>
        <v>0</v>
      </c>
      <c r="HG136" s="129" t="e">
        <f aca="false">EXP(-LN(2)/35)*HG135+(1-EXP(-LN(2)/35))/(LN(2)/35)*HC136*HD136*VLOOKUP('Données projet'!$B$18,Paramètres!$A$1:$I$89,3,0)*0.475*44/12</f>
        <v>#N/A</v>
      </c>
      <c r="HH136" s="129" t="e">
        <f aca="false">EXP(-LN(2)/25)*HH135+(1-EXP(-LN(2)/25))/(LN(2)/25)*Calculateur!HC136*Calculateur!HE136*VLOOKUP('Données projet'!$B$18,Paramètres!$A$1:$I$89,3,0)*0.475*44/12</f>
        <v>#N/A</v>
      </c>
      <c r="HI136" s="129" t="e">
        <f aca="false">EXP(-LN(2)/2)*HI135+(1-EXP(-LN(2)/2))/(LN(2)/2)*HC136*HF136*VLOOKUP('Données projet'!$B$18,Paramètres!$A$1:$I$89,3,0)*0.475*44/12</f>
        <v>#N/A</v>
      </c>
      <c r="HJ136" s="130" t="e">
        <f aca="false">SUM(HG136:HI136)</f>
        <v>#N/A</v>
      </c>
    </row>
    <row r="137" customFormat="false" ht="14.25" hidden="false" customHeight="false" outlineLevel="0" collapsed="false">
      <c r="A137" s="112" t="n">
        <f aca="false">A136+1</f>
        <v>134</v>
      </c>
      <c r="B137" s="113" t="n">
        <f aca="false">'Scénario référence'!$B$16*5+'Scénario référence'!$B$17*0+'Scénario référence'!$B$18*5</f>
        <v>0</v>
      </c>
      <c r="C137" s="127" t="n">
        <f aca="false"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4" t="n">
        <f aca="false">IFERROR(EXP(-1.0587+0.8836*LN(C137)+0.284),0)</f>
        <v>0</v>
      </c>
      <c r="E13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7" s="114" t="n">
        <f aca="false">IF(OR('Scénario référence'!$F$8&gt;0,'Scénario référence'!$F$9&gt;0),('Scénario référence'!$F$8+'Scénario référence'!$F$9)*10,0)</f>
        <v>0</v>
      </c>
      <c r="G137" s="114" t="n">
        <f aca="false"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15" t="n">
        <f aca="false">(B137+E137+F137)*44/12+(C137+D137)*0.475*44/12</f>
        <v>256.666666666667</v>
      </c>
      <c r="I137" s="11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7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8" t="e">
        <f aca="false">VLOOKUP(A137,'Données projet'!$A$35:$I$55,2,0)</f>
        <v>#N/A</v>
      </c>
      <c r="L137" s="118" t="e">
        <f aca="false">VLOOKUP(A137,'Données projet'!$A$35:$I$55,9,0)</f>
        <v>#N/A</v>
      </c>
      <c r="M137" s="118" t="e">
        <f aca="false" t="array" ref="M137:M137">INDEX(L:L,MIN(IF(ISNUMBER(L137:L333),ROW(L137:L333),"")))</f>
        <v>#N/A</v>
      </c>
      <c r="N137" s="117" t="n">
        <f aca="false">IF('Données projet'!$A$36&gt;35,N136+M137-V136,IF(A137&lt;'Données projet'!$A$36,$K$205^A137,IF(A137='Données projet'!$A$36,'Données projet'!$B$36,N136+M137-V136)))</f>
        <v>-1.13686837721616E-013</v>
      </c>
      <c r="O137" s="117" t="n">
        <f aca="false">N137*VLOOKUP('Données projet'!$B$9,Paramètres!$A$1:$I$89,3,0)*VLOOKUP('Données projet'!$B$9,Paramètres!$A$1:$I$89,5,0)</f>
        <v>-5.32054400537163E-014</v>
      </c>
      <c r="P137" s="117" t="e">
        <f aca="false">EXP(-1.0587+0.8836*LN(O137)+0.284)</f>
        <v>#VALUE!</v>
      </c>
      <c r="Q137" s="128" t="e">
        <f aca="false">(O137+P137)*0.475*44/12</f>
        <v>#VALUE!</v>
      </c>
      <c r="R137" s="120" t="e">
        <f aca="false">Q137+(I137+J137)*44/12</f>
        <v>#VALUE!</v>
      </c>
      <c r="S137" s="120" t="n">
        <f aca="true">AVERAGE(OFFSET($R$3,0,0,'Données projet'!$E$9+1,1))-AVERAGE(OFFSET($H$3,0,0,'Données projet'!$E$9+1,1))</f>
        <v>319.229030946746</v>
      </c>
      <c r="T137" s="120" t="n">
        <f aca="false">$T$3</f>
        <v>254.586909731428</v>
      </c>
      <c r="U137" s="121" t="n">
        <f aca="false">IF(ISNA(VLOOKUP(A137,'Données projet'!$A$35:$I$55,3,0)),0,VLOOKUP(A137,'Données projet'!$A$35:$I$55,3,0))</f>
        <v>0</v>
      </c>
      <c r="V137" s="121" t="n">
        <f aca="false">IF(ISNA(VLOOKUP(A137,'Données projet'!$A$35:$I$55,4,0)),0,VLOOKUP(A137,'Données projet'!$A$35:$I$55,4,0))</f>
        <v>0</v>
      </c>
      <c r="W137" s="122" t="n">
        <f aca="false">IF(ISNA(VLOOKUP(A137,'Données projet'!$A$35:$I$55,5,0)),0%,VLOOKUP(A137,'Données projet'!$A$35:$I$55,5,0)*VLOOKUP('Données projet'!$B$9,Paramètres!$A$1:$I$89,7,0))</f>
        <v>0</v>
      </c>
      <c r="X137" s="122" t="n">
        <f aca="false">IF(ISNA(VLOOKUP(A137,'Données projet'!$A$35:$I$55,6,0)),0%,VLOOKUP(A137,'Données projet'!$A$35:$I$55,6,0)*VLOOKUP('Données projet'!$B$9,Paramètres!$A$1:$I$89,7,0))</f>
        <v>0</v>
      </c>
      <c r="Y137" s="122" t="n">
        <f aca="false">IF(ISNA(VLOOKUP(A137,'Données projet'!$A$35:$I$55,7,0)),0%,VLOOKUP(A137,'Données projet'!$A$35:$I$55,7,0))</f>
        <v>0</v>
      </c>
      <c r="Z137" s="129" t="n">
        <f aca="false">EXP(-LN(2)/35)*Z136+(1-EXP(-LN(2)/35))/(LN(2)/35)*V137*W137*VLOOKUP('Données projet'!$B$9,Paramètres!$A$1:$I$89,3,0)*0.475*44/12</f>
        <v>1.15721313563427</v>
      </c>
      <c r="AA137" s="129" t="n">
        <f aca="false">EXP(-LN(2)/25)*AA136+(1-EXP(-LN(2)/25))/(LN(2)/25)*Calculateur!V137*Calculateur!X137*VLOOKUP('Données projet'!$B$9,Paramètres!$A$1:$I$89,3,0)*0.475*44/12</f>
        <v>0.623794447992715</v>
      </c>
      <c r="AB137" s="129" t="n">
        <f aca="false">EXP(-LN(2)/2)*AB136+(1-EXP(-LN(2)/2))/(LN(2)/2)*V137*Y137*VLOOKUP('Données projet'!$B$9,Paramètres!$A$1:$I$89,3,0)*0.475*44/12</f>
        <v>2.45206713680411E-015</v>
      </c>
      <c r="AC137" s="130" t="n">
        <f aca="false">SUM(Z137:AB137)</f>
        <v>1.78100758362698</v>
      </c>
      <c r="AD137" s="117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7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8" t="e">
        <f aca="false">VLOOKUP(A137,'Données projet'!$A$61:$I$81,2,0)</f>
        <v>#N/A</v>
      </c>
      <c r="AG137" s="118" t="e">
        <f aca="false">VLOOKUP(A137,'Données projet'!$A$61:$I$81,9,0)</f>
        <v>#N/A</v>
      </c>
      <c r="AH137" s="118" t="e">
        <f aca="false" t="array" ref="AH137:AH137">INDEX(AG:AG,MIN(IF(ISNUMBER(AG137:AG333),ROW(AG137:AG333),"")))</f>
        <v>#N/A</v>
      </c>
      <c r="AI137" s="117" t="n">
        <f aca="false">IF('Données projet'!$A$62&gt;35,AI136+AH137-AQ136,IF(A137&lt;'Données projet'!$A$62,$AF$205^A137,IF(A137='Données projet'!$A$62,'Données projet'!$B$62,AI136+AH137-AQ136)))</f>
        <v>1.13686837721616E-013</v>
      </c>
      <c r="AJ137" s="117" t="n">
        <f aca="false">AI137*VLOOKUP('Données projet'!$B$10,Paramètres!$A$1:$I$89,3,0)*VLOOKUP('Données projet'!$B$10,Paramètres!$A$1:$I$89,5,0)</f>
        <v>6.35509422863834E-014</v>
      </c>
      <c r="AK137" s="117" t="n">
        <f aca="false">EXP(-1.0587+0.8836*LN(AJ137)+0.284)</f>
        <v>1.0064464192544E-012</v>
      </c>
      <c r="AL137" s="128" t="n">
        <f aca="false">(AJ137+AK137)*0.475*44/12</f>
        <v>1.86357873801686E-012</v>
      </c>
      <c r="AM137" s="120" t="n">
        <f aca="false">AL137+(AD137+AE137)*44/12</f>
        <v>293.333333333335</v>
      </c>
      <c r="AN137" s="120" t="n">
        <f aca="true">AVERAGE(OFFSET($AM$3,0,0,'Données projet'!$E$10+1,1))-AVERAGE(OFFSET($H$3,0,0,'Données projet'!$E$10+1,1))</f>
        <v>365.705101827279</v>
      </c>
      <c r="AO137" s="120" t="n">
        <f aca="false">$AO$3</f>
        <v>436.238338449625</v>
      </c>
      <c r="AP137" s="121" t="n">
        <f aca="false">IF(ISNA(VLOOKUP(A137,'Données projet'!$A$61:$I$81,3,0)),0,VLOOKUP(A137,'Données projet'!$A$61:$I$81,3,0))</f>
        <v>0</v>
      </c>
      <c r="AQ137" s="121" t="n">
        <f aca="false">IF(ISNA(VLOOKUP(A137,'Données projet'!$A$61:$I$81,4,0)),0,VLOOKUP(A137,'Données projet'!$A$61:$I$81,4,0))</f>
        <v>0</v>
      </c>
      <c r="AR137" s="122" t="n">
        <f aca="false">IF(ISNA(VLOOKUP(A137,'Données projet'!$A$61:$I$81,5,0)),0%,VLOOKUP(A137,'Données projet'!$A$61:$I$81,5,0)*VLOOKUP('Données projet'!$B$10,Paramètres!$A$1:$I$89,7,0))</f>
        <v>0</v>
      </c>
      <c r="AS137" s="122" t="n">
        <f aca="false">IF(ISNA(VLOOKUP(A137,'Données projet'!$A$61:$I$81,6,0)),0%,VLOOKUP(A137,'Données projet'!$A$61:$I$81,6,0)*VLOOKUP('Données projet'!$B$10,Paramètres!$A$1:$I$89,7,0))</f>
        <v>0</v>
      </c>
      <c r="AT137" s="122" t="n">
        <f aca="false">IF(ISNA(VLOOKUP(A137,'Données projet'!$A$61:$I$81,7,0)),0%,VLOOKUP(A137,'Données projet'!$A$61:$I$81,7,0))</f>
        <v>0</v>
      </c>
      <c r="AU137" s="129" t="n">
        <f aca="false">EXP(-LN(2)/35)*AU136+(1-EXP(-LN(2)/35))/(LN(2)/35)*AQ137*AR137*VLOOKUP('Données projet'!$B$10,Paramètres!$A$1:$I$89,3,0)*0.475*44/12</f>
        <v>0.436810440220798</v>
      </c>
      <c r="AV137" s="129" t="n">
        <f aca="false">EXP(-LN(2)/25)*AV136+(1-EXP(-LN(2)/25))/(LN(2)/25)*Calculateur!AQ137*Calculateur!AS137*VLOOKUP('Données projet'!$B$10,Paramètres!$A$1:$I$89,3,0)*0.475*44/12</f>
        <v>0.738850795158349</v>
      </c>
      <c r="AW137" s="129" t="n">
        <f aca="false">EXP(-LN(2)/2)*AW136+(1-EXP(-LN(2)/2))/(LN(2)/2)*AQ137*AT137*VLOOKUP('Données projet'!$B$10,Paramètres!$A$1:$I$89,3,0)*0.475*44/12</f>
        <v>1.319625894264E-015</v>
      </c>
      <c r="AX137" s="129" t="n">
        <f aca="false">SUM(AU137:AW137)</f>
        <v>1.17566123537915</v>
      </c>
      <c r="AY137" s="124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8" t="e">
        <f aca="false">VLOOKUP(A137,'Données projet'!$A$87:$I$107,2,0)</f>
        <v>#N/A</v>
      </c>
      <c r="BB137" s="118" t="e">
        <f aca="false">VLOOKUP(A137,'Données projet'!$A$87:$I$107,9,0)</f>
        <v>#N/A</v>
      </c>
      <c r="BC137" s="118" t="e">
        <f aca="false" t="array" ref="BC137:BC137">INDEX(BB:BB,MIN(IF(ISNUMBER(BB137:BB333),ROW(BB137:BB333),"")))</f>
        <v>#N/A</v>
      </c>
      <c r="BD137" s="118" t="n">
        <f aca="false">IF('Données projet'!$A$88&gt;35,BD136+BC137-BL136,IF(A137&lt;'Données projet'!$A$88,$BA$205^A137,IF(A137='Données projet'!$A$88,'Données projet'!$B$88,BD136+BC137-BL136)))</f>
        <v>1.98951966012828E-013</v>
      </c>
      <c r="BE137" s="117" t="n">
        <f aca="false">BD137*VLOOKUP('Données projet'!$B$11,Paramètres!$A$1:$I$89,3,0)*VLOOKUP('Données projet'!$B$11,Paramètres!$A$1:$I$89,5,0)</f>
        <v>1.73804437508807E-013</v>
      </c>
      <c r="BF137" s="117" t="n">
        <f aca="false">EXP(-1.0587+0.8836*LN(BE137)+0.284)</f>
        <v>2.44832936339505E-012</v>
      </c>
      <c r="BG137" s="128" t="n">
        <f aca="false">(BE137+BF137)*0.475*44/12</f>
        <v>4.56688303657421E-012</v>
      </c>
      <c r="BH137" s="120" t="n">
        <f aca="false">BG137+(AY137+AZ137)*44/12</f>
        <v>293.333333333338</v>
      </c>
      <c r="BI137" s="120" t="n">
        <f aca="true">AVERAGE(OFFSET($BH$3,0,0,'Données projet'!$E$11+1,1))-AVERAGE(OFFSET($H$3,0,0,'Données projet'!$E$11+1,1))</f>
        <v>321.235999689929</v>
      </c>
      <c r="BJ137" s="120" t="n">
        <f aca="false">$BJ$3</f>
        <v>388.051958478005</v>
      </c>
      <c r="BK137" s="121" t="n">
        <f aca="false">IF(ISNA(VLOOKUP(A137,'Données projet'!$A$87:$I$107,3,0)),0,VLOOKUP(A137,'Données projet'!$A$87:$I$107,3,0))</f>
        <v>0</v>
      </c>
      <c r="BL137" s="121" t="n">
        <f aca="false">IF(ISNA(VLOOKUP(A137,'Données projet'!$A$87:$I$107,4,0)),0,VLOOKUP(A137,'Données projet'!$A$87:$I$107,4,0))</f>
        <v>0</v>
      </c>
      <c r="BM137" s="122" t="n">
        <f aca="false">IF(ISNA(VLOOKUP(A137,'Données projet'!$A$87:$I$107,5,0)),0%,VLOOKUP(A137,'Données projet'!$A$87:$I$107,5,0)*VLOOKUP('Données projet'!$B$11,Paramètres!$A$1:$I$89,7,0))</f>
        <v>0</v>
      </c>
      <c r="BN137" s="122" t="n">
        <f aca="false">IF(ISNA(VLOOKUP(A137,'Données projet'!$A$87:$I$107,6,0)),0%,VLOOKUP(A137,'Données projet'!$A$87:$I$107,6,0)*VLOOKUP('Données projet'!$B$11,Paramètres!$A$1:$I$89,7,0))</f>
        <v>0</v>
      </c>
      <c r="BO137" s="122" t="n">
        <f aca="false">IF(ISNA(VLOOKUP(A137,'Données projet'!$A$87:$I$107,7,0)),0%,VLOOKUP(A137,'Données projet'!$A$87:$I$107,7,0))</f>
        <v>0</v>
      </c>
      <c r="BP137" s="129" t="n">
        <f aca="false">EXP(-LN(2)/35)*BP136+(1-EXP(-LN(2)/35))/(LN(2)/35)*BL137*BM137*VLOOKUP('Données projet'!$B$11,Paramètres!$A$1:$I$89,3,0)*0.475*44/12</f>
        <v>1.09666561797336</v>
      </c>
      <c r="BQ137" s="129" t="n">
        <f aca="false">EXP(-LN(2)/25)*BQ136+(1-EXP(-LN(2)/25))/(LN(2)/25)*Calculateur!BL137*Calculateur!BN137*VLOOKUP('Données projet'!$B$11,Paramètres!$A$1:$I$89,3,0)*0.475*44/12</f>
        <v>0.754175006673693</v>
      </c>
      <c r="BR137" s="129" t="n">
        <f aca="false">EXP(-LN(2)/2)*BR136+(1-EXP(-LN(2)/2))/(LN(2)/2)*BL137*BO137*VLOOKUP('Données projet'!$B$11,Paramètres!$A$1:$I$89,3,0)*0.475*44/12</f>
        <v>1.34137229263914E-015</v>
      </c>
      <c r="BS137" s="130" t="n">
        <f aca="false">SUM(BP137:BR137)</f>
        <v>1.85084062464705</v>
      </c>
      <c r="BT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8" t="e">
        <f aca="false">VLOOKUP(A137,'Données projet'!$A$113:$I$133,2,0)</f>
        <v>#N/A</v>
      </c>
      <c r="BW137" s="118" t="e">
        <f aca="false">VLOOKUP(A137,'Données projet'!$A$113:$I$133,9,0)</f>
        <v>#N/A</v>
      </c>
      <c r="BX137" s="118" t="e">
        <f aca="false" t="array" ref="BX137:BX137">INDEX(BW:BW,MIN(IF(ISNUMBER(BW137:BW333),ROW(BW137:BW333),"")))</f>
        <v>#N/A</v>
      </c>
      <c r="BY137" s="118" t="n">
        <f aca="false">IF('Données projet'!$A$114&gt;35,BY136+BX137-CG136,IF(A137&lt;'Données projet'!$A$114,$BV$205^A137,IF(A137='Données projet'!$A$114,'Données projet'!$B$114,BY136+BX137-CG136)))</f>
        <v>0</v>
      </c>
      <c r="BZ137" s="117" t="n">
        <f aca="false">BY137*VLOOKUP('Données projet'!$B$12,Paramètres!$A$1:$I$89,3,0)*VLOOKUP('Données projet'!$B$12,Paramètres!$A$1:$I$89,5,0)</f>
        <v>0</v>
      </c>
      <c r="CA137" s="117" t="e">
        <f aca="false">EXP(-1.0587+0.8836*LN(BZ137)+0.284)</f>
        <v>#VALUE!</v>
      </c>
      <c r="CB137" s="128" t="e">
        <f aca="false">(BZ137+CA137)*0.475*44/12</f>
        <v>#VALUE!</v>
      </c>
      <c r="CC137" s="120" t="e">
        <f aca="false">CB137+(BT137+BU137)*44/12</f>
        <v>#VALUE!</v>
      </c>
      <c r="CD137" s="120" t="n">
        <f aca="true">AVERAGE(OFFSET($CC$3,0,0,'Données projet'!$E$12+1,1))-AVERAGE(OFFSET($H$3,0,0,'Données projet'!$E$12+1,1))</f>
        <v>240.228848647662</v>
      </c>
      <c r="CE137" s="120" t="n">
        <f aca="false">$CE$3</f>
        <v>343.237768841432</v>
      </c>
      <c r="CF137" s="121" t="n">
        <f aca="false">IF(ISNA(VLOOKUP(A137,'Données projet'!$A$113:$I$133,3,0)),0,VLOOKUP(A137,'Données projet'!$A$113:$I$133,3,0))</f>
        <v>0</v>
      </c>
      <c r="CG137" s="121" t="n">
        <f aca="false">IF(ISNA(VLOOKUP(A137,'Données projet'!$A$113:$I$133,4,0)),0,VLOOKUP(A137,'Données projet'!$A$113:$I$133,4,0))</f>
        <v>0</v>
      </c>
      <c r="CH137" s="122" t="n">
        <f aca="false">IF(ISNA(VLOOKUP(A137,'Données projet'!$A$113:$I$133,5,0)),0%,VLOOKUP(A137,'Données projet'!$A$113:$I$133,5,0)*VLOOKUP('Données projet'!$B$12,Paramètres!$A$1:$I$89,7,0))</f>
        <v>0</v>
      </c>
      <c r="CI137" s="122" t="n">
        <f aca="false">IF(ISNA(VLOOKUP(A137,'Données projet'!$A$113:$I$133,6,0)),0%,VLOOKUP(A137,'Données projet'!$A$113:$I$133,6,0)*VLOOKUP('Données projet'!$B$12,Paramètres!$A$1:$I$89,7,0))</f>
        <v>0</v>
      </c>
      <c r="CJ137" s="122" t="n">
        <f aca="false">IF(ISNA(VLOOKUP(A137,'Données projet'!$A$113:$I$133,7,0)),0%,VLOOKUP(A137,'Données projet'!$A$113:$I$133,7,0))</f>
        <v>0</v>
      </c>
      <c r="CK137" s="129" t="n">
        <f aca="false">EXP(-LN(2)/35)*CK136+(1-EXP(-LN(2)/35))/(LN(2)/35)*CG137*CH137*VLOOKUP('Données projet'!$B$12,Paramètres!$A$1:$I$89,3,0)*0.475*44/12</f>
        <v>0.671244796086808</v>
      </c>
      <c r="CL137" s="129" t="n">
        <f aca="false">EXP(-LN(2)/25)*CL136+(1-EXP(-LN(2)/25))/(LN(2)/25)*Calculateur!CG137*Calculateur!CI137*VLOOKUP('Données projet'!$B$12,Paramètres!$A$1:$I$89,3,0)*0.475*44/12</f>
        <v>1.33191672089141</v>
      </c>
      <c r="CM137" s="129" t="n">
        <f aca="false">EXP(-LN(2)/2)*CM136+(1-EXP(-LN(2)/2))/(LN(2)/2)*CG137*CJ137*VLOOKUP('Données projet'!$B$12,Paramètres!$A$1:$I$89,3,0)*0.475*44/12</f>
        <v>2.14047256940382E-015</v>
      </c>
      <c r="CN137" s="130" t="n">
        <f aca="false">SUM(CK137:CM137)</f>
        <v>2.00316151697822</v>
      </c>
      <c r="CO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8" t="e">
        <f aca="false">VLOOKUP(A137,'Données projet'!$A$139:$I$159,2,0)</f>
        <v>#N/A</v>
      </c>
      <c r="CR137" s="118" t="e">
        <f aca="false">VLOOKUP(A137,'Données projet'!$A$139:$I$159,9,0)</f>
        <v>#N/A</v>
      </c>
      <c r="CS137" s="118" t="e">
        <f aca="false" t="array" ref="CS137:CS137">INDEX(CR:CR,MIN(IF(ISNUMBER(CR137:CR333),ROW(CR137:CR333),"")))</f>
        <v>#N/A</v>
      </c>
      <c r="CT137" s="118" t="n">
        <f aca="false">IF('Données projet'!$A$140&gt;35,CT136+CS137-DB136,IF(A137&lt;'Données projet'!$A$140,$CQ$205^A137,IF(A137='Données projet'!$A$140,'Données projet'!$B$140,CT136+CS137-DB136)))</f>
        <v>-5.6843418860808E-014</v>
      </c>
      <c r="CU137" s="125" t="n">
        <f aca="false">CT137*VLOOKUP('Données projet'!$B$13,Paramètres!$A$1:$I$89,3,0)*VLOOKUP('Données projet'!$B$13,Paramètres!$A$1:$I$89,5,0)</f>
        <v>-3.10365066980012E-014</v>
      </c>
      <c r="CV137" s="117" t="e">
        <f aca="false">EXP(-1.0587+0.8836*LN(CU137)+0.284)</f>
        <v>#VALUE!</v>
      </c>
      <c r="CW137" s="128" t="e">
        <f aca="false">(CU137+CV137)*0.475*44/12</f>
        <v>#VALUE!</v>
      </c>
      <c r="CX137" s="120" t="e">
        <f aca="false">CW137+(CO137+CP137)*44/12</f>
        <v>#VALUE!</v>
      </c>
      <c r="CY137" s="120" t="n">
        <f aca="true">AVERAGE(OFFSET($CX$3,0,0,'Données projet'!$E$13+1,1))-AVERAGE(OFFSET($H$3,0,0,'Données projet'!$E$13+1,1))</f>
        <v>207.023069645676</v>
      </c>
      <c r="CZ137" s="120" t="n">
        <f aca="false">$CZ$3</f>
        <v>342.068879333518</v>
      </c>
      <c r="DA137" s="121" t="n">
        <f aca="false">IF(ISNA(VLOOKUP(A137,'Données projet'!$A$139:$I$159,3,0)),0,VLOOKUP(A137,'Données projet'!$A$139:$I$159,3,0))</f>
        <v>0</v>
      </c>
      <c r="DB137" s="121" t="n">
        <f aca="false">IF(ISNA(VLOOKUP(A137,'Données projet'!$A$139:$I$159,4,0)),0,VLOOKUP(A137,'Données projet'!$A$139:$I$159,4,0))</f>
        <v>0</v>
      </c>
      <c r="DC137" s="122" t="n">
        <f aca="false">IF(ISNA(VLOOKUP(A137,'Données projet'!$A$139:$I$159,5,0)),0%,VLOOKUP(A137,'Données projet'!$A$139:$I$159,5,0)*VLOOKUP('Données projet'!$B$13,Paramètres!$A$1:$I$89,7,0))</f>
        <v>0</v>
      </c>
      <c r="DD137" s="122" t="n">
        <f aca="false">IF(ISNA(VLOOKUP(A137,'Données projet'!$A$139:$I$159,6,0)),0%,VLOOKUP(A137,'Données projet'!$A$139:$I$159,6,0)*VLOOKUP('Données projet'!$B$13,Paramètres!$A$1:$I$89,7,0))</f>
        <v>0</v>
      </c>
      <c r="DE137" s="122" t="n">
        <f aca="false">IF(ISNA(VLOOKUP(A137,'Données projet'!$A$139:$I$159,7,0)),0%,VLOOKUP(A137,'Données projet'!$A$139:$I$159,7,0))</f>
        <v>0</v>
      </c>
      <c r="DF137" s="129" t="n">
        <f aca="false">EXP(-LN(2)/35)*DF136+(1-EXP(-LN(2)/35))/(LN(2)/35)*DB137*DC137*VLOOKUP('Données projet'!$B$13,Paramètres!$A$1:$I$89,3,0)*0.475*44/12</f>
        <v>0.842222244146655</v>
      </c>
      <c r="DG137" s="129" t="n">
        <f aca="false">EXP(-LN(2)/25)*DG136+(1-EXP(-LN(2)/25))/(LN(2)/25)*Calculateur!DB137*Calculateur!DD137*VLOOKUP('Données projet'!$B$13,Paramètres!$A$1:$I$89,3,0)*0.475*44/12</f>
        <v>2.17712911022535</v>
      </c>
      <c r="DH137" s="129" t="n">
        <f aca="false">EXP(-LN(2)/2)*DH136+(1-EXP(-LN(2)/2))/(LN(2)/2)*DB137*DE137*VLOOKUP('Données projet'!$B$13,Paramètres!$A$1:$I$89,3,0)*0.475*44/12</f>
        <v>2.94743172044606E-015</v>
      </c>
      <c r="DI137" s="130" t="n">
        <f aca="false">SUM(DF137:DH137)</f>
        <v>3.01935135437201</v>
      </c>
      <c r="DJ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8" t="e">
        <f aca="false">VLOOKUP(A137,'Données projet'!$A$165:$I$185,2,0)</f>
        <v>#N/A</v>
      </c>
      <c r="DM137" s="118" t="e">
        <f aca="false">VLOOKUP(A137,'Données projet'!$A$165:$I$185,9,0)</f>
        <v>#N/A</v>
      </c>
      <c r="DN137" s="118" t="e">
        <f aca="false" t="array" ref="DN137:DN137">INDEX(DM:DM,MIN(IF(ISNUMBER(DM137:DM333),ROW(DM137:DM333),"")))</f>
        <v>#N/A</v>
      </c>
      <c r="DO137" s="118" t="n">
        <f aca="false">IF('Données projet'!$A$166&gt;35,DO136+DN137-DW136,IF(A137&lt;'Données projet'!$A$166,$DL$205^A137,IF(A137='Données projet'!$A$166,'Données projet'!$B$166,DO136+DN137-DW136)))</f>
        <v>0</v>
      </c>
      <c r="DP137" s="125" t="n">
        <f aca="false">DO137*VLOOKUP('Données projet'!$B$14,Paramètres!$A$1:$I$89,3,0)*VLOOKUP('Données projet'!$B$14,Paramètres!$A$1:$I$89,5,0)</f>
        <v>0</v>
      </c>
      <c r="DQ137" s="117" t="e">
        <f aca="false">EXP(-1.0587+0.8836*LN(DP137)+0.284)</f>
        <v>#VALUE!</v>
      </c>
      <c r="DR137" s="128" t="e">
        <f aca="false">(DP137+DQ137)*0.475*44/12</f>
        <v>#VALUE!</v>
      </c>
      <c r="DS137" s="120" t="e">
        <f aca="false">DR137+(DJ137+DK137)*44/12</f>
        <v>#VALUE!</v>
      </c>
      <c r="DT137" s="120" t="n">
        <f aca="true">AVERAGE(OFFSET($DS$3,0,0,'Données projet'!$E$14+1,1))-AVERAGE(OFFSET($H$3,0,0,'Données projet'!$E$14+1,1))</f>
        <v>549.432320957297</v>
      </c>
      <c r="DU137" s="120" t="n">
        <f aca="false">$DU$3</f>
        <v>280.26155987301</v>
      </c>
      <c r="DV137" s="121" t="n">
        <f aca="false">IF(ISNA(VLOOKUP(A137,'Données projet'!$A$165:$I$185,3,0)),0,VLOOKUP(A137,'Données projet'!$A$165:$I$185,3,0))</f>
        <v>0</v>
      </c>
      <c r="DW137" s="121" t="n">
        <f aca="false">IF(ISNA(VLOOKUP(A137,'Données projet'!$A$165:$I$185,4,0)),0,VLOOKUP(A137,'Données projet'!$A$165:$I$185,4,0))</f>
        <v>0</v>
      </c>
      <c r="DX137" s="122" t="n">
        <f aca="false">IF(ISNA(VLOOKUP(A137,'Données projet'!$A$165:$I$185,5,0)),0%,VLOOKUP(A137,'Données projet'!$A$165:$I$185,5,0)*VLOOKUP('Données projet'!$B$14,Paramètres!$A$1:$I$89,7,0))</f>
        <v>0</v>
      </c>
      <c r="DY137" s="122" t="n">
        <f aca="false">IF(ISNA(VLOOKUP(A137,'Données projet'!$A$165:$I$185,6,0)),0%,VLOOKUP(A137,'Données projet'!$A$165:$I$185,6,0)*VLOOKUP('Données projet'!$B$14,Paramètres!$A$1:$I$89,7,0))</f>
        <v>0</v>
      </c>
      <c r="DZ137" s="122" t="n">
        <f aca="false">IF(ISNA(VLOOKUP(A137,'Données projet'!$A$165:$I$185,7,0)),0%,VLOOKUP(A137,'Données projet'!$A$165:$I$185,7,0))</f>
        <v>0</v>
      </c>
      <c r="EA137" s="129" t="n">
        <f aca="false">EXP(-LN(2)/35)*EA136+(1-EXP(-LN(2)/35))/(LN(2)/35)*DW137*DX137*VLOOKUP('Données projet'!$B$14,Paramètres!$A$1:$I$89,3,0)*0.475*44/12</f>
        <v>0.306231068857017</v>
      </c>
      <c r="EB137" s="129" t="n">
        <f aca="false">EXP(-LN(2)/25)*EB136+(1-EXP(-LN(2)/25))/(LN(2)/25)*Calculateur!DW137*Calculateur!DY137*VLOOKUP('Données projet'!$B$14,Paramètres!$A$1:$I$89,3,0)*0.475*44/12</f>
        <v>0.433727072759263</v>
      </c>
      <c r="EC137" s="129" t="n">
        <f aca="false">EXP(-LN(2)/2)*EC136+(1-EXP(-LN(2)/2))/(LN(2)/2)*DW137*DZ137*VLOOKUP('Données projet'!$B$14,Paramètres!$A$1:$I$89,3,0)*0.475*44/12</f>
        <v>1.35870526708703E-015</v>
      </c>
      <c r="ED137" s="130" t="n">
        <f aca="false">SUM(EA137:EC137)</f>
        <v>0.739958141616282</v>
      </c>
      <c r="EE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8" t="e">
        <f aca="false">VLOOKUP(A137,'Données projet'!$A$191:$I$211,2,0)</f>
        <v>#N/A</v>
      </c>
      <c r="EH137" s="118" t="e">
        <f aca="false">VLOOKUP(A137,'Données projet'!$A$191:$I$211,9,0)</f>
        <v>#N/A</v>
      </c>
      <c r="EI137" s="118" t="e">
        <f aca="false" t="array" ref="EI137:EI137">INDEX(EH:EH,MIN(IF(ISNUMBER(EH137:EH333),ROW(EH137:EH333),"")))</f>
        <v>#N/A</v>
      </c>
      <c r="EJ137" s="118" t="n">
        <f aca="false">IF('Données projet'!$A$192&gt;35,EJ136+EI137-ER136,IF(A137&lt;'Données projet'!$A$192,$EG$205^A137,IF(A137='Données projet'!$A$192,'Données projet'!$B$192,EJ136+EI137-ER136)))</f>
        <v>0</v>
      </c>
      <c r="EK137" s="125" t="e">
        <f aca="false">EJ137*VLOOKUP('Données projet'!$B$15,Paramètres!$A$1:$I$89,3,0)*VLOOKUP('Données projet'!$B$15,Paramètres!$A$1:$I$89,5,0)</f>
        <v>#N/A</v>
      </c>
      <c r="EL137" s="117" t="e">
        <f aca="false">EXP(-1.0587+0.8836*LN(EK137)+0.284)</f>
        <v>#N/A</v>
      </c>
      <c r="EM137" s="128" t="e">
        <f aca="false">(EK137+EL137)*0.475*44/12</f>
        <v>#N/A</v>
      </c>
      <c r="EN137" s="120" t="e">
        <f aca="false">EM137+(EE137+EF137)*44/12</f>
        <v>#N/A</v>
      </c>
      <c r="EO137" s="120" t="e">
        <f aca="true">AVERAGE(OFFSET($EN$3,0,0,'Données projet'!$E$15+1,1))-AVERAGE(OFFSET($H$3,0,0,'Données projet'!$E$15+1,1))</f>
        <v>#N/A</v>
      </c>
      <c r="EP137" s="120" t="e">
        <f aca="false">$EP$3</f>
        <v>#N/A</v>
      </c>
      <c r="EQ137" s="121" t="n">
        <f aca="false">IF(ISNA(VLOOKUP(A137,'Données projet'!$A$191:$I$211,3,0)),0,VLOOKUP(A137,'Données projet'!$A$191:$I$211,3,0))</f>
        <v>0</v>
      </c>
      <c r="ER137" s="121" t="n">
        <f aca="false">IF(ISNA(VLOOKUP(A137,'Données projet'!$A$191:$I$211,4,0)),0,VLOOKUP(A137,'Données projet'!$A$191:$I$211,4,0))</f>
        <v>0</v>
      </c>
      <c r="ES137" s="122" t="n">
        <f aca="false">IF(ISNA(VLOOKUP(A137,'Données projet'!$A$191:$I$211,5,0)),0%,VLOOKUP(A137,'Données projet'!$A$191:$I$211,5,0)*VLOOKUP('Données projet'!$B$15,Paramètres!$A$1:$I$89,7,0))</f>
        <v>0</v>
      </c>
      <c r="ET137" s="122" t="n">
        <f aca="false">IF(ISNA(VLOOKUP(A137,'Données projet'!$A$191:$I$211,6,0)),0%,VLOOKUP(A137,'Données projet'!$A$191:$I$211,6,0)*VLOOKUP('Données projet'!$B$15,Paramètres!$A$1:$I$89,7,0))</f>
        <v>0</v>
      </c>
      <c r="EU137" s="122" t="n">
        <f aca="false">IF(ISNA(VLOOKUP(A137,'Données projet'!$A$191:$I$211,7,0)),0%,VLOOKUP(A137,'Données projet'!$A$191:$I$211,7,0))</f>
        <v>0</v>
      </c>
      <c r="EV137" s="129" t="e">
        <f aca="false">EXP(-LN(2)/35)*EV136+(1-EXP(-LN(2)/35))/(LN(2)/35)*ER137*ES137*VLOOKUP('Données projet'!$B$15,Paramètres!$A$1:$I$89,3,0)*0.475*44/12</f>
        <v>#N/A</v>
      </c>
      <c r="EW137" s="129" t="e">
        <f aca="false">EXP(-LN(2)/25)*EW136+(1-EXP(-LN(2)/25))/(LN(2)/25)*Calculateur!ER137*Calculateur!ET137*VLOOKUP('Données projet'!$B$15,Paramètres!$A$1:$I$89,3,0)*0.475*44/12</f>
        <v>#N/A</v>
      </c>
      <c r="EX137" s="129" t="e">
        <f aca="false">EXP(-LN(2)/2)*EX136+(1-EXP(-LN(2)/2))/(LN(2)/2)*ER137*EU137*VLOOKUP('Données projet'!$B$15,Paramètres!$A$1:$I$89,3,0)*0.475*44/12</f>
        <v>#N/A</v>
      </c>
      <c r="EY137" s="130" t="e">
        <f aca="false">SUM(EV137:EX137)</f>
        <v>#N/A</v>
      </c>
      <c r="EZ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8" t="e">
        <f aca="false">VLOOKUP(A137,'Données projet'!$A$217:$I$237,2,0)</f>
        <v>#N/A</v>
      </c>
      <c r="FC137" s="118" t="e">
        <f aca="false">VLOOKUP(A137,'Données projet'!$A$217:$I$237,9,0)</f>
        <v>#N/A</v>
      </c>
      <c r="FD137" s="118" t="e">
        <f aca="false" t="array" ref="FD137:FD137">INDEX(FC:FC,MIN(IF(ISNUMBER(FC137:FC333),ROW(FC137:FC333),"")))</f>
        <v>#N/A</v>
      </c>
      <c r="FE137" s="118" t="n">
        <f aca="false">IF('Données projet'!$A$218&gt;35,FE136+FD137-FM136,IF(A137&lt;'Données projet'!$A$218,$FB$205^A137,IF(A137='Données projet'!$A$218,'Données projet'!$B$218,FE136+FD137-FM136)))</f>
        <v>0</v>
      </c>
      <c r="FF137" s="125" t="e">
        <f aca="false">FE137*VLOOKUP('Données projet'!$B$16,Paramètres!$A$1:$I$89,3,0)*VLOOKUP('Données projet'!$B$16,Paramètres!$A$1:$I$89,5,0)</f>
        <v>#N/A</v>
      </c>
      <c r="FG137" s="117" t="e">
        <f aca="false">EXP(-1.0587+0.8836*LN(FF137)+0.284)</f>
        <v>#N/A</v>
      </c>
      <c r="FH137" s="128" t="e">
        <f aca="false">(FF137+FG137)*0.475*44/12</f>
        <v>#N/A</v>
      </c>
      <c r="FI137" s="120" t="e">
        <f aca="false">FH137+(EZ137+FA137)*44/12</f>
        <v>#N/A</v>
      </c>
      <c r="FJ137" s="120" t="e">
        <f aca="true">AVERAGE(OFFSET($FI$3,0,0,'Données projet'!$E$16+1,1))-AVERAGE(OFFSET($H$3,0,0,'Données projet'!$E$16+1,1))</f>
        <v>#N/A</v>
      </c>
      <c r="FK137" s="120" t="e">
        <f aca="false">$FK$3</f>
        <v>#N/A</v>
      </c>
      <c r="FL137" s="121" t="n">
        <f aca="false">IF(ISNA(VLOOKUP(A137,'Données projet'!$A$217:$I$237,3,0)),0,VLOOKUP(A137,'Données projet'!$A$217:$I$237,3,0))</f>
        <v>0</v>
      </c>
      <c r="FM137" s="121" t="n">
        <f aca="false">IF(ISNA(VLOOKUP(A137,'Données projet'!$A$217:$I$237,4,0)),0,VLOOKUP(A137,'Données projet'!$A$217:$I$237,4,0))</f>
        <v>0</v>
      </c>
      <c r="FN137" s="122" t="n">
        <f aca="false">IF(ISNA(VLOOKUP(A137,'Données projet'!$A$217:$I$237,5,0)),0%,VLOOKUP(A137,'Données projet'!$A$217:$I$237,5,0)*VLOOKUP('Données projet'!$B$16,Paramètres!$A$1:$I$89,7,0))</f>
        <v>0</v>
      </c>
      <c r="FO137" s="122" t="n">
        <f aca="false">IF(ISNA(VLOOKUP(A137,'Données projet'!$A$217:$I$237,6,0)),0%,VLOOKUP(A137,'Données projet'!$A$217:$I$237,6,0)*VLOOKUP('Données projet'!$B$16,Paramètres!$A$1:$I$89,7,0))</f>
        <v>0</v>
      </c>
      <c r="FP137" s="122" t="n">
        <f aca="false">IF(ISNA(VLOOKUP(A137,'Données projet'!$A$217:$I$237,7,0)),0%,VLOOKUP(A137,'Données projet'!$A$217:$I$237,7,0))</f>
        <v>0</v>
      </c>
      <c r="FQ137" s="129" t="e">
        <f aca="false">EXP(-LN(2)/35)*FQ136+(1-EXP(-LN(2)/35))/(LN(2)/35)*FM137*FN137*VLOOKUP('Données projet'!$B$16,Paramètres!$A$1:$I$89,3,0)*0.475*44/12</f>
        <v>#N/A</v>
      </c>
      <c r="FR137" s="129" t="e">
        <f aca="false">EXP(-LN(2)/25)*FR136+(1-EXP(-LN(2)/25))/(LN(2)/25)*Calculateur!FM137*Calculateur!FO137*VLOOKUP('Données projet'!$B$16,Paramètres!$A$1:$I$89,3,0)*0.475*44/12</f>
        <v>#N/A</v>
      </c>
      <c r="FS137" s="129" t="e">
        <f aca="false">EXP(-LN(2)/2)*FS136+(1-EXP(-LN(2)/2))/(LN(2)/2)*FM137*FP137*VLOOKUP('Données projet'!$B$16,Paramètres!$A$1:$I$89,3,0)*0.475*44/12</f>
        <v>#N/A</v>
      </c>
      <c r="FT137" s="130" t="e">
        <f aca="false">SUM(FQ137:FS137)</f>
        <v>#N/A</v>
      </c>
      <c r="FU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8" t="e">
        <f aca="false">VLOOKUP(A137,'Données projet'!$A$243:$I$263,2,0)</f>
        <v>#N/A</v>
      </c>
      <c r="FX137" s="118" t="e">
        <f aca="false">VLOOKUP(A137,'Données projet'!$A$243:$I$263,9,0)</f>
        <v>#N/A</v>
      </c>
      <c r="FY137" s="118" t="e">
        <f aca="false" t="array" ref="FY137:FY137">INDEX(FX:FX,MIN(IF(ISNUMBER(FX137:FX333),ROW(FX137:FX333),"")))</f>
        <v>#N/A</v>
      </c>
      <c r="FZ137" s="118" t="n">
        <f aca="false">IF('Données projet'!$A$244&gt;35,FZ136+FY137-GH136,IF(A137&lt;'Données projet'!$A$244,$FW$205^A137,IF(A137='Données projet'!$A$244,'Données projet'!$B$244,FZ136+FY137-GH136)))</f>
        <v>0</v>
      </c>
      <c r="GA137" s="125" t="e">
        <f aca="false">FZ137*VLOOKUP('Données projet'!$B$17,Paramètres!$A$1:$I$89,3,0)*VLOOKUP('Données projet'!$B$17,Paramètres!$A$1:$I$89,5,0)</f>
        <v>#N/A</v>
      </c>
      <c r="GB137" s="117" t="e">
        <f aca="false">EXP(-1.0587+0.8836*LN(GA137)+0.284)</f>
        <v>#N/A</v>
      </c>
      <c r="GC137" s="128" t="e">
        <f aca="false">(GA137+GB137)*0.475*44/12</f>
        <v>#N/A</v>
      </c>
      <c r="GD137" s="120" t="e">
        <f aca="false">GC137+(FU137+FV137)*44/12</f>
        <v>#N/A</v>
      </c>
      <c r="GE137" s="120" t="e">
        <f aca="true">AVERAGE(OFFSET($GD$3,0,0,'Données projet'!$E$17+1,1))-AVERAGE(OFFSET($H$3,0,0,'Données projet'!$E$17+1,1))</f>
        <v>#N/A</v>
      </c>
      <c r="GF137" s="120" t="e">
        <f aca="false">$GF$3</f>
        <v>#N/A</v>
      </c>
      <c r="GG137" s="121" t="n">
        <f aca="false">IF(ISNA(VLOOKUP(A137,'Données projet'!$A$243:$I$263,3,0)),0,VLOOKUP(A137,'Données projet'!$A$243:$I$263,3,0))</f>
        <v>0</v>
      </c>
      <c r="GH137" s="121" t="n">
        <f aca="false">IF(ISNA(VLOOKUP(A137,'Données projet'!$A$243:$I$263,4,0)),0,VLOOKUP(A137,'Données projet'!$A$243:$I$263,4,0))</f>
        <v>0</v>
      </c>
      <c r="GI137" s="122" t="n">
        <f aca="false">IF(ISNA(VLOOKUP(A137,'Données projet'!$A$243:$I$263,5,0)),0%,VLOOKUP(A137,'Données projet'!$A$243:$I$263,5,0)*VLOOKUP('Données projet'!$B$17,Paramètres!$A$1:$I$89,7,0))</f>
        <v>0</v>
      </c>
      <c r="GJ137" s="122" t="n">
        <f aca="false">IF(ISNA(VLOOKUP(A137,'Données projet'!$A$243:$I$263,6,0)),0%,VLOOKUP(A137,'Données projet'!$A$243:$I$263,6,0)*VLOOKUP('Données projet'!$B$17,Paramètres!$A$1:$I$89,7,0))</f>
        <v>0</v>
      </c>
      <c r="GK137" s="122" t="n">
        <f aca="false">IF(ISNA(VLOOKUP(A137,'Données projet'!$A$243:$I$263,7,0)),0%,VLOOKUP(A137,'Données projet'!$A$243:$I$263,7,0))</f>
        <v>0</v>
      </c>
      <c r="GL137" s="129" t="e">
        <f aca="false">EXP(-LN(2)/35)*GL136+(1-EXP(-LN(2)/35))/(LN(2)/35)*GH137*GI137*VLOOKUP('Données projet'!$B$17,Paramètres!$A$1:$I$89,3,0)*0.475*44/12</f>
        <v>#N/A</v>
      </c>
      <c r="GM137" s="129" t="e">
        <f aca="false">EXP(-LN(2)/25)*GM136+(1-EXP(-LN(2)/25))/(LN(2)/25)*Calculateur!GH137*Calculateur!GJ137*VLOOKUP('Données projet'!$B$17,Paramètres!$A$1:$I$89,3,0)*0.475*44/12</f>
        <v>#N/A</v>
      </c>
      <c r="GN137" s="129" t="e">
        <f aca="false">EXP(-LN(2)/2)*GN136+(1-EXP(-LN(2)/2))/(LN(2)/2)*GH137*GK137*VLOOKUP('Données projet'!$B$17,Paramètres!$A$1:$I$89,3,0)*0.475*44/12</f>
        <v>#N/A</v>
      </c>
      <c r="GO137" s="129" t="e">
        <f aca="false">SUM(GL137:GN137)</f>
        <v>#N/A</v>
      </c>
      <c r="GP137" s="126" t="n">
        <f aca="false"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8" t="n">
        <f aca="false"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8" t="e">
        <f aca="false">VLOOKUP(A137,'Données projet'!$A$269:$I$289,2,0)</f>
        <v>#N/A</v>
      </c>
      <c r="GS137" s="118" t="e">
        <f aca="false">VLOOKUP(A137,'Données projet'!$A$269:$I$289,9,0)</f>
        <v>#N/A</v>
      </c>
      <c r="GT137" s="118" t="e">
        <f aca="false" t="array" ref="GT137:GT137">INDEX(GS:GS,MIN(IF(ISNUMBER(GS137:GS333),ROW(GS137:GS333),"")))</f>
        <v>#N/A</v>
      </c>
      <c r="GU137" s="118" t="n">
        <f aca="false">IF('Données projet'!$A$270&gt;35,GU136+GT137-HC136,IF(A137&lt;'Données projet'!$A$270,$GR$205^A137,IF(A137='Données projet'!$A$270,'Données projet'!$B$270,GU136+GT137-HC136)))</f>
        <v>0</v>
      </c>
      <c r="GV137" s="125" t="e">
        <f aca="false">GU137*VLOOKUP('Données projet'!$B$18,Paramètres!$A$1:$I$89,3,0)*VLOOKUP('Données projet'!$B$18,Paramètres!$A$1:$I$89,5,0)</f>
        <v>#N/A</v>
      </c>
      <c r="GW137" s="117" t="e">
        <f aca="false">EXP(-1.0587+0.8836*LN(GV137)+0.284)</f>
        <v>#N/A</v>
      </c>
      <c r="GX137" s="128" t="e">
        <f aca="false">(GV137+GW137)*0.475*44/12</f>
        <v>#N/A</v>
      </c>
      <c r="GY137" s="120" t="e">
        <f aca="false">GX137+(GP137+GQ137)*44/12</f>
        <v>#N/A</v>
      </c>
      <c r="GZ137" s="120" t="e">
        <f aca="true">AVERAGE(OFFSET($GY$3,0,0,'Données projet'!$E$18+1,1))-AVERAGE(OFFSET($H$3,0,0,'Données projet'!$E$18+1,1))</f>
        <v>#N/A</v>
      </c>
      <c r="HA137" s="120" t="e">
        <f aca="false">$HA$3</f>
        <v>#N/A</v>
      </c>
      <c r="HB137" s="121" t="n">
        <f aca="false">IF(ISNA(VLOOKUP(A137,'Données projet'!$A$269:$I$289,3,0)),0,VLOOKUP(A137,'Données projet'!$A$269:$I$289,3,0))</f>
        <v>0</v>
      </c>
      <c r="HC137" s="121" t="n">
        <f aca="false">IF(ISNA(VLOOKUP(A137,'Données projet'!$A$269:$I$289,4,0)),0,VLOOKUP(A137,'Données projet'!$A$269:$I$289,4,0))</f>
        <v>0</v>
      </c>
      <c r="HD137" s="122" t="n">
        <f aca="false">IF(ISNA(VLOOKUP(A137,'Données projet'!$A$269:$I$289,5,0)),0%,VLOOKUP(A137,'Données projet'!$A$269:$I$289,5,0)*VLOOKUP('Données projet'!$B$18,Paramètres!$A$1:$I$89,7,0))</f>
        <v>0</v>
      </c>
      <c r="HE137" s="122" t="n">
        <f aca="false">IF(ISNA(VLOOKUP(A137,'Données projet'!$A$269:$I$289,6,0)),0%,VLOOKUP(A137,'Données projet'!$A$269:$I$289,6,0)*VLOOKUP('Données projet'!$B$18,Paramètres!$A$1:$I$89,7,0))</f>
        <v>0</v>
      </c>
      <c r="HF137" s="122" t="n">
        <f aca="false">IF(ISNA(VLOOKUP(A137,'Données projet'!$A$269:$I$289,7,0)),0%,VLOOKUP(A137,'Données projet'!$A$269:$I$289,7,0))</f>
        <v>0</v>
      </c>
      <c r="HG137" s="129" t="e">
        <f aca="false">EXP(-LN(2)/35)*HG136+(1-EXP(-LN(2)/35))/(LN(2)/35)*HC137*HD137*VLOOKUP('Données projet'!$B$18,Paramètres!$A$1:$I$89,3,0)*0.475*44/12</f>
        <v>#N/A</v>
      </c>
      <c r="HH137" s="129" t="e">
        <f aca="false">EXP(-LN(2)/25)*HH136+(1-EXP(-LN(2)/25))/(LN(2)/25)*Calculateur!HC137*Calculateur!HE137*VLOOKUP('Données projet'!$B$18,Paramètres!$A$1:$I$89,3,0)*0.475*44/12</f>
        <v>#N/A</v>
      </c>
      <c r="HI137" s="129" t="e">
        <f aca="false">EXP(-LN(2)/2)*HI136+(1-EXP(-LN(2)/2))/(LN(2)/2)*HC137*HF137*VLOOKUP('Données projet'!$B$18,Paramètres!$A$1:$I$89,3,0)*0.475*44/12</f>
        <v>#N/A</v>
      </c>
      <c r="HJ137" s="130" t="e">
        <f aca="false">SUM(HG137:HI137)</f>
        <v>#N/A</v>
      </c>
    </row>
    <row r="138" customFormat="false" ht="14.25" hidden="false" customHeight="false" outlineLevel="0" collapsed="false">
      <c r="A138" s="112" t="n">
        <f aca="false">A137+1</f>
        <v>135</v>
      </c>
      <c r="B138" s="113" t="n">
        <f aca="false">'Scénario référence'!$B$16*5+'Scénario référence'!$B$17*0+'Scénario référence'!$B$18*5</f>
        <v>0</v>
      </c>
      <c r="C138" s="127" t="n">
        <f aca="false"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4" t="n">
        <f aca="false">IFERROR(EXP(-1.0587+0.8836*LN(C138)+0.284),0)</f>
        <v>0</v>
      </c>
      <c r="E13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8" s="114" t="n">
        <f aca="false">IF(OR('Scénario référence'!$F$8&gt;0,'Scénario référence'!$F$9&gt;0),('Scénario référence'!$F$8+'Scénario référence'!$F$9)*10,0)</f>
        <v>0</v>
      </c>
      <c r="G138" s="114" t="n">
        <f aca="false"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15" t="n">
        <f aca="false">(B138+E138+F138)*44/12+(C138+D138)*0.475*44/12</f>
        <v>256.666666666667</v>
      </c>
      <c r="I138" s="11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7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8" t="e">
        <f aca="false">VLOOKUP(A138,'Données projet'!$A$35:$I$55,2,0)</f>
        <v>#N/A</v>
      </c>
      <c r="L138" s="118" t="e">
        <f aca="false">VLOOKUP(A138,'Données projet'!$A$35:$I$55,9,0)</f>
        <v>#N/A</v>
      </c>
      <c r="M138" s="118" t="e">
        <f aca="false" t="array" ref="M138:M138">INDEX(L:L,MIN(IF(ISNUMBER(L138:L334),ROW(L138:L334),"")))</f>
        <v>#N/A</v>
      </c>
      <c r="N138" s="117" t="n">
        <f aca="false">IF('Données projet'!$A$36&gt;35,N137+M138-V137,IF(A138&lt;'Données projet'!$A$36,$K$205^A138,IF(A138='Données projet'!$A$36,'Données projet'!$B$36,N137+M138-V137)))</f>
        <v>-1.13686837721616E-013</v>
      </c>
      <c r="O138" s="117" t="n">
        <f aca="false">N138*VLOOKUP('Données projet'!$B$9,Paramètres!$A$1:$I$89,3,0)*VLOOKUP('Données projet'!$B$9,Paramètres!$A$1:$I$89,5,0)</f>
        <v>-5.32054400537163E-014</v>
      </c>
      <c r="P138" s="117" t="e">
        <f aca="false">EXP(-1.0587+0.8836*LN(O138)+0.284)</f>
        <v>#VALUE!</v>
      </c>
      <c r="Q138" s="128" t="e">
        <f aca="false">(O138+P138)*0.475*44/12</f>
        <v>#VALUE!</v>
      </c>
      <c r="R138" s="120" t="e">
        <f aca="false">Q138+(I138+J138)*44/12</f>
        <v>#VALUE!</v>
      </c>
      <c r="S138" s="120" t="n">
        <f aca="true">AVERAGE(OFFSET($R$3,0,0,'Données projet'!$E$9+1,1))-AVERAGE(OFFSET($H$3,0,0,'Données projet'!$E$9+1,1))</f>
        <v>319.229030946746</v>
      </c>
      <c r="T138" s="120" t="n">
        <f aca="false">$T$3</f>
        <v>254.586909731428</v>
      </c>
      <c r="U138" s="121" t="n">
        <f aca="false">IF(ISNA(VLOOKUP(A138,'Données projet'!$A$35:$I$55,3,0)),0,VLOOKUP(A138,'Données projet'!$A$35:$I$55,3,0))</f>
        <v>0</v>
      </c>
      <c r="V138" s="121" t="n">
        <f aca="false">IF(ISNA(VLOOKUP(A138,'Données projet'!$A$35:$I$55,4,0)),0,VLOOKUP(A138,'Données projet'!$A$35:$I$55,4,0))</f>
        <v>0</v>
      </c>
      <c r="W138" s="122" t="n">
        <f aca="false">IF(ISNA(VLOOKUP(A138,'Données projet'!$A$35:$I$55,5,0)),0%,VLOOKUP(A138,'Données projet'!$A$35:$I$55,5,0)*VLOOKUP('Données projet'!$B$9,Paramètres!$A$1:$I$89,7,0))</f>
        <v>0</v>
      </c>
      <c r="X138" s="122" t="n">
        <f aca="false">IF(ISNA(VLOOKUP(A138,'Données projet'!$A$35:$I$55,6,0)),0%,VLOOKUP(A138,'Données projet'!$A$35:$I$55,6,0)*VLOOKUP('Données projet'!$B$9,Paramètres!$A$1:$I$89,7,0))</f>
        <v>0</v>
      </c>
      <c r="Y138" s="122" t="n">
        <f aca="false">IF(ISNA(VLOOKUP(A138,'Données projet'!$A$35:$I$55,7,0)),0%,VLOOKUP(A138,'Données projet'!$A$35:$I$55,7,0))</f>
        <v>0</v>
      </c>
      <c r="Z138" s="129" t="n">
        <f aca="false">EXP(-LN(2)/35)*Z137+(1-EXP(-LN(2)/35))/(LN(2)/35)*V138*W138*VLOOKUP('Données projet'!$B$9,Paramètres!$A$1:$I$89,3,0)*0.475*44/12</f>
        <v>1.1345208918748</v>
      </c>
      <c r="AA138" s="129" t="n">
        <f aca="false">EXP(-LN(2)/25)*AA137+(1-EXP(-LN(2)/25))/(LN(2)/25)*Calculateur!V138*Calculateur!X138*VLOOKUP('Données projet'!$B$9,Paramètres!$A$1:$I$89,3,0)*0.475*44/12</f>
        <v>0.60673675600843</v>
      </c>
      <c r="AB138" s="129" t="n">
        <f aca="false">EXP(-LN(2)/2)*AB137+(1-EXP(-LN(2)/2))/(LN(2)/2)*V138*Y138*VLOOKUP('Données projet'!$B$9,Paramètres!$A$1:$I$89,3,0)*0.475*44/12</f>
        <v>1.73387330035887E-015</v>
      </c>
      <c r="AC138" s="130" t="n">
        <f aca="false">SUM(Z138:AB138)</f>
        <v>1.74125764788323</v>
      </c>
      <c r="AD138" s="117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7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8" t="e">
        <f aca="false">VLOOKUP(A138,'Données projet'!$A$61:$I$81,2,0)</f>
        <v>#N/A</v>
      </c>
      <c r="AG138" s="118" t="e">
        <f aca="false">VLOOKUP(A138,'Données projet'!$A$61:$I$81,9,0)</f>
        <v>#N/A</v>
      </c>
      <c r="AH138" s="118" t="e">
        <f aca="false" t="array" ref="AH138:AH138">INDEX(AG:AG,MIN(IF(ISNUMBER(AG138:AG334),ROW(AG138:AG334),"")))</f>
        <v>#N/A</v>
      </c>
      <c r="AI138" s="117" t="n">
        <f aca="false">IF('Données projet'!$A$62&gt;35,AI137+AH138-AQ137,IF(A138&lt;'Données projet'!$A$62,$AF$205^A138,IF(A138='Données projet'!$A$62,'Données projet'!$B$62,AI137+AH138-AQ137)))</f>
        <v>1.13686837721616E-013</v>
      </c>
      <c r="AJ138" s="117" t="n">
        <f aca="false">AI138*VLOOKUP('Données projet'!$B$10,Paramètres!$A$1:$I$89,3,0)*VLOOKUP('Données projet'!$B$10,Paramètres!$A$1:$I$89,5,0)</f>
        <v>6.35509422863834E-014</v>
      </c>
      <c r="AK138" s="117" t="n">
        <f aca="false">EXP(-1.0587+0.8836*LN(AJ138)+0.284)</f>
        <v>1.0064464192544E-012</v>
      </c>
      <c r="AL138" s="128" t="n">
        <f aca="false">(AJ138+AK138)*0.475*44/12</f>
        <v>1.86357873801686E-012</v>
      </c>
      <c r="AM138" s="120" t="n">
        <f aca="false">AL138+(AD138+AE138)*44/12</f>
        <v>293.333333333335</v>
      </c>
      <c r="AN138" s="120" t="n">
        <f aca="true">AVERAGE(OFFSET($AM$3,0,0,'Données projet'!$E$10+1,1))-AVERAGE(OFFSET($H$3,0,0,'Données projet'!$E$10+1,1))</f>
        <v>365.705101827279</v>
      </c>
      <c r="AO138" s="120" t="n">
        <f aca="false">$AO$3</f>
        <v>436.238338449625</v>
      </c>
      <c r="AP138" s="121" t="n">
        <f aca="false">IF(ISNA(VLOOKUP(A138,'Données projet'!$A$61:$I$81,3,0)),0,VLOOKUP(A138,'Données projet'!$A$61:$I$81,3,0))</f>
        <v>0</v>
      </c>
      <c r="AQ138" s="121" t="n">
        <f aca="false">IF(ISNA(VLOOKUP(A138,'Données projet'!$A$61:$I$81,4,0)),0,VLOOKUP(A138,'Données projet'!$A$61:$I$81,4,0))</f>
        <v>0</v>
      </c>
      <c r="AR138" s="122" t="n">
        <f aca="false">IF(ISNA(VLOOKUP(A138,'Données projet'!$A$61:$I$81,5,0)),0%,VLOOKUP(A138,'Données projet'!$A$61:$I$81,5,0)*VLOOKUP('Données projet'!$B$10,Paramètres!$A$1:$I$89,7,0))</f>
        <v>0</v>
      </c>
      <c r="AS138" s="122" t="n">
        <f aca="false">IF(ISNA(VLOOKUP(A138,'Données projet'!$A$61:$I$81,6,0)),0%,VLOOKUP(A138,'Données projet'!$A$61:$I$81,6,0)*VLOOKUP('Données projet'!$B$10,Paramètres!$A$1:$I$89,7,0))</f>
        <v>0</v>
      </c>
      <c r="AT138" s="122" t="n">
        <f aca="false">IF(ISNA(VLOOKUP(A138,'Données projet'!$A$61:$I$81,7,0)),0%,VLOOKUP(A138,'Données projet'!$A$61:$I$81,7,0))</f>
        <v>0</v>
      </c>
      <c r="AU138" s="129" t="n">
        <f aca="false">EXP(-LN(2)/35)*AU137+(1-EXP(-LN(2)/35))/(LN(2)/35)*AQ138*AR138*VLOOKUP('Données projet'!$B$10,Paramètres!$A$1:$I$89,3,0)*0.475*44/12</f>
        <v>0.428244853916129</v>
      </c>
      <c r="AV138" s="129" t="n">
        <f aca="false">EXP(-LN(2)/25)*AV137+(1-EXP(-LN(2)/25))/(LN(2)/25)*Calculateur!AQ138*Calculateur!AS138*VLOOKUP('Données projet'!$B$10,Paramètres!$A$1:$I$89,3,0)*0.475*44/12</f>
        <v>0.71864688131027</v>
      </c>
      <c r="AW138" s="129" t="n">
        <f aca="false">EXP(-LN(2)/2)*AW137+(1-EXP(-LN(2)/2))/(LN(2)/2)*AQ138*AT138*VLOOKUP('Données projet'!$B$10,Paramètres!$A$1:$I$89,3,0)*0.475*44/12</f>
        <v>9.33116418463434E-016</v>
      </c>
      <c r="AX138" s="129" t="n">
        <f aca="false">SUM(AU138:AW138)</f>
        <v>1.1468917352264</v>
      </c>
      <c r="AY138" s="124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8" t="e">
        <f aca="false">VLOOKUP(A138,'Données projet'!$A$87:$I$107,2,0)</f>
        <v>#N/A</v>
      </c>
      <c r="BB138" s="118" t="e">
        <f aca="false">VLOOKUP(A138,'Données projet'!$A$87:$I$107,9,0)</f>
        <v>#N/A</v>
      </c>
      <c r="BC138" s="118" t="e">
        <f aca="false" t="array" ref="BC138:BC138">INDEX(BB:BB,MIN(IF(ISNUMBER(BB138:BB334),ROW(BB138:BB334),"")))</f>
        <v>#N/A</v>
      </c>
      <c r="BD138" s="118" t="n">
        <f aca="false">IF('Données projet'!$A$88&gt;35,BD137+BC138-BL137,IF(A138&lt;'Données projet'!$A$88,$BA$205^A138,IF(A138='Données projet'!$A$88,'Données projet'!$B$88,BD137+BC138-BL137)))</f>
        <v>1.98951966012828E-013</v>
      </c>
      <c r="BE138" s="117" t="n">
        <f aca="false">BD138*VLOOKUP('Données projet'!$B$11,Paramètres!$A$1:$I$89,3,0)*VLOOKUP('Données projet'!$B$11,Paramètres!$A$1:$I$89,5,0)</f>
        <v>1.73804437508807E-013</v>
      </c>
      <c r="BF138" s="117" t="n">
        <f aca="false">EXP(-1.0587+0.8836*LN(BE138)+0.284)</f>
        <v>2.44832936339505E-012</v>
      </c>
      <c r="BG138" s="128" t="n">
        <f aca="false">(BE138+BF138)*0.475*44/12</f>
        <v>4.56688303657421E-012</v>
      </c>
      <c r="BH138" s="120" t="n">
        <f aca="false">BG138+(AY138+AZ138)*44/12</f>
        <v>293.333333333338</v>
      </c>
      <c r="BI138" s="120" t="n">
        <f aca="true">AVERAGE(OFFSET($BH$3,0,0,'Données projet'!$E$11+1,1))-AVERAGE(OFFSET($H$3,0,0,'Données projet'!$E$11+1,1))</f>
        <v>321.235999689929</v>
      </c>
      <c r="BJ138" s="120" t="n">
        <f aca="false">$BJ$3</f>
        <v>388.051958478005</v>
      </c>
      <c r="BK138" s="121" t="n">
        <f aca="false">IF(ISNA(VLOOKUP(A138,'Données projet'!$A$87:$I$107,3,0)),0,VLOOKUP(A138,'Données projet'!$A$87:$I$107,3,0))</f>
        <v>0</v>
      </c>
      <c r="BL138" s="121" t="n">
        <f aca="false">IF(ISNA(VLOOKUP(A138,'Données projet'!$A$87:$I$107,4,0)),0,VLOOKUP(A138,'Données projet'!$A$87:$I$107,4,0))</f>
        <v>0</v>
      </c>
      <c r="BM138" s="122" t="n">
        <f aca="false">IF(ISNA(VLOOKUP(A138,'Données projet'!$A$87:$I$107,5,0)),0%,VLOOKUP(A138,'Données projet'!$A$87:$I$107,5,0)*VLOOKUP('Données projet'!$B$11,Paramètres!$A$1:$I$89,7,0))</f>
        <v>0</v>
      </c>
      <c r="BN138" s="122" t="n">
        <f aca="false">IF(ISNA(VLOOKUP(A138,'Données projet'!$A$87:$I$107,6,0)),0%,VLOOKUP(A138,'Données projet'!$A$87:$I$107,6,0)*VLOOKUP('Données projet'!$B$11,Paramètres!$A$1:$I$89,7,0))</f>
        <v>0</v>
      </c>
      <c r="BO138" s="122" t="n">
        <f aca="false">IF(ISNA(VLOOKUP(A138,'Données projet'!$A$87:$I$107,7,0)),0%,VLOOKUP(A138,'Données projet'!$A$87:$I$107,7,0))</f>
        <v>0</v>
      </c>
      <c r="BP138" s="129" t="n">
        <f aca="false">EXP(-LN(2)/35)*BP137+(1-EXP(-LN(2)/35))/(LN(2)/35)*BL138*BM138*VLOOKUP('Données projet'!$B$11,Paramètres!$A$1:$I$89,3,0)*0.475*44/12</f>
        <v>1.07516067410488</v>
      </c>
      <c r="BQ138" s="129" t="n">
        <f aca="false">EXP(-LN(2)/25)*BQ137+(1-EXP(-LN(2)/25))/(LN(2)/25)*Calculateur!BL138*Calculateur!BN138*VLOOKUP('Données projet'!$B$11,Paramètres!$A$1:$I$89,3,0)*0.475*44/12</f>
        <v>0.733552051455861</v>
      </c>
      <c r="BR138" s="129" t="n">
        <f aca="false">EXP(-LN(2)/2)*BR137+(1-EXP(-LN(2)/2))/(LN(2)/2)*BL138*BO138*VLOOKUP('Données projet'!$B$11,Paramètres!$A$1:$I$89,3,0)*0.475*44/12</f>
        <v>9.48493444220881E-016</v>
      </c>
      <c r="BS138" s="130" t="n">
        <f aca="false">SUM(BP138:BR138)</f>
        <v>1.80871272556074</v>
      </c>
      <c r="BT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8" t="e">
        <f aca="false">VLOOKUP(A138,'Données projet'!$A$113:$I$133,2,0)</f>
        <v>#N/A</v>
      </c>
      <c r="BW138" s="118" t="e">
        <f aca="false">VLOOKUP(A138,'Données projet'!$A$113:$I$133,9,0)</f>
        <v>#N/A</v>
      </c>
      <c r="BX138" s="118" t="e">
        <f aca="false" t="array" ref="BX138:BX138">INDEX(BW:BW,MIN(IF(ISNUMBER(BW138:BW334),ROW(BW138:BW334),"")))</f>
        <v>#N/A</v>
      </c>
      <c r="BY138" s="118" t="n">
        <f aca="false">IF('Données projet'!$A$114&gt;35,BY137+BX138-CG137,IF(A138&lt;'Données projet'!$A$114,$BV$205^A138,IF(A138='Données projet'!$A$114,'Données projet'!$B$114,BY137+BX138-CG137)))</f>
        <v>0</v>
      </c>
      <c r="BZ138" s="117" t="n">
        <f aca="false">BY138*VLOOKUP('Données projet'!$B$12,Paramètres!$A$1:$I$89,3,0)*VLOOKUP('Données projet'!$B$12,Paramètres!$A$1:$I$89,5,0)</f>
        <v>0</v>
      </c>
      <c r="CA138" s="117" t="e">
        <f aca="false">EXP(-1.0587+0.8836*LN(BZ138)+0.284)</f>
        <v>#VALUE!</v>
      </c>
      <c r="CB138" s="128" t="e">
        <f aca="false">(BZ138+CA138)*0.475*44/12</f>
        <v>#VALUE!</v>
      </c>
      <c r="CC138" s="120" t="e">
        <f aca="false">CB138+(BT138+BU138)*44/12</f>
        <v>#VALUE!</v>
      </c>
      <c r="CD138" s="120" t="n">
        <f aca="true">AVERAGE(OFFSET($CC$3,0,0,'Données projet'!$E$12+1,1))-AVERAGE(OFFSET($H$3,0,0,'Données projet'!$E$12+1,1))</f>
        <v>240.228848647662</v>
      </c>
      <c r="CE138" s="120" t="n">
        <f aca="false">$CE$3</f>
        <v>343.237768841432</v>
      </c>
      <c r="CF138" s="121" t="n">
        <f aca="false">IF(ISNA(VLOOKUP(A138,'Données projet'!$A$113:$I$133,3,0)),0,VLOOKUP(A138,'Données projet'!$A$113:$I$133,3,0))</f>
        <v>0</v>
      </c>
      <c r="CG138" s="121" t="n">
        <f aca="false">IF(ISNA(VLOOKUP(A138,'Données projet'!$A$113:$I$133,4,0)),0,VLOOKUP(A138,'Données projet'!$A$113:$I$133,4,0))</f>
        <v>0</v>
      </c>
      <c r="CH138" s="122" t="n">
        <f aca="false">IF(ISNA(VLOOKUP(A138,'Données projet'!$A$113:$I$133,5,0)),0%,VLOOKUP(A138,'Données projet'!$A$113:$I$133,5,0)*VLOOKUP('Données projet'!$B$12,Paramètres!$A$1:$I$89,7,0))</f>
        <v>0</v>
      </c>
      <c r="CI138" s="122" t="n">
        <f aca="false">IF(ISNA(VLOOKUP(A138,'Données projet'!$A$113:$I$133,6,0)),0%,VLOOKUP(A138,'Données projet'!$A$113:$I$133,6,0)*VLOOKUP('Données projet'!$B$12,Paramètres!$A$1:$I$89,7,0))</f>
        <v>0</v>
      </c>
      <c r="CJ138" s="122" t="n">
        <f aca="false">IF(ISNA(VLOOKUP(A138,'Données projet'!$A$113:$I$133,7,0)),0%,VLOOKUP(A138,'Données projet'!$A$113:$I$133,7,0))</f>
        <v>0</v>
      </c>
      <c r="CK138" s="129" t="n">
        <f aca="false">EXP(-LN(2)/35)*CK137+(1-EXP(-LN(2)/35))/(LN(2)/35)*CG138*CH138*VLOOKUP('Données projet'!$B$12,Paramètres!$A$1:$I$89,3,0)*0.475*44/12</f>
        <v>0.658082095054445</v>
      </c>
      <c r="CL138" s="129" t="n">
        <f aca="false">EXP(-LN(2)/25)*CL137+(1-EXP(-LN(2)/25))/(LN(2)/25)*Calculateur!CG138*Calculateur!CI138*VLOOKUP('Données projet'!$B$12,Paramètres!$A$1:$I$89,3,0)*0.475*44/12</f>
        <v>1.29549538811618</v>
      </c>
      <c r="CM138" s="129" t="n">
        <f aca="false">EXP(-LN(2)/2)*CM137+(1-EXP(-LN(2)/2))/(LN(2)/2)*CG138*CJ138*VLOOKUP('Données projet'!$B$12,Paramètres!$A$1:$I$89,3,0)*0.475*44/12</f>
        <v>1.51354266876923E-015</v>
      </c>
      <c r="CN138" s="130" t="n">
        <f aca="false">SUM(CK138:CM138)</f>
        <v>1.95357748317063</v>
      </c>
      <c r="CO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8" t="e">
        <f aca="false">VLOOKUP(A138,'Données projet'!$A$139:$I$159,2,0)</f>
        <v>#N/A</v>
      </c>
      <c r="CR138" s="118" t="e">
        <f aca="false">VLOOKUP(A138,'Données projet'!$A$139:$I$159,9,0)</f>
        <v>#N/A</v>
      </c>
      <c r="CS138" s="118" t="e">
        <f aca="false" t="array" ref="CS138:CS138">INDEX(CR:CR,MIN(IF(ISNUMBER(CR138:CR334),ROW(CR138:CR334),"")))</f>
        <v>#N/A</v>
      </c>
      <c r="CT138" s="118" t="n">
        <f aca="false">IF('Données projet'!$A$140&gt;35,CT137+CS138-DB137,IF(A138&lt;'Données projet'!$A$140,$CQ$205^A138,IF(A138='Données projet'!$A$140,'Données projet'!$B$140,CT137+CS138-DB137)))</f>
        <v>-5.6843418860808E-014</v>
      </c>
      <c r="CU138" s="125" t="n">
        <f aca="false">CT138*VLOOKUP('Données projet'!$B$13,Paramètres!$A$1:$I$89,3,0)*VLOOKUP('Données projet'!$B$13,Paramètres!$A$1:$I$89,5,0)</f>
        <v>-3.10365066980012E-014</v>
      </c>
      <c r="CV138" s="117" t="e">
        <f aca="false">EXP(-1.0587+0.8836*LN(CU138)+0.284)</f>
        <v>#VALUE!</v>
      </c>
      <c r="CW138" s="128" t="e">
        <f aca="false">(CU138+CV138)*0.475*44/12</f>
        <v>#VALUE!</v>
      </c>
      <c r="CX138" s="120" t="e">
        <f aca="false">CW138+(CO138+CP138)*44/12</f>
        <v>#VALUE!</v>
      </c>
      <c r="CY138" s="120" t="n">
        <f aca="true">AVERAGE(OFFSET($CX$3,0,0,'Données projet'!$E$13+1,1))-AVERAGE(OFFSET($H$3,0,0,'Données projet'!$E$13+1,1))</f>
        <v>207.023069645676</v>
      </c>
      <c r="CZ138" s="120" t="n">
        <f aca="false">$CZ$3</f>
        <v>342.068879333518</v>
      </c>
      <c r="DA138" s="121" t="n">
        <f aca="false">IF(ISNA(VLOOKUP(A138,'Données projet'!$A$139:$I$159,3,0)),0,VLOOKUP(A138,'Données projet'!$A$139:$I$159,3,0))</f>
        <v>0</v>
      </c>
      <c r="DB138" s="121" t="n">
        <f aca="false">IF(ISNA(VLOOKUP(A138,'Données projet'!$A$139:$I$159,4,0)),0,VLOOKUP(A138,'Données projet'!$A$139:$I$159,4,0))</f>
        <v>0</v>
      </c>
      <c r="DC138" s="122" t="n">
        <f aca="false">IF(ISNA(VLOOKUP(A138,'Données projet'!$A$139:$I$159,5,0)),0%,VLOOKUP(A138,'Données projet'!$A$139:$I$159,5,0)*VLOOKUP('Données projet'!$B$13,Paramètres!$A$1:$I$89,7,0))</f>
        <v>0</v>
      </c>
      <c r="DD138" s="122" t="n">
        <f aca="false">IF(ISNA(VLOOKUP(A138,'Données projet'!$A$139:$I$159,6,0)),0%,VLOOKUP(A138,'Données projet'!$A$139:$I$159,6,0)*VLOOKUP('Données projet'!$B$13,Paramètres!$A$1:$I$89,7,0))</f>
        <v>0</v>
      </c>
      <c r="DE138" s="122" t="n">
        <f aca="false">IF(ISNA(VLOOKUP(A138,'Données projet'!$A$139:$I$159,7,0)),0%,VLOOKUP(A138,'Données projet'!$A$139:$I$159,7,0))</f>
        <v>0</v>
      </c>
      <c r="DF138" s="129" t="n">
        <f aca="false">EXP(-LN(2)/35)*DF137+(1-EXP(-LN(2)/35))/(LN(2)/35)*DB138*DC138*VLOOKUP('Données projet'!$B$13,Paramètres!$A$1:$I$89,3,0)*0.475*44/12</f>
        <v>0.825706779643784</v>
      </c>
      <c r="DG138" s="129" t="n">
        <f aca="false">EXP(-LN(2)/25)*DG137+(1-EXP(-LN(2)/25))/(LN(2)/25)*Calculateur!DB138*Calculateur!DD138*VLOOKUP('Données projet'!$B$13,Paramètres!$A$1:$I$89,3,0)*0.475*44/12</f>
        <v>2.117595400216</v>
      </c>
      <c r="DH138" s="129" t="n">
        <f aca="false">EXP(-LN(2)/2)*DH137+(1-EXP(-LN(2)/2))/(LN(2)/2)*DB138*DE138*VLOOKUP('Données projet'!$B$13,Paramètres!$A$1:$I$89,3,0)*0.475*44/12</f>
        <v>2.08414895661174E-015</v>
      </c>
      <c r="DI138" s="130" t="n">
        <f aca="false">SUM(DF138:DH138)</f>
        <v>2.94330217985978</v>
      </c>
      <c r="DJ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8" t="e">
        <f aca="false">VLOOKUP(A138,'Données projet'!$A$165:$I$185,2,0)</f>
        <v>#N/A</v>
      </c>
      <c r="DM138" s="118" t="e">
        <f aca="false">VLOOKUP(A138,'Données projet'!$A$165:$I$185,9,0)</f>
        <v>#N/A</v>
      </c>
      <c r="DN138" s="118" t="e">
        <f aca="false" t="array" ref="DN138:DN138">INDEX(DM:DM,MIN(IF(ISNUMBER(DM138:DM334),ROW(DM138:DM334),"")))</f>
        <v>#N/A</v>
      </c>
      <c r="DO138" s="118" t="n">
        <f aca="false">IF('Données projet'!$A$166&gt;35,DO137+DN138-DW137,IF(A138&lt;'Données projet'!$A$166,$DL$205^A138,IF(A138='Données projet'!$A$166,'Données projet'!$B$166,DO137+DN138-DW137)))</f>
        <v>0</v>
      </c>
      <c r="DP138" s="125" t="n">
        <f aca="false">DO138*VLOOKUP('Données projet'!$B$14,Paramètres!$A$1:$I$89,3,0)*VLOOKUP('Données projet'!$B$14,Paramètres!$A$1:$I$89,5,0)</f>
        <v>0</v>
      </c>
      <c r="DQ138" s="117" t="e">
        <f aca="false">EXP(-1.0587+0.8836*LN(DP138)+0.284)</f>
        <v>#VALUE!</v>
      </c>
      <c r="DR138" s="128" t="e">
        <f aca="false">(DP138+DQ138)*0.475*44/12</f>
        <v>#VALUE!</v>
      </c>
      <c r="DS138" s="120" t="e">
        <f aca="false">DR138+(DJ138+DK138)*44/12</f>
        <v>#VALUE!</v>
      </c>
      <c r="DT138" s="120" t="n">
        <f aca="true">AVERAGE(OFFSET($DS$3,0,0,'Données projet'!$E$14+1,1))-AVERAGE(OFFSET($H$3,0,0,'Données projet'!$E$14+1,1))</f>
        <v>549.432320957297</v>
      </c>
      <c r="DU138" s="120" t="n">
        <f aca="false">$DU$3</f>
        <v>280.26155987301</v>
      </c>
      <c r="DV138" s="121" t="n">
        <f aca="false">IF(ISNA(VLOOKUP(A138,'Données projet'!$A$165:$I$185,3,0)),0,VLOOKUP(A138,'Données projet'!$A$165:$I$185,3,0))</f>
        <v>0</v>
      </c>
      <c r="DW138" s="121" t="n">
        <f aca="false">IF(ISNA(VLOOKUP(A138,'Données projet'!$A$165:$I$185,4,0)),0,VLOOKUP(A138,'Données projet'!$A$165:$I$185,4,0))</f>
        <v>0</v>
      </c>
      <c r="DX138" s="122" t="n">
        <f aca="false">IF(ISNA(VLOOKUP(A138,'Données projet'!$A$165:$I$185,5,0)),0%,VLOOKUP(A138,'Données projet'!$A$165:$I$185,5,0)*VLOOKUP('Données projet'!$B$14,Paramètres!$A$1:$I$89,7,0))</f>
        <v>0</v>
      </c>
      <c r="DY138" s="122" t="n">
        <f aca="false">IF(ISNA(VLOOKUP(A138,'Données projet'!$A$165:$I$185,6,0)),0%,VLOOKUP(A138,'Données projet'!$A$165:$I$185,6,0)*VLOOKUP('Données projet'!$B$14,Paramètres!$A$1:$I$89,7,0))</f>
        <v>0</v>
      </c>
      <c r="DZ138" s="122" t="n">
        <f aca="false">IF(ISNA(VLOOKUP(A138,'Données projet'!$A$165:$I$185,7,0)),0%,VLOOKUP(A138,'Données projet'!$A$165:$I$185,7,0))</f>
        <v>0</v>
      </c>
      <c r="EA138" s="129" t="n">
        <f aca="false">EXP(-LN(2)/35)*EA137+(1-EXP(-LN(2)/35))/(LN(2)/35)*DW138*DX138*VLOOKUP('Données projet'!$B$14,Paramètres!$A$1:$I$89,3,0)*0.475*44/12</f>
        <v>0.30022606437924</v>
      </c>
      <c r="EB138" s="129" t="n">
        <f aca="false">EXP(-LN(2)/25)*EB137+(1-EXP(-LN(2)/25))/(LN(2)/25)*Calculateur!DW138*Calculateur!DY138*VLOOKUP('Données projet'!$B$14,Paramètres!$A$1:$I$89,3,0)*0.475*44/12</f>
        <v>0.421866783145946</v>
      </c>
      <c r="EC138" s="129" t="n">
        <f aca="false">EXP(-LN(2)/2)*EC137+(1-EXP(-LN(2)/2))/(LN(2)/2)*DW138*DZ138*VLOOKUP('Données projet'!$B$14,Paramètres!$A$1:$I$89,3,0)*0.475*44/12</f>
        <v>9.60749707991118E-016</v>
      </c>
      <c r="ED138" s="130" t="n">
        <f aca="false">SUM(EA138:EC138)</f>
        <v>0.722092847525186</v>
      </c>
      <c r="EE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8" t="e">
        <f aca="false">VLOOKUP(A138,'Données projet'!$A$191:$I$211,2,0)</f>
        <v>#N/A</v>
      </c>
      <c r="EH138" s="118" t="e">
        <f aca="false">VLOOKUP(A138,'Données projet'!$A$191:$I$211,9,0)</f>
        <v>#N/A</v>
      </c>
      <c r="EI138" s="118" t="e">
        <f aca="false" t="array" ref="EI138:EI138">INDEX(EH:EH,MIN(IF(ISNUMBER(EH138:EH334),ROW(EH138:EH334),"")))</f>
        <v>#N/A</v>
      </c>
      <c r="EJ138" s="118" t="n">
        <f aca="false">IF('Données projet'!$A$192&gt;35,EJ137+EI138-ER137,IF(A138&lt;'Données projet'!$A$192,$EG$205^A138,IF(A138='Données projet'!$A$192,'Données projet'!$B$192,EJ137+EI138-ER137)))</f>
        <v>0</v>
      </c>
      <c r="EK138" s="125" t="e">
        <f aca="false">EJ138*VLOOKUP('Données projet'!$B$15,Paramètres!$A$1:$I$89,3,0)*VLOOKUP('Données projet'!$B$15,Paramètres!$A$1:$I$89,5,0)</f>
        <v>#N/A</v>
      </c>
      <c r="EL138" s="117" t="e">
        <f aca="false">EXP(-1.0587+0.8836*LN(EK138)+0.284)</f>
        <v>#N/A</v>
      </c>
      <c r="EM138" s="128" t="e">
        <f aca="false">(EK138+EL138)*0.475*44/12</f>
        <v>#N/A</v>
      </c>
      <c r="EN138" s="120" t="e">
        <f aca="false">EM138+(EE138+EF138)*44/12</f>
        <v>#N/A</v>
      </c>
      <c r="EO138" s="120" t="e">
        <f aca="true">AVERAGE(OFFSET($EN$3,0,0,'Données projet'!$E$15+1,1))-AVERAGE(OFFSET($H$3,0,0,'Données projet'!$E$15+1,1))</f>
        <v>#N/A</v>
      </c>
      <c r="EP138" s="120" t="e">
        <f aca="false">$EP$3</f>
        <v>#N/A</v>
      </c>
      <c r="EQ138" s="121" t="n">
        <f aca="false">IF(ISNA(VLOOKUP(A138,'Données projet'!$A$191:$I$211,3,0)),0,VLOOKUP(A138,'Données projet'!$A$191:$I$211,3,0))</f>
        <v>0</v>
      </c>
      <c r="ER138" s="121" t="n">
        <f aca="false">IF(ISNA(VLOOKUP(A138,'Données projet'!$A$191:$I$211,4,0)),0,VLOOKUP(A138,'Données projet'!$A$191:$I$211,4,0))</f>
        <v>0</v>
      </c>
      <c r="ES138" s="122" t="n">
        <f aca="false">IF(ISNA(VLOOKUP(A138,'Données projet'!$A$191:$I$211,5,0)),0%,VLOOKUP(A138,'Données projet'!$A$191:$I$211,5,0)*VLOOKUP('Données projet'!$B$15,Paramètres!$A$1:$I$89,7,0))</f>
        <v>0</v>
      </c>
      <c r="ET138" s="122" t="n">
        <f aca="false">IF(ISNA(VLOOKUP(A138,'Données projet'!$A$191:$I$211,6,0)),0%,VLOOKUP(A138,'Données projet'!$A$191:$I$211,6,0)*VLOOKUP('Données projet'!$B$15,Paramètres!$A$1:$I$89,7,0))</f>
        <v>0</v>
      </c>
      <c r="EU138" s="122" t="n">
        <f aca="false">IF(ISNA(VLOOKUP(A138,'Données projet'!$A$191:$I$211,7,0)),0%,VLOOKUP(A138,'Données projet'!$A$191:$I$211,7,0))</f>
        <v>0</v>
      </c>
      <c r="EV138" s="129" t="e">
        <f aca="false">EXP(-LN(2)/35)*EV137+(1-EXP(-LN(2)/35))/(LN(2)/35)*ER138*ES138*VLOOKUP('Données projet'!$B$15,Paramètres!$A$1:$I$89,3,0)*0.475*44/12</f>
        <v>#N/A</v>
      </c>
      <c r="EW138" s="129" t="e">
        <f aca="false">EXP(-LN(2)/25)*EW137+(1-EXP(-LN(2)/25))/(LN(2)/25)*Calculateur!ER138*Calculateur!ET138*VLOOKUP('Données projet'!$B$15,Paramètres!$A$1:$I$89,3,0)*0.475*44/12</f>
        <v>#N/A</v>
      </c>
      <c r="EX138" s="129" t="e">
        <f aca="false">EXP(-LN(2)/2)*EX137+(1-EXP(-LN(2)/2))/(LN(2)/2)*ER138*EU138*VLOOKUP('Données projet'!$B$15,Paramètres!$A$1:$I$89,3,0)*0.475*44/12</f>
        <v>#N/A</v>
      </c>
      <c r="EY138" s="130" t="e">
        <f aca="false">SUM(EV138:EX138)</f>
        <v>#N/A</v>
      </c>
      <c r="EZ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8" t="e">
        <f aca="false">VLOOKUP(A138,'Données projet'!$A$217:$I$237,2,0)</f>
        <v>#N/A</v>
      </c>
      <c r="FC138" s="118" t="e">
        <f aca="false">VLOOKUP(A138,'Données projet'!$A$217:$I$237,9,0)</f>
        <v>#N/A</v>
      </c>
      <c r="FD138" s="118" t="e">
        <f aca="false" t="array" ref="FD138:FD138">INDEX(FC:FC,MIN(IF(ISNUMBER(FC138:FC334),ROW(FC138:FC334),"")))</f>
        <v>#N/A</v>
      </c>
      <c r="FE138" s="118" t="n">
        <f aca="false">IF('Données projet'!$A$218&gt;35,FE137+FD138-FM137,IF(A138&lt;'Données projet'!$A$218,$FB$205^A138,IF(A138='Données projet'!$A$218,'Données projet'!$B$218,FE137+FD138-FM137)))</f>
        <v>0</v>
      </c>
      <c r="FF138" s="125" t="e">
        <f aca="false">FE138*VLOOKUP('Données projet'!$B$16,Paramètres!$A$1:$I$89,3,0)*VLOOKUP('Données projet'!$B$16,Paramètres!$A$1:$I$89,5,0)</f>
        <v>#N/A</v>
      </c>
      <c r="FG138" s="117" t="e">
        <f aca="false">EXP(-1.0587+0.8836*LN(FF138)+0.284)</f>
        <v>#N/A</v>
      </c>
      <c r="FH138" s="128" t="e">
        <f aca="false">(FF138+FG138)*0.475*44/12</f>
        <v>#N/A</v>
      </c>
      <c r="FI138" s="120" t="e">
        <f aca="false">FH138+(EZ138+FA138)*44/12</f>
        <v>#N/A</v>
      </c>
      <c r="FJ138" s="120" t="e">
        <f aca="true">AVERAGE(OFFSET($FI$3,0,0,'Données projet'!$E$16+1,1))-AVERAGE(OFFSET($H$3,0,0,'Données projet'!$E$16+1,1))</f>
        <v>#N/A</v>
      </c>
      <c r="FK138" s="120" t="e">
        <f aca="false">$FK$3</f>
        <v>#N/A</v>
      </c>
      <c r="FL138" s="121" t="n">
        <f aca="false">IF(ISNA(VLOOKUP(A138,'Données projet'!$A$217:$I$237,3,0)),0,VLOOKUP(A138,'Données projet'!$A$217:$I$237,3,0))</f>
        <v>0</v>
      </c>
      <c r="FM138" s="121" t="n">
        <f aca="false">IF(ISNA(VLOOKUP(A138,'Données projet'!$A$217:$I$237,4,0)),0,VLOOKUP(A138,'Données projet'!$A$217:$I$237,4,0))</f>
        <v>0</v>
      </c>
      <c r="FN138" s="122" t="n">
        <f aca="false">IF(ISNA(VLOOKUP(A138,'Données projet'!$A$217:$I$237,5,0)),0%,VLOOKUP(A138,'Données projet'!$A$217:$I$237,5,0)*VLOOKUP('Données projet'!$B$16,Paramètres!$A$1:$I$89,7,0))</f>
        <v>0</v>
      </c>
      <c r="FO138" s="122" t="n">
        <f aca="false">IF(ISNA(VLOOKUP(A138,'Données projet'!$A$217:$I$237,6,0)),0%,VLOOKUP(A138,'Données projet'!$A$217:$I$237,6,0)*VLOOKUP('Données projet'!$B$16,Paramètres!$A$1:$I$89,7,0))</f>
        <v>0</v>
      </c>
      <c r="FP138" s="122" t="n">
        <f aca="false">IF(ISNA(VLOOKUP(A138,'Données projet'!$A$217:$I$237,7,0)),0%,VLOOKUP(A138,'Données projet'!$A$217:$I$237,7,0))</f>
        <v>0</v>
      </c>
      <c r="FQ138" s="129" t="e">
        <f aca="false">EXP(-LN(2)/35)*FQ137+(1-EXP(-LN(2)/35))/(LN(2)/35)*FM138*FN138*VLOOKUP('Données projet'!$B$16,Paramètres!$A$1:$I$89,3,0)*0.475*44/12</f>
        <v>#N/A</v>
      </c>
      <c r="FR138" s="129" t="e">
        <f aca="false">EXP(-LN(2)/25)*FR137+(1-EXP(-LN(2)/25))/(LN(2)/25)*Calculateur!FM138*Calculateur!FO138*VLOOKUP('Données projet'!$B$16,Paramètres!$A$1:$I$89,3,0)*0.475*44/12</f>
        <v>#N/A</v>
      </c>
      <c r="FS138" s="129" t="e">
        <f aca="false">EXP(-LN(2)/2)*FS137+(1-EXP(-LN(2)/2))/(LN(2)/2)*FM138*FP138*VLOOKUP('Données projet'!$B$16,Paramètres!$A$1:$I$89,3,0)*0.475*44/12</f>
        <v>#N/A</v>
      </c>
      <c r="FT138" s="130" t="e">
        <f aca="false">SUM(FQ138:FS138)</f>
        <v>#N/A</v>
      </c>
      <c r="FU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8" t="e">
        <f aca="false">VLOOKUP(A138,'Données projet'!$A$243:$I$263,2,0)</f>
        <v>#N/A</v>
      </c>
      <c r="FX138" s="118" t="e">
        <f aca="false">VLOOKUP(A138,'Données projet'!$A$243:$I$263,9,0)</f>
        <v>#N/A</v>
      </c>
      <c r="FY138" s="118" t="e">
        <f aca="false" t="array" ref="FY138:FY138">INDEX(FX:FX,MIN(IF(ISNUMBER(FX138:FX334),ROW(FX138:FX334),"")))</f>
        <v>#N/A</v>
      </c>
      <c r="FZ138" s="118" t="n">
        <f aca="false">IF('Données projet'!$A$244&gt;35,FZ137+FY138-GH137,IF(A138&lt;'Données projet'!$A$244,$FW$205^A138,IF(A138='Données projet'!$A$244,'Données projet'!$B$244,FZ137+FY138-GH137)))</f>
        <v>0</v>
      </c>
      <c r="GA138" s="125" t="e">
        <f aca="false">FZ138*VLOOKUP('Données projet'!$B$17,Paramètres!$A$1:$I$89,3,0)*VLOOKUP('Données projet'!$B$17,Paramètres!$A$1:$I$89,5,0)</f>
        <v>#N/A</v>
      </c>
      <c r="GB138" s="117" t="e">
        <f aca="false">EXP(-1.0587+0.8836*LN(GA138)+0.284)</f>
        <v>#N/A</v>
      </c>
      <c r="GC138" s="128" t="e">
        <f aca="false">(GA138+GB138)*0.475*44/12</f>
        <v>#N/A</v>
      </c>
      <c r="GD138" s="120" t="e">
        <f aca="false">GC138+(FU138+FV138)*44/12</f>
        <v>#N/A</v>
      </c>
      <c r="GE138" s="120" t="e">
        <f aca="true">AVERAGE(OFFSET($GD$3,0,0,'Données projet'!$E$17+1,1))-AVERAGE(OFFSET($H$3,0,0,'Données projet'!$E$17+1,1))</f>
        <v>#N/A</v>
      </c>
      <c r="GF138" s="120" t="e">
        <f aca="false">$GF$3</f>
        <v>#N/A</v>
      </c>
      <c r="GG138" s="121" t="n">
        <f aca="false">IF(ISNA(VLOOKUP(A138,'Données projet'!$A$243:$I$263,3,0)),0,VLOOKUP(A138,'Données projet'!$A$243:$I$263,3,0))</f>
        <v>0</v>
      </c>
      <c r="GH138" s="121" t="n">
        <f aca="false">IF(ISNA(VLOOKUP(A138,'Données projet'!$A$243:$I$263,4,0)),0,VLOOKUP(A138,'Données projet'!$A$243:$I$263,4,0))</f>
        <v>0</v>
      </c>
      <c r="GI138" s="122" t="n">
        <f aca="false">IF(ISNA(VLOOKUP(A138,'Données projet'!$A$243:$I$263,5,0)),0%,VLOOKUP(A138,'Données projet'!$A$243:$I$263,5,0)*VLOOKUP('Données projet'!$B$17,Paramètres!$A$1:$I$89,7,0))</f>
        <v>0</v>
      </c>
      <c r="GJ138" s="122" t="n">
        <f aca="false">IF(ISNA(VLOOKUP(A138,'Données projet'!$A$243:$I$263,6,0)),0%,VLOOKUP(A138,'Données projet'!$A$243:$I$263,6,0)*VLOOKUP('Données projet'!$B$17,Paramètres!$A$1:$I$89,7,0))</f>
        <v>0</v>
      </c>
      <c r="GK138" s="122" t="n">
        <f aca="false">IF(ISNA(VLOOKUP(A138,'Données projet'!$A$243:$I$263,7,0)),0%,VLOOKUP(A138,'Données projet'!$A$243:$I$263,7,0))</f>
        <v>0</v>
      </c>
      <c r="GL138" s="129" t="e">
        <f aca="false">EXP(-LN(2)/35)*GL137+(1-EXP(-LN(2)/35))/(LN(2)/35)*GH138*GI138*VLOOKUP('Données projet'!$B$17,Paramètres!$A$1:$I$89,3,0)*0.475*44/12</f>
        <v>#N/A</v>
      </c>
      <c r="GM138" s="129" t="e">
        <f aca="false">EXP(-LN(2)/25)*GM137+(1-EXP(-LN(2)/25))/(LN(2)/25)*Calculateur!GH138*Calculateur!GJ138*VLOOKUP('Données projet'!$B$17,Paramètres!$A$1:$I$89,3,0)*0.475*44/12</f>
        <v>#N/A</v>
      </c>
      <c r="GN138" s="129" t="e">
        <f aca="false">EXP(-LN(2)/2)*GN137+(1-EXP(-LN(2)/2))/(LN(2)/2)*GH138*GK138*VLOOKUP('Données projet'!$B$17,Paramètres!$A$1:$I$89,3,0)*0.475*44/12</f>
        <v>#N/A</v>
      </c>
      <c r="GO138" s="129" t="e">
        <f aca="false">SUM(GL138:GN138)</f>
        <v>#N/A</v>
      </c>
      <c r="GP138" s="126" t="n">
        <f aca="false"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8" t="n">
        <f aca="false"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8" t="e">
        <f aca="false">VLOOKUP(A138,'Données projet'!$A$269:$I$289,2,0)</f>
        <v>#N/A</v>
      </c>
      <c r="GS138" s="118" t="e">
        <f aca="false">VLOOKUP(A138,'Données projet'!$A$269:$I$289,9,0)</f>
        <v>#N/A</v>
      </c>
      <c r="GT138" s="118" t="e">
        <f aca="false" t="array" ref="GT138:GT138">INDEX(GS:GS,MIN(IF(ISNUMBER(GS138:GS334),ROW(GS138:GS334),"")))</f>
        <v>#N/A</v>
      </c>
      <c r="GU138" s="118" t="n">
        <f aca="false">IF('Données projet'!$A$270&gt;35,GU137+GT138-HC137,IF(A138&lt;'Données projet'!$A$270,$GR$205^A138,IF(A138='Données projet'!$A$270,'Données projet'!$B$270,GU137+GT138-HC137)))</f>
        <v>0</v>
      </c>
      <c r="GV138" s="125" t="e">
        <f aca="false">GU138*VLOOKUP('Données projet'!$B$18,Paramètres!$A$1:$I$89,3,0)*VLOOKUP('Données projet'!$B$18,Paramètres!$A$1:$I$89,5,0)</f>
        <v>#N/A</v>
      </c>
      <c r="GW138" s="117" t="e">
        <f aca="false">EXP(-1.0587+0.8836*LN(GV138)+0.284)</f>
        <v>#N/A</v>
      </c>
      <c r="GX138" s="128" t="e">
        <f aca="false">(GV138+GW138)*0.475*44/12</f>
        <v>#N/A</v>
      </c>
      <c r="GY138" s="120" t="e">
        <f aca="false">GX138+(GP138+GQ138)*44/12</f>
        <v>#N/A</v>
      </c>
      <c r="GZ138" s="120" t="e">
        <f aca="true">AVERAGE(OFFSET($GY$3,0,0,'Données projet'!$E$18+1,1))-AVERAGE(OFFSET($H$3,0,0,'Données projet'!$E$18+1,1))</f>
        <v>#N/A</v>
      </c>
      <c r="HA138" s="120" t="e">
        <f aca="false">$HA$3</f>
        <v>#N/A</v>
      </c>
      <c r="HB138" s="121" t="n">
        <f aca="false">IF(ISNA(VLOOKUP(A138,'Données projet'!$A$269:$I$289,3,0)),0,VLOOKUP(A138,'Données projet'!$A$269:$I$289,3,0))</f>
        <v>0</v>
      </c>
      <c r="HC138" s="121" t="n">
        <f aca="false">IF(ISNA(VLOOKUP(A138,'Données projet'!$A$269:$I$289,4,0)),0,VLOOKUP(A138,'Données projet'!$A$269:$I$289,4,0))</f>
        <v>0</v>
      </c>
      <c r="HD138" s="122" t="n">
        <f aca="false">IF(ISNA(VLOOKUP(A138,'Données projet'!$A$269:$I$289,5,0)),0%,VLOOKUP(A138,'Données projet'!$A$269:$I$289,5,0)*VLOOKUP('Données projet'!$B$18,Paramètres!$A$1:$I$89,7,0))</f>
        <v>0</v>
      </c>
      <c r="HE138" s="122" t="n">
        <f aca="false">IF(ISNA(VLOOKUP(A138,'Données projet'!$A$269:$I$289,6,0)),0%,VLOOKUP(A138,'Données projet'!$A$269:$I$289,6,0)*VLOOKUP('Données projet'!$B$18,Paramètres!$A$1:$I$89,7,0))</f>
        <v>0</v>
      </c>
      <c r="HF138" s="122" t="n">
        <f aca="false">IF(ISNA(VLOOKUP(A138,'Données projet'!$A$269:$I$289,7,0)),0%,VLOOKUP(A138,'Données projet'!$A$269:$I$289,7,0))</f>
        <v>0</v>
      </c>
      <c r="HG138" s="129" t="e">
        <f aca="false">EXP(-LN(2)/35)*HG137+(1-EXP(-LN(2)/35))/(LN(2)/35)*HC138*HD138*VLOOKUP('Données projet'!$B$18,Paramètres!$A$1:$I$89,3,0)*0.475*44/12</f>
        <v>#N/A</v>
      </c>
      <c r="HH138" s="129" t="e">
        <f aca="false">EXP(-LN(2)/25)*HH137+(1-EXP(-LN(2)/25))/(LN(2)/25)*Calculateur!HC138*Calculateur!HE138*VLOOKUP('Données projet'!$B$18,Paramètres!$A$1:$I$89,3,0)*0.475*44/12</f>
        <v>#N/A</v>
      </c>
      <c r="HI138" s="129" t="e">
        <f aca="false">EXP(-LN(2)/2)*HI137+(1-EXP(-LN(2)/2))/(LN(2)/2)*HC138*HF138*VLOOKUP('Données projet'!$B$18,Paramètres!$A$1:$I$89,3,0)*0.475*44/12</f>
        <v>#N/A</v>
      </c>
      <c r="HJ138" s="130" t="e">
        <f aca="false">SUM(HG138:HI138)</f>
        <v>#N/A</v>
      </c>
    </row>
    <row r="139" customFormat="false" ht="14.25" hidden="false" customHeight="false" outlineLevel="0" collapsed="false">
      <c r="A139" s="112" t="n">
        <f aca="false">A138+1</f>
        <v>136</v>
      </c>
      <c r="B139" s="113" t="n">
        <f aca="false">'Scénario référence'!$B$16*5+'Scénario référence'!$B$17*0+'Scénario référence'!$B$18*5</f>
        <v>0</v>
      </c>
      <c r="C139" s="127" t="n">
        <f aca="false"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4" t="n">
        <f aca="false">IFERROR(EXP(-1.0587+0.8836*LN(C139)+0.284),0)</f>
        <v>0</v>
      </c>
      <c r="E13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39" s="114" t="n">
        <f aca="false">IF(OR('Scénario référence'!$F$8&gt;0,'Scénario référence'!$F$9&gt;0),('Scénario référence'!$F$8+'Scénario référence'!$F$9)*10,0)</f>
        <v>0</v>
      </c>
      <c r="G139" s="114" t="n">
        <f aca="false"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15" t="n">
        <f aca="false">(B139+E139+F139)*44/12+(C139+D139)*0.475*44/12</f>
        <v>256.666666666667</v>
      </c>
      <c r="I139" s="11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7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8" t="e">
        <f aca="false">VLOOKUP(A139,'Données projet'!$A$35:$I$55,2,0)</f>
        <v>#N/A</v>
      </c>
      <c r="L139" s="118" t="e">
        <f aca="false">VLOOKUP(A139,'Données projet'!$A$35:$I$55,9,0)</f>
        <v>#N/A</v>
      </c>
      <c r="M139" s="118" t="e">
        <f aca="false" t="array" ref="M139:M139">INDEX(L:L,MIN(IF(ISNUMBER(L139:L335),ROW(L139:L335),"")))</f>
        <v>#N/A</v>
      </c>
      <c r="N139" s="117" t="n">
        <f aca="false">IF('Données projet'!$A$36&gt;35,N138+M139-V138,IF(A139&lt;'Données projet'!$A$36,$K$205^A139,IF(A139='Données projet'!$A$36,'Données projet'!$B$36,N138+M139-V138)))</f>
        <v>-1.13686837721616E-013</v>
      </c>
      <c r="O139" s="117" t="n">
        <f aca="false">N139*VLOOKUP('Données projet'!$B$9,Paramètres!$A$1:$I$89,3,0)*VLOOKUP('Données projet'!$B$9,Paramètres!$A$1:$I$89,5,0)</f>
        <v>-5.32054400537163E-014</v>
      </c>
      <c r="P139" s="117" t="e">
        <f aca="false">EXP(-1.0587+0.8836*LN(O139)+0.284)</f>
        <v>#VALUE!</v>
      </c>
      <c r="Q139" s="128" t="e">
        <f aca="false">(O139+P139)*0.475*44/12</f>
        <v>#VALUE!</v>
      </c>
      <c r="R139" s="120" t="e">
        <f aca="false">Q139+(I139+J139)*44/12</f>
        <v>#VALUE!</v>
      </c>
      <c r="S139" s="120" t="n">
        <f aca="true">AVERAGE(OFFSET($R$3,0,0,'Données projet'!$E$9+1,1))-AVERAGE(OFFSET($H$3,0,0,'Données projet'!$E$9+1,1))</f>
        <v>319.229030946746</v>
      </c>
      <c r="T139" s="120" t="n">
        <f aca="false">$T$3</f>
        <v>254.586909731428</v>
      </c>
      <c r="U139" s="121" t="n">
        <f aca="false">IF(ISNA(VLOOKUP(A139,'Données projet'!$A$35:$I$55,3,0)),0,VLOOKUP(A139,'Données projet'!$A$35:$I$55,3,0))</f>
        <v>0</v>
      </c>
      <c r="V139" s="121" t="n">
        <f aca="false">IF(ISNA(VLOOKUP(A139,'Données projet'!$A$35:$I$55,4,0)),0,VLOOKUP(A139,'Données projet'!$A$35:$I$55,4,0))</f>
        <v>0</v>
      </c>
      <c r="W139" s="122" t="n">
        <f aca="false">IF(ISNA(VLOOKUP(A139,'Données projet'!$A$35:$I$55,5,0)),0%,VLOOKUP(A139,'Données projet'!$A$35:$I$55,5,0)*VLOOKUP('Données projet'!$B$9,Paramètres!$A$1:$I$89,7,0))</f>
        <v>0</v>
      </c>
      <c r="X139" s="122" t="n">
        <f aca="false">IF(ISNA(VLOOKUP(A139,'Données projet'!$A$35:$I$55,6,0)),0%,VLOOKUP(A139,'Données projet'!$A$35:$I$55,6,0)*VLOOKUP('Données projet'!$B$9,Paramètres!$A$1:$I$89,7,0))</f>
        <v>0</v>
      </c>
      <c r="Y139" s="122" t="n">
        <f aca="false">IF(ISNA(VLOOKUP(A139,'Données projet'!$A$35:$I$55,7,0)),0%,VLOOKUP(A139,'Données projet'!$A$35:$I$55,7,0))</f>
        <v>0</v>
      </c>
      <c r="Z139" s="129" t="n">
        <f aca="false">EXP(-LN(2)/35)*Z138+(1-EXP(-LN(2)/35))/(LN(2)/35)*V139*W139*VLOOKUP('Données projet'!$B$9,Paramètres!$A$1:$I$89,3,0)*0.475*44/12</f>
        <v>1.11227362917455</v>
      </c>
      <c r="AA139" s="129" t="n">
        <f aca="false">EXP(-LN(2)/25)*AA138+(1-EXP(-LN(2)/25))/(LN(2)/25)*Calculateur!V139*Calculateur!X139*VLOOKUP('Données projet'!$B$9,Paramètres!$A$1:$I$89,3,0)*0.475*44/12</f>
        <v>0.59014550750848</v>
      </c>
      <c r="AB139" s="129" t="n">
        <f aca="false">EXP(-LN(2)/2)*AB138+(1-EXP(-LN(2)/2))/(LN(2)/2)*V139*Y139*VLOOKUP('Données projet'!$B$9,Paramètres!$A$1:$I$89,3,0)*0.475*44/12</f>
        <v>1.22603356840206E-015</v>
      </c>
      <c r="AC139" s="130" t="n">
        <f aca="false">SUM(Z139:AB139)</f>
        <v>1.70241913668303</v>
      </c>
      <c r="AD139" s="117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7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8" t="e">
        <f aca="false">VLOOKUP(A139,'Données projet'!$A$61:$I$81,2,0)</f>
        <v>#N/A</v>
      </c>
      <c r="AG139" s="118" t="e">
        <f aca="false">VLOOKUP(A139,'Données projet'!$A$61:$I$81,9,0)</f>
        <v>#N/A</v>
      </c>
      <c r="AH139" s="118" t="e">
        <f aca="false" t="array" ref="AH139:AH139">INDEX(AG:AG,MIN(IF(ISNUMBER(AG139:AG335),ROW(AG139:AG335),"")))</f>
        <v>#N/A</v>
      </c>
      <c r="AI139" s="117" t="n">
        <f aca="false">IF('Données projet'!$A$62&gt;35,AI138+AH139-AQ138,IF(A139&lt;'Données projet'!$A$62,$AF$205^A139,IF(A139='Données projet'!$A$62,'Données projet'!$B$62,AI138+AH139-AQ138)))</f>
        <v>1.13686837721616E-013</v>
      </c>
      <c r="AJ139" s="117" t="n">
        <f aca="false">AI139*VLOOKUP('Données projet'!$B$10,Paramètres!$A$1:$I$89,3,0)*VLOOKUP('Données projet'!$B$10,Paramètres!$A$1:$I$89,5,0)</f>
        <v>6.35509422863834E-014</v>
      </c>
      <c r="AK139" s="117" t="n">
        <f aca="false">EXP(-1.0587+0.8836*LN(AJ139)+0.284)</f>
        <v>1.0064464192544E-012</v>
      </c>
      <c r="AL139" s="128" t="n">
        <f aca="false">(AJ139+AK139)*0.475*44/12</f>
        <v>1.86357873801686E-012</v>
      </c>
      <c r="AM139" s="120" t="n">
        <f aca="false">AL139+(AD139+AE139)*44/12</f>
        <v>293.333333333335</v>
      </c>
      <c r="AN139" s="120" t="n">
        <f aca="true">AVERAGE(OFFSET($AM$3,0,0,'Données projet'!$E$10+1,1))-AVERAGE(OFFSET($H$3,0,0,'Données projet'!$E$10+1,1))</f>
        <v>365.705101827279</v>
      </c>
      <c r="AO139" s="120" t="n">
        <f aca="false">$AO$3</f>
        <v>436.238338449625</v>
      </c>
      <c r="AP139" s="121" t="n">
        <f aca="false">IF(ISNA(VLOOKUP(A139,'Données projet'!$A$61:$I$81,3,0)),0,VLOOKUP(A139,'Données projet'!$A$61:$I$81,3,0))</f>
        <v>0</v>
      </c>
      <c r="AQ139" s="121" t="n">
        <f aca="false">IF(ISNA(VLOOKUP(A139,'Données projet'!$A$61:$I$81,4,0)),0,VLOOKUP(A139,'Données projet'!$A$61:$I$81,4,0))</f>
        <v>0</v>
      </c>
      <c r="AR139" s="122" t="n">
        <f aca="false">IF(ISNA(VLOOKUP(A139,'Données projet'!$A$61:$I$81,5,0)),0%,VLOOKUP(A139,'Données projet'!$A$61:$I$81,5,0)*VLOOKUP('Données projet'!$B$10,Paramètres!$A$1:$I$89,7,0))</f>
        <v>0</v>
      </c>
      <c r="AS139" s="122" t="n">
        <f aca="false">IF(ISNA(VLOOKUP(A139,'Données projet'!$A$61:$I$81,6,0)),0%,VLOOKUP(A139,'Données projet'!$A$61:$I$81,6,0)*VLOOKUP('Données projet'!$B$10,Paramètres!$A$1:$I$89,7,0))</f>
        <v>0</v>
      </c>
      <c r="AT139" s="122" t="n">
        <f aca="false">IF(ISNA(VLOOKUP(A139,'Données projet'!$A$61:$I$81,7,0)),0%,VLOOKUP(A139,'Données projet'!$A$61:$I$81,7,0))</f>
        <v>0</v>
      </c>
      <c r="AU139" s="129" t="n">
        <f aca="false">EXP(-LN(2)/35)*AU138+(1-EXP(-LN(2)/35))/(LN(2)/35)*AQ139*AR139*VLOOKUP('Données projet'!$B$10,Paramètres!$A$1:$I$89,3,0)*0.475*44/12</f>
        <v>0.419847233534403</v>
      </c>
      <c r="AV139" s="129" t="n">
        <f aca="false">EXP(-LN(2)/25)*AV138+(1-EXP(-LN(2)/25))/(LN(2)/25)*Calculateur!AQ139*Calculateur!AS139*VLOOKUP('Données projet'!$B$10,Paramètres!$A$1:$I$89,3,0)*0.475*44/12</f>
        <v>0.698995444548843</v>
      </c>
      <c r="AW139" s="129" t="n">
        <f aca="false">EXP(-LN(2)/2)*AW138+(1-EXP(-LN(2)/2))/(LN(2)/2)*AQ139*AT139*VLOOKUP('Données projet'!$B$10,Paramètres!$A$1:$I$89,3,0)*0.475*44/12</f>
        <v>6.59812947131998E-016</v>
      </c>
      <c r="AX139" s="129" t="n">
        <f aca="false">SUM(AU139:AW139)</f>
        <v>1.11884267808325</v>
      </c>
      <c r="AY139" s="124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8" t="e">
        <f aca="false">VLOOKUP(A139,'Données projet'!$A$87:$I$107,2,0)</f>
        <v>#N/A</v>
      </c>
      <c r="BB139" s="118" t="e">
        <f aca="false">VLOOKUP(A139,'Données projet'!$A$87:$I$107,9,0)</f>
        <v>#N/A</v>
      </c>
      <c r="BC139" s="118" t="e">
        <f aca="false" t="array" ref="BC139:BC139">INDEX(BB:BB,MIN(IF(ISNUMBER(BB139:BB335),ROW(BB139:BB335),"")))</f>
        <v>#N/A</v>
      </c>
      <c r="BD139" s="118" t="n">
        <f aca="false">IF('Données projet'!$A$88&gt;35,BD138+BC139-BL138,IF(A139&lt;'Données projet'!$A$88,$BA$205^A139,IF(A139='Données projet'!$A$88,'Données projet'!$B$88,BD138+BC139-BL138)))</f>
        <v>1.98951966012828E-013</v>
      </c>
      <c r="BE139" s="117" t="n">
        <f aca="false">BD139*VLOOKUP('Données projet'!$B$11,Paramètres!$A$1:$I$89,3,0)*VLOOKUP('Données projet'!$B$11,Paramètres!$A$1:$I$89,5,0)</f>
        <v>1.73804437508807E-013</v>
      </c>
      <c r="BF139" s="117" t="n">
        <f aca="false">EXP(-1.0587+0.8836*LN(BE139)+0.284)</f>
        <v>2.44832936339505E-012</v>
      </c>
      <c r="BG139" s="128" t="n">
        <f aca="false">(BE139+BF139)*0.475*44/12</f>
        <v>4.56688303657421E-012</v>
      </c>
      <c r="BH139" s="120" t="n">
        <f aca="false">BG139+(AY139+AZ139)*44/12</f>
        <v>293.333333333338</v>
      </c>
      <c r="BI139" s="120" t="n">
        <f aca="true">AVERAGE(OFFSET($BH$3,0,0,'Données projet'!$E$11+1,1))-AVERAGE(OFFSET($H$3,0,0,'Données projet'!$E$11+1,1))</f>
        <v>321.235999689929</v>
      </c>
      <c r="BJ139" s="120" t="n">
        <f aca="false">$BJ$3</f>
        <v>388.051958478005</v>
      </c>
      <c r="BK139" s="121" t="n">
        <f aca="false">IF(ISNA(VLOOKUP(A139,'Données projet'!$A$87:$I$107,3,0)),0,VLOOKUP(A139,'Données projet'!$A$87:$I$107,3,0))</f>
        <v>0</v>
      </c>
      <c r="BL139" s="121" t="n">
        <f aca="false">IF(ISNA(VLOOKUP(A139,'Données projet'!$A$87:$I$107,4,0)),0,VLOOKUP(A139,'Données projet'!$A$87:$I$107,4,0))</f>
        <v>0</v>
      </c>
      <c r="BM139" s="122" t="n">
        <f aca="false">IF(ISNA(VLOOKUP(A139,'Données projet'!$A$87:$I$107,5,0)),0%,VLOOKUP(A139,'Données projet'!$A$87:$I$107,5,0)*VLOOKUP('Données projet'!$B$11,Paramètres!$A$1:$I$89,7,0))</f>
        <v>0</v>
      </c>
      <c r="BN139" s="122" t="n">
        <f aca="false">IF(ISNA(VLOOKUP(A139,'Données projet'!$A$87:$I$107,6,0)),0%,VLOOKUP(A139,'Données projet'!$A$87:$I$107,6,0)*VLOOKUP('Données projet'!$B$11,Paramètres!$A$1:$I$89,7,0))</f>
        <v>0</v>
      </c>
      <c r="BO139" s="122" t="n">
        <f aca="false">IF(ISNA(VLOOKUP(A139,'Données projet'!$A$87:$I$107,7,0)),0%,VLOOKUP(A139,'Données projet'!$A$87:$I$107,7,0))</f>
        <v>0</v>
      </c>
      <c r="BP139" s="129" t="n">
        <f aca="false">EXP(-LN(2)/35)*BP138+(1-EXP(-LN(2)/35))/(LN(2)/35)*BL139*BM139*VLOOKUP('Données projet'!$B$11,Paramètres!$A$1:$I$89,3,0)*0.475*44/12</f>
        <v>1.05407742906894</v>
      </c>
      <c r="BQ139" s="129" t="n">
        <f aca="false">EXP(-LN(2)/25)*BQ138+(1-EXP(-LN(2)/25))/(LN(2)/25)*Calculateur!BL139*Calculateur!BN139*VLOOKUP('Données projet'!$B$11,Paramètres!$A$1:$I$89,3,0)*0.475*44/12</f>
        <v>0.713493032032974</v>
      </c>
      <c r="BR139" s="129" t="n">
        <f aca="false">EXP(-LN(2)/2)*BR138+(1-EXP(-LN(2)/2))/(LN(2)/2)*BL139*BO139*VLOOKUP('Données projet'!$B$11,Paramètres!$A$1:$I$89,3,0)*0.475*44/12</f>
        <v>6.7068614631957E-016</v>
      </c>
      <c r="BS139" s="130" t="n">
        <f aca="false">SUM(BP139:BR139)</f>
        <v>1.76757046110192</v>
      </c>
      <c r="BT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8" t="e">
        <f aca="false">VLOOKUP(A139,'Données projet'!$A$113:$I$133,2,0)</f>
        <v>#N/A</v>
      </c>
      <c r="BW139" s="118" t="e">
        <f aca="false">VLOOKUP(A139,'Données projet'!$A$113:$I$133,9,0)</f>
        <v>#N/A</v>
      </c>
      <c r="BX139" s="118" t="e">
        <f aca="false" t="array" ref="BX139:BX139">INDEX(BW:BW,MIN(IF(ISNUMBER(BW139:BW335),ROW(BW139:BW335),"")))</f>
        <v>#N/A</v>
      </c>
      <c r="BY139" s="118" t="n">
        <f aca="false">IF('Données projet'!$A$114&gt;35,BY138+BX139-CG138,IF(A139&lt;'Données projet'!$A$114,$BV$205^A139,IF(A139='Données projet'!$A$114,'Données projet'!$B$114,BY138+BX139-CG138)))</f>
        <v>0</v>
      </c>
      <c r="BZ139" s="117" t="n">
        <f aca="false">BY139*VLOOKUP('Données projet'!$B$12,Paramètres!$A$1:$I$89,3,0)*VLOOKUP('Données projet'!$B$12,Paramètres!$A$1:$I$89,5,0)</f>
        <v>0</v>
      </c>
      <c r="CA139" s="117" t="e">
        <f aca="false">EXP(-1.0587+0.8836*LN(BZ139)+0.284)</f>
        <v>#VALUE!</v>
      </c>
      <c r="CB139" s="128" t="e">
        <f aca="false">(BZ139+CA139)*0.475*44/12</f>
        <v>#VALUE!</v>
      </c>
      <c r="CC139" s="120" t="e">
        <f aca="false">CB139+(BT139+BU139)*44/12</f>
        <v>#VALUE!</v>
      </c>
      <c r="CD139" s="120" t="n">
        <f aca="true">AVERAGE(OFFSET($CC$3,0,0,'Données projet'!$E$12+1,1))-AVERAGE(OFFSET($H$3,0,0,'Données projet'!$E$12+1,1))</f>
        <v>240.228848647662</v>
      </c>
      <c r="CE139" s="120" t="n">
        <f aca="false">$CE$3</f>
        <v>343.237768841432</v>
      </c>
      <c r="CF139" s="121" t="n">
        <f aca="false">IF(ISNA(VLOOKUP(A139,'Données projet'!$A$113:$I$133,3,0)),0,VLOOKUP(A139,'Données projet'!$A$113:$I$133,3,0))</f>
        <v>0</v>
      </c>
      <c r="CG139" s="121" t="n">
        <f aca="false">IF(ISNA(VLOOKUP(A139,'Données projet'!$A$113:$I$133,4,0)),0,VLOOKUP(A139,'Données projet'!$A$113:$I$133,4,0))</f>
        <v>0</v>
      </c>
      <c r="CH139" s="122" t="n">
        <f aca="false">IF(ISNA(VLOOKUP(A139,'Données projet'!$A$113:$I$133,5,0)),0%,VLOOKUP(A139,'Données projet'!$A$113:$I$133,5,0)*VLOOKUP('Données projet'!$B$12,Paramètres!$A$1:$I$89,7,0))</f>
        <v>0</v>
      </c>
      <c r="CI139" s="122" t="n">
        <f aca="false">IF(ISNA(VLOOKUP(A139,'Données projet'!$A$113:$I$133,6,0)),0%,VLOOKUP(A139,'Données projet'!$A$113:$I$133,6,0)*VLOOKUP('Données projet'!$B$12,Paramètres!$A$1:$I$89,7,0))</f>
        <v>0</v>
      </c>
      <c r="CJ139" s="122" t="n">
        <f aca="false">IF(ISNA(VLOOKUP(A139,'Données projet'!$A$113:$I$133,7,0)),0%,VLOOKUP(A139,'Données projet'!$A$113:$I$133,7,0))</f>
        <v>0</v>
      </c>
      <c r="CK139" s="129" t="n">
        <f aca="false">EXP(-LN(2)/35)*CK138+(1-EXP(-LN(2)/35))/(LN(2)/35)*CG139*CH139*VLOOKUP('Données projet'!$B$12,Paramètres!$A$1:$I$89,3,0)*0.475*44/12</f>
        <v>0.645177506560871</v>
      </c>
      <c r="CL139" s="129" t="n">
        <f aca="false">EXP(-LN(2)/25)*CL138+(1-EXP(-LN(2)/25))/(LN(2)/25)*Calculateur!CG139*Calculateur!CI139*VLOOKUP('Données projet'!$B$12,Paramètres!$A$1:$I$89,3,0)*0.475*44/12</f>
        <v>1.260069998601</v>
      </c>
      <c r="CM139" s="129" t="n">
        <f aca="false">EXP(-LN(2)/2)*CM138+(1-EXP(-LN(2)/2))/(LN(2)/2)*CG139*CJ139*VLOOKUP('Données projet'!$B$12,Paramètres!$A$1:$I$89,3,0)*0.475*44/12</f>
        <v>1.07023628470191E-015</v>
      </c>
      <c r="CN139" s="130" t="n">
        <f aca="false">SUM(CK139:CM139)</f>
        <v>1.90524750516188</v>
      </c>
      <c r="CO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8" t="e">
        <f aca="false">VLOOKUP(A139,'Données projet'!$A$139:$I$159,2,0)</f>
        <v>#N/A</v>
      </c>
      <c r="CR139" s="118" t="e">
        <f aca="false">VLOOKUP(A139,'Données projet'!$A$139:$I$159,9,0)</f>
        <v>#N/A</v>
      </c>
      <c r="CS139" s="118" t="e">
        <f aca="false" t="array" ref="CS139:CS139">INDEX(CR:CR,MIN(IF(ISNUMBER(CR139:CR335),ROW(CR139:CR335),"")))</f>
        <v>#N/A</v>
      </c>
      <c r="CT139" s="118" t="n">
        <f aca="false">IF('Données projet'!$A$140&gt;35,CT138+CS139-DB138,IF(A139&lt;'Données projet'!$A$140,$CQ$205^A139,IF(A139='Données projet'!$A$140,'Données projet'!$B$140,CT138+CS139-DB138)))</f>
        <v>-5.6843418860808E-014</v>
      </c>
      <c r="CU139" s="125" t="n">
        <f aca="false">CT139*VLOOKUP('Données projet'!$B$13,Paramètres!$A$1:$I$89,3,0)*VLOOKUP('Données projet'!$B$13,Paramètres!$A$1:$I$89,5,0)</f>
        <v>-3.10365066980012E-014</v>
      </c>
      <c r="CV139" s="117" t="e">
        <f aca="false">EXP(-1.0587+0.8836*LN(CU139)+0.284)</f>
        <v>#VALUE!</v>
      </c>
      <c r="CW139" s="128" t="e">
        <f aca="false">(CU139+CV139)*0.475*44/12</f>
        <v>#VALUE!</v>
      </c>
      <c r="CX139" s="120" t="e">
        <f aca="false">CW139+(CO139+CP139)*44/12</f>
        <v>#VALUE!</v>
      </c>
      <c r="CY139" s="120" t="n">
        <f aca="true">AVERAGE(OFFSET($CX$3,0,0,'Données projet'!$E$13+1,1))-AVERAGE(OFFSET($H$3,0,0,'Données projet'!$E$13+1,1))</f>
        <v>207.023069645676</v>
      </c>
      <c r="CZ139" s="120" t="n">
        <f aca="false">$CZ$3</f>
        <v>342.068879333518</v>
      </c>
      <c r="DA139" s="121" t="n">
        <f aca="false">IF(ISNA(VLOOKUP(A139,'Données projet'!$A$139:$I$159,3,0)),0,VLOOKUP(A139,'Données projet'!$A$139:$I$159,3,0))</f>
        <v>0</v>
      </c>
      <c r="DB139" s="121" t="n">
        <f aca="false">IF(ISNA(VLOOKUP(A139,'Données projet'!$A$139:$I$159,4,0)),0,VLOOKUP(A139,'Données projet'!$A$139:$I$159,4,0))</f>
        <v>0</v>
      </c>
      <c r="DC139" s="122" t="n">
        <f aca="false">IF(ISNA(VLOOKUP(A139,'Données projet'!$A$139:$I$159,5,0)),0%,VLOOKUP(A139,'Données projet'!$A$139:$I$159,5,0)*VLOOKUP('Données projet'!$B$13,Paramètres!$A$1:$I$89,7,0))</f>
        <v>0</v>
      </c>
      <c r="DD139" s="122" t="n">
        <f aca="false">IF(ISNA(VLOOKUP(A139,'Données projet'!$A$139:$I$159,6,0)),0%,VLOOKUP(A139,'Données projet'!$A$139:$I$159,6,0)*VLOOKUP('Données projet'!$B$13,Paramètres!$A$1:$I$89,7,0))</f>
        <v>0</v>
      </c>
      <c r="DE139" s="122" t="n">
        <f aca="false">IF(ISNA(VLOOKUP(A139,'Données projet'!$A$139:$I$159,7,0)),0%,VLOOKUP(A139,'Données projet'!$A$139:$I$159,7,0))</f>
        <v>0</v>
      </c>
      <c r="DF139" s="129" t="n">
        <f aca="false">EXP(-LN(2)/35)*DF138+(1-EXP(-LN(2)/35))/(LN(2)/35)*DB139*DC139*VLOOKUP('Données projet'!$B$13,Paramètres!$A$1:$I$89,3,0)*0.475*44/12</f>
        <v>0.809515173326376</v>
      </c>
      <c r="DG139" s="129" t="n">
        <f aca="false">EXP(-LN(2)/25)*DG138+(1-EXP(-LN(2)/25))/(LN(2)/25)*Calculateur!DB139*Calculateur!DD139*VLOOKUP('Données projet'!$B$13,Paramètres!$A$1:$I$89,3,0)*0.475*44/12</f>
        <v>2.05968964263759</v>
      </c>
      <c r="DH139" s="129" t="n">
        <f aca="false">EXP(-LN(2)/2)*DH138+(1-EXP(-LN(2)/2))/(LN(2)/2)*DB139*DE139*VLOOKUP('Données projet'!$B$13,Paramètres!$A$1:$I$89,3,0)*0.475*44/12</f>
        <v>1.47371586022303E-015</v>
      </c>
      <c r="DI139" s="130" t="n">
        <f aca="false">SUM(DF139:DH139)</f>
        <v>2.86920481596397</v>
      </c>
      <c r="DJ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8" t="e">
        <f aca="false">VLOOKUP(A139,'Données projet'!$A$165:$I$185,2,0)</f>
        <v>#N/A</v>
      </c>
      <c r="DM139" s="118" t="e">
        <f aca="false">VLOOKUP(A139,'Données projet'!$A$165:$I$185,9,0)</f>
        <v>#N/A</v>
      </c>
      <c r="DN139" s="118" t="e">
        <f aca="false" t="array" ref="DN139:DN139">INDEX(DM:DM,MIN(IF(ISNUMBER(DM139:DM335),ROW(DM139:DM335),"")))</f>
        <v>#N/A</v>
      </c>
      <c r="DO139" s="118" t="n">
        <f aca="false">IF('Données projet'!$A$166&gt;35,DO138+DN139-DW138,IF(A139&lt;'Données projet'!$A$166,$DL$205^A139,IF(A139='Données projet'!$A$166,'Données projet'!$B$166,DO138+DN139-DW138)))</f>
        <v>0</v>
      </c>
      <c r="DP139" s="125" t="n">
        <f aca="false">DO139*VLOOKUP('Données projet'!$B$14,Paramètres!$A$1:$I$89,3,0)*VLOOKUP('Données projet'!$B$14,Paramètres!$A$1:$I$89,5,0)</f>
        <v>0</v>
      </c>
      <c r="DQ139" s="117" t="e">
        <f aca="false">EXP(-1.0587+0.8836*LN(DP139)+0.284)</f>
        <v>#VALUE!</v>
      </c>
      <c r="DR139" s="128" t="e">
        <f aca="false">(DP139+DQ139)*0.475*44/12</f>
        <v>#VALUE!</v>
      </c>
      <c r="DS139" s="120" t="e">
        <f aca="false">DR139+(DJ139+DK139)*44/12</f>
        <v>#VALUE!</v>
      </c>
      <c r="DT139" s="120" t="n">
        <f aca="true">AVERAGE(OFFSET($DS$3,0,0,'Données projet'!$E$14+1,1))-AVERAGE(OFFSET($H$3,0,0,'Données projet'!$E$14+1,1))</f>
        <v>549.432320957297</v>
      </c>
      <c r="DU139" s="120" t="n">
        <f aca="false">$DU$3</f>
        <v>280.26155987301</v>
      </c>
      <c r="DV139" s="121" t="n">
        <f aca="false">IF(ISNA(VLOOKUP(A139,'Données projet'!$A$165:$I$185,3,0)),0,VLOOKUP(A139,'Données projet'!$A$165:$I$185,3,0))</f>
        <v>0</v>
      </c>
      <c r="DW139" s="121" t="n">
        <f aca="false">IF(ISNA(VLOOKUP(A139,'Données projet'!$A$165:$I$185,4,0)),0,VLOOKUP(A139,'Données projet'!$A$165:$I$185,4,0))</f>
        <v>0</v>
      </c>
      <c r="DX139" s="122" t="n">
        <f aca="false">IF(ISNA(VLOOKUP(A139,'Données projet'!$A$165:$I$185,5,0)),0%,VLOOKUP(A139,'Données projet'!$A$165:$I$185,5,0)*VLOOKUP('Données projet'!$B$14,Paramètres!$A$1:$I$89,7,0))</f>
        <v>0</v>
      </c>
      <c r="DY139" s="122" t="n">
        <f aca="false">IF(ISNA(VLOOKUP(A139,'Données projet'!$A$165:$I$185,6,0)),0%,VLOOKUP(A139,'Données projet'!$A$165:$I$185,6,0)*VLOOKUP('Données projet'!$B$14,Paramètres!$A$1:$I$89,7,0))</f>
        <v>0</v>
      </c>
      <c r="DZ139" s="122" t="n">
        <f aca="false">IF(ISNA(VLOOKUP(A139,'Données projet'!$A$165:$I$185,7,0)),0%,VLOOKUP(A139,'Données projet'!$A$165:$I$185,7,0))</f>
        <v>0</v>
      </c>
      <c r="EA139" s="129" t="n">
        <f aca="false">EXP(-LN(2)/35)*EA138+(1-EXP(-LN(2)/35))/(LN(2)/35)*DW139*DX139*VLOOKUP('Données projet'!$B$14,Paramètres!$A$1:$I$89,3,0)*0.475*44/12</f>
        <v>0.29433881437658</v>
      </c>
      <c r="EB139" s="129" t="n">
        <f aca="false">EXP(-LN(2)/25)*EB138+(1-EXP(-LN(2)/25))/(LN(2)/25)*Calculateur!DW139*Calculateur!DY139*VLOOKUP('Données projet'!$B$14,Paramètres!$A$1:$I$89,3,0)*0.475*44/12</f>
        <v>0.41033081377581</v>
      </c>
      <c r="EC139" s="129" t="n">
        <f aca="false">EXP(-LN(2)/2)*EC138+(1-EXP(-LN(2)/2))/(LN(2)/2)*DW139*DZ139*VLOOKUP('Données projet'!$B$14,Paramètres!$A$1:$I$89,3,0)*0.475*44/12</f>
        <v>6.79352633543515E-016</v>
      </c>
      <c r="ED139" s="130" t="n">
        <f aca="false">SUM(EA139:EC139)</f>
        <v>0.704669628152391</v>
      </c>
      <c r="EE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8" t="e">
        <f aca="false">VLOOKUP(A139,'Données projet'!$A$191:$I$211,2,0)</f>
        <v>#N/A</v>
      </c>
      <c r="EH139" s="118" t="e">
        <f aca="false">VLOOKUP(A139,'Données projet'!$A$191:$I$211,9,0)</f>
        <v>#N/A</v>
      </c>
      <c r="EI139" s="118" t="e">
        <f aca="false" t="array" ref="EI139:EI139">INDEX(EH:EH,MIN(IF(ISNUMBER(EH139:EH335),ROW(EH139:EH335),"")))</f>
        <v>#N/A</v>
      </c>
      <c r="EJ139" s="118" t="n">
        <f aca="false">IF('Données projet'!$A$192&gt;35,EJ138+EI139-ER138,IF(A139&lt;'Données projet'!$A$192,$EG$205^A139,IF(A139='Données projet'!$A$192,'Données projet'!$B$192,EJ138+EI139-ER138)))</f>
        <v>0</v>
      </c>
      <c r="EK139" s="125" t="e">
        <f aca="false">EJ139*VLOOKUP('Données projet'!$B$15,Paramètres!$A$1:$I$89,3,0)*VLOOKUP('Données projet'!$B$15,Paramètres!$A$1:$I$89,5,0)</f>
        <v>#N/A</v>
      </c>
      <c r="EL139" s="117" t="e">
        <f aca="false">EXP(-1.0587+0.8836*LN(EK139)+0.284)</f>
        <v>#N/A</v>
      </c>
      <c r="EM139" s="128" t="e">
        <f aca="false">(EK139+EL139)*0.475*44/12</f>
        <v>#N/A</v>
      </c>
      <c r="EN139" s="120" t="e">
        <f aca="false">EM139+(EE139+EF139)*44/12</f>
        <v>#N/A</v>
      </c>
      <c r="EO139" s="120" t="e">
        <f aca="true">AVERAGE(OFFSET($EN$3,0,0,'Données projet'!$E$15+1,1))-AVERAGE(OFFSET($H$3,0,0,'Données projet'!$E$15+1,1))</f>
        <v>#N/A</v>
      </c>
      <c r="EP139" s="120" t="e">
        <f aca="false">$EP$3</f>
        <v>#N/A</v>
      </c>
      <c r="EQ139" s="121" t="n">
        <f aca="false">IF(ISNA(VLOOKUP(A139,'Données projet'!$A$191:$I$211,3,0)),0,VLOOKUP(A139,'Données projet'!$A$191:$I$211,3,0))</f>
        <v>0</v>
      </c>
      <c r="ER139" s="121" t="n">
        <f aca="false">IF(ISNA(VLOOKUP(A139,'Données projet'!$A$191:$I$211,4,0)),0,VLOOKUP(A139,'Données projet'!$A$191:$I$211,4,0))</f>
        <v>0</v>
      </c>
      <c r="ES139" s="122" t="n">
        <f aca="false">IF(ISNA(VLOOKUP(A139,'Données projet'!$A$191:$I$211,5,0)),0%,VLOOKUP(A139,'Données projet'!$A$191:$I$211,5,0)*VLOOKUP('Données projet'!$B$15,Paramètres!$A$1:$I$89,7,0))</f>
        <v>0</v>
      </c>
      <c r="ET139" s="122" t="n">
        <f aca="false">IF(ISNA(VLOOKUP(A139,'Données projet'!$A$191:$I$211,6,0)),0%,VLOOKUP(A139,'Données projet'!$A$191:$I$211,6,0)*VLOOKUP('Données projet'!$B$15,Paramètres!$A$1:$I$89,7,0))</f>
        <v>0</v>
      </c>
      <c r="EU139" s="122" t="n">
        <f aca="false">IF(ISNA(VLOOKUP(A139,'Données projet'!$A$191:$I$211,7,0)),0%,VLOOKUP(A139,'Données projet'!$A$191:$I$211,7,0))</f>
        <v>0</v>
      </c>
      <c r="EV139" s="129" t="e">
        <f aca="false">EXP(-LN(2)/35)*EV138+(1-EXP(-LN(2)/35))/(LN(2)/35)*ER139*ES139*VLOOKUP('Données projet'!$B$15,Paramètres!$A$1:$I$89,3,0)*0.475*44/12</f>
        <v>#N/A</v>
      </c>
      <c r="EW139" s="129" t="e">
        <f aca="false">EXP(-LN(2)/25)*EW138+(1-EXP(-LN(2)/25))/(LN(2)/25)*Calculateur!ER139*Calculateur!ET139*VLOOKUP('Données projet'!$B$15,Paramètres!$A$1:$I$89,3,0)*0.475*44/12</f>
        <v>#N/A</v>
      </c>
      <c r="EX139" s="129" t="e">
        <f aca="false">EXP(-LN(2)/2)*EX138+(1-EXP(-LN(2)/2))/(LN(2)/2)*ER139*EU139*VLOOKUP('Données projet'!$B$15,Paramètres!$A$1:$I$89,3,0)*0.475*44/12</f>
        <v>#N/A</v>
      </c>
      <c r="EY139" s="130" t="e">
        <f aca="false">SUM(EV139:EX139)</f>
        <v>#N/A</v>
      </c>
      <c r="EZ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8" t="e">
        <f aca="false">VLOOKUP(A139,'Données projet'!$A$217:$I$237,2,0)</f>
        <v>#N/A</v>
      </c>
      <c r="FC139" s="118" t="e">
        <f aca="false">VLOOKUP(A139,'Données projet'!$A$217:$I$237,9,0)</f>
        <v>#N/A</v>
      </c>
      <c r="FD139" s="118" t="e">
        <f aca="false" t="array" ref="FD139:FD139">INDEX(FC:FC,MIN(IF(ISNUMBER(FC139:FC335),ROW(FC139:FC335),"")))</f>
        <v>#N/A</v>
      </c>
      <c r="FE139" s="118" t="n">
        <f aca="false">IF('Données projet'!$A$218&gt;35,FE138+FD139-FM138,IF(A139&lt;'Données projet'!$A$218,$FB$205^A139,IF(A139='Données projet'!$A$218,'Données projet'!$B$218,FE138+FD139-FM138)))</f>
        <v>0</v>
      </c>
      <c r="FF139" s="125" t="e">
        <f aca="false">FE139*VLOOKUP('Données projet'!$B$16,Paramètres!$A$1:$I$89,3,0)*VLOOKUP('Données projet'!$B$16,Paramètres!$A$1:$I$89,5,0)</f>
        <v>#N/A</v>
      </c>
      <c r="FG139" s="117" t="e">
        <f aca="false">EXP(-1.0587+0.8836*LN(FF139)+0.284)</f>
        <v>#N/A</v>
      </c>
      <c r="FH139" s="128" t="e">
        <f aca="false">(FF139+FG139)*0.475*44/12</f>
        <v>#N/A</v>
      </c>
      <c r="FI139" s="120" t="e">
        <f aca="false">FH139+(EZ139+FA139)*44/12</f>
        <v>#N/A</v>
      </c>
      <c r="FJ139" s="120" t="e">
        <f aca="true">AVERAGE(OFFSET($FI$3,0,0,'Données projet'!$E$16+1,1))-AVERAGE(OFFSET($H$3,0,0,'Données projet'!$E$16+1,1))</f>
        <v>#N/A</v>
      </c>
      <c r="FK139" s="120" t="e">
        <f aca="false">$FK$3</f>
        <v>#N/A</v>
      </c>
      <c r="FL139" s="121" t="n">
        <f aca="false">IF(ISNA(VLOOKUP(A139,'Données projet'!$A$217:$I$237,3,0)),0,VLOOKUP(A139,'Données projet'!$A$217:$I$237,3,0))</f>
        <v>0</v>
      </c>
      <c r="FM139" s="121" t="n">
        <f aca="false">IF(ISNA(VLOOKUP(A139,'Données projet'!$A$217:$I$237,4,0)),0,VLOOKUP(A139,'Données projet'!$A$217:$I$237,4,0))</f>
        <v>0</v>
      </c>
      <c r="FN139" s="122" t="n">
        <f aca="false">IF(ISNA(VLOOKUP(A139,'Données projet'!$A$217:$I$237,5,0)),0%,VLOOKUP(A139,'Données projet'!$A$217:$I$237,5,0)*VLOOKUP('Données projet'!$B$16,Paramètres!$A$1:$I$89,7,0))</f>
        <v>0</v>
      </c>
      <c r="FO139" s="122" t="n">
        <f aca="false">IF(ISNA(VLOOKUP(A139,'Données projet'!$A$217:$I$237,6,0)),0%,VLOOKUP(A139,'Données projet'!$A$217:$I$237,6,0)*VLOOKUP('Données projet'!$B$16,Paramètres!$A$1:$I$89,7,0))</f>
        <v>0</v>
      </c>
      <c r="FP139" s="122" t="n">
        <f aca="false">IF(ISNA(VLOOKUP(A139,'Données projet'!$A$217:$I$237,7,0)),0%,VLOOKUP(A139,'Données projet'!$A$217:$I$237,7,0))</f>
        <v>0</v>
      </c>
      <c r="FQ139" s="129" t="e">
        <f aca="false">EXP(-LN(2)/35)*FQ138+(1-EXP(-LN(2)/35))/(LN(2)/35)*FM139*FN139*VLOOKUP('Données projet'!$B$16,Paramètres!$A$1:$I$89,3,0)*0.475*44/12</f>
        <v>#N/A</v>
      </c>
      <c r="FR139" s="129" t="e">
        <f aca="false">EXP(-LN(2)/25)*FR138+(1-EXP(-LN(2)/25))/(LN(2)/25)*Calculateur!FM139*Calculateur!FO139*VLOOKUP('Données projet'!$B$16,Paramètres!$A$1:$I$89,3,0)*0.475*44/12</f>
        <v>#N/A</v>
      </c>
      <c r="FS139" s="129" t="e">
        <f aca="false">EXP(-LN(2)/2)*FS138+(1-EXP(-LN(2)/2))/(LN(2)/2)*FM139*FP139*VLOOKUP('Données projet'!$B$16,Paramètres!$A$1:$I$89,3,0)*0.475*44/12</f>
        <v>#N/A</v>
      </c>
      <c r="FT139" s="130" t="e">
        <f aca="false">SUM(FQ139:FS139)</f>
        <v>#N/A</v>
      </c>
      <c r="FU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8" t="e">
        <f aca="false">VLOOKUP(A139,'Données projet'!$A$243:$I$263,2,0)</f>
        <v>#N/A</v>
      </c>
      <c r="FX139" s="118" t="e">
        <f aca="false">VLOOKUP(A139,'Données projet'!$A$243:$I$263,9,0)</f>
        <v>#N/A</v>
      </c>
      <c r="FY139" s="118" t="e">
        <f aca="false" t="array" ref="FY139:FY139">INDEX(FX:FX,MIN(IF(ISNUMBER(FX139:FX335),ROW(FX139:FX335),"")))</f>
        <v>#N/A</v>
      </c>
      <c r="FZ139" s="118" t="n">
        <f aca="false">IF('Données projet'!$A$244&gt;35,FZ138+FY139-GH138,IF(A139&lt;'Données projet'!$A$244,$FW$205^A139,IF(A139='Données projet'!$A$244,'Données projet'!$B$244,FZ138+FY139-GH138)))</f>
        <v>0</v>
      </c>
      <c r="GA139" s="125" t="e">
        <f aca="false">FZ139*VLOOKUP('Données projet'!$B$17,Paramètres!$A$1:$I$89,3,0)*VLOOKUP('Données projet'!$B$17,Paramètres!$A$1:$I$89,5,0)</f>
        <v>#N/A</v>
      </c>
      <c r="GB139" s="117" t="e">
        <f aca="false">EXP(-1.0587+0.8836*LN(GA139)+0.284)</f>
        <v>#N/A</v>
      </c>
      <c r="GC139" s="128" t="e">
        <f aca="false">(GA139+GB139)*0.475*44/12</f>
        <v>#N/A</v>
      </c>
      <c r="GD139" s="120" t="e">
        <f aca="false">GC139+(FU139+FV139)*44/12</f>
        <v>#N/A</v>
      </c>
      <c r="GE139" s="120" t="e">
        <f aca="true">AVERAGE(OFFSET($GD$3,0,0,'Données projet'!$E$17+1,1))-AVERAGE(OFFSET($H$3,0,0,'Données projet'!$E$17+1,1))</f>
        <v>#N/A</v>
      </c>
      <c r="GF139" s="120" t="e">
        <f aca="false">$GF$3</f>
        <v>#N/A</v>
      </c>
      <c r="GG139" s="121" t="n">
        <f aca="false">IF(ISNA(VLOOKUP(A139,'Données projet'!$A$243:$I$263,3,0)),0,VLOOKUP(A139,'Données projet'!$A$243:$I$263,3,0))</f>
        <v>0</v>
      </c>
      <c r="GH139" s="121" t="n">
        <f aca="false">IF(ISNA(VLOOKUP(A139,'Données projet'!$A$243:$I$263,4,0)),0,VLOOKUP(A139,'Données projet'!$A$243:$I$263,4,0))</f>
        <v>0</v>
      </c>
      <c r="GI139" s="122" t="n">
        <f aca="false">IF(ISNA(VLOOKUP(A139,'Données projet'!$A$243:$I$263,5,0)),0%,VLOOKUP(A139,'Données projet'!$A$243:$I$263,5,0)*VLOOKUP('Données projet'!$B$17,Paramètres!$A$1:$I$89,7,0))</f>
        <v>0</v>
      </c>
      <c r="GJ139" s="122" t="n">
        <f aca="false">IF(ISNA(VLOOKUP(A139,'Données projet'!$A$243:$I$263,6,0)),0%,VLOOKUP(A139,'Données projet'!$A$243:$I$263,6,0)*VLOOKUP('Données projet'!$B$17,Paramètres!$A$1:$I$89,7,0))</f>
        <v>0</v>
      </c>
      <c r="GK139" s="122" t="n">
        <f aca="false">IF(ISNA(VLOOKUP(A139,'Données projet'!$A$243:$I$263,7,0)),0%,VLOOKUP(A139,'Données projet'!$A$243:$I$263,7,0))</f>
        <v>0</v>
      </c>
      <c r="GL139" s="129" t="e">
        <f aca="false">EXP(-LN(2)/35)*GL138+(1-EXP(-LN(2)/35))/(LN(2)/35)*GH139*GI139*VLOOKUP('Données projet'!$B$17,Paramètres!$A$1:$I$89,3,0)*0.475*44/12</f>
        <v>#N/A</v>
      </c>
      <c r="GM139" s="129" t="e">
        <f aca="false">EXP(-LN(2)/25)*GM138+(1-EXP(-LN(2)/25))/(LN(2)/25)*Calculateur!GH139*Calculateur!GJ139*VLOOKUP('Données projet'!$B$17,Paramètres!$A$1:$I$89,3,0)*0.475*44/12</f>
        <v>#N/A</v>
      </c>
      <c r="GN139" s="129" t="e">
        <f aca="false">EXP(-LN(2)/2)*GN138+(1-EXP(-LN(2)/2))/(LN(2)/2)*GH139*GK139*VLOOKUP('Données projet'!$B$17,Paramètres!$A$1:$I$89,3,0)*0.475*44/12</f>
        <v>#N/A</v>
      </c>
      <c r="GO139" s="129" t="e">
        <f aca="false">SUM(GL139:GN139)</f>
        <v>#N/A</v>
      </c>
      <c r="GP139" s="126" t="n">
        <f aca="false"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8" t="n">
        <f aca="false"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8" t="e">
        <f aca="false">VLOOKUP(A139,'Données projet'!$A$269:$I$289,2,0)</f>
        <v>#N/A</v>
      </c>
      <c r="GS139" s="118" t="e">
        <f aca="false">VLOOKUP(A139,'Données projet'!$A$269:$I$289,9,0)</f>
        <v>#N/A</v>
      </c>
      <c r="GT139" s="118" t="e">
        <f aca="false" t="array" ref="GT139:GT139">INDEX(GS:GS,MIN(IF(ISNUMBER(GS139:GS335),ROW(GS139:GS335),"")))</f>
        <v>#N/A</v>
      </c>
      <c r="GU139" s="118" t="n">
        <f aca="false">IF('Données projet'!$A$270&gt;35,GU138+GT139-HC138,IF(A139&lt;'Données projet'!$A$270,$GR$205^A139,IF(A139='Données projet'!$A$270,'Données projet'!$B$270,GU138+GT139-HC138)))</f>
        <v>0</v>
      </c>
      <c r="GV139" s="125" t="e">
        <f aca="false">GU139*VLOOKUP('Données projet'!$B$18,Paramètres!$A$1:$I$89,3,0)*VLOOKUP('Données projet'!$B$18,Paramètres!$A$1:$I$89,5,0)</f>
        <v>#N/A</v>
      </c>
      <c r="GW139" s="117" t="e">
        <f aca="false">EXP(-1.0587+0.8836*LN(GV139)+0.284)</f>
        <v>#N/A</v>
      </c>
      <c r="GX139" s="128" t="e">
        <f aca="false">(GV139+GW139)*0.475*44/12</f>
        <v>#N/A</v>
      </c>
      <c r="GY139" s="120" t="e">
        <f aca="false">GX139+(GP139+GQ139)*44/12</f>
        <v>#N/A</v>
      </c>
      <c r="GZ139" s="120" t="e">
        <f aca="true">AVERAGE(OFFSET($GY$3,0,0,'Données projet'!$E$18+1,1))-AVERAGE(OFFSET($H$3,0,0,'Données projet'!$E$18+1,1))</f>
        <v>#N/A</v>
      </c>
      <c r="HA139" s="120" t="e">
        <f aca="false">$HA$3</f>
        <v>#N/A</v>
      </c>
      <c r="HB139" s="121" t="n">
        <f aca="false">IF(ISNA(VLOOKUP(A139,'Données projet'!$A$269:$I$289,3,0)),0,VLOOKUP(A139,'Données projet'!$A$269:$I$289,3,0))</f>
        <v>0</v>
      </c>
      <c r="HC139" s="121" t="n">
        <f aca="false">IF(ISNA(VLOOKUP(A139,'Données projet'!$A$269:$I$289,4,0)),0,VLOOKUP(A139,'Données projet'!$A$269:$I$289,4,0))</f>
        <v>0</v>
      </c>
      <c r="HD139" s="122" t="n">
        <f aca="false">IF(ISNA(VLOOKUP(A139,'Données projet'!$A$269:$I$289,5,0)),0%,VLOOKUP(A139,'Données projet'!$A$269:$I$289,5,0)*VLOOKUP('Données projet'!$B$18,Paramètres!$A$1:$I$89,7,0))</f>
        <v>0</v>
      </c>
      <c r="HE139" s="122" t="n">
        <f aca="false">IF(ISNA(VLOOKUP(A139,'Données projet'!$A$269:$I$289,6,0)),0%,VLOOKUP(A139,'Données projet'!$A$269:$I$289,6,0)*VLOOKUP('Données projet'!$B$18,Paramètres!$A$1:$I$89,7,0))</f>
        <v>0</v>
      </c>
      <c r="HF139" s="122" t="n">
        <f aca="false">IF(ISNA(VLOOKUP(A139,'Données projet'!$A$269:$I$289,7,0)),0%,VLOOKUP(A139,'Données projet'!$A$269:$I$289,7,0))</f>
        <v>0</v>
      </c>
      <c r="HG139" s="129" t="e">
        <f aca="false">EXP(-LN(2)/35)*HG138+(1-EXP(-LN(2)/35))/(LN(2)/35)*HC139*HD139*VLOOKUP('Données projet'!$B$18,Paramètres!$A$1:$I$89,3,0)*0.475*44/12</f>
        <v>#N/A</v>
      </c>
      <c r="HH139" s="129" t="e">
        <f aca="false">EXP(-LN(2)/25)*HH138+(1-EXP(-LN(2)/25))/(LN(2)/25)*Calculateur!HC139*Calculateur!HE139*VLOOKUP('Données projet'!$B$18,Paramètres!$A$1:$I$89,3,0)*0.475*44/12</f>
        <v>#N/A</v>
      </c>
      <c r="HI139" s="129" t="e">
        <f aca="false">EXP(-LN(2)/2)*HI138+(1-EXP(-LN(2)/2))/(LN(2)/2)*HC139*HF139*VLOOKUP('Données projet'!$B$18,Paramètres!$A$1:$I$89,3,0)*0.475*44/12</f>
        <v>#N/A</v>
      </c>
      <c r="HJ139" s="130" t="e">
        <f aca="false">SUM(HG139:HI139)</f>
        <v>#N/A</v>
      </c>
    </row>
    <row r="140" customFormat="false" ht="14.25" hidden="false" customHeight="false" outlineLevel="0" collapsed="false">
      <c r="A140" s="112" t="n">
        <f aca="false">A139+1</f>
        <v>137</v>
      </c>
      <c r="B140" s="113" t="n">
        <f aca="false">'Scénario référence'!$B$16*5+'Scénario référence'!$B$17*0+'Scénario référence'!$B$18*5</f>
        <v>0</v>
      </c>
      <c r="C140" s="127" t="n">
        <f aca="false"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4" t="n">
        <f aca="false">IFERROR(EXP(-1.0587+0.8836*LN(C140)+0.284),0)</f>
        <v>0</v>
      </c>
      <c r="E14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0" s="114" t="n">
        <f aca="false">IF(OR('Scénario référence'!$F$8&gt;0,'Scénario référence'!$F$9&gt;0),('Scénario référence'!$F$8+'Scénario référence'!$F$9)*10,0)</f>
        <v>0</v>
      </c>
      <c r="G140" s="114" t="n">
        <f aca="false"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15" t="n">
        <f aca="false">(B140+E140+F140)*44/12+(C140+D140)*0.475*44/12</f>
        <v>256.666666666667</v>
      </c>
      <c r="I140" s="11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7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8" t="e">
        <f aca="false">VLOOKUP(A140,'Données projet'!$A$35:$I$55,2,0)</f>
        <v>#N/A</v>
      </c>
      <c r="L140" s="118" t="e">
        <f aca="false">VLOOKUP(A140,'Données projet'!$A$35:$I$55,9,0)</f>
        <v>#N/A</v>
      </c>
      <c r="M140" s="118" t="e">
        <f aca="false" t="array" ref="M140:M140">INDEX(L:L,MIN(IF(ISNUMBER(L140:L336),ROW(L140:L336),"")))</f>
        <v>#N/A</v>
      </c>
      <c r="N140" s="117" t="n">
        <f aca="false">IF('Données projet'!$A$36&gt;35,N139+M140-V139,IF(A140&lt;'Données projet'!$A$36,$K$205^A140,IF(A140='Données projet'!$A$36,'Données projet'!$B$36,N139+M140-V139)))</f>
        <v>-1.13686837721616E-013</v>
      </c>
      <c r="O140" s="117" t="n">
        <f aca="false">N140*VLOOKUP('Données projet'!$B$9,Paramètres!$A$1:$I$89,3,0)*VLOOKUP('Données projet'!$B$9,Paramètres!$A$1:$I$89,5,0)</f>
        <v>-5.32054400537163E-014</v>
      </c>
      <c r="P140" s="117" t="e">
        <f aca="false">EXP(-1.0587+0.8836*LN(O140)+0.284)</f>
        <v>#VALUE!</v>
      </c>
      <c r="Q140" s="128" t="e">
        <f aca="false">(O140+P140)*0.475*44/12</f>
        <v>#VALUE!</v>
      </c>
      <c r="R140" s="120" t="e">
        <f aca="false">Q140+(I140+J140)*44/12</f>
        <v>#VALUE!</v>
      </c>
      <c r="S140" s="120" t="n">
        <f aca="true">AVERAGE(OFFSET($R$3,0,0,'Données projet'!$E$9+1,1))-AVERAGE(OFFSET($H$3,0,0,'Données projet'!$E$9+1,1))</f>
        <v>319.229030946746</v>
      </c>
      <c r="T140" s="120" t="n">
        <f aca="false">$T$3</f>
        <v>254.586909731428</v>
      </c>
      <c r="U140" s="121" t="n">
        <f aca="false">IF(ISNA(VLOOKUP(A140,'Données projet'!$A$35:$I$55,3,0)),0,VLOOKUP(A140,'Données projet'!$A$35:$I$55,3,0))</f>
        <v>0</v>
      </c>
      <c r="V140" s="121" t="n">
        <f aca="false">IF(ISNA(VLOOKUP(A140,'Données projet'!$A$35:$I$55,4,0)),0,VLOOKUP(A140,'Données projet'!$A$35:$I$55,4,0))</f>
        <v>0</v>
      </c>
      <c r="W140" s="122" t="n">
        <f aca="false">IF(ISNA(VLOOKUP(A140,'Données projet'!$A$35:$I$55,5,0)),0%,VLOOKUP(A140,'Données projet'!$A$35:$I$55,5,0)*VLOOKUP('Données projet'!$B$9,Paramètres!$A$1:$I$89,7,0))</f>
        <v>0</v>
      </c>
      <c r="X140" s="122" t="n">
        <f aca="false">IF(ISNA(VLOOKUP(A140,'Données projet'!$A$35:$I$55,6,0)),0%,VLOOKUP(A140,'Données projet'!$A$35:$I$55,6,0)*VLOOKUP('Données projet'!$B$9,Paramètres!$A$1:$I$89,7,0))</f>
        <v>0</v>
      </c>
      <c r="Y140" s="122" t="n">
        <f aca="false">IF(ISNA(VLOOKUP(A140,'Données projet'!$A$35:$I$55,7,0)),0%,VLOOKUP(A140,'Données projet'!$A$35:$I$55,7,0))</f>
        <v>0</v>
      </c>
      <c r="Z140" s="129" t="n">
        <f aca="false">EXP(-LN(2)/35)*Z139+(1-EXP(-LN(2)/35))/(LN(2)/35)*V140*W140*VLOOKUP('Données projet'!$B$9,Paramètres!$A$1:$I$89,3,0)*0.475*44/12</f>
        <v>1.09046262172636</v>
      </c>
      <c r="AA140" s="129" t="n">
        <f aca="false">EXP(-LN(2)/25)*AA139+(1-EXP(-LN(2)/25))/(LN(2)/25)*Calculateur!V140*Calculateur!X140*VLOOKUP('Données projet'!$B$9,Paramètres!$A$1:$I$89,3,0)*0.475*44/12</f>
        <v>0.574007947571258</v>
      </c>
      <c r="AB140" s="129" t="n">
        <f aca="false">EXP(-LN(2)/2)*AB139+(1-EXP(-LN(2)/2))/(LN(2)/2)*V140*Y140*VLOOKUP('Données projet'!$B$9,Paramètres!$A$1:$I$89,3,0)*0.475*44/12</f>
        <v>8.66936650179435E-016</v>
      </c>
      <c r="AC140" s="130" t="n">
        <f aca="false">SUM(Z140:AB140)</f>
        <v>1.66447056929762</v>
      </c>
      <c r="AD140" s="117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7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8" t="e">
        <f aca="false">VLOOKUP(A140,'Données projet'!$A$61:$I$81,2,0)</f>
        <v>#N/A</v>
      </c>
      <c r="AG140" s="118" t="e">
        <f aca="false">VLOOKUP(A140,'Données projet'!$A$61:$I$81,9,0)</f>
        <v>#N/A</v>
      </c>
      <c r="AH140" s="118" t="e">
        <f aca="false" t="array" ref="AH140:AH140">INDEX(AG:AG,MIN(IF(ISNUMBER(AG140:AG336),ROW(AG140:AG336),"")))</f>
        <v>#N/A</v>
      </c>
      <c r="AI140" s="117" t="n">
        <f aca="false">IF('Données projet'!$A$62&gt;35,AI139+AH140-AQ139,IF(A140&lt;'Données projet'!$A$62,$AF$205^A140,IF(A140='Données projet'!$A$62,'Données projet'!$B$62,AI139+AH140-AQ139)))</f>
        <v>1.13686837721616E-013</v>
      </c>
      <c r="AJ140" s="117" t="n">
        <f aca="false">AI140*VLOOKUP('Données projet'!$B$10,Paramètres!$A$1:$I$89,3,0)*VLOOKUP('Données projet'!$B$10,Paramètres!$A$1:$I$89,5,0)</f>
        <v>6.35509422863834E-014</v>
      </c>
      <c r="AK140" s="117" t="n">
        <f aca="false">EXP(-1.0587+0.8836*LN(AJ140)+0.284)</f>
        <v>1.0064464192544E-012</v>
      </c>
      <c r="AL140" s="128" t="n">
        <f aca="false">(AJ140+AK140)*0.475*44/12</f>
        <v>1.86357873801686E-012</v>
      </c>
      <c r="AM140" s="120" t="n">
        <f aca="false">AL140+(AD140+AE140)*44/12</f>
        <v>293.333333333335</v>
      </c>
      <c r="AN140" s="120" t="n">
        <f aca="true">AVERAGE(OFFSET($AM$3,0,0,'Données projet'!$E$10+1,1))-AVERAGE(OFFSET($H$3,0,0,'Données projet'!$E$10+1,1))</f>
        <v>365.705101827279</v>
      </c>
      <c r="AO140" s="120" t="n">
        <f aca="false">$AO$3</f>
        <v>436.238338449625</v>
      </c>
      <c r="AP140" s="121" t="n">
        <f aca="false">IF(ISNA(VLOOKUP(A140,'Données projet'!$A$61:$I$81,3,0)),0,VLOOKUP(A140,'Données projet'!$A$61:$I$81,3,0))</f>
        <v>0</v>
      </c>
      <c r="AQ140" s="121" t="n">
        <f aca="false">IF(ISNA(VLOOKUP(A140,'Données projet'!$A$61:$I$81,4,0)),0,VLOOKUP(A140,'Données projet'!$A$61:$I$81,4,0))</f>
        <v>0</v>
      </c>
      <c r="AR140" s="122" t="n">
        <f aca="false">IF(ISNA(VLOOKUP(A140,'Données projet'!$A$61:$I$81,5,0)),0%,VLOOKUP(A140,'Données projet'!$A$61:$I$81,5,0)*VLOOKUP('Données projet'!$B$10,Paramètres!$A$1:$I$89,7,0))</f>
        <v>0</v>
      </c>
      <c r="AS140" s="122" t="n">
        <f aca="false">IF(ISNA(VLOOKUP(A140,'Données projet'!$A$61:$I$81,6,0)),0%,VLOOKUP(A140,'Données projet'!$A$61:$I$81,6,0)*VLOOKUP('Données projet'!$B$10,Paramètres!$A$1:$I$89,7,0))</f>
        <v>0</v>
      </c>
      <c r="AT140" s="122" t="n">
        <f aca="false">IF(ISNA(VLOOKUP(A140,'Données projet'!$A$61:$I$81,7,0)),0%,VLOOKUP(A140,'Données projet'!$A$61:$I$81,7,0))</f>
        <v>0</v>
      </c>
      <c r="AU140" s="129" t="n">
        <f aca="false">EXP(-LN(2)/35)*AU139+(1-EXP(-LN(2)/35))/(LN(2)/35)*AQ140*AR140*VLOOKUP('Données projet'!$B$10,Paramètres!$A$1:$I$89,3,0)*0.475*44/12</f>
        <v>0.41161428536632</v>
      </c>
      <c r="AV140" s="129" t="n">
        <f aca="false">EXP(-LN(2)/25)*AV139+(1-EXP(-LN(2)/25))/(LN(2)/25)*Calculateur!AQ140*Calculateur!AS140*VLOOKUP('Données projet'!$B$10,Paramètres!$A$1:$I$89,3,0)*0.475*44/12</f>
        <v>0.679881377359082</v>
      </c>
      <c r="AW140" s="129" t="n">
        <f aca="false">EXP(-LN(2)/2)*AW139+(1-EXP(-LN(2)/2))/(LN(2)/2)*AQ140*AT140*VLOOKUP('Données projet'!$B$10,Paramètres!$A$1:$I$89,3,0)*0.475*44/12</f>
        <v>4.66558209231717E-016</v>
      </c>
      <c r="AX140" s="129" t="n">
        <f aca="false">SUM(AU140:AW140)</f>
        <v>1.0914956627254</v>
      </c>
      <c r="AY140" s="124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8" t="e">
        <f aca="false">VLOOKUP(A140,'Données projet'!$A$87:$I$107,2,0)</f>
        <v>#N/A</v>
      </c>
      <c r="BB140" s="118" t="e">
        <f aca="false">VLOOKUP(A140,'Données projet'!$A$87:$I$107,9,0)</f>
        <v>#N/A</v>
      </c>
      <c r="BC140" s="118" t="e">
        <f aca="false" t="array" ref="BC140:BC140">INDEX(BB:BB,MIN(IF(ISNUMBER(BB140:BB336),ROW(BB140:BB336),"")))</f>
        <v>#N/A</v>
      </c>
      <c r="BD140" s="118" t="n">
        <f aca="false">IF('Données projet'!$A$88&gt;35,BD139+BC140-BL139,IF(A140&lt;'Données projet'!$A$88,$BA$205^A140,IF(A140='Données projet'!$A$88,'Données projet'!$B$88,BD139+BC140-BL139)))</f>
        <v>1.98951966012828E-013</v>
      </c>
      <c r="BE140" s="117" t="n">
        <f aca="false">BD140*VLOOKUP('Données projet'!$B$11,Paramètres!$A$1:$I$89,3,0)*VLOOKUP('Données projet'!$B$11,Paramètres!$A$1:$I$89,5,0)</f>
        <v>1.73804437508807E-013</v>
      </c>
      <c r="BF140" s="117" t="n">
        <f aca="false">EXP(-1.0587+0.8836*LN(BE140)+0.284)</f>
        <v>2.44832936339505E-012</v>
      </c>
      <c r="BG140" s="128" t="n">
        <f aca="false">(BE140+BF140)*0.475*44/12</f>
        <v>4.56688303657421E-012</v>
      </c>
      <c r="BH140" s="120" t="n">
        <f aca="false">BG140+(AY140+AZ140)*44/12</f>
        <v>293.333333333338</v>
      </c>
      <c r="BI140" s="120" t="n">
        <f aca="true">AVERAGE(OFFSET($BH$3,0,0,'Données projet'!$E$11+1,1))-AVERAGE(OFFSET($H$3,0,0,'Données projet'!$E$11+1,1))</f>
        <v>321.235999689929</v>
      </c>
      <c r="BJ140" s="120" t="n">
        <f aca="false">$BJ$3</f>
        <v>388.051958478005</v>
      </c>
      <c r="BK140" s="121" t="n">
        <f aca="false">IF(ISNA(VLOOKUP(A140,'Données projet'!$A$87:$I$107,3,0)),0,VLOOKUP(A140,'Données projet'!$A$87:$I$107,3,0))</f>
        <v>0</v>
      </c>
      <c r="BL140" s="121" t="n">
        <f aca="false">IF(ISNA(VLOOKUP(A140,'Données projet'!$A$87:$I$107,4,0)),0,VLOOKUP(A140,'Données projet'!$A$87:$I$107,4,0))</f>
        <v>0</v>
      </c>
      <c r="BM140" s="122" t="n">
        <f aca="false">IF(ISNA(VLOOKUP(A140,'Données projet'!$A$87:$I$107,5,0)),0%,VLOOKUP(A140,'Données projet'!$A$87:$I$107,5,0)*VLOOKUP('Données projet'!$B$11,Paramètres!$A$1:$I$89,7,0))</f>
        <v>0</v>
      </c>
      <c r="BN140" s="122" t="n">
        <f aca="false">IF(ISNA(VLOOKUP(A140,'Données projet'!$A$87:$I$107,6,0)),0%,VLOOKUP(A140,'Données projet'!$A$87:$I$107,6,0)*VLOOKUP('Données projet'!$B$11,Paramètres!$A$1:$I$89,7,0))</f>
        <v>0</v>
      </c>
      <c r="BO140" s="122" t="n">
        <f aca="false">IF(ISNA(VLOOKUP(A140,'Données projet'!$A$87:$I$107,7,0)),0%,VLOOKUP(A140,'Données projet'!$A$87:$I$107,7,0))</f>
        <v>0</v>
      </c>
      <c r="BP140" s="129" t="n">
        <f aca="false">EXP(-LN(2)/35)*BP139+(1-EXP(-LN(2)/35))/(LN(2)/35)*BL140*BM140*VLOOKUP('Données projet'!$B$11,Paramètres!$A$1:$I$89,3,0)*0.475*44/12</f>
        <v>1.03340761360865</v>
      </c>
      <c r="BQ140" s="129" t="n">
        <f aca="false">EXP(-LN(2)/25)*BQ139+(1-EXP(-LN(2)/25))/(LN(2)/25)*Calculateur!BL140*Calculateur!BN140*VLOOKUP('Données projet'!$B$11,Paramètres!$A$1:$I$89,3,0)*0.475*44/12</f>
        <v>0.693982527551065</v>
      </c>
      <c r="BR140" s="129" t="n">
        <f aca="false">EXP(-LN(2)/2)*BR139+(1-EXP(-LN(2)/2))/(LN(2)/2)*BL140*BO140*VLOOKUP('Données projet'!$B$11,Paramètres!$A$1:$I$89,3,0)*0.475*44/12</f>
        <v>4.74246722110441E-016</v>
      </c>
      <c r="BS140" s="130" t="n">
        <f aca="false">SUM(BP140:BR140)</f>
        <v>1.72739014115971</v>
      </c>
      <c r="BT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8" t="e">
        <f aca="false">VLOOKUP(A140,'Données projet'!$A$113:$I$133,2,0)</f>
        <v>#N/A</v>
      </c>
      <c r="BW140" s="118" t="e">
        <f aca="false">VLOOKUP(A140,'Données projet'!$A$113:$I$133,9,0)</f>
        <v>#N/A</v>
      </c>
      <c r="BX140" s="118" t="e">
        <f aca="false" t="array" ref="BX140:BX140">INDEX(BW:BW,MIN(IF(ISNUMBER(BW140:BW336),ROW(BW140:BW336),"")))</f>
        <v>#N/A</v>
      </c>
      <c r="BY140" s="118" t="n">
        <f aca="false">IF('Données projet'!$A$114&gt;35,BY139+BX140-CG139,IF(A140&lt;'Données projet'!$A$114,$BV$205^A140,IF(A140='Données projet'!$A$114,'Données projet'!$B$114,BY139+BX140-CG139)))</f>
        <v>0</v>
      </c>
      <c r="BZ140" s="117" t="n">
        <f aca="false">BY140*VLOOKUP('Données projet'!$B$12,Paramètres!$A$1:$I$89,3,0)*VLOOKUP('Données projet'!$B$12,Paramètres!$A$1:$I$89,5,0)</f>
        <v>0</v>
      </c>
      <c r="CA140" s="117" t="e">
        <f aca="false">EXP(-1.0587+0.8836*LN(BZ140)+0.284)</f>
        <v>#VALUE!</v>
      </c>
      <c r="CB140" s="128" t="e">
        <f aca="false">(BZ140+CA140)*0.475*44/12</f>
        <v>#VALUE!</v>
      </c>
      <c r="CC140" s="120" t="e">
        <f aca="false">CB140+(BT140+BU140)*44/12</f>
        <v>#VALUE!</v>
      </c>
      <c r="CD140" s="120" t="n">
        <f aca="true">AVERAGE(OFFSET($CC$3,0,0,'Données projet'!$E$12+1,1))-AVERAGE(OFFSET($H$3,0,0,'Données projet'!$E$12+1,1))</f>
        <v>240.228848647662</v>
      </c>
      <c r="CE140" s="120" t="n">
        <f aca="false">$CE$3</f>
        <v>343.237768841432</v>
      </c>
      <c r="CF140" s="121" t="n">
        <f aca="false">IF(ISNA(VLOOKUP(A140,'Données projet'!$A$113:$I$133,3,0)),0,VLOOKUP(A140,'Données projet'!$A$113:$I$133,3,0))</f>
        <v>0</v>
      </c>
      <c r="CG140" s="121" t="n">
        <f aca="false">IF(ISNA(VLOOKUP(A140,'Données projet'!$A$113:$I$133,4,0)),0,VLOOKUP(A140,'Données projet'!$A$113:$I$133,4,0))</f>
        <v>0</v>
      </c>
      <c r="CH140" s="122" t="n">
        <f aca="false">IF(ISNA(VLOOKUP(A140,'Données projet'!$A$113:$I$133,5,0)),0%,VLOOKUP(A140,'Données projet'!$A$113:$I$133,5,0)*VLOOKUP('Données projet'!$B$12,Paramètres!$A$1:$I$89,7,0))</f>
        <v>0</v>
      </c>
      <c r="CI140" s="122" t="n">
        <f aca="false">IF(ISNA(VLOOKUP(A140,'Données projet'!$A$113:$I$133,6,0)),0%,VLOOKUP(A140,'Données projet'!$A$113:$I$133,6,0)*VLOOKUP('Données projet'!$B$12,Paramètres!$A$1:$I$89,7,0))</f>
        <v>0</v>
      </c>
      <c r="CJ140" s="122" t="n">
        <f aca="false">IF(ISNA(VLOOKUP(A140,'Données projet'!$A$113:$I$133,7,0)),0%,VLOOKUP(A140,'Données projet'!$A$113:$I$133,7,0))</f>
        <v>0</v>
      </c>
      <c r="CK140" s="129" t="n">
        <f aca="false">EXP(-LN(2)/35)*CK139+(1-EXP(-LN(2)/35))/(LN(2)/35)*CG140*CH140*VLOOKUP('Données projet'!$B$12,Paramètres!$A$1:$I$89,3,0)*0.475*44/12</f>
        <v>0.632525969176635</v>
      </c>
      <c r="CL140" s="129" t="n">
        <f aca="false">EXP(-LN(2)/25)*CL139+(1-EXP(-LN(2)/25))/(LN(2)/25)*Calculateur!CG140*Calculateur!CI140*VLOOKUP('Données projet'!$B$12,Paramètres!$A$1:$I$89,3,0)*0.475*44/12</f>
        <v>1.22561331822506</v>
      </c>
      <c r="CM140" s="129" t="n">
        <f aca="false">EXP(-LN(2)/2)*CM139+(1-EXP(-LN(2)/2))/(LN(2)/2)*CG140*CJ140*VLOOKUP('Données projet'!$B$12,Paramètres!$A$1:$I$89,3,0)*0.475*44/12</f>
        <v>7.56771334384617E-016</v>
      </c>
      <c r="CN140" s="130" t="n">
        <f aca="false">SUM(CK140:CM140)</f>
        <v>1.85813928740169</v>
      </c>
      <c r="CO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8" t="e">
        <f aca="false">VLOOKUP(A140,'Données projet'!$A$139:$I$159,2,0)</f>
        <v>#N/A</v>
      </c>
      <c r="CR140" s="118" t="e">
        <f aca="false">VLOOKUP(A140,'Données projet'!$A$139:$I$159,9,0)</f>
        <v>#N/A</v>
      </c>
      <c r="CS140" s="118" t="e">
        <f aca="false" t="array" ref="CS140:CS140">INDEX(CR:CR,MIN(IF(ISNUMBER(CR140:CR336),ROW(CR140:CR336),"")))</f>
        <v>#N/A</v>
      </c>
      <c r="CT140" s="118" t="n">
        <f aca="false">IF('Données projet'!$A$140&gt;35,CT139+CS140-DB139,IF(A140&lt;'Données projet'!$A$140,$CQ$205^A140,IF(A140='Données projet'!$A$140,'Données projet'!$B$140,CT139+CS140-DB139)))</f>
        <v>-5.6843418860808E-014</v>
      </c>
      <c r="CU140" s="125" t="n">
        <f aca="false">CT140*VLOOKUP('Données projet'!$B$13,Paramètres!$A$1:$I$89,3,0)*VLOOKUP('Données projet'!$B$13,Paramètres!$A$1:$I$89,5,0)</f>
        <v>-3.10365066980012E-014</v>
      </c>
      <c r="CV140" s="117" t="e">
        <f aca="false">EXP(-1.0587+0.8836*LN(CU140)+0.284)</f>
        <v>#VALUE!</v>
      </c>
      <c r="CW140" s="128" t="e">
        <f aca="false">(CU140+CV140)*0.475*44/12</f>
        <v>#VALUE!</v>
      </c>
      <c r="CX140" s="120" t="e">
        <f aca="false">CW140+(CO140+CP140)*44/12</f>
        <v>#VALUE!</v>
      </c>
      <c r="CY140" s="120" t="n">
        <f aca="true">AVERAGE(OFFSET($CX$3,0,0,'Données projet'!$E$13+1,1))-AVERAGE(OFFSET($H$3,0,0,'Données projet'!$E$13+1,1))</f>
        <v>207.023069645676</v>
      </c>
      <c r="CZ140" s="120" t="n">
        <f aca="false">$CZ$3</f>
        <v>342.068879333518</v>
      </c>
      <c r="DA140" s="121" t="n">
        <f aca="false">IF(ISNA(VLOOKUP(A140,'Données projet'!$A$139:$I$159,3,0)),0,VLOOKUP(A140,'Données projet'!$A$139:$I$159,3,0))</f>
        <v>0</v>
      </c>
      <c r="DB140" s="121" t="n">
        <f aca="false">IF(ISNA(VLOOKUP(A140,'Données projet'!$A$139:$I$159,4,0)),0,VLOOKUP(A140,'Données projet'!$A$139:$I$159,4,0))</f>
        <v>0</v>
      </c>
      <c r="DC140" s="122" t="n">
        <f aca="false">IF(ISNA(VLOOKUP(A140,'Données projet'!$A$139:$I$159,5,0)),0%,VLOOKUP(A140,'Données projet'!$A$139:$I$159,5,0)*VLOOKUP('Données projet'!$B$13,Paramètres!$A$1:$I$89,7,0))</f>
        <v>0</v>
      </c>
      <c r="DD140" s="122" t="n">
        <f aca="false">IF(ISNA(VLOOKUP(A140,'Données projet'!$A$139:$I$159,6,0)),0%,VLOOKUP(A140,'Données projet'!$A$139:$I$159,6,0)*VLOOKUP('Données projet'!$B$13,Paramètres!$A$1:$I$89,7,0))</f>
        <v>0</v>
      </c>
      <c r="DE140" s="122" t="n">
        <f aca="false">IF(ISNA(VLOOKUP(A140,'Données projet'!$A$139:$I$159,7,0)),0%,VLOOKUP(A140,'Données projet'!$A$139:$I$159,7,0))</f>
        <v>0</v>
      </c>
      <c r="DF140" s="129" t="n">
        <f aca="false">EXP(-LN(2)/35)*DF139+(1-EXP(-LN(2)/35))/(LN(2)/35)*DB140*DC140*VLOOKUP('Données projet'!$B$13,Paramètres!$A$1:$I$89,3,0)*0.475*44/12</f>
        <v>0.793641074532947</v>
      </c>
      <c r="DG140" s="129" t="n">
        <f aca="false">EXP(-LN(2)/25)*DG139+(1-EXP(-LN(2)/25))/(LN(2)/25)*Calculateur!DB140*Calculateur!DD140*VLOOKUP('Données projet'!$B$13,Paramètres!$A$1:$I$89,3,0)*0.475*44/12</f>
        <v>2.00336732104529</v>
      </c>
      <c r="DH140" s="129" t="n">
        <f aca="false">EXP(-LN(2)/2)*DH139+(1-EXP(-LN(2)/2))/(LN(2)/2)*DB140*DE140*VLOOKUP('Données projet'!$B$13,Paramètres!$A$1:$I$89,3,0)*0.475*44/12</f>
        <v>1.04207447830587E-015</v>
      </c>
      <c r="DI140" s="130" t="n">
        <f aca="false">SUM(DF140:DH140)</f>
        <v>2.79700839557824</v>
      </c>
      <c r="DJ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8" t="e">
        <f aca="false">VLOOKUP(A140,'Données projet'!$A$165:$I$185,2,0)</f>
        <v>#N/A</v>
      </c>
      <c r="DM140" s="118" t="e">
        <f aca="false">VLOOKUP(A140,'Données projet'!$A$165:$I$185,9,0)</f>
        <v>#N/A</v>
      </c>
      <c r="DN140" s="118" t="e">
        <f aca="false" t="array" ref="DN140:DN140">INDEX(DM:DM,MIN(IF(ISNUMBER(DM140:DM336),ROW(DM140:DM336),"")))</f>
        <v>#N/A</v>
      </c>
      <c r="DO140" s="118" t="n">
        <f aca="false">IF('Données projet'!$A$166&gt;35,DO139+DN140-DW139,IF(A140&lt;'Données projet'!$A$166,$DL$205^A140,IF(A140='Données projet'!$A$166,'Données projet'!$B$166,DO139+DN140-DW139)))</f>
        <v>0</v>
      </c>
      <c r="DP140" s="125" t="n">
        <f aca="false">DO140*VLOOKUP('Données projet'!$B$14,Paramètres!$A$1:$I$89,3,0)*VLOOKUP('Données projet'!$B$14,Paramètres!$A$1:$I$89,5,0)</f>
        <v>0</v>
      </c>
      <c r="DQ140" s="117" t="e">
        <f aca="false">EXP(-1.0587+0.8836*LN(DP140)+0.284)</f>
        <v>#VALUE!</v>
      </c>
      <c r="DR140" s="128" t="e">
        <f aca="false">(DP140+DQ140)*0.475*44/12</f>
        <v>#VALUE!</v>
      </c>
      <c r="DS140" s="120" t="e">
        <f aca="false">DR140+(DJ140+DK140)*44/12</f>
        <v>#VALUE!</v>
      </c>
      <c r="DT140" s="120" t="n">
        <f aca="true">AVERAGE(OFFSET($DS$3,0,0,'Données projet'!$E$14+1,1))-AVERAGE(OFFSET($H$3,0,0,'Données projet'!$E$14+1,1))</f>
        <v>549.432320957297</v>
      </c>
      <c r="DU140" s="120" t="n">
        <f aca="false">$DU$3</f>
        <v>280.26155987301</v>
      </c>
      <c r="DV140" s="121" t="n">
        <f aca="false">IF(ISNA(VLOOKUP(A140,'Données projet'!$A$165:$I$185,3,0)),0,VLOOKUP(A140,'Données projet'!$A$165:$I$185,3,0))</f>
        <v>0</v>
      </c>
      <c r="DW140" s="121" t="n">
        <f aca="false">IF(ISNA(VLOOKUP(A140,'Données projet'!$A$165:$I$185,4,0)),0,VLOOKUP(A140,'Données projet'!$A$165:$I$185,4,0))</f>
        <v>0</v>
      </c>
      <c r="DX140" s="122" t="n">
        <f aca="false">IF(ISNA(VLOOKUP(A140,'Données projet'!$A$165:$I$185,5,0)),0%,VLOOKUP(A140,'Données projet'!$A$165:$I$185,5,0)*VLOOKUP('Données projet'!$B$14,Paramètres!$A$1:$I$89,7,0))</f>
        <v>0</v>
      </c>
      <c r="DY140" s="122" t="n">
        <f aca="false">IF(ISNA(VLOOKUP(A140,'Données projet'!$A$165:$I$185,6,0)),0%,VLOOKUP(A140,'Données projet'!$A$165:$I$185,6,0)*VLOOKUP('Données projet'!$B$14,Paramètres!$A$1:$I$89,7,0))</f>
        <v>0</v>
      </c>
      <c r="DZ140" s="122" t="n">
        <f aca="false">IF(ISNA(VLOOKUP(A140,'Données projet'!$A$165:$I$185,7,0)),0%,VLOOKUP(A140,'Données projet'!$A$165:$I$185,7,0))</f>
        <v>0</v>
      </c>
      <c r="EA140" s="129" t="n">
        <f aca="false">EXP(-LN(2)/35)*EA139+(1-EXP(-LN(2)/35))/(LN(2)/35)*DW140*DX140*VLOOKUP('Données projet'!$B$14,Paramètres!$A$1:$I$89,3,0)*0.475*44/12</f>
        <v>0.288567009755605</v>
      </c>
      <c r="EB140" s="129" t="n">
        <f aca="false">EXP(-LN(2)/25)*EB139+(1-EXP(-LN(2)/25))/(LN(2)/25)*Calculateur!DW140*Calculateur!DY140*VLOOKUP('Données projet'!$B$14,Paramètres!$A$1:$I$89,3,0)*0.475*44/12</f>
        <v>0.399110296094751</v>
      </c>
      <c r="EC140" s="129" t="n">
        <f aca="false">EXP(-LN(2)/2)*EC139+(1-EXP(-LN(2)/2))/(LN(2)/2)*DW140*DZ140*VLOOKUP('Données projet'!$B$14,Paramètres!$A$1:$I$89,3,0)*0.475*44/12</f>
        <v>4.80374853995559E-016</v>
      </c>
      <c r="ED140" s="130" t="n">
        <f aca="false">SUM(EA140:EC140)</f>
        <v>0.687677305850357</v>
      </c>
      <c r="EE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8" t="e">
        <f aca="false">VLOOKUP(A140,'Données projet'!$A$191:$I$211,2,0)</f>
        <v>#N/A</v>
      </c>
      <c r="EH140" s="118" t="e">
        <f aca="false">VLOOKUP(A140,'Données projet'!$A$191:$I$211,9,0)</f>
        <v>#N/A</v>
      </c>
      <c r="EI140" s="118" t="e">
        <f aca="false" t="array" ref="EI140:EI140">INDEX(EH:EH,MIN(IF(ISNUMBER(EH140:EH336),ROW(EH140:EH336),"")))</f>
        <v>#N/A</v>
      </c>
      <c r="EJ140" s="118" t="n">
        <f aca="false">IF('Données projet'!$A$192&gt;35,EJ139+EI140-ER139,IF(A140&lt;'Données projet'!$A$192,$EG$205^A140,IF(A140='Données projet'!$A$192,'Données projet'!$B$192,EJ139+EI140-ER139)))</f>
        <v>0</v>
      </c>
      <c r="EK140" s="125" t="e">
        <f aca="false">EJ140*VLOOKUP('Données projet'!$B$15,Paramètres!$A$1:$I$89,3,0)*VLOOKUP('Données projet'!$B$15,Paramètres!$A$1:$I$89,5,0)</f>
        <v>#N/A</v>
      </c>
      <c r="EL140" s="117" t="e">
        <f aca="false">EXP(-1.0587+0.8836*LN(EK140)+0.284)</f>
        <v>#N/A</v>
      </c>
      <c r="EM140" s="128" t="e">
        <f aca="false">(EK140+EL140)*0.475*44/12</f>
        <v>#N/A</v>
      </c>
      <c r="EN140" s="120" t="e">
        <f aca="false">EM140+(EE140+EF140)*44/12</f>
        <v>#N/A</v>
      </c>
      <c r="EO140" s="120" t="e">
        <f aca="true">AVERAGE(OFFSET($EN$3,0,0,'Données projet'!$E$15+1,1))-AVERAGE(OFFSET($H$3,0,0,'Données projet'!$E$15+1,1))</f>
        <v>#N/A</v>
      </c>
      <c r="EP140" s="120" t="e">
        <f aca="false">$EP$3</f>
        <v>#N/A</v>
      </c>
      <c r="EQ140" s="121" t="n">
        <f aca="false">IF(ISNA(VLOOKUP(A140,'Données projet'!$A$191:$I$211,3,0)),0,VLOOKUP(A140,'Données projet'!$A$191:$I$211,3,0))</f>
        <v>0</v>
      </c>
      <c r="ER140" s="121" t="n">
        <f aca="false">IF(ISNA(VLOOKUP(A140,'Données projet'!$A$191:$I$211,4,0)),0,VLOOKUP(A140,'Données projet'!$A$191:$I$211,4,0))</f>
        <v>0</v>
      </c>
      <c r="ES140" s="122" t="n">
        <f aca="false">IF(ISNA(VLOOKUP(A140,'Données projet'!$A$191:$I$211,5,0)),0%,VLOOKUP(A140,'Données projet'!$A$191:$I$211,5,0)*VLOOKUP('Données projet'!$B$15,Paramètres!$A$1:$I$89,7,0))</f>
        <v>0</v>
      </c>
      <c r="ET140" s="122" t="n">
        <f aca="false">IF(ISNA(VLOOKUP(A140,'Données projet'!$A$191:$I$211,6,0)),0%,VLOOKUP(A140,'Données projet'!$A$191:$I$211,6,0)*VLOOKUP('Données projet'!$B$15,Paramètres!$A$1:$I$89,7,0))</f>
        <v>0</v>
      </c>
      <c r="EU140" s="122" t="n">
        <f aca="false">IF(ISNA(VLOOKUP(A140,'Données projet'!$A$191:$I$211,7,0)),0%,VLOOKUP(A140,'Données projet'!$A$191:$I$211,7,0))</f>
        <v>0</v>
      </c>
      <c r="EV140" s="129" t="e">
        <f aca="false">EXP(-LN(2)/35)*EV139+(1-EXP(-LN(2)/35))/(LN(2)/35)*ER140*ES140*VLOOKUP('Données projet'!$B$15,Paramètres!$A$1:$I$89,3,0)*0.475*44/12</f>
        <v>#N/A</v>
      </c>
      <c r="EW140" s="129" t="e">
        <f aca="false">EXP(-LN(2)/25)*EW139+(1-EXP(-LN(2)/25))/(LN(2)/25)*Calculateur!ER140*Calculateur!ET140*VLOOKUP('Données projet'!$B$15,Paramètres!$A$1:$I$89,3,0)*0.475*44/12</f>
        <v>#N/A</v>
      </c>
      <c r="EX140" s="129" t="e">
        <f aca="false">EXP(-LN(2)/2)*EX139+(1-EXP(-LN(2)/2))/(LN(2)/2)*ER140*EU140*VLOOKUP('Données projet'!$B$15,Paramètres!$A$1:$I$89,3,0)*0.475*44/12</f>
        <v>#N/A</v>
      </c>
      <c r="EY140" s="130" t="e">
        <f aca="false">SUM(EV140:EX140)</f>
        <v>#N/A</v>
      </c>
      <c r="EZ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8" t="e">
        <f aca="false">VLOOKUP(A140,'Données projet'!$A$217:$I$237,2,0)</f>
        <v>#N/A</v>
      </c>
      <c r="FC140" s="118" t="e">
        <f aca="false">VLOOKUP(A140,'Données projet'!$A$217:$I$237,9,0)</f>
        <v>#N/A</v>
      </c>
      <c r="FD140" s="118" t="e">
        <f aca="false" t="array" ref="FD140:FD140">INDEX(FC:FC,MIN(IF(ISNUMBER(FC140:FC336),ROW(FC140:FC336),"")))</f>
        <v>#N/A</v>
      </c>
      <c r="FE140" s="118" t="n">
        <f aca="false">IF('Données projet'!$A$218&gt;35,FE139+FD140-FM139,IF(A140&lt;'Données projet'!$A$218,$FB$205^A140,IF(A140='Données projet'!$A$218,'Données projet'!$B$218,FE139+FD140-FM139)))</f>
        <v>0</v>
      </c>
      <c r="FF140" s="125" t="e">
        <f aca="false">FE140*VLOOKUP('Données projet'!$B$16,Paramètres!$A$1:$I$89,3,0)*VLOOKUP('Données projet'!$B$16,Paramètres!$A$1:$I$89,5,0)</f>
        <v>#N/A</v>
      </c>
      <c r="FG140" s="117" t="e">
        <f aca="false">EXP(-1.0587+0.8836*LN(FF140)+0.284)</f>
        <v>#N/A</v>
      </c>
      <c r="FH140" s="128" t="e">
        <f aca="false">(FF140+FG140)*0.475*44/12</f>
        <v>#N/A</v>
      </c>
      <c r="FI140" s="120" t="e">
        <f aca="false">FH140+(EZ140+FA140)*44/12</f>
        <v>#N/A</v>
      </c>
      <c r="FJ140" s="120" t="e">
        <f aca="true">AVERAGE(OFFSET($FI$3,0,0,'Données projet'!$E$16+1,1))-AVERAGE(OFFSET($H$3,0,0,'Données projet'!$E$16+1,1))</f>
        <v>#N/A</v>
      </c>
      <c r="FK140" s="120" t="e">
        <f aca="false">$FK$3</f>
        <v>#N/A</v>
      </c>
      <c r="FL140" s="121" t="n">
        <f aca="false">IF(ISNA(VLOOKUP(A140,'Données projet'!$A$217:$I$237,3,0)),0,VLOOKUP(A140,'Données projet'!$A$217:$I$237,3,0))</f>
        <v>0</v>
      </c>
      <c r="FM140" s="121" t="n">
        <f aca="false">IF(ISNA(VLOOKUP(A140,'Données projet'!$A$217:$I$237,4,0)),0,VLOOKUP(A140,'Données projet'!$A$217:$I$237,4,0))</f>
        <v>0</v>
      </c>
      <c r="FN140" s="122" t="n">
        <f aca="false">IF(ISNA(VLOOKUP(A140,'Données projet'!$A$217:$I$237,5,0)),0%,VLOOKUP(A140,'Données projet'!$A$217:$I$237,5,0)*VLOOKUP('Données projet'!$B$16,Paramètres!$A$1:$I$89,7,0))</f>
        <v>0</v>
      </c>
      <c r="FO140" s="122" t="n">
        <f aca="false">IF(ISNA(VLOOKUP(A140,'Données projet'!$A$217:$I$237,6,0)),0%,VLOOKUP(A140,'Données projet'!$A$217:$I$237,6,0)*VLOOKUP('Données projet'!$B$16,Paramètres!$A$1:$I$89,7,0))</f>
        <v>0</v>
      </c>
      <c r="FP140" s="122" t="n">
        <f aca="false">IF(ISNA(VLOOKUP(A140,'Données projet'!$A$217:$I$237,7,0)),0%,VLOOKUP(A140,'Données projet'!$A$217:$I$237,7,0))</f>
        <v>0</v>
      </c>
      <c r="FQ140" s="129" t="e">
        <f aca="false">EXP(-LN(2)/35)*FQ139+(1-EXP(-LN(2)/35))/(LN(2)/35)*FM140*FN140*VLOOKUP('Données projet'!$B$16,Paramètres!$A$1:$I$89,3,0)*0.475*44/12</f>
        <v>#N/A</v>
      </c>
      <c r="FR140" s="129" t="e">
        <f aca="false">EXP(-LN(2)/25)*FR139+(1-EXP(-LN(2)/25))/(LN(2)/25)*Calculateur!FM140*Calculateur!FO140*VLOOKUP('Données projet'!$B$16,Paramètres!$A$1:$I$89,3,0)*0.475*44/12</f>
        <v>#N/A</v>
      </c>
      <c r="FS140" s="129" t="e">
        <f aca="false">EXP(-LN(2)/2)*FS139+(1-EXP(-LN(2)/2))/(LN(2)/2)*FM140*FP140*VLOOKUP('Données projet'!$B$16,Paramètres!$A$1:$I$89,3,0)*0.475*44/12</f>
        <v>#N/A</v>
      </c>
      <c r="FT140" s="130" t="e">
        <f aca="false">SUM(FQ140:FS140)</f>
        <v>#N/A</v>
      </c>
      <c r="FU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8" t="e">
        <f aca="false">VLOOKUP(A140,'Données projet'!$A$243:$I$263,2,0)</f>
        <v>#N/A</v>
      </c>
      <c r="FX140" s="118" t="e">
        <f aca="false">VLOOKUP(A140,'Données projet'!$A$243:$I$263,9,0)</f>
        <v>#N/A</v>
      </c>
      <c r="FY140" s="118" t="e">
        <f aca="false" t="array" ref="FY140:FY140">INDEX(FX:FX,MIN(IF(ISNUMBER(FX140:FX336),ROW(FX140:FX336),"")))</f>
        <v>#N/A</v>
      </c>
      <c r="FZ140" s="118" t="n">
        <f aca="false">IF('Données projet'!$A$244&gt;35,FZ139+FY140-GH139,IF(A140&lt;'Données projet'!$A$244,$FW$205^A140,IF(A140='Données projet'!$A$244,'Données projet'!$B$244,FZ139+FY140-GH139)))</f>
        <v>0</v>
      </c>
      <c r="GA140" s="125" t="e">
        <f aca="false">FZ140*VLOOKUP('Données projet'!$B$17,Paramètres!$A$1:$I$89,3,0)*VLOOKUP('Données projet'!$B$17,Paramètres!$A$1:$I$89,5,0)</f>
        <v>#N/A</v>
      </c>
      <c r="GB140" s="117" t="e">
        <f aca="false">EXP(-1.0587+0.8836*LN(GA140)+0.284)</f>
        <v>#N/A</v>
      </c>
      <c r="GC140" s="128" t="e">
        <f aca="false">(GA140+GB140)*0.475*44/12</f>
        <v>#N/A</v>
      </c>
      <c r="GD140" s="120" t="e">
        <f aca="false">GC140+(FU140+FV140)*44/12</f>
        <v>#N/A</v>
      </c>
      <c r="GE140" s="120" t="e">
        <f aca="true">AVERAGE(OFFSET($GD$3,0,0,'Données projet'!$E$17+1,1))-AVERAGE(OFFSET($H$3,0,0,'Données projet'!$E$17+1,1))</f>
        <v>#N/A</v>
      </c>
      <c r="GF140" s="120" t="e">
        <f aca="false">$GF$3</f>
        <v>#N/A</v>
      </c>
      <c r="GG140" s="121" t="n">
        <f aca="false">IF(ISNA(VLOOKUP(A140,'Données projet'!$A$243:$I$263,3,0)),0,VLOOKUP(A140,'Données projet'!$A$243:$I$263,3,0))</f>
        <v>0</v>
      </c>
      <c r="GH140" s="121" t="n">
        <f aca="false">IF(ISNA(VLOOKUP(A140,'Données projet'!$A$243:$I$263,4,0)),0,VLOOKUP(A140,'Données projet'!$A$243:$I$263,4,0))</f>
        <v>0</v>
      </c>
      <c r="GI140" s="122" t="n">
        <f aca="false">IF(ISNA(VLOOKUP(A140,'Données projet'!$A$243:$I$263,5,0)),0%,VLOOKUP(A140,'Données projet'!$A$243:$I$263,5,0)*VLOOKUP('Données projet'!$B$17,Paramètres!$A$1:$I$89,7,0))</f>
        <v>0</v>
      </c>
      <c r="GJ140" s="122" t="n">
        <f aca="false">IF(ISNA(VLOOKUP(A140,'Données projet'!$A$243:$I$263,6,0)),0%,VLOOKUP(A140,'Données projet'!$A$243:$I$263,6,0)*VLOOKUP('Données projet'!$B$17,Paramètres!$A$1:$I$89,7,0))</f>
        <v>0</v>
      </c>
      <c r="GK140" s="122" t="n">
        <f aca="false">IF(ISNA(VLOOKUP(A140,'Données projet'!$A$243:$I$263,7,0)),0%,VLOOKUP(A140,'Données projet'!$A$243:$I$263,7,0))</f>
        <v>0</v>
      </c>
      <c r="GL140" s="129" t="e">
        <f aca="false">EXP(-LN(2)/35)*GL139+(1-EXP(-LN(2)/35))/(LN(2)/35)*GH140*GI140*VLOOKUP('Données projet'!$B$17,Paramètres!$A$1:$I$89,3,0)*0.475*44/12</f>
        <v>#N/A</v>
      </c>
      <c r="GM140" s="129" t="e">
        <f aca="false">EXP(-LN(2)/25)*GM139+(1-EXP(-LN(2)/25))/(LN(2)/25)*Calculateur!GH140*Calculateur!GJ140*VLOOKUP('Données projet'!$B$17,Paramètres!$A$1:$I$89,3,0)*0.475*44/12</f>
        <v>#N/A</v>
      </c>
      <c r="GN140" s="129" t="e">
        <f aca="false">EXP(-LN(2)/2)*GN139+(1-EXP(-LN(2)/2))/(LN(2)/2)*GH140*GK140*VLOOKUP('Données projet'!$B$17,Paramètres!$A$1:$I$89,3,0)*0.475*44/12</f>
        <v>#N/A</v>
      </c>
      <c r="GO140" s="129" t="e">
        <f aca="false">SUM(GL140:GN140)</f>
        <v>#N/A</v>
      </c>
      <c r="GP140" s="126" t="n">
        <f aca="false"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8" t="n">
        <f aca="false"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8" t="e">
        <f aca="false">VLOOKUP(A140,'Données projet'!$A$269:$I$289,2,0)</f>
        <v>#N/A</v>
      </c>
      <c r="GS140" s="118" t="e">
        <f aca="false">VLOOKUP(A140,'Données projet'!$A$269:$I$289,9,0)</f>
        <v>#N/A</v>
      </c>
      <c r="GT140" s="118" t="e">
        <f aca="false" t="array" ref="GT140:GT140">INDEX(GS:GS,MIN(IF(ISNUMBER(GS140:GS336),ROW(GS140:GS336),"")))</f>
        <v>#N/A</v>
      </c>
      <c r="GU140" s="118" t="n">
        <f aca="false">IF('Données projet'!$A$270&gt;35,GU139+GT140-HC139,IF(A140&lt;'Données projet'!$A$270,$GR$205^A140,IF(A140='Données projet'!$A$270,'Données projet'!$B$270,GU139+GT140-HC139)))</f>
        <v>0</v>
      </c>
      <c r="GV140" s="125" t="e">
        <f aca="false">GU140*VLOOKUP('Données projet'!$B$18,Paramètres!$A$1:$I$89,3,0)*VLOOKUP('Données projet'!$B$18,Paramètres!$A$1:$I$89,5,0)</f>
        <v>#N/A</v>
      </c>
      <c r="GW140" s="117" t="e">
        <f aca="false">EXP(-1.0587+0.8836*LN(GV140)+0.284)</f>
        <v>#N/A</v>
      </c>
      <c r="GX140" s="128" t="e">
        <f aca="false">(GV140+GW140)*0.475*44/12</f>
        <v>#N/A</v>
      </c>
      <c r="GY140" s="120" t="e">
        <f aca="false">GX140+(GP140+GQ140)*44/12</f>
        <v>#N/A</v>
      </c>
      <c r="GZ140" s="120" t="e">
        <f aca="true">AVERAGE(OFFSET($GY$3,0,0,'Données projet'!$E$18+1,1))-AVERAGE(OFFSET($H$3,0,0,'Données projet'!$E$18+1,1))</f>
        <v>#N/A</v>
      </c>
      <c r="HA140" s="120" t="e">
        <f aca="false">$HA$3</f>
        <v>#N/A</v>
      </c>
      <c r="HB140" s="121" t="n">
        <f aca="false">IF(ISNA(VLOOKUP(A140,'Données projet'!$A$269:$I$289,3,0)),0,VLOOKUP(A140,'Données projet'!$A$269:$I$289,3,0))</f>
        <v>0</v>
      </c>
      <c r="HC140" s="121" t="n">
        <f aca="false">IF(ISNA(VLOOKUP(A140,'Données projet'!$A$269:$I$289,4,0)),0,VLOOKUP(A140,'Données projet'!$A$269:$I$289,4,0))</f>
        <v>0</v>
      </c>
      <c r="HD140" s="122" t="n">
        <f aca="false">IF(ISNA(VLOOKUP(A140,'Données projet'!$A$269:$I$289,5,0)),0%,VLOOKUP(A140,'Données projet'!$A$269:$I$289,5,0)*VLOOKUP('Données projet'!$B$18,Paramètres!$A$1:$I$89,7,0))</f>
        <v>0</v>
      </c>
      <c r="HE140" s="122" t="n">
        <f aca="false">IF(ISNA(VLOOKUP(A140,'Données projet'!$A$269:$I$289,6,0)),0%,VLOOKUP(A140,'Données projet'!$A$269:$I$289,6,0)*VLOOKUP('Données projet'!$B$18,Paramètres!$A$1:$I$89,7,0))</f>
        <v>0</v>
      </c>
      <c r="HF140" s="122" t="n">
        <f aca="false">IF(ISNA(VLOOKUP(A140,'Données projet'!$A$269:$I$289,7,0)),0%,VLOOKUP(A140,'Données projet'!$A$269:$I$289,7,0))</f>
        <v>0</v>
      </c>
      <c r="HG140" s="129" t="e">
        <f aca="false">EXP(-LN(2)/35)*HG139+(1-EXP(-LN(2)/35))/(LN(2)/35)*HC140*HD140*VLOOKUP('Données projet'!$B$18,Paramètres!$A$1:$I$89,3,0)*0.475*44/12</f>
        <v>#N/A</v>
      </c>
      <c r="HH140" s="129" t="e">
        <f aca="false">EXP(-LN(2)/25)*HH139+(1-EXP(-LN(2)/25))/(LN(2)/25)*Calculateur!HC140*Calculateur!HE140*VLOOKUP('Données projet'!$B$18,Paramètres!$A$1:$I$89,3,0)*0.475*44/12</f>
        <v>#N/A</v>
      </c>
      <c r="HI140" s="129" t="e">
        <f aca="false">EXP(-LN(2)/2)*HI139+(1-EXP(-LN(2)/2))/(LN(2)/2)*HC140*HF140*VLOOKUP('Données projet'!$B$18,Paramètres!$A$1:$I$89,3,0)*0.475*44/12</f>
        <v>#N/A</v>
      </c>
      <c r="HJ140" s="130" t="e">
        <f aca="false">SUM(HG140:HI140)</f>
        <v>#N/A</v>
      </c>
    </row>
    <row r="141" customFormat="false" ht="14.25" hidden="false" customHeight="false" outlineLevel="0" collapsed="false">
      <c r="A141" s="112" t="n">
        <f aca="false">A140+1</f>
        <v>138</v>
      </c>
      <c r="B141" s="113" t="n">
        <f aca="false">'Scénario référence'!$B$16*5+'Scénario référence'!$B$17*0+'Scénario référence'!$B$18*5</f>
        <v>0</v>
      </c>
      <c r="C141" s="127" t="n">
        <f aca="false"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4" t="n">
        <f aca="false">IFERROR(EXP(-1.0587+0.8836*LN(C141)+0.284),0)</f>
        <v>0</v>
      </c>
      <c r="E14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1" s="114" t="n">
        <f aca="false">IF(OR('Scénario référence'!$F$8&gt;0,'Scénario référence'!$F$9&gt;0),('Scénario référence'!$F$8+'Scénario référence'!$F$9)*10,0)</f>
        <v>0</v>
      </c>
      <c r="G141" s="114" t="n">
        <f aca="false"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15" t="n">
        <f aca="false">(B141+E141+F141)*44/12+(C141+D141)*0.475*44/12</f>
        <v>256.666666666667</v>
      </c>
      <c r="I141" s="11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7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8" t="e">
        <f aca="false">VLOOKUP(A141,'Données projet'!$A$35:$I$55,2,0)</f>
        <v>#N/A</v>
      </c>
      <c r="L141" s="118" t="e">
        <f aca="false">VLOOKUP(A141,'Données projet'!$A$35:$I$55,9,0)</f>
        <v>#N/A</v>
      </c>
      <c r="M141" s="118" t="e">
        <f aca="false" t="array" ref="M141:M141">INDEX(L:L,MIN(IF(ISNUMBER(L141:L337),ROW(L141:L337),"")))</f>
        <v>#N/A</v>
      </c>
      <c r="N141" s="117" t="n">
        <f aca="false">IF('Données projet'!$A$36&gt;35,N140+M141-V140,IF(A141&lt;'Données projet'!$A$36,$K$205^A141,IF(A141='Données projet'!$A$36,'Données projet'!$B$36,N140+M141-V140)))</f>
        <v>-1.13686837721616E-013</v>
      </c>
      <c r="O141" s="117" t="n">
        <f aca="false">N141*VLOOKUP('Données projet'!$B$9,Paramètres!$A$1:$I$89,3,0)*VLOOKUP('Données projet'!$B$9,Paramètres!$A$1:$I$89,5,0)</f>
        <v>-5.32054400537163E-014</v>
      </c>
      <c r="P141" s="117" t="e">
        <f aca="false">EXP(-1.0587+0.8836*LN(O141)+0.284)</f>
        <v>#VALUE!</v>
      </c>
      <c r="Q141" s="128" t="e">
        <f aca="false">(O141+P141)*0.475*44/12</f>
        <v>#VALUE!</v>
      </c>
      <c r="R141" s="120" t="e">
        <f aca="false">Q141+(I141+J141)*44/12</f>
        <v>#VALUE!</v>
      </c>
      <c r="S141" s="120" t="n">
        <f aca="true">AVERAGE(OFFSET($R$3,0,0,'Données projet'!$E$9+1,1))-AVERAGE(OFFSET($H$3,0,0,'Données projet'!$E$9+1,1))</f>
        <v>319.229030946746</v>
      </c>
      <c r="T141" s="120" t="n">
        <f aca="false">$T$3</f>
        <v>254.586909731428</v>
      </c>
      <c r="U141" s="121" t="n">
        <f aca="false">IF(ISNA(VLOOKUP(A141,'Données projet'!$A$35:$I$55,3,0)),0,VLOOKUP(A141,'Données projet'!$A$35:$I$55,3,0))</f>
        <v>0</v>
      </c>
      <c r="V141" s="121" t="n">
        <f aca="false">IF(ISNA(VLOOKUP(A141,'Données projet'!$A$35:$I$55,4,0)),0,VLOOKUP(A141,'Données projet'!$A$35:$I$55,4,0))</f>
        <v>0</v>
      </c>
      <c r="W141" s="122" t="n">
        <f aca="false">IF(ISNA(VLOOKUP(A141,'Données projet'!$A$35:$I$55,5,0)),0%,VLOOKUP(A141,'Données projet'!$A$35:$I$55,5,0)*VLOOKUP('Données projet'!$B$9,Paramètres!$A$1:$I$89,7,0))</f>
        <v>0</v>
      </c>
      <c r="X141" s="122" t="n">
        <f aca="false">IF(ISNA(VLOOKUP(A141,'Données projet'!$A$35:$I$55,6,0)),0%,VLOOKUP(A141,'Données projet'!$A$35:$I$55,6,0)*VLOOKUP('Données projet'!$B$9,Paramètres!$A$1:$I$89,7,0))</f>
        <v>0</v>
      </c>
      <c r="Y141" s="122" t="n">
        <f aca="false">IF(ISNA(VLOOKUP(A141,'Données projet'!$A$35:$I$55,7,0)),0%,VLOOKUP(A141,'Données projet'!$A$35:$I$55,7,0))</f>
        <v>0</v>
      </c>
      <c r="Z141" s="129" t="n">
        <f aca="false">EXP(-LN(2)/35)*Z140+(1-EXP(-LN(2)/35))/(LN(2)/35)*V141*W141*VLOOKUP('Données projet'!$B$9,Paramètres!$A$1:$I$89,3,0)*0.475*44/12</f>
        <v>1.06907931483083</v>
      </c>
      <c r="AA141" s="129" t="n">
        <f aca="false">EXP(-LN(2)/25)*AA140+(1-EXP(-LN(2)/25))/(LN(2)/25)*Calculateur!V141*Calculateur!X141*VLOOKUP('Données projet'!$B$9,Paramètres!$A$1:$I$89,3,0)*0.475*44/12</f>
        <v>0.558311670059155</v>
      </c>
      <c r="AB141" s="129" t="n">
        <f aca="false">EXP(-LN(2)/2)*AB140+(1-EXP(-LN(2)/2))/(LN(2)/2)*V141*Y141*VLOOKUP('Données projet'!$B$9,Paramètres!$A$1:$I$89,3,0)*0.475*44/12</f>
        <v>6.13016784201028E-016</v>
      </c>
      <c r="AC141" s="130" t="n">
        <f aca="false">SUM(Z141:AB141)</f>
        <v>1.62739098488999</v>
      </c>
      <c r="AD141" s="117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7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8" t="e">
        <f aca="false">VLOOKUP(A141,'Données projet'!$A$61:$I$81,2,0)</f>
        <v>#N/A</v>
      </c>
      <c r="AG141" s="118" t="e">
        <f aca="false">VLOOKUP(A141,'Données projet'!$A$61:$I$81,9,0)</f>
        <v>#N/A</v>
      </c>
      <c r="AH141" s="118" t="e">
        <f aca="false" t="array" ref="AH141:AH141">INDEX(AG:AG,MIN(IF(ISNUMBER(AG141:AG337),ROW(AG141:AG337),"")))</f>
        <v>#N/A</v>
      </c>
      <c r="AI141" s="117" t="n">
        <f aca="false">IF('Données projet'!$A$62&gt;35,AI140+AH141-AQ140,IF(A141&lt;'Données projet'!$A$62,$AF$205^A141,IF(A141='Données projet'!$A$62,'Données projet'!$B$62,AI140+AH141-AQ140)))</f>
        <v>1.13686837721616E-013</v>
      </c>
      <c r="AJ141" s="117" t="n">
        <f aca="false">AI141*VLOOKUP('Données projet'!$B$10,Paramètres!$A$1:$I$89,3,0)*VLOOKUP('Données projet'!$B$10,Paramètres!$A$1:$I$89,5,0)</f>
        <v>6.35509422863834E-014</v>
      </c>
      <c r="AK141" s="117" t="n">
        <f aca="false">EXP(-1.0587+0.8836*LN(AJ141)+0.284)</f>
        <v>1.0064464192544E-012</v>
      </c>
      <c r="AL141" s="128" t="n">
        <f aca="false">(AJ141+AK141)*0.475*44/12</f>
        <v>1.86357873801686E-012</v>
      </c>
      <c r="AM141" s="120" t="n">
        <f aca="false">AL141+(AD141+AE141)*44/12</f>
        <v>293.333333333335</v>
      </c>
      <c r="AN141" s="120" t="n">
        <f aca="true">AVERAGE(OFFSET($AM$3,0,0,'Données projet'!$E$10+1,1))-AVERAGE(OFFSET($H$3,0,0,'Données projet'!$E$10+1,1))</f>
        <v>365.705101827279</v>
      </c>
      <c r="AO141" s="120" t="n">
        <f aca="false">$AO$3</f>
        <v>436.238338449625</v>
      </c>
      <c r="AP141" s="121" t="n">
        <f aca="false">IF(ISNA(VLOOKUP(A141,'Données projet'!$A$61:$I$81,3,0)),0,VLOOKUP(A141,'Données projet'!$A$61:$I$81,3,0))</f>
        <v>0</v>
      </c>
      <c r="AQ141" s="121" t="n">
        <f aca="false">IF(ISNA(VLOOKUP(A141,'Données projet'!$A$61:$I$81,4,0)),0,VLOOKUP(A141,'Données projet'!$A$61:$I$81,4,0))</f>
        <v>0</v>
      </c>
      <c r="AR141" s="122" t="n">
        <f aca="false">IF(ISNA(VLOOKUP(A141,'Données projet'!$A$61:$I$81,5,0)),0%,VLOOKUP(A141,'Données projet'!$A$61:$I$81,5,0)*VLOOKUP('Données projet'!$B$10,Paramètres!$A$1:$I$89,7,0))</f>
        <v>0</v>
      </c>
      <c r="AS141" s="122" t="n">
        <f aca="false">IF(ISNA(VLOOKUP(A141,'Données projet'!$A$61:$I$81,6,0)),0%,VLOOKUP(A141,'Données projet'!$A$61:$I$81,6,0)*VLOOKUP('Données projet'!$B$10,Paramètres!$A$1:$I$89,7,0))</f>
        <v>0</v>
      </c>
      <c r="AT141" s="122" t="n">
        <f aca="false">IF(ISNA(VLOOKUP(A141,'Données projet'!$A$61:$I$81,7,0)),0%,VLOOKUP(A141,'Données projet'!$A$61:$I$81,7,0))</f>
        <v>0</v>
      </c>
      <c r="AU141" s="129" t="n">
        <f aca="false">EXP(-LN(2)/35)*AU140+(1-EXP(-LN(2)/35))/(LN(2)/35)*AQ141*AR141*VLOOKUP('Données projet'!$B$10,Paramètres!$A$1:$I$89,3,0)*0.475*44/12</f>
        <v>0.40354278029021</v>
      </c>
      <c r="AV141" s="129" t="n">
        <f aca="false">EXP(-LN(2)/25)*AV140+(1-EXP(-LN(2)/25))/(LN(2)/25)*Calculateur!AQ141*Calculateur!AS141*VLOOKUP('Données projet'!$B$10,Paramètres!$A$1:$I$89,3,0)*0.475*44/12</f>
        <v>0.66128998534179</v>
      </c>
      <c r="AW141" s="129" t="n">
        <f aca="false">EXP(-LN(2)/2)*AW140+(1-EXP(-LN(2)/2))/(LN(2)/2)*AQ141*AT141*VLOOKUP('Données projet'!$B$10,Paramètres!$A$1:$I$89,3,0)*0.475*44/12</f>
        <v>3.29906473565999E-016</v>
      </c>
      <c r="AX141" s="129" t="n">
        <f aca="false">SUM(AU141:AW141)</f>
        <v>1.064832765632</v>
      </c>
      <c r="AY141" s="124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8" t="e">
        <f aca="false">VLOOKUP(A141,'Données projet'!$A$87:$I$107,2,0)</f>
        <v>#N/A</v>
      </c>
      <c r="BB141" s="118" t="e">
        <f aca="false">VLOOKUP(A141,'Données projet'!$A$87:$I$107,9,0)</f>
        <v>#N/A</v>
      </c>
      <c r="BC141" s="118" t="e">
        <f aca="false" t="array" ref="BC141:BC141">INDEX(BB:BB,MIN(IF(ISNUMBER(BB141:BB337),ROW(BB141:BB337),"")))</f>
        <v>#N/A</v>
      </c>
      <c r="BD141" s="118" t="n">
        <f aca="false">IF('Données projet'!$A$88&gt;35,BD140+BC141-BL140,IF(A141&lt;'Données projet'!$A$88,$BA$205^A141,IF(A141='Données projet'!$A$88,'Données projet'!$B$88,BD140+BC141-BL140)))</f>
        <v>1.98951966012828E-013</v>
      </c>
      <c r="BE141" s="117" t="n">
        <f aca="false">BD141*VLOOKUP('Données projet'!$B$11,Paramètres!$A$1:$I$89,3,0)*VLOOKUP('Données projet'!$B$11,Paramètres!$A$1:$I$89,5,0)</f>
        <v>1.73804437508807E-013</v>
      </c>
      <c r="BF141" s="117" t="n">
        <f aca="false">EXP(-1.0587+0.8836*LN(BE141)+0.284)</f>
        <v>2.44832936339505E-012</v>
      </c>
      <c r="BG141" s="128" t="n">
        <f aca="false">(BE141+BF141)*0.475*44/12</f>
        <v>4.56688303657421E-012</v>
      </c>
      <c r="BH141" s="120" t="n">
        <f aca="false">BG141+(AY141+AZ141)*44/12</f>
        <v>293.333333333338</v>
      </c>
      <c r="BI141" s="120" t="n">
        <f aca="true">AVERAGE(OFFSET($BH$3,0,0,'Données projet'!$E$11+1,1))-AVERAGE(OFFSET($H$3,0,0,'Données projet'!$E$11+1,1))</f>
        <v>321.235999689929</v>
      </c>
      <c r="BJ141" s="120" t="n">
        <f aca="false">$BJ$3</f>
        <v>388.051958478005</v>
      </c>
      <c r="BK141" s="121" t="n">
        <f aca="false">IF(ISNA(VLOOKUP(A141,'Données projet'!$A$87:$I$107,3,0)),0,VLOOKUP(A141,'Données projet'!$A$87:$I$107,3,0))</f>
        <v>0</v>
      </c>
      <c r="BL141" s="121" t="n">
        <f aca="false">IF(ISNA(VLOOKUP(A141,'Données projet'!$A$87:$I$107,4,0)),0,VLOOKUP(A141,'Données projet'!$A$87:$I$107,4,0))</f>
        <v>0</v>
      </c>
      <c r="BM141" s="122" t="n">
        <f aca="false">IF(ISNA(VLOOKUP(A141,'Données projet'!$A$87:$I$107,5,0)),0%,VLOOKUP(A141,'Données projet'!$A$87:$I$107,5,0)*VLOOKUP('Données projet'!$B$11,Paramètres!$A$1:$I$89,7,0))</f>
        <v>0</v>
      </c>
      <c r="BN141" s="122" t="n">
        <f aca="false">IF(ISNA(VLOOKUP(A141,'Données projet'!$A$87:$I$107,6,0)),0%,VLOOKUP(A141,'Données projet'!$A$87:$I$107,6,0)*VLOOKUP('Données projet'!$B$11,Paramètres!$A$1:$I$89,7,0))</f>
        <v>0</v>
      </c>
      <c r="BO141" s="122" t="n">
        <f aca="false">IF(ISNA(VLOOKUP(A141,'Données projet'!$A$87:$I$107,7,0)),0%,VLOOKUP(A141,'Données projet'!$A$87:$I$107,7,0))</f>
        <v>0</v>
      </c>
      <c r="BP141" s="129" t="n">
        <f aca="false">EXP(-LN(2)/35)*BP140+(1-EXP(-LN(2)/35))/(LN(2)/35)*BL141*BM141*VLOOKUP('Données projet'!$B$11,Paramètres!$A$1:$I$89,3,0)*0.475*44/12</f>
        <v>1.01314312062219</v>
      </c>
      <c r="BQ141" s="129" t="n">
        <f aca="false">EXP(-LN(2)/25)*BQ140+(1-EXP(-LN(2)/25))/(LN(2)/25)*Calculateur!BL141*Calculateur!BN141*VLOOKUP('Données projet'!$B$11,Paramètres!$A$1:$I$89,3,0)*0.475*44/12</f>
        <v>0.675005538840226</v>
      </c>
      <c r="BR141" s="129" t="n">
        <f aca="false">EXP(-LN(2)/2)*BR140+(1-EXP(-LN(2)/2))/(LN(2)/2)*BL141*BO141*VLOOKUP('Données projet'!$B$11,Paramètres!$A$1:$I$89,3,0)*0.475*44/12</f>
        <v>3.35343073159785E-016</v>
      </c>
      <c r="BS141" s="130" t="n">
        <f aca="false">SUM(BP141:BR141)</f>
        <v>1.68814865946242</v>
      </c>
      <c r="BT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8" t="e">
        <f aca="false">VLOOKUP(A141,'Données projet'!$A$113:$I$133,2,0)</f>
        <v>#N/A</v>
      </c>
      <c r="BW141" s="118" t="e">
        <f aca="false">VLOOKUP(A141,'Données projet'!$A$113:$I$133,9,0)</f>
        <v>#N/A</v>
      </c>
      <c r="BX141" s="118" t="e">
        <f aca="false" t="array" ref="BX141:BX141">INDEX(BW:BW,MIN(IF(ISNUMBER(BW141:BW337),ROW(BW141:BW337),"")))</f>
        <v>#N/A</v>
      </c>
      <c r="BY141" s="118" t="n">
        <f aca="false">IF('Données projet'!$A$114&gt;35,BY140+BX141-CG140,IF(A141&lt;'Données projet'!$A$114,$BV$205^A141,IF(A141='Données projet'!$A$114,'Données projet'!$B$114,BY140+BX141-CG140)))</f>
        <v>0</v>
      </c>
      <c r="BZ141" s="117" t="n">
        <f aca="false">BY141*VLOOKUP('Données projet'!$B$12,Paramètres!$A$1:$I$89,3,0)*VLOOKUP('Données projet'!$B$12,Paramètres!$A$1:$I$89,5,0)</f>
        <v>0</v>
      </c>
      <c r="CA141" s="117" t="e">
        <f aca="false">EXP(-1.0587+0.8836*LN(BZ141)+0.284)</f>
        <v>#VALUE!</v>
      </c>
      <c r="CB141" s="128" t="e">
        <f aca="false">(BZ141+CA141)*0.475*44/12</f>
        <v>#VALUE!</v>
      </c>
      <c r="CC141" s="120" t="e">
        <f aca="false">CB141+(BT141+BU141)*44/12</f>
        <v>#VALUE!</v>
      </c>
      <c r="CD141" s="120" t="n">
        <f aca="true">AVERAGE(OFFSET($CC$3,0,0,'Données projet'!$E$12+1,1))-AVERAGE(OFFSET($H$3,0,0,'Données projet'!$E$12+1,1))</f>
        <v>240.228848647662</v>
      </c>
      <c r="CE141" s="120" t="n">
        <f aca="false">$CE$3</f>
        <v>343.237768841432</v>
      </c>
      <c r="CF141" s="121" t="n">
        <f aca="false">IF(ISNA(VLOOKUP(A141,'Données projet'!$A$113:$I$133,3,0)),0,VLOOKUP(A141,'Données projet'!$A$113:$I$133,3,0))</f>
        <v>0</v>
      </c>
      <c r="CG141" s="121" t="n">
        <f aca="false">IF(ISNA(VLOOKUP(A141,'Données projet'!$A$113:$I$133,4,0)),0,VLOOKUP(A141,'Données projet'!$A$113:$I$133,4,0))</f>
        <v>0</v>
      </c>
      <c r="CH141" s="122" t="n">
        <f aca="false">IF(ISNA(VLOOKUP(A141,'Données projet'!$A$113:$I$133,5,0)),0%,VLOOKUP(A141,'Données projet'!$A$113:$I$133,5,0)*VLOOKUP('Données projet'!$B$12,Paramètres!$A$1:$I$89,7,0))</f>
        <v>0</v>
      </c>
      <c r="CI141" s="122" t="n">
        <f aca="false">IF(ISNA(VLOOKUP(A141,'Données projet'!$A$113:$I$133,6,0)),0%,VLOOKUP(A141,'Données projet'!$A$113:$I$133,6,0)*VLOOKUP('Données projet'!$B$12,Paramètres!$A$1:$I$89,7,0))</f>
        <v>0</v>
      </c>
      <c r="CJ141" s="122" t="n">
        <f aca="false">IF(ISNA(VLOOKUP(A141,'Données projet'!$A$113:$I$133,7,0)),0%,VLOOKUP(A141,'Données projet'!$A$113:$I$133,7,0))</f>
        <v>0</v>
      </c>
      <c r="CK141" s="129" t="n">
        <f aca="false">EXP(-LN(2)/35)*CK140+(1-EXP(-LN(2)/35))/(LN(2)/35)*CG141*CH141*VLOOKUP('Données projet'!$B$12,Paramètres!$A$1:$I$89,3,0)*0.475*44/12</f>
        <v>0.620122520723827</v>
      </c>
      <c r="CL141" s="129" t="n">
        <f aca="false">EXP(-LN(2)/25)*CL140+(1-EXP(-LN(2)/25))/(LN(2)/25)*Calculateur!CG141*Calculateur!CI141*VLOOKUP('Données projet'!$B$12,Paramètres!$A$1:$I$89,3,0)*0.475*44/12</f>
        <v>1.19209885758599</v>
      </c>
      <c r="CM141" s="129" t="n">
        <f aca="false">EXP(-LN(2)/2)*CM140+(1-EXP(-LN(2)/2))/(LN(2)/2)*CG141*CJ141*VLOOKUP('Données projet'!$B$12,Paramètres!$A$1:$I$89,3,0)*0.475*44/12</f>
        <v>5.35118142350955E-016</v>
      </c>
      <c r="CN141" s="130" t="n">
        <f aca="false">SUM(CK141:CM141)</f>
        <v>1.81222137830982</v>
      </c>
      <c r="CO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8" t="e">
        <f aca="false">VLOOKUP(A141,'Données projet'!$A$139:$I$159,2,0)</f>
        <v>#N/A</v>
      </c>
      <c r="CR141" s="118" t="e">
        <f aca="false">VLOOKUP(A141,'Données projet'!$A$139:$I$159,9,0)</f>
        <v>#N/A</v>
      </c>
      <c r="CS141" s="118" t="e">
        <f aca="false" t="array" ref="CS141:CS141">INDEX(CR:CR,MIN(IF(ISNUMBER(CR141:CR337),ROW(CR141:CR337),"")))</f>
        <v>#N/A</v>
      </c>
      <c r="CT141" s="118" t="n">
        <f aca="false">IF('Données projet'!$A$140&gt;35,CT140+CS141-DB140,IF(A141&lt;'Données projet'!$A$140,$CQ$205^A141,IF(A141='Données projet'!$A$140,'Données projet'!$B$140,CT140+CS141-DB140)))</f>
        <v>-5.6843418860808E-014</v>
      </c>
      <c r="CU141" s="125" t="n">
        <f aca="false">CT141*VLOOKUP('Données projet'!$B$13,Paramètres!$A$1:$I$89,3,0)*VLOOKUP('Données projet'!$B$13,Paramètres!$A$1:$I$89,5,0)</f>
        <v>-3.10365066980012E-014</v>
      </c>
      <c r="CV141" s="117" t="e">
        <f aca="false">EXP(-1.0587+0.8836*LN(CU141)+0.284)</f>
        <v>#VALUE!</v>
      </c>
      <c r="CW141" s="128" t="e">
        <f aca="false">(CU141+CV141)*0.475*44/12</f>
        <v>#VALUE!</v>
      </c>
      <c r="CX141" s="120" t="e">
        <f aca="false">CW141+(CO141+CP141)*44/12</f>
        <v>#VALUE!</v>
      </c>
      <c r="CY141" s="120" t="n">
        <f aca="true">AVERAGE(OFFSET($CX$3,0,0,'Données projet'!$E$13+1,1))-AVERAGE(OFFSET($H$3,0,0,'Données projet'!$E$13+1,1))</f>
        <v>207.023069645676</v>
      </c>
      <c r="CZ141" s="120" t="n">
        <f aca="false">$CZ$3</f>
        <v>342.068879333518</v>
      </c>
      <c r="DA141" s="121" t="n">
        <f aca="false">IF(ISNA(VLOOKUP(A141,'Données projet'!$A$139:$I$159,3,0)),0,VLOOKUP(A141,'Données projet'!$A$139:$I$159,3,0))</f>
        <v>0</v>
      </c>
      <c r="DB141" s="121" t="n">
        <f aca="false">IF(ISNA(VLOOKUP(A141,'Données projet'!$A$139:$I$159,4,0)),0,VLOOKUP(A141,'Données projet'!$A$139:$I$159,4,0))</f>
        <v>0</v>
      </c>
      <c r="DC141" s="122" t="n">
        <f aca="false">IF(ISNA(VLOOKUP(A141,'Données projet'!$A$139:$I$159,5,0)),0%,VLOOKUP(A141,'Données projet'!$A$139:$I$159,5,0)*VLOOKUP('Données projet'!$B$13,Paramètres!$A$1:$I$89,7,0))</f>
        <v>0</v>
      </c>
      <c r="DD141" s="122" t="n">
        <f aca="false">IF(ISNA(VLOOKUP(A141,'Données projet'!$A$139:$I$159,6,0)),0%,VLOOKUP(A141,'Données projet'!$A$139:$I$159,6,0)*VLOOKUP('Données projet'!$B$13,Paramètres!$A$1:$I$89,7,0))</f>
        <v>0</v>
      </c>
      <c r="DE141" s="122" t="n">
        <f aca="false">IF(ISNA(VLOOKUP(A141,'Données projet'!$A$139:$I$159,7,0)),0%,VLOOKUP(A141,'Données projet'!$A$139:$I$159,7,0))</f>
        <v>0</v>
      </c>
      <c r="DF141" s="129" t="n">
        <f aca="false">EXP(-LN(2)/35)*DF140+(1-EXP(-LN(2)/35))/(LN(2)/35)*DB141*DC141*VLOOKUP('Données projet'!$B$13,Paramètres!$A$1:$I$89,3,0)*0.475*44/12</f>
        <v>0.778078257134613</v>
      </c>
      <c r="DG141" s="129" t="n">
        <f aca="false">EXP(-LN(2)/25)*DG140+(1-EXP(-LN(2)/25))/(LN(2)/25)*Calculateur!DB141*Calculateur!DD141*VLOOKUP('Données projet'!$B$13,Paramètres!$A$1:$I$89,3,0)*0.475*44/12</f>
        <v>1.9485851362988</v>
      </c>
      <c r="DH141" s="129" t="n">
        <f aca="false">EXP(-LN(2)/2)*DH140+(1-EXP(-LN(2)/2))/(LN(2)/2)*DB141*DE141*VLOOKUP('Données projet'!$B$13,Paramètres!$A$1:$I$89,3,0)*0.475*44/12</f>
        <v>7.36857930111514E-016</v>
      </c>
      <c r="DI141" s="130" t="n">
        <f aca="false">SUM(DF141:DH141)</f>
        <v>2.72666339343342</v>
      </c>
      <c r="DJ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8" t="e">
        <f aca="false">VLOOKUP(A141,'Données projet'!$A$165:$I$185,2,0)</f>
        <v>#N/A</v>
      </c>
      <c r="DM141" s="118" t="e">
        <f aca="false">VLOOKUP(A141,'Données projet'!$A$165:$I$185,9,0)</f>
        <v>#N/A</v>
      </c>
      <c r="DN141" s="118" t="e">
        <f aca="false" t="array" ref="DN141:DN141">INDEX(DM:DM,MIN(IF(ISNUMBER(DM141:DM337),ROW(DM141:DM337),"")))</f>
        <v>#N/A</v>
      </c>
      <c r="DO141" s="118" t="n">
        <f aca="false">IF('Données projet'!$A$166&gt;35,DO140+DN141-DW140,IF(A141&lt;'Données projet'!$A$166,$DL$205^A141,IF(A141='Données projet'!$A$166,'Données projet'!$B$166,DO140+DN141-DW140)))</f>
        <v>0</v>
      </c>
      <c r="DP141" s="125" t="n">
        <f aca="false">DO141*VLOOKUP('Données projet'!$B$14,Paramètres!$A$1:$I$89,3,0)*VLOOKUP('Données projet'!$B$14,Paramètres!$A$1:$I$89,5,0)</f>
        <v>0</v>
      </c>
      <c r="DQ141" s="117" t="e">
        <f aca="false">EXP(-1.0587+0.8836*LN(DP141)+0.284)</f>
        <v>#VALUE!</v>
      </c>
      <c r="DR141" s="128" t="e">
        <f aca="false">(DP141+DQ141)*0.475*44/12</f>
        <v>#VALUE!</v>
      </c>
      <c r="DS141" s="120" t="e">
        <f aca="false">DR141+(DJ141+DK141)*44/12</f>
        <v>#VALUE!</v>
      </c>
      <c r="DT141" s="120" t="n">
        <f aca="true">AVERAGE(OFFSET($DS$3,0,0,'Données projet'!$E$14+1,1))-AVERAGE(OFFSET($H$3,0,0,'Données projet'!$E$14+1,1))</f>
        <v>549.432320957297</v>
      </c>
      <c r="DU141" s="120" t="n">
        <f aca="false">$DU$3</f>
        <v>280.26155987301</v>
      </c>
      <c r="DV141" s="121" t="n">
        <f aca="false">IF(ISNA(VLOOKUP(A141,'Données projet'!$A$165:$I$185,3,0)),0,VLOOKUP(A141,'Données projet'!$A$165:$I$185,3,0))</f>
        <v>0</v>
      </c>
      <c r="DW141" s="121" t="n">
        <f aca="false">IF(ISNA(VLOOKUP(A141,'Données projet'!$A$165:$I$185,4,0)),0,VLOOKUP(A141,'Données projet'!$A$165:$I$185,4,0))</f>
        <v>0</v>
      </c>
      <c r="DX141" s="122" t="n">
        <f aca="false">IF(ISNA(VLOOKUP(A141,'Données projet'!$A$165:$I$185,5,0)),0%,VLOOKUP(A141,'Données projet'!$A$165:$I$185,5,0)*VLOOKUP('Données projet'!$B$14,Paramètres!$A$1:$I$89,7,0))</f>
        <v>0</v>
      </c>
      <c r="DY141" s="122" t="n">
        <f aca="false">IF(ISNA(VLOOKUP(A141,'Données projet'!$A$165:$I$185,6,0)),0%,VLOOKUP(A141,'Données projet'!$A$165:$I$185,6,0)*VLOOKUP('Données projet'!$B$14,Paramètres!$A$1:$I$89,7,0))</f>
        <v>0</v>
      </c>
      <c r="DZ141" s="122" t="n">
        <f aca="false">IF(ISNA(VLOOKUP(A141,'Données projet'!$A$165:$I$185,7,0)),0%,VLOOKUP(A141,'Données projet'!$A$165:$I$185,7,0))</f>
        <v>0</v>
      </c>
      <c r="EA141" s="129" t="n">
        <f aca="false">EXP(-LN(2)/35)*EA140+(1-EXP(-LN(2)/35))/(LN(2)/35)*DW141*DX141*VLOOKUP('Données projet'!$B$14,Paramètres!$A$1:$I$89,3,0)*0.475*44/12</f>
        <v>0.282908386702795</v>
      </c>
      <c r="EB141" s="129" t="n">
        <f aca="false">EXP(-LN(2)/25)*EB140+(1-EXP(-LN(2)/25))/(LN(2)/25)*Calculateur!DW141*Calculateur!DY141*VLOOKUP('Données projet'!$B$14,Paramètres!$A$1:$I$89,3,0)*0.475*44/12</f>
        <v>0.388196604059742</v>
      </c>
      <c r="EC141" s="129" t="n">
        <f aca="false">EXP(-LN(2)/2)*EC140+(1-EXP(-LN(2)/2))/(LN(2)/2)*DW141*DZ141*VLOOKUP('Données projet'!$B$14,Paramètres!$A$1:$I$89,3,0)*0.475*44/12</f>
        <v>3.39676316771757E-016</v>
      </c>
      <c r="ED141" s="130" t="n">
        <f aca="false">SUM(EA141:EC141)</f>
        <v>0.671104990762536</v>
      </c>
      <c r="EE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8" t="e">
        <f aca="false">VLOOKUP(A141,'Données projet'!$A$191:$I$211,2,0)</f>
        <v>#N/A</v>
      </c>
      <c r="EH141" s="118" t="e">
        <f aca="false">VLOOKUP(A141,'Données projet'!$A$191:$I$211,9,0)</f>
        <v>#N/A</v>
      </c>
      <c r="EI141" s="118" t="e">
        <f aca="false" t="array" ref="EI141:EI141">INDEX(EH:EH,MIN(IF(ISNUMBER(EH141:EH337),ROW(EH141:EH337),"")))</f>
        <v>#N/A</v>
      </c>
      <c r="EJ141" s="118" t="n">
        <f aca="false">IF('Données projet'!$A$192&gt;35,EJ140+EI141-ER140,IF(A141&lt;'Données projet'!$A$192,$EG$205^A141,IF(A141='Données projet'!$A$192,'Données projet'!$B$192,EJ140+EI141-ER140)))</f>
        <v>0</v>
      </c>
      <c r="EK141" s="125" t="e">
        <f aca="false">EJ141*VLOOKUP('Données projet'!$B$15,Paramètres!$A$1:$I$89,3,0)*VLOOKUP('Données projet'!$B$15,Paramètres!$A$1:$I$89,5,0)</f>
        <v>#N/A</v>
      </c>
      <c r="EL141" s="117" t="e">
        <f aca="false">EXP(-1.0587+0.8836*LN(EK141)+0.284)</f>
        <v>#N/A</v>
      </c>
      <c r="EM141" s="128" t="e">
        <f aca="false">(EK141+EL141)*0.475*44/12</f>
        <v>#N/A</v>
      </c>
      <c r="EN141" s="120" t="e">
        <f aca="false">EM141+(EE141+EF141)*44/12</f>
        <v>#N/A</v>
      </c>
      <c r="EO141" s="120" t="e">
        <f aca="true">AVERAGE(OFFSET($EN$3,0,0,'Données projet'!$E$15+1,1))-AVERAGE(OFFSET($H$3,0,0,'Données projet'!$E$15+1,1))</f>
        <v>#N/A</v>
      </c>
      <c r="EP141" s="120" t="e">
        <f aca="false">$EP$3</f>
        <v>#N/A</v>
      </c>
      <c r="EQ141" s="121" t="n">
        <f aca="false">IF(ISNA(VLOOKUP(A141,'Données projet'!$A$191:$I$211,3,0)),0,VLOOKUP(A141,'Données projet'!$A$191:$I$211,3,0))</f>
        <v>0</v>
      </c>
      <c r="ER141" s="121" t="n">
        <f aca="false">IF(ISNA(VLOOKUP(A141,'Données projet'!$A$191:$I$211,4,0)),0,VLOOKUP(A141,'Données projet'!$A$191:$I$211,4,0))</f>
        <v>0</v>
      </c>
      <c r="ES141" s="122" t="n">
        <f aca="false">IF(ISNA(VLOOKUP(A141,'Données projet'!$A$191:$I$211,5,0)),0%,VLOOKUP(A141,'Données projet'!$A$191:$I$211,5,0)*VLOOKUP('Données projet'!$B$15,Paramètres!$A$1:$I$89,7,0))</f>
        <v>0</v>
      </c>
      <c r="ET141" s="122" t="n">
        <f aca="false">IF(ISNA(VLOOKUP(A141,'Données projet'!$A$191:$I$211,6,0)),0%,VLOOKUP(A141,'Données projet'!$A$191:$I$211,6,0)*VLOOKUP('Données projet'!$B$15,Paramètres!$A$1:$I$89,7,0))</f>
        <v>0</v>
      </c>
      <c r="EU141" s="122" t="n">
        <f aca="false">IF(ISNA(VLOOKUP(A141,'Données projet'!$A$191:$I$211,7,0)),0%,VLOOKUP(A141,'Données projet'!$A$191:$I$211,7,0))</f>
        <v>0</v>
      </c>
      <c r="EV141" s="129" t="e">
        <f aca="false">EXP(-LN(2)/35)*EV140+(1-EXP(-LN(2)/35))/(LN(2)/35)*ER141*ES141*VLOOKUP('Données projet'!$B$15,Paramètres!$A$1:$I$89,3,0)*0.475*44/12</f>
        <v>#N/A</v>
      </c>
      <c r="EW141" s="129" t="e">
        <f aca="false">EXP(-LN(2)/25)*EW140+(1-EXP(-LN(2)/25))/(LN(2)/25)*Calculateur!ER141*Calculateur!ET141*VLOOKUP('Données projet'!$B$15,Paramètres!$A$1:$I$89,3,0)*0.475*44/12</f>
        <v>#N/A</v>
      </c>
      <c r="EX141" s="129" t="e">
        <f aca="false">EXP(-LN(2)/2)*EX140+(1-EXP(-LN(2)/2))/(LN(2)/2)*ER141*EU141*VLOOKUP('Données projet'!$B$15,Paramètres!$A$1:$I$89,3,0)*0.475*44/12</f>
        <v>#N/A</v>
      </c>
      <c r="EY141" s="130" t="e">
        <f aca="false">SUM(EV141:EX141)</f>
        <v>#N/A</v>
      </c>
      <c r="EZ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8" t="e">
        <f aca="false">VLOOKUP(A141,'Données projet'!$A$217:$I$237,2,0)</f>
        <v>#N/A</v>
      </c>
      <c r="FC141" s="118" t="e">
        <f aca="false">VLOOKUP(A141,'Données projet'!$A$217:$I$237,9,0)</f>
        <v>#N/A</v>
      </c>
      <c r="FD141" s="118" t="e">
        <f aca="false" t="array" ref="FD141:FD141">INDEX(FC:FC,MIN(IF(ISNUMBER(FC141:FC337),ROW(FC141:FC337),"")))</f>
        <v>#N/A</v>
      </c>
      <c r="FE141" s="118" t="n">
        <f aca="false">IF('Données projet'!$A$218&gt;35,FE140+FD141-FM140,IF(A141&lt;'Données projet'!$A$218,$FB$205^A141,IF(A141='Données projet'!$A$218,'Données projet'!$B$218,FE140+FD141-FM140)))</f>
        <v>0</v>
      </c>
      <c r="FF141" s="125" t="e">
        <f aca="false">FE141*VLOOKUP('Données projet'!$B$16,Paramètres!$A$1:$I$89,3,0)*VLOOKUP('Données projet'!$B$16,Paramètres!$A$1:$I$89,5,0)</f>
        <v>#N/A</v>
      </c>
      <c r="FG141" s="117" t="e">
        <f aca="false">EXP(-1.0587+0.8836*LN(FF141)+0.284)</f>
        <v>#N/A</v>
      </c>
      <c r="FH141" s="128" t="e">
        <f aca="false">(FF141+FG141)*0.475*44/12</f>
        <v>#N/A</v>
      </c>
      <c r="FI141" s="120" t="e">
        <f aca="false">FH141+(EZ141+FA141)*44/12</f>
        <v>#N/A</v>
      </c>
      <c r="FJ141" s="120" t="e">
        <f aca="true">AVERAGE(OFFSET($FI$3,0,0,'Données projet'!$E$16+1,1))-AVERAGE(OFFSET($H$3,0,0,'Données projet'!$E$16+1,1))</f>
        <v>#N/A</v>
      </c>
      <c r="FK141" s="120" t="e">
        <f aca="false">$FK$3</f>
        <v>#N/A</v>
      </c>
      <c r="FL141" s="121" t="n">
        <f aca="false">IF(ISNA(VLOOKUP(A141,'Données projet'!$A$217:$I$237,3,0)),0,VLOOKUP(A141,'Données projet'!$A$217:$I$237,3,0))</f>
        <v>0</v>
      </c>
      <c r="FM141" s="121" t="n">
        <f aca="false">IF(ISNA(VLOOKUP(A141,'Données projet'!$A$217:$I$237,4,0)),0,VLOOKUP(A141,'Données projet'!$A$217:$I$237,4,0))</f>
        <v>0</v>
      </c>
      <c r="FN141" s="122" t="n">
        <f aca="false">IF(ISNA(VLOOKUP(A141,'Données projet'!$A$217:$I$237,5,0)),0%,VLOOKUP(A141,'Données projet'!$A$217:$I$237,5,0)*VLOOKUP('Données projet'!$B$16,Paramètres!$A$1:$I$89,7,0))</f>
        <v>0</v>
      </c>
      <c r="FO141" s="122" t="n">
        <f aca="false">IF(ISNA(VLOOKUP(A141,'Données projet'!$A$217:$I$237,6,0)),0%,VLOOKUP(A141,'Données projet'!$A$217:$I$237,6,0)*VLOOKUP('Données projet'!$B$16,Paramètres!$A$1:$I$89,7,0))</f>
        <v>0</v>
      </c>
      <c r="FP141" s="122" t="n">
        <f aca="false">IF(ISNA(VLOOKUP(A141,'Données projet'!$A$217:$I$237,7,0)),0%,VLOOKUP(A141,'Données projet'!$A$217:$I$237,7,0))</f>
        <v>0</v>
      </c>
      <c r="FQ141" s="129" t="e">
        <f aca="false">EXP(-LN(2)/35)*FQ140+(1-EXP(-LN(2)/35))/(LN(2)/35)*FM141*FN141*VLOOKUP('Données projet'!$B$16,Paramètres!$A$1:$I$89,3,0)*0.475*44/12</f>
        <v>#N/A</v>
      </c>
      <c r="FR141" s="129" t="e">
        <f aca="false">EXP(-LN(2)/25)*FR140+(1-EXP(-LN(2)/25))/(LN(2)/25)*Calculateur!FM141*Calculateur!FO141*VLOOKUP('Données projet'!$B$16,Paramètres!$A$1:$I$89,3,0)*0.475*44/12</f>
        <v>#N/A</v>
      </c>
      <c r="FS141" s="129" t="e">
        <f aca="false">EXP(-LN(2)/2)*FS140+(1-EXP(-LN(2)/2))/(LN(2)/2)*FM141*FP141*VLOOKUP('Données projet'!$B$16,Paramètres!$A$1:$I$89,3,0)*0.475*44/12</f>
        <v>#N/A</v>
      </c>
      <c r="FT141" s="130" t="e">
        <f aca="false">SUM(FQ141:FS141)</f>
        <v>#N/A</v>
      </c>
      <c r="FU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8" t="e">
        <f aca="false">VLOOKUP(A141,'Données projet'!$A$243:$I$263,2,0)</f>
        <v>#N/A</v>
      </c>
      <c r="FX141" s="118" t="e">
        <f aca="false">VLOOKUP(A141,'Données projet'!$A$243:$I$263,9,0)</f>
        <v>#N/A</v>
      </c>
      <c r="FY141" s="118" t="e">
        <f aca="false" t="array" ref="FY141:FY141">INDEX(FX:FX,MIN(IF(ISNUMBER(FX141:FX337),ROW(FX141:FX337),"")))</f>
        <v>#N/A</v>
      </c>
      <c r="FZ141" s="118" t="n">
        <f aca="false">IF('Données projet'!$A$244&gt;35,FZ140+FY141-GH140,IF(A141&lt;'Données projet'!$A$244,$FW$205^A141,IF(A141='Données projet'!$A$244,'Données projet'!$B$244,FZ140+FY141-GH140)))</f>
        <v>0</v>
      </c>
      <c r="GA141" s="125" t="e">
        <f aca="false">FZ141*VLOOKUP('Données projet'!$B$17,Paramètres!$A$1:$I$89,3,0)*VLOOKUP('Données projet'!$B$17,Paramètres!$A$1:$I$89,5,0)</f>
        <v>#N/A</v>
      </c>
      <c r="GB141" s="117" t="e">
        <f aca="false">EXP(-1.0587+0.8836*LN(GA141)+0.284)</f>
        <v>#N/A</v>
      </c>
      <c r="GC141" s="128" t="e">
        <f aca="false">(GA141+GB141)*0.475*44/12</f>
        <v>#N/A</v>
      </c>
      <c r="GD141" s="120" t="e">
        <f aca="false">GC141+(FU141+FV141)*44/12</f>
        <v>#N/A</v>
      </c>
      <c r="GE141" s="120" t="e">
        <f aca="true">AVERAGE(OFFSET($GD$3,0,0,'Données projet'!$E$17+1,1))-AVERAGE(OFFSET($H$3,0,0,'Données projet'!$E$17+1,1))</f>
        <v>#N/A</v>
      </c>
      <c r="GF141" s="120" t="e">
        <f aca="false">$GF$3</f>
        <v>#N/A</v>
      </c>
      <c r="GG141" s="121" t="n">
        <f aca="false">IF(ISNA(VLOOKUP(A141,'Données projet'!$A$243:$I$263,3,0)),0,VLOOKUP(A141,'Données projet'!$A$243:$I$263,3,0))</f>
        <v>0</v>
      </c>
      <c r="GH141" s="121" t="n">
        <f aca="false">IF(ISNA(VLOOKUP(A141,'Données projet'!$A$243:$I$263,4,0)),0,VLOOKUP(A141,'Données projet'!$A$243:$I$263,4,0))</f>
        <v>0</v>
      </c>
      <c r="GI141" s="122" t="n">
        <f aca="false">IF(ISNA(VLOOKUP(A141,'Données projet'!$A$243:$I$263,5,0)),0%,VLOOKUP(A141,'Données projet'!$A$243:$I$263,5,0)*VLOOKUP('Données projet'!$B$17,Paramètres!$A$1:$I$89,7,0))</f>
        <v>0</v>
      </c>
      <c r="GJ141" s="122" t="n">
        <f aca="false">IF(ISNA(VLOOKUP(A141,'Données projet'!$A$243:$I$263,6,0)),0%,VLOOKUP(A141,'Données projet'!$A$243:$I$263,6,0)*VLOOKUP('Données projet'!$B$17,Paramètres!$A$1:$I$89,7,0))</f>
        <v>0</v>
      </c>
      <c r="GK141" s="122" t="n">
        <f aca="false">IF(ISNA(VLOOKUP(A141,'Données projet'!$A$243:$I$263,7,0)),0%,VLOOKUP(A141,'Données projet'!$A$243:$I$263,7,0))</f>
        <v>0</v>
      </c>
      <c r="GL141" s="129" t="e">
        <f aca="false">EXP(-LN(2)/35)*GL140+(1-EXP(-LN(2)/35))/(LN(2)/35)*GH141*GI141*VLOOKUP('Données projet'!$B$17,Paramètres!$A$1:$I$89,3,0)*0.475*44/12</f>
        <v>#N/A</v>
      </c>
      <c r="GM141" s="129" t="e">
        <f aca="false">EXP(-LN(2)/25)*GM140+(1-EXP(-LN(2)/25))/(LN(2)/25)*Calculateur!GH141*Calculateur!GJ141*VLOOKUP('Données projet'!$B$17,Paramètres!$A$1:$I$89,3,0)*0.475*44/12</f>
        <v>#N/A</v>
      </c>
      <c r="GN141" s="129" t="e">
        <f aca="false">EXP(-LN(2)/2)*GN140+(1-EXP(-LN(2)/2))/(LN(2)/2)*GH141*GK141*VLOOKUP('Données projet'!$B$17,Paramètres!$A$1:$I$89,3,0)*0.475*44/12</f>
        <v>#N/A</v>
      </c>
      <c r="GO141" s="129" t="e">
        <f aca="false">SUM(GL141:GN141)</f>
        <v>#N/A</v>
      </c>
      <c r="GP141" s="126" t="n">
        <f aca="false"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8" t="n">
        <f aca="false"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8" t="e">
        <f aca="false">VLOOKUP(A141,'Données projet'!$A$269:$I$289,2,0)</f>
        <v>#N/A</v>
      </c>
      <c r="GS141" s="118" t="e">
        <f aca="false">VLOOKUP(A141,'Données projet'!$A$269:$I$289,9,0)</f>
        <v>#N/A</v>
      </c>
      <c r="GT141" s="118" t="e">
        <f aca="false" t="array" ref="GT141:GT141">INDEX(GS:GS,MIN(IF(ISNUMBER(GS141:GS337),ROW(GS141:GS337),"")))</f>
        <v>#N/A</v>
      </c>
      <c r="GU141" s="118" t="n">
        <f aca="false">IF('Données projet'!$A$270&gt;35,GU140+GT141-HC140,IF(A141&lt;'Données projet'!$A$270,$GR$205^A141,IF(A141='Données projet'!$A$270,'Données projet'!$B$270,GU140+GT141-HC140)))</f>
        <v>0</v>
      </c>
      <c r="GV141" s="125" t="e">
        <f aca="false">GU141*VLOOKUP('Données projet'!$B$18,Paramètres!$A$1:$I$89,3,0)*VLOOKUP('Données projet'!$B$18,Paramètres!$A$1:$I$89,5,0)</f>
        <v>#N/A</v>
      </c>
      <c r="GW141" s="117" t="e">
        <f aca="false">EXP(-1.0587+0.8836*LN(GV141)+0.284)</f>
        <v>#N/A</v>
      </c>
      <c r="GX141" s="128" t="e">
        <f aca="false">(GV141+GW141)*0.475*44/12</f>
        <v>#N/A</v>
      </c>
      <c r="GY141" s="120" t="e">
        <f aca="false">GX141+(GP141+GQ141)*44/12</f>
        <v>#N/A</v>
      </c>
      <c r="GZ141" s="120" t="e">
        <f aca="true">AVERAGE(OFFSET($GY$3,0,0,'Données projet'!$E$18+1,1))-AVERAGE(OFFSET($H$3,0,0,'Données projet'!$E$18+1,1))</f>
        <v>#N/A</v>
      </c>
      <c r="HA141" s="120" t="e">
        <f aca="false">$HA$3</f>
        <v>#N/A</v>
      </c>
      <c r="HB141" s="121" t="n">
        <f aca="false">IF(ISNA(VLOOKUP(A141,'Données projet'!$A$269:$I$289,3,0)),0,VLOOKUP(A141,'Données projet'!$A$269:$I$289,3,0))</f>
        <v>0</v>
      </c>
      <c r="HC141" s="121" t="n">
        <f aca="false">IF(ISNA(VLOOKUP(A141,'Données projet'!$A$269:$I$289,4,0)),0,VLOOKUP(A141,'Données projet'!$A$269:$I$289,4,0))</f>
        <v>0</v>
      </c>
      <c r="HD141" s="122" t="n">
        <f aca="false">IF(ISNA(VLOOKUP(A141,'Données projet'!$A$269:$I$289,5,0)),0%,VLOOKUP(A141,'Données projet'!$A$269:$I$289,5,0)*VLOOKUP('Données projet'!$B$18,Paramètres!$A$1:$I$89,7,0))</f>
        <v>0</v>
      </c>
      <c r="HE141" s="122" t="n">
        <f aca="false">IF(ISNA(VLOOKUP(A141,'Données projet'!$A$269:$I$289,6,0)),0%,VLOOKUP(A141,'Données projet'!$A$269:$I$289,6,0)*VLOOKUP('Données projet'!$B$18,Paramètres!$A$1:$I$89,7,0))</f>
        <v>0</v>
      </c>
      <c r="HF141" s="122" t="n">
        <f aca="false">IF(ISNA(VLOOKUP(A141,'Données projet'!$A$269:$I$289,7,0)),0%,VLOOKUP(A141,'Données projet'!$A$269:$I$289,7,0))</f>
        <v>0</v>
      </c>
      <c r="HG141" s="129" t="e">
        <f aca="false">EXP(-LN(2)/35)*HG140+(1-EXP(-LN(2)/35))/(LN(2)/35)*HC141*HD141*VLOOKUP('Données projet'!$B$18,Paramètres!$A$1:$I$89,3,0)*0.475*44/12</f>
        <v>#N/A</v>
      </c>
      <c r="HH141" s="129" t="e">
        <f aca="false">EXP(-LN(2)/25)*HH140+(1-EXP(-LN(2)/25))/(LN(2)/25)*Calculateur!HC141*Calculateur!HE141*VLOOKUP('Données projet'!$B$18,Paramètres!$A$1:$I$89,3,0)*0.475*44/12</f>
        <v>#N/A</v>
      </c>
      <c r="HI141" s="129" t="e">
        <f aca="false">EXP(-LN(2)/2)*HI140+(1-EXP(-LN(2)/2))/(LN(2)/2)*HC141*HF141*VLOOKUP('Données projet'!$B$18,Paramètres!$A$1:$I$89,3,0)*0.475*44/12</f>
        <v>#N/A</v>
      </c>
      <c r="HJ141" s="130" t="e">
        <f aca="false">SUM(HG141:HI141)</f>
        <v>#N/A</v>
      </c>
    </row>
    <row r="142" customFormat="false" ht="14.25" hidden="false" customHeight="false" outlineLevel="0" collapsed="false">
      <c r="A142" s="112" t="n">
        <f aca="false">A141+1</f>
        <v>139</v>
      </c>
      <c r="B142" s="113" t="n">
        <f aca="false">'Scénario référence'!$B$16*5+'Scénario référence'!$B$17*0+'Scénario référence'!$B$18*5</f>
        <v>0</v>
      </c>
      <c r="C142" s="127" t="n">
        <f aca="false"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4" t="n">
        <f aca="false">IFERROR(EXP(-1.0587+0.8836*LN(C142)+0.284),0)</f>
        <v>0</v>
      </c>
      <c r="E14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2" s="114" t="n">
        <f aca="false">IF(OR('Scénario référence'!$F$8&gt;0,'Scénario référence'!$F$9&gt;0),('Scénario référence'!$F$8+'Scénario référence'!$F$9)*10,0)</f>
        <v>0</v>
      </c>
      <c r="G142" s="114" t="n">
        <f aca="false"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15" t="n">
        <f aca="false">(B142+E142+F142)*44/12+(C142+D142)*0.475*44/12</f>
        <v>256.666666666667</v>
      </c>
      <c r="I142" s="11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7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8" t="e">
        <f aca="false">VLOOKUP(A142,'Données projet'!$A$35:$I$55,2,0)</f>
        <v>#N/A</v>
      </c>
      <c r="L142" s="118" t="e">
        <f aca="false">VLOOKUP(A142,'Données projet'!$A$35:$I$55,9,0)</f>
        <v>#N/A</v>
      </c>
      <c r="M142" s="118" t="e">
        <f aca="false" t="array" ref="M142:M142">INDEX(L:L,MIN(IF(ISNUMBER(L142:L338),ROW(L142:L338),"")))</f>
        <v>#N/A</v>
      </c>
      <c r="N142" s="117" t="n">
        <f aca="false">IF('Données projet'!$A$36&gt;35,N141+M142-V141,IF(A142&lt;'Données projet'!$A$36,$K$205^A142,IF(A142='Données projet'!$A$36,'Données projet'!$B$36,N141+M142-V141)))</f>
        <v>-1.13686837721616E-013</v>
      </c>
      <c r="O142" s="117" t="n">
        <f aca="false">N142*VLOOKUP('Données projet'!$B$9,Paramètres!$A$1:$I$89,3,0)*VLOOKUP('Données projet'!$B$9,Paramètres!$A$1:$I$89,5,0)</f>
        <v>-5.32054400537163E-014</v>
      </c>
      <c r="P142" s="117" t="e">
        <f aca="false">EXP(-1.0587+0.8836*LN(O142)+0.284)</f>
        <v>#VALUE!</v>
      </c>
      <c r="Q142" s="128" t="e">
        <f aca="false">(O142+P142)*0.475*44/12</f>
        <v>#VALUE!</v>
      </c>
      <c r="R142" s="120" t="e">
        <f aca="false">Q142+(I142+J142)*44/12</f>
        <v>#VALUE!</v>
      </c>
      <c r="S142" s="120" t="n">
        <f aca="true">AVERAGE(OFFSET($R$3,0,0,'Données projet'!$E$9+1,1))-AVERAGE(OFFSET($H$3,0,0,'Données projet'!$E$9+1,1))</f>
        <v>319.229030946746</v>
      </c>
      <c r="T142" s="120" t="n">
        <f aca="false">$T$3</f>
        <v>254.586909731428</v>
      </c>
      <c r="U142" s="121" t="n">
        <f aca="false">IF(ISNA(VLOOKUP(A142,'Données projet'!$A$35:$I$55,3,0)),0,VLOOKUP(A142,'Données projet'!$A$35:$I$55,3,0))</f>
        <v>0</v>
      </c>
      <c r="V142" s="121" t="n">
        <f aca="false">IF(ISNA(VLOOKUP(A142,'Données projet'!$A$35:$I$55,4,0)),0,VLOOKUP(A142,'Données projet'!$A$35:$I$55,4,0))</f>
        <v>0</v>
      </c>
      <c r="W142" s="122" t="n">
        <f aca="false">IF(ISNA(VLOOKUP(A142,'Données projet'!$A$35:$I$55,5,0)),0%,VLOOKUP(A142,'Données projet'!$A$35:$I$55,5,0)*VLOOKUP('Données projet'!$B$9,Paramètres!$A$1:$I$89,7,0))</f>
        <v>0</v>
      </c>
      <c r="X142" s="122" t="n">
        <f aca="false">IF(ISNA(VLOOKUP(A142,'Données projet'!$A$35:$I$55,6,0)),0%,VLOOKUP(A142,'Données projet'!$A$35:$I$55,6,0)*VLOOKUP('Données projet'!$B$9,Paramètres!$A$1:$I$89,7,0))</f>
        <v>0</v>
      </c>
      <c r="Y142" s="122" t="n">
        <f aca="false">IF(ISNA(VLOOKUP(A142,'Données projet'!$A$35:$I$55,7,0)),0%,VLOOKUP(A142,'Données projet'!$A$35:$I$55,7,0))</f>
        <v>0</v>
      </c>
      <c r="Z142" s="129" t="n">
        <f aca="false">EXP(-LN(2)/35)*Z141+(1-EXP(-LN(2)/35))/(LN(2)/35)*V142*W142*VLOOKUP('Données projet'!$B$9,Paramètres!$A$1:$I$89,3,0)*0.475*44/12</f>
        <v>1.04811532154099</v>
      </c>
      <c r="AA142" s="129" t="n">
        <f aca="false">EXP(-LN(2)/25)*AA141+(1-EXP(-LN(2)/25))/(LN(2)/25)*Calculateur!V142*Calculateur!X142*VLOOKUP('Données projet'!$B$9,Paramètres!$A$1:$I$89,3,0)*0.475*44/12</f>
        <v>0.543044608081053</v>
      </c>
      <c r="AB142" s="129" t="n">
        <f aca="false">EXP(-LN(2)/2)*AB141+(1-EXP(-LN(2)/2))/(LN(2)/2)*V142*Y142*VLOOKUP('Données projet'!$B$9,Paramètres!$A$1:$I$89,3,0)*0.475*44/12</f>
        <v>4.33468325089718E-016</v>
      </c>
      <c r="AC142" s="130" t="n">
        <f aca="false">SUM(Z142:AB142)</f>
        <v>1.59115992962205</v>
      </c>
      <c r="AD142" s="117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7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8" t="e">
        <f aca="false">VLOOKUP(A142,'Données projet'!$A$61:$I$81,2,0)</f>
        <v>#N/A</v>
      </c>
      <c r="AG142" s="118" t="e">
        <f aca="false">VLOOKUP(A142,'Données projet'!$A$61:$I$81,9,0)</f>
        <v>#N/A</v>
      </c>
      <c r="AH142" s="118" t="e">
        <f aca="false" t="array" ref="AH142:AH142">INDEX(AG:AG,MIN(IF(ISNUMBER(AG142:AG338),ROW(AG142:AG338),"")))</f>
        <v>#N/A</v>
      </c>
      <c r="AI142" s="117" t="n">
        <f aca="false">IF('Données projet'!$A$62&gt;35,AI141+AH142-AQ141,IF(A142&lt;'Données projet'!$A$62,$AF$205^A142,IF(A142='Données projet'!$A$62,'Données projet'!$B$62,AI141+AH142-AQ141)))</f>
        <v>1.13686837721616E-013</v>
      </c>
      <c r="AJ142" s="117" t="n">
        <f aca="false">AI142*VLOOKUP('Données projet'!$B$10,Paramètres!$A$1:$I$89,3,0)*VLOOKUP('Données projet'!$B$10,Paramètres!$A$1:$I$89,5,0)</f>
        <v>6.35509422863834E-014</v>
      </c>
      <c r="AK142" s="117" t="n">
        <f aca="false">EXP(-1.0587+0.8836*LN(AJ142)+0.284)</f>
        <v>1.0064464192544E-012</v>
      </c>
      <c r="AL142" s="128" t="n">
        <f aca="false">(AJ142+AK142)*0.475*44/12</f>
        <v>1.86357873801686E-012</v>
      </c>
      <c r="AM142" s="120" t="n">
        <f aca="false">AL142+(AD142+AE142)*44/12</f>
        <v>293.333333333335</v>
      </c>
      <c r="AN142" s="120" t="n">
        <f aca="true">AVERAGE(OFFSET($AM$3,0,0,'Données projet'!$E$10+1,1))-AVERAGE(OFFSET($H$3,0,0,'Données projet'!$E$10+1,1))</f>
        <v>365.705101827279</v>
      </c>
      <c r="AO142" s="120" t="n">
        <f aca="false">$AO$3</f>
        <v>436.238338449625</v>
      </c>
      <c r="AP142" s="121" t="n">
        <f aca="false">IF(ISNA(VLOOKUP(A142,'Données projet'!$A$61:$I$81,3,0)),0,VLOOKUP(A142,'Données projet'!$A$61:$I$81,3,0))</f>
        <v>0</v>
      </c>
      <c r="AQ142" s="121" t="n">
        <f aca="false">IF(ISNA(VLOOKUP(A142,'Données projet'!$A$61:$I$81,4,0)),0,VLOOKUP(A142,'Données projet'!$A$61:$I$81,4,0))</f>
        <v>0</v>
      </c>
      <c r="AR142" s="122" t="n">
        <f aca="false">IF(ISNA(VLOOKUP(A142,'Données projet'!$A$61:$I$81,5,0)),0%,VLOOKUP(A142,'Données projet'!$A$61:$I$81,5,0)*VLOOKUP('Données projet'!$B$10,Paramètres!$A$1:$I$89,7,0))</f>
        <v>0</v>
      </c>
      <c r="AS142" s="122" t="n">
        <f aca="false">IF(ISNA(VLOOKUP(A142,'Données projet'!$A$61:$I$81,6,0)),0%,VLOOKUP(A142,'Données projet'!$A$61:$I$81,6,0)*VLOOKUP('Données projet'!$B$10,Paramètres!$A$1:$I$89,7,0))</f>
        <v>0</v>
      </c>
      <c r="AT142" s="122" t="n">
        <f aca="false">IF(ISNA(VLOOKUP(A142,'Données projet'!$A$61:$I$81,7,0)),0%,VLOOKUP(A142,'Données projet'!$A$61:$I$81,7,0))</f>
        <v>0</v>
      </c>
      <c r="AU142" s="129" t="n">
        <f aca="false">EXP(-LN(2)/35)*AU141+(1-EXP(-LN(2)/35))/(LN(2)/35)*AQ142*AR142*VLOOKUP('Données projet'!$B$10,Paramètres!$A$1:$I$89,3,0)*0.475*44/12</f>
        <v>0.395629552505511</v>
      </c>
      <c r="AV142" s="129" t="n">
        <f aca="false">EXP(-LN(2)/25)*AV141+(1-EXP(-LN(2)/25))/(LN(2)/25)*Calculateur!AQ142*Calculateur!AS142*VLOOKUP('Données projet'!$B$10,Paramètres!$A$1:$I$89,3,0)*0.475*44/12</f>
        <v>0.64320697591689</v>
      </c>
      <c r="AW142" s="129" t="n">
        <f aca="false">EXP(-LN(2)/2)*AW141+(1-EXP(-LN(2)/2))/(LN(2)/2)*AQ142*AT142*VLOOKUP('Données projet'!$B$10,Paramètres!$A$1:$I$89,3,0)*0.475*44/12</f>
        <v>2.33279104615858E-016</v>
      </c>
      <c r="AX142" s="129" t="n">
        <f aca="false">SUM(AU142:AW142)</f>
        <v>1.0388365284224</v>
      </c>
      <c r="AY142" s="124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8" t="e">
        <f aca="false">VLOOKUP(A142,'Données projet'!$A$87:$I$107,2,0)</f>
        <v>#N/A</v>
      </c>
      <c r="BB142" s="118" t="e">
        <f aca="false">VLOOKUP(A142,'Données projet'!$A$87:$I$107,9,0)</f>
        <v>#N/A</v>
      </c>
      <c r="BC142" s="118" t="e">
        <f aca="false" t="array" ref="BC142:BC142">INDEX(BB:BB,MIN(IF(ISNUMBER(BB142:BB338),ROW(BB142:BB338),"")))</f>
        <v>#N/A</v>
      </c>
      <c r="BD142" s="118" t="n">
        <f aca="false">IF('Données projet'!$A$88&gt;35,BD141+BC142-BL141,IF(A142&lt;'Données projet'!$A$88,$BA$205^A142,IF(A142='Données projet'!$A$88,'Données projet'!$B$88,BD141+BC142-BL141)))</f>
        <v>1.98951966012828E-013</v>
      </c>
      <c r="BE142" s="117" t="n">
        <f aca="false">BD142*VLOOKUP('Données projet'!$B$11,Paramètres!$A$1:$I$89,3,0)*VLOOKUP('Données projet'!$B$11,Paramètres!$A$1:$I$89,5,0)</f>
        <v>1.73804437508807E-013</v>
      </c>
      <c r="BF142" s="117" t="n">
        <f aca="false">EXP(-1.0587+0.8836*LN(BE142)+0.284)</f>
        <v>2.44832936339505E-012</v>
      </c>
      <c r="BG142" s="128" t="n">
        <f aca="false">(BE142+BF142)*0.475*44/12</f>
        <v>4.56688303657421E-012</v>
      </c>
      <c r="BH142" s="120" t="n">
        <f aca="false">BG142+(AY142+AZ142)*44/12</f>
        <v>293.333333333338</v>
      </c>
      <c r="BI142" s="120" t="n">
        <f aca="true">AVERAGE(OFFSET($BH$3,0,0,'Données projet'!$E$11+1,1))-AVERAGE(OFFSET($H$3,0,0,'Données projet'!$E$11+1,1))</f>
        <v>321.235999689929</v>
      </c>
      <c r="BJ142" s="120" t="n">
        <f aca="false">$BJ$3</f>
        <v>388.051958478005</v>
      </c>
      <c r="BK142" s="121" t="n">
        <f aca="false">IF(ISNA(VLOOKUP(A142,'Données projet'!$A$87:$I$107,3,0)),0,VLOOKUP(A142,'Données projet'!$A$87:$I$107,3,0))</f>
        <v>0</v>
      </c>
      <c r="BL142" s="121" t="n">
        <f aca="false">IF(ISNA(VLOOKUP(A142,'Données projet'!$A$87:$I$107,4,0)),0,VLOOKUP(A142,'Données projet'!$A$87:$I$107,4,0))</f>
        <v>0</v>
      </c>
      <c r="BM142" s="122" t="n">
        <f aca="false">IF(ISNA(VLOOKUP(A142,'Données projet'!$A$87:$I$107,5,0)),0%,VLOOKUP(A142,'Données projet'!$A$87:$I$107,5,0)*VLOOKUP('Données projet'!$B$11,Paramètres!$A$1:$I$89,7,0))</f>
        <v>0</v>
      </c>
      <c r="BN142" s="122" t="n">
        <f aca="false">IF(ISNA(VLOOKUP(A142,'Données projet'!$A$87:$I$107,6,0)),0%,VLOOKUP(A142,'Données projet'!$A$87:$I$107,6,0)*VLOOKUP('Données projet'!$B$11,Paramètres!$A$1:$I$89,7,0))</f>
        <v>0</v>
      </c>
      <c r="BO142" s="122" t="n">
        <f aca="false">IF(ISNA(VLOOKUP(A142,'Données projet'!$A$87:$I$107,7,0)),0%,VLOOKUP(A142,'Données projet'!$A$87:$I$107,7,0))</f>
        <v>0</v>
      </c>
      <c r="BP142" s="129" t="n">
        <f aca="false">EXP(-LN(2)/35)*BP141+(1-EXP(-LN(2)/35))/(LN(2)/35)*BL142*BM142*VLOOKUP('Données projet'!$B$11,Paramètres!$A$1:$I$89,3,0)*0.475*44/12</f>
        <v>0.993276001983073</v>
      </c>
      <c r="BQ142" s="129" t="n">
        <f aca="false">EXP(-LN(2)/25)*BQ141+(1-EXP(-LN(2)/25))/(LN(2)/25)*Calculateur!BL142*Calculateur!BN142*VLOOKUP('Données projet'!$B$11,Paramètres!$A$1:$I$89,3,0)*0.475*44/12</f>
        <v>0.656547476883642</v>
      </c>
      <c r="BR142" s="129" t="n">
        <f aca="false">EXP(-LN(2)/2)*BR141+(1-EXP(-LN(2)/2))/(LN(2)/2)*BL142*BO142*VLOOKUP('Données projet'!$B$11,Paramètres!$A$1:$I$89,3,0)*0.475*44/12</f>
        <v>2.3712336105522E-016</v>
      </c>
      <c r="BS142" s="130" t="n">
        <f aca="false">SUM(BP142:BR142)</f>
        <v>1.64982347886672</v>
      </c>
      <c r="BT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8" t="e">
        <f aca="false">VLOOKUP(A142,'Données projet'!$A$113:$I$133,2,0)</f>
        <v>#N/A</v>
      </c>
      <c r="BW142" s="118" t="e">
        <f aca="false">VLOOKUP(A142,'Données projet'!$A$113:$I$133,9,0)</f>
        <v>#N/A</v>
      </c>
      <c r="BX142" s="118" t="e">
        <f aca="false" t="array" ref="BX142:BX142">INDEX(BW:BW,MIN(IF(ISNUMBER(BW142:BW338),ROW(BW142:BW338),"")))</f>
        <v>#N/A</v>
      </c>
      <c r="BY142" s="118" t="n">
        <f aca="false">IF('Données projet'!$A$114&gt;35,BY141+BX142-CG141,IF(A142&lt;'Données projet'!$A$114,$BV$205^A142,IF(A142='Données projet'!$A$114,'Données projet'!$B$114,BY141+BX142-CG141)))</f>
        <v>0</v>
      </c>
      <c r="BZ142" s="117" t="n">
        <f aca="false">BY142*VLOOKUP('Données projet'!$B$12,Paramètres!$A$1:$I$89,3,0)*VLOOKUP('Données projet'!$B$12,Paramètres!$A$1:$I$89,5,0)</f>
        <v>0</v>
      </c>
      <c r="CA142" s="117" t="e">
        <f aca="false">EXP(-1.0587+0.8836*LN(BZ142)+0.284)</f>
        <v>#VALUE!</v>
      </c>
      <c r="CB142" s="128" t="e">
        <f aca="false">(BZ142+CA142)*0.475*44/12</f>
        <v>#VALUE!</v>
      </c>
      <c r="CC142" s="120" t="e">
        <f aca="false">CB142+(BT142+BU142)*44/12</f>
        <v>#VALUE!</v>
      </c>
      <c r="CD142" s="120" t="n">
        <f aca="true">AVERAGE(OFFSET($CC$3,0,0,'Données projet'!$E$12+1,1))-AVERAGE(OFFSET($H$3,0,0,'Données projet'!$E$12+1,1))</f>
        <v>240.228848647662</v>
      </c>
      <c r="CE142" s="120" t="n">
        <f aca="false">$CE$3</f>
        <v>343.237768841432</v>
      </c>
      <c r="CF142" s="121" t="n">
        <f aca="false">IF(ISNA(VLOOKUP(A142,'Données projet'!$A$113:$I$133,3,0)),0,VLOOKUP(A142,'Données projet'!$A$113:$I$133,3,0))</f>
        <v>0</v>
      </c>
      <c r="CG142" s="121" t="n">
        <f aca="false">IF(ISNA(VLOOKUP(A142,'Données projet'!$A$113:$I$133,4,0)),0,VLOOKUP(A142,'Données projet'!$A$113:$I$133,4,0))</f>
        <v>0</v>
      </c>
      <c r="CH142" s="122" t="n">
        <f aca="false">IF(ISNA(VLOOKUP(A142,'Données projet'!$A$113:$I$133,5,0)),0%,VLOOKUP(A142,'Données projet'!$A$113:$I$133,5,0)*VLOOKUP('Données projet'!$B$12,Paramètres!$A$1:$I$89,7,0))</f>
        <v>0</v>
      </c>
      <c r="CI142" s="122" t="n">
        <f aca="false">IF(ISNA(VLOOKUP(A142,'Données projet'!$A$113:$I$133,6,0)),0%,VLOOKUP(A142,'Données projet'!$A$113:$I$133,6,0)*VLOOKUP('Données projet'!$B$12,Paramètres!$A$1:$I$89,7,0))</f>
        <v>0</v>
      </c>
      <c r="CJ142" s="122" t="n">
        <f aca="false">IF(ISNA(VLOOKUP(A142,'Données projet'!$A$113:$I$133,7,0)),0%,VLOOKUP(A142,'Données projet'!$A$113:$I$133,7,0))</f>
        <v>0</v>
      </c>
      <c r="CK142" s="129" t="n">
        <f aca="false">EXP(-LN(2)/35)*CK141+(1-EXP(-LN(2)/35))/(LN(2)/35)*CG142*CH142*VLOOKUP('Données projet'!$B$12,Paramètres!$A$1:$I$89,3,0)*0.475*44/12</f>
        <v>0.607962296329823</v>
      </c>
      <c r="CL142" s="129" t="n">
        <f aca="false">EXP(-LN(2)/25)*CL141+(1-EXP(-LN(2)/25))/(LN(2)/25)*Calculateur!CG142*Calculateur!CI142*VLOOKUP('Données projet'!$B$12,Paramètres!$A$1:$I$89,3,0)*0.475*44/12</f>
        <v>1.15950085163555</v>
      </c>
      <c r="CM142" s="129" t="n">
        <f aca="false">EXP(-LN(2)/2)*CM141+(1-EXP(-LN(2)/2))/(LN(2)/2)*CG142*CJ142*VLOOKUP('Données projet'!$B$12,Paramètres!$A$1:$I$89,3,0)*0.475*44/12</f>
        <v>3.78385667192308E-016</v>
      </c>
      <c r="CN142" s="130" t="n">
        <f aca="false">SUM(CK142:CM142)</f>
        <v>1.76746314796537</v>
      </c>
      <c r="CO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8" t="e">
        <f aca="false">VLOOKUP(A142,'Données projet'!$A$139:$I$159,2,0)</f>
        <v>#N/A</v>
      </c>
      <c r="CR142" s="118" t="e">
        <f aca="false">VLOOKUP(A142,'Données projet'!$A$139:$I$159,9,0)</f>
        <v>#N/A</v>
      </c>
      <c r="CS142" s="118" t="e">
        <f aca="false" t="array" ref="CS142:CS142">INDEX(CR:CR,MIN(IF(ISNUMBER(CR142:CR338),ROW(CR142:CR338),"")))</f>
        <v>#N/A</v>
      </c>
      <c r="CT142" s="118" t="n">
        <f aca="false">IF('Données projet'!$A$140&gt;35,CT141+CS142-DB141,IF(A142&lt;'Données projet'!$A$140,$CQ$205^A142,IF(A142='Données projet'!$A$140,'Données projet'!$B$140,CT141+CS142-DB141)))</f>
        <v>-5.6843418860808E-014</v>
      </c>
      <c r="CU142" s="125" t="n">
        <f aca="false">CT142*VLOOKUP('Données projet'!$B$13,Paramètres!$A$1:$I$89,3,0)*VLOOKUP('Données projet'!$B$13,Paramètres!$A$1:$I$89,5,0)</f>
        <v>-3.10365066980012E-014</v>
      </c>
      <c r="CV142" s="117" t="e">
        <f aca="false">EXP(-1.0587+0.8836*LN(CU142)+0.284)</f>
        <v>#VALUE!</v>
      </c>
      <c r="CW142" s="128" t="e">
        <f aca="false">(CU142+CV142)*0.475*44/12</f>
        <v>#VALUE!</v>
      </c>
      <c r="CX142" s="120" t="e">
        <f aca="false">CW142+(CO142+CP142)*44/12</f>
        <v>#VALUE!</v>
      </c>
      <c r="CY142" s="120" t="n">
        <f aca="true">AVERAGE(OFFSET($CX$3,0,0,'Données projet'!$E$13+1,1))-AVERAGE(OFFSET($H$3,0,0,'Données projet'!$E$13+1,1))</f>
        <v>207.023069645676</v>
      </c>
      <c r="CZ142" s="120" t="n">
        <f aca="false">$CZ$3</f>
        <v>342.068879333518</v>
      </c>
      <c r="DA142" s="121" t="n">
        <f aca="false">IF(ISNA(VLOOKUP(A142,'Données projet'!$A$139:$I$159,3,0)),0,VLOOKUP(A142,'Données projet'!$A$139:$I$159,3,0))</f>
        <v>0</v>
      </c>
      <c r="DB142" s="121" t="n">
        <f aca="false">IF(ISNA(VLOOKUP(A142,'Données projet'!$A$139:$I$159,4,0)),0,VLOOKUP(A142,'Données projet'!$A$139:$I$159,4,0))</f>
        <v>0</v>
      </c>
      <c r="DC142" s="122" t="n">
        <f aca="false">IF(ISNA(VLOOKUP(A142,'Données projet'!$A$139:$I$159,5,0)),0%,VLOOKUP(A142,'Données projet'!$A$139:$I$159,5,0)*VLOOKUP('Données projet'!$B$13,Paramètres!$A$1:$I$89,7,0))</f>
        <v>0</v>
      </c>
      <c r="DD142" s="122" t="n">
        <f aca="false">IF(ISNA(VLOOKUP(A142,'Données projet'!$A$139:$I$159,6,0)),0%,VLOOKUP(A142,'Données projet'!$A$139:$I$159,6,0)*VLOOKUP('Données projet'!$B$13,Paramètres!$A$1:$I$89,7,0))</f>
        <v>0</v>
      </c>
      <c r="DE142" s="122" t="n">
        <f aca="false">IF(ISNA(VLOOKUP(A142,'Données projet'!$A$139:$I$159,7,0)),0%,VLOOKUP(A142,'Données projet'!$A$139:$I$159,7,0))</f>
        <v>0</v>
      </c>
      <c r="DF142" s="129" t="n">
        <f aca="false">EXP(-LN(2)/35)*DF141+(1-EXP(-LN(2)/35))/(LN(2)/35)*DB142*DC142*VLOOKUP('Données projet'!$B$13,Paramètres!$A$1:$I$89,3,0)*0.475*44/12</f>
        <v>0.762820617093079</v>
      </c>
      <c r="DG142" s="129" t="n">
        <f aca="false">EXP(-LN(2)/25)*DG141+(1-EXP(-LN(2)/25))/(LN(2)/25)*Calculateur!DB142*Calculateur!DD142*VLOOKUP('Données projet'!$B$13,Paramètres!$A$1:$I$89,3,0)*0.475*44/12</f>
        <v>1.89530097327507</v>
      </c>
      <c r="DH142" s="129" t="n">
        <f aca="false">EXP(-LN(2)/2)*DH141+(1-EXP(-LN(2)/2))/(LN(2)/2)*DB142*DE142*VLOOKUP('Données projet'!$B$13,Paramètres!$A$1:$I$89,3,0)*0.475*44/12</f>
        <v>5.21037239152935E-016</v>
      </c>
      <c r="DI142" s="130" t="n">
        <f aca="false">SUM(DF142:DH142)</f>
        <v>2.65812159036815</v>
      </c>
      <c r="DJ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8" t="e">
        <f aca="false">VLOOKUP(A142,'Données projet'!$A$165:$I$185,2,0)</f>
        <v>#N/A</v>
      </c>
      <c r="DM142" s="118" t="e">
        <f aca="false">VLOOKUP(A142,'Données projet'!$A$165:$I$185,9,0)</f>
        <v>#N/A</v>
      </c>
      <c r="DN142" s="118" t="e">
        <f aca="false" t="array" ref="DN142:DN142">INDEX(DM:DM,MIN(IF(ISNUMBER(DM142:DM338),ROW(DM142:DM338),"")))</f>
        <v>#N/A</v>
      </c>
      <c r="DO142" s="118" t="n">
        <f aca="false">IF('Données projet'!$A$166&gt;35,DO141+DN142-DW141,IF(A142&lt;'Données projet'!$A$166,$DL$205^A142,IF(A142='Données projet'!$A$166,'Données projet'!$B$166,DO141+DN142-DW141)))</f>
        <v>0</v>
      </c>
      <c r="DP142" s="125" t="n">
        <f aca="false">DO142*VLOOKUP('Données projet'!$B$14,Paramètres!$A$1:$I$89,3,0)*VLOOKUP('Données projet'!$B$14,Paramètres!$A$1:$I$89,5,0)</f>
        <v>0</v>
      </c>
      <c r="DQ142" s="117" t="e">
        <f aca="false">EXP(-1.0587+0.8836*LN(DP142)+0.284)</f>
        <v>#VALUE!</v>
      </c>
      <c r="DR142" s="128" t="e">
        <f aca="false">(DP142+DQ142)*0.475*44/12</f>
        <v>#VALUE!</v>
      </c>
      <c r="DS142" s="120" t="e">
        <f aca="false">DR142+(DJ142+DK142)*44/12</f>
        <v>#VALUE!</v>
      </c>
      <c r="DT142" s="120" t="n">
        <f aca="true">AVERAGE(OFFSET($DS$3,0,0,'Données projet'!$E$14+1,1))-AVERAGE(OFFSET($H$3,0,0,'Données projet'!$E$14+1,1))</f>
        <v>549.432320957297</v>
      </c>
      <c r="DU142" s="120" t="n">
        <f aca="false">$DU$3</f>
        <v>280.26155987301</v>
      </c>
      <c r="DV142" s="121" t="n">
        <f aca="false">IF(ISNA(VLOOKUP(A142,'Données projet'!$A$165:$I$185,3,0)),0,VLOOKUP(A142,'Données projet'!$A$165:$I$185,3,0))</f>
        <v>0</v>
      </c>
      <c r="DW142" s="121" t="n">
        <f aca="false">IF(ISNA(VLOOKUP(A142,'Données projet'!$A$165:$I$185,4,0)),0,VLOOKUP(A142,'Données projet'!$A$165:$I$185,4,0))</f>
        <v>0</v>
      </c>
      <c r="DX142" s="122" t="n">
        <f aca="false">IF(ISNA(VLOOKUP(A142,'Données projet'!$A$165:$I$185,5,0)),0%,VLOOKUP(A142,'Données projet'!$A$165:$I$185,5,0)*VLOOKUP('Données projet'!$B$14,Paramètres!$A$1:$I$89,7,0))</f>
        <v>0</v>
      </c>
      <c r="DY142" s="122" t="n">
        <f aca="false">IF(ISNA(VLOOKUP(A142,'Données projet'!$A$165:$I$185,6,0)),0%,VLOOKUP(A142,'Données projet'!$A$165:$I$185,6,0)*VLOOKUP('Données projet'!$B$14,Paramètres!$A$1:$I$89,7,0))</f>
        <v>0</v>
      </c>
      <c r="DZ142" s="122" t="n">
        <f aca="false">IF(ISNA(VLOOKUP(A142,'Données projet'!$A$165:$I$185,7,0)),0%,VLOOKUP(A142,'Données projet'!$A$165:$I$185,7,0))</f>
        <v>0</v>
      </c>
      <c r="EA142" s="129" t="n">
        <f aca="false">EXP(-LN(2)/35)*EA141+(1-EXP(-LN(2)/35))/(LN(2)/35)*DW142*DX142*VLOOKUP('Données projet'!$B$14,Paramètres!$A$1:$I$89,3,0)*0.475*44/12</f>
        <v>0.27736072579663</v>
      </c>
      <c r="EB142" s="129" t="n">
        <f aca="false">EXP(-LN(2)/25)*EB141+(1-EXP(-LN(2)/25))/(LN(2)/25)*Calculateur!DW142*Calculateur!DY142*VLOOKUP('Données projet'!$B$14,Paramètres!$A$1:$I$89,3,0)*0.475*44/12</f>
        <v>0.377581347507356</v>
      </c>
      <c r="EC142" s="129" t="n">
        <f aca="false">EXP(-LN(2)/2)*EC141+(1-EXP(-LN(2)/2))/(LN(2)/2)*DW142*DZ142*VLOOKUP('Données projet'!$B$14,Paramètres!$A$1:$I$89,3,0)*0.475*44/12</f>
        <v>2.40187426997779E-016</v>
      </c>
      <c r="ED142" s="130" t="n">
        <f aca="false">SUM(EA142:EC142)</f>
        <v>0.654942073303986</v>
      </c>
      <c r="EE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8" t="e">
        <f aca="false">VLOOKUP(A142,'Données projet'!$A$191:$I$211,2,0)</f>
        <v>#N/A</v>
      </c>
      <c r="EH142" s="118" t="e">
        <f aca="false">VLOOKUP(A142,'Données projet'!$A$191:$I$211,9,0)</f>
        <v>#N/A</v>
      </c>
      <c r="EI142" s="118" t="e">
        <f aca="false" t="array" ref="EI142:EI142">INDEX(EH:EH,MIN(IF(ISNUMBER(EH142:EH338),ROW(EH142:EH338),"")))</f>
        <v>#N/A</v>
      </c>
      <c r="EJ142" s="118" t="n">
        <f aca="false">IF('Données projet'!$A$192&gt;35,EJ141+EI142-ER141,IF(A142&lt;'Données projet'!$A$192,$EG$205^A142,IF(A142='Données projet'!$A$192,'Données projet'!$B$192,EJ141+EI142-ER141)))</f>
        <v>0</v>
      </c>
      <c r="EK142" s="125" t="e">
        <f aca="false">EJ142*VLOOKUP('Données projet'!$B$15,Paramètres!$A$1:$I$89,3,0)*VLOOKUP('Données projet'!$B$15,Paramètres!$A$1:$I$89,5,0)</f>
        <v>#N/A</v>
      </c>
      <c r="EL142" s="117" t="e">
        <f aca="false">EXP(-1.0587+0.8836*LN(EK142)+0.284)</f>
        <v>#N/A</v>
      </c>
      <c r="EM142" s="128" t="e">
        <f aca="false">(EK142+EL142)*0.475*44/12</f>
        <v>#N/A</v>
      </c>
      <c r="EN142" s="120" t="e">
        <f aca="false">EM142+(EE142+EF142)*44/12</f>
        <v>#N/A</v>
      </c>
      <c r="EO142" s="120" t="e">
        <f aca="true">AVERAGE(OFFSET($EN$3,0,0,'Données projet'!$E$15+1,1))-AVERAGE(OFFSET($H$3,0,0,'Données projet'!$E$15+1,1))</f>
        <v>#N/A</v>
      </c>
      <c r="EP142" s="120" t="e">
        <f aca="false">$EP$3</f>
        <v>#N/A</v>
      </c>
      <c r="EQ142" s="121" t="n">
        <f aca="false">IF(ISNA(VLOOKUP(A142,'Données projet'!$A$191:$I$211,3,0)),0,VLOOKUP(A142,'Données projet'!$A$191:$I$211,3,0))</f>
        <v>0</v>
      </c>
      <c r="ER142" s="121" t="n">
        <f aca="false">IF(ISNA(VLOOKUP(A142,'Données projet'!$A$191:$I$211,4,0)),0,VLOOKUP(A142,'Données projet'!$A$191:$I$211,4,0))</f>
        <v>0</v>
      </c>
      <c r="ES142" s="122" t="n">
        <f aca="false">IF(ISNA(VLOOKUP(A142,'Données projet'!$A$191:$I$211,5,0)),0%,VLOOKUP(A142,'Données projet'!$A$191:$I$211,5,0)*VLOOKUP('Données projet'!$B$15,Paramètres!$A$1:$I$89,7,0))</f>
        <v>0</v>
      </c>
      <c r="ET142" s="122" t="n">
        <f aca="false">IF(ISNA(VLOOKUP(A142,'Données projet'!$A$191:$I$211,6,0)),0%,VLOOKUP(A142,'Données projet'!$A$191:$I$211,6,0)*VLOOKUP('Données projet'!$B$15,Paramètres!$A$1:$I$89,7,0))</f>
        <v>0</v>
      </c>
      <c r="EU142" s="122" t="n">
        <f aca="false">IF(ISNA(VLOOKUP(A142,'Données projet'!$A$191:$I$211,7,0)),0%,VLOOKUP(A142,'Données projet'!$A$191:$I$211,7,0))</f>
        <v>0</v>
      </c>
      <c r="EV142" s="129" t="e">
        <f aca="false">EXP(-LN(2)/35)*EV141+(1-EXP(-LN(2)/35))/(LN(2)/35)*ER142*ES142*VLOOKUP('Données projet'!$B$15,Paramètres!$A$1:$I$89,3,0)*0.475*44/12</f>
        <v>#N/A</v>
      </c>
      <c r="EW142" s="129" t="e">
        <f aca="false">EXP(-LN(2)/25)*EW141+(1-EXP(-LN(2)/25))/(LN(2)/25)*Calculateur!ER142*Calculateur!ET142*VLOOKUP('Données projet'!$B$15,Paramètres!$A$1:$I$89,3,0)*0.475*44/12</f>
        <v>#N/A</v>
      </c>
      <c r="EX142" s="129" t="e">
        <f aca="false">EXP(-LN(2)/2)*EX141+(1-EXP(-LN(2)/2))/(LN(2)/2)*ER142*EU142*VLOOKUP('Données projet'!$B$15,Paramètres!$A$1:$I$89,3,0)*0.475*44/12</f>
        <v>#N/A</v>
      </c>
      <c r="EY142" s="130" t="e">
        <f aca="false">SUM(EV142:EX142)</f>
        <v>#N/A</v>
      </c>
      <c r="EZ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8" t="e">
        <f aca="false">VLOOKUP(A142,'Données projet'!$A$217:$I$237,2,0)</f>
        <v>#N/A</v>
      </c>
      <c r="FC142" s="118" t="e">
        <f aca="false">VLOOKUP(A142,'Données projet'!$A$217:$I$237,9,0)</f>
        <v>#N/A</v>
      </c>
      <c r="FD142" s="118" t="e">
        <f aca="false" t="array" ref="FD142:FD142">INDEX(FC:FC,MIN(IF(ISNUMBER(FC142:FC338),ROW(FC142:FC338),"")))</f>
        <v>#N/A</v>
      </c>
      <c r="FE142" s="118" t="n">
        <f aca="false">IF('Données projet'!$A$218&gt;35,FE141+FD142-FM141,IF(A142&lt;'Données projet'!$A$218,$FB$205^A142,IF(A142='Données projet'!$A$218,'Données projet'!$B$218,FE141+FD142-FM141)))</f>
        <v>0</v>
      </c>
      <c r="FF142" s="125" t="e">
        <f aca="false">FE142*VLOOKUP('Données projet'!$B$16,Paramètres!$A$1:$I$89,3,0)*VLOOKUP('Données projet'!$B$16,Paramètres!$A$1:$I$89,5,0)</f>
        <v>#N/A</v>
      </c>
      <c r="FG142" s="117" t="e">
        <f aca="false">EXP(-1.0587+0.8836*LN(FF142)+0.284)</f>
        <v>#N/A</v>
      </c>
      <c r="FH142" s="128" t="e">
        <f aca="false">(FF142+FG142)*0.475*44/12</f>
        <v>#N/A</v>
      </c>
      <c r="FI142" s="120" t="e">
        <f aca="false">FH142+(EZ142+FA142)*44/12</f>
        <v>#N/A</v>
      </c>
      <c r="FJ142" s="120" t="e">
        <f aca="true">AVERAGE(OFFSET($FI$3,0,0,'Données projet'!$E$16+1,1))-AVERAGE(OFFSET($H$3,0,0,'Données projet'!$E$16+1,1))</f>
        <v>#N/A</v>
      </c>
      <c r="FK142" s="120" t="e">
        <f aca="false">$FK$3</f>
        <v>#N/A</v>
      </c>
      <c r="FL142" s="121" t="n">
        <f aca="false">IF(ISNA(VLOOKUP(A142,'Données projet'!$A$217:$I$237,3,0)),0,VLOOKUP(A142,'Données projet'!$A$217:$I$237,3,0))</f>
        <v>0</v>
      </c>
      <c r="FM142" s="121" t="n">
        <f aca="false">IF(ISNA(VLOOKUP(A142,'Données projet'!$A$217:$I$237,4,0)),0,VLOOKUP(A142,'Données projet'!$A$217:$I$237,4,0))</f>
        <v>0</v>
      </c>
      <c r="FN142" s="122" t="n">
        <f aca="false">IF(ISNA(VLOOKUP(A142,'Données projet'!$A$217:$I$237,5,0)),0%,VLOOKUP(A142,'Données projet'!$A$217:$I$237,5,0)*VLOOKUP('Données projet'!$B$16,Paramètres!$A$1:$I$89,7,0))</f>
        <v>0</v>
      </c>
      <c r="FO142" s="122" t="n">
        <f aca="false">IF(ISNA(VLOOKUP(A142,'Données projet'!$A$217:$I$237,6,0)),0%,VLOOKUP(A142,'Données projet'!$A$217:$I$237,6,0)*VLOOKUP('Données projet'!$B$16,Paramètres!$A$1:$I$89,7,0))</f>
        <v>0</v>
      </c>
      <c r="FP142" s="122" t="n">
        <f aca="false">IF(ISNA(VLOOKUP(A142,'Données projet'!$A$217:$I$237,7,0)),0%,VLOOKUP(A142,'Données projet'!$A$217:$I$237,7,0))</f>
        <v>0</v>
      </c>
      <c r="FQ142" s="129" t="e">
        <f aca="false">EXP(-LN(2)/35)*FQ141+(1-EXP(-LN(2)/35))/(LN(2)/35)*FM142*FN142*VLOOKUP('Données projet'!$B$16,Paramètres!$A$1:$I$89,3,0)*0.475*44/12</f>
        <v>#N/A</v>
      </c>
      <c r="FR142" s="129" t="e">
        <f aca="false">EXP(-LN(2)/25)*FR141+(1-EXP(-LN(2)/25))/(LN(2)/25)*Calculateur!FM142*Calculateur!FO142*VLOOKUP('Données projet'!$B$16,Paramètres!$A$1:$I$89,3,0)*0.475*44/12</f>
        <v>#N/A</v>
      </c>
      <c r="FS142" s="129" t="e">
        <f aca="false">EXP(-LN(2)/2)*FS141+(1-EXP(-LN(2)/2))/(LN(2)/2)*FM142*FP142*VLOOKUP('Données projet'!$B$16,Paramètres!$A$1:$I$89,3,0)*0.475*44/12</f>
        <v>#N/A</v>
      </c>
      <c r="FT142" s="130" t="e">
        <f aca="false">SUM(FQ142:FS142)</f>
        <v>#N/A</v>
      </c>
      <c r="FU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8" t="e">
        <f aca="false">VLOOKUP(A142,'Données projet'!$A$243:$I$263,2,0)</f>
        <v>#N/A</v>
      </c>
      <c r="FX142" s="118" t="e">
        <f aca="false">VLOOKUP(A142,'Données projet'!$A$243:$I$263,9,0)</f>
        <v>#N/A</v>
      </c>
      <c r="FY142" s="118" t="e">
        <f aca="false" t="array" ref="FY142:FY142">INDEX(FX:FX,MIN(IF(ISNUMBER(FX142:FX338),ROW(FX142:FX338),"")))</f>
        <v>#N/A</v>
      </c>
      <c r="FZ142" s="118" t="n">
        <f aca="false">IF('Données projet'!$A$244&gt;35,FZ141+FY142-GH141,IF(A142&lt;'Données projet'!$A$244,$FW$205^A142,IF(A142='Données projet'!$A$244,'Données projet'!$B$244,FZ141+FY142-GH141)))</f>
        <v>0</v>
      </c>
      <c r="GA142" s="125" t="e">
        <f aca="false">FZ142*VLOOKUP('Données projet'!$B$17,Paramètres!$A$1:$I$89,3,0)*VLOOKUP('Données projet'!$B$17,Paramètres!$A$1:$I$89,5,0)</f>
        <v>#N/A</v>
      </c>
      <c r="GB142" s="117" t="e">
        <f aca="false">EXP(-1.0587+0.8836*LN(GA142)+0.284)</f>
        <v>#N/A</v>
      </c>
      <c r="GC142" s="128" t="e">
        <f aca="false">(GA142+GB142)*0.475*44/12</f>
        <v>#N/A</v>
      </c>
      <c r="GD142" s="120" t="e">
        <f aca="false">GC142+(FU142+FV142)*44/12</f>
        <v>#N/A</v>
      </c>
      <c r="GE142" s="120" t="e">
        <f aca="true">AVERAGE(OFFSET($GD$3,0,0,'Données projet'!$E$17+1,1))-AVERAGE(OFFSET($H$3,0,0,'Données projet'!$E$17+1,1))</f>
        <v>#N/A</v>
      </c>
      <c r="GF142" s="120" t="e">
        <f aca="false">$GF$3</f>
        <v>#N/A</v>
      </c>
      <c r="GG142" s="121" t="n">
        <f aca="false">IF(ISNA(VLOOKUP(A142,'Données projet'!$A$243:$I$263,3,0)),0,VLOOKUP(A142,'Données projet'!$A$243:$I$263,3,0))</f>
        <v>0</v>
      </c>
      <c r="GH142" s="121" t="n">
        <f aca="false">IF(ISNA(VLOOKUP(A142,'Données projet'!$A$243:$I$263,4,0)),0,VLOOKUP(A142,'Données projet'!$A$243:$I$263,4,0))</f>
        <v>0</v>
      </c>
      <c r="GI142" s="122" t="n">
        <f aca="false">IF(ISNA(VLOOKUP(A142,'Données projet'!$A$243:$I$263,5,0)),0%,VLOOKUP(A142,'Données projet'!$A$243:$I$263,5,0)*VLOOKUP('Données projet'!$B$17,Paramètres!$A$1:$I$89,7,0))</f>
        <v>0</v>
      </c>
      <c r="GJ142" s="122" t="n">
        <f aca="false">IF(ISNA(VLOOKUP(A142,'Données projet'!$A$243:$I$263,6,0)),0%,VLOOKUP(A142,'Données projet'!$A$243:$I$263,6,0)*VLOOKUP('Données projet'!$B$17,Paramètres!$A$1:$I$89,7,0))</f>
        <v>0</v>
      </c>
      <c r="GK142" s="122" t="n">
        <f aca="false">IF(ISNA(VLOOKUP(A142,'Données projet'!$A$243:$I$263,7,0)),0%,VLOOKUP(A142,'Données projet'!$A$243:$I$263,7,0))</f>
        <v>0</v>
      </c>
      <c r="GL142" s="129" t="e">
        <f aca="false">EXP(-LN(2)/35)*GL141+(1-EXP(-LN(2)/35))/(LN(2)/35)*GH142*GI142*VLOOKUP('Données projet'!$B$17,Paramètres!$A$1:$I$89,3,0)*0.475*44/12</f>
        <v>#N/A</v>
      </c>
      <c r="GM142" s="129" t="e">
        <f aca="false">EXP(-LN(2)/25)*GM141+(1-EXP(-LN(2)/25))/(LN(2)/25)*Calculateur!GH142*Calculateur!GJ142*VLOOKUP('Données projet'!$B$17,Paramètres!$A$1:$I$89,3,0)*0.475*44/12</f>
        <v>#N/A</v>
      </c>
      <c r="GN142" s="129" t="e">
        <f aca="false">EXP(-LN(2)/2)*GN141+(1-EXP(-LN(2)/2))/(LN(2)/2)*GH142*GK142*VLOOKUP('Données projet'!$B$17,Paramètres!$A$1:$I$89,3,0)*0.475*44/12</f>
        <v>#N/A</v>
      </c>
      <c r="GO142" s="129" t="e">
        <f aca="false">SUM(GL142:GN142)</f>
        <v>#N/A</v>
      </c>
      <c r="GP142" s="126" t="n">
        <f aca="false"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8" t="n">
        <f aca="false"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8" t="e">
        <f aca="false">VLOOKUP(A142,'Données projet'!$A$269:$I$289,2,0)</f>
        <v>#N/A</v>
      </c>
      <c r="GS142" s="118" t="e">
        <f aca="false">VLOOKUP(A142,'Données projet'!$A$269:$I$289,9,0)</f>
        <v>#N/A</v>
      </c>
      <c r="GT142" s="118" t="e">
        <f aca="false" t="array" ref="GT142:GT142">INDEX(GS:GS,MIN(IF(ISNUMBER(GS142:GS338),ROW(GS142:GS338),"")))</f>
        <v>#N/A</v>
      </c>
      <c r="GU142" s="118" t="n">
        <f aca="false">IF('Données projet'!$A$270&gt;35,GU141+GT142-HC141,IF(A142&lt;'Données projet'!$A$270,$GR$205^A142,IF(A142='Données projet'!$A$270,'Données projet'!$B$270,GU141+GT142-HC141)))</f>
        <v>0</v>
      </c>
      <c r="GV142" s="125" t="e">
        <f aca="false">GU142*VLOOKUP('Données projet'!$B$18,Paramètres!$A$1:$I$89,3,0)*VLOOKUP('Données projet'!$B$18,Paramètres!$A$1:$I$89,5,0)</f>
        <v>#N/A</v>
      </c>
      <c r="GW142" s="117" t="e">
        <f aca="false">EXP(-1.0587+0.8836*LN(GV142)+0.284)</f>
        <v>#N/A</v>
      </c>
      <c r="GX142" s="128" t="e">
        <f aca="false">(GV142+GW142)*0.475*44/12</f>
        <v>#N/A</v>
      </c>
      <c r="GY142" s="120" t="e">
        <f aca="false">GX142+(GP142+GQ142)*44/12</f>
        <v>#N/A</v>
      </c>
      <c r="GZ142" s="120" t="e">
        <f aca="true">AVERAGE(OFFSET($GY$3,0,0,'Données projet'!$E$18+1,1))-AVERAGE(OFFSET($H$3,0,0,'Données projet'!$E$18+1,1))</f>
        <v>#N/A</v>
      </c>
      <c r="HA142" s="120" t="e">
        <f aca="false">$HA$3</f>
        <v>#N/A</v>
      </c>
      <c r="HB142" s="121" t="n">
        <f aca="false">IF(ISNA(VLOOKUP(A142,'Données projet'!$A$269:$I$289,3,0)),0,VLOOKUP(A142,'Données projet'!$A$269:$I$289,3,0))</f>
        <v>0</v>
      </c>
      <c r="HC142" s="121" t="n">
        <f aca="false">IF(ISNA(VLOOKUP(A142,'Données projet'!$A$269:$I$289,4,0)),0,VLOOKUP(A142,'Données projet'!$A$269:$I$289,4,0))</f>
        <v>0</v>
      </c>
      <c r="HD142" s="122" t="n">
        <f aca="false">IF(ISNA(VLOOKUP(A142,'Données projet'!$A$269:$I$289,5,0)),0%,VLOOKUP(A142,'Données projet'!$A$269:$I$289,5,0)*VLOOKUP('Données projet'!$B$18,Paramètres!$A$1:$I$89,7,0))</f>
        <v>0</v>
      </c>
      <c r="HE142" s="122" t="n">
        <f aca="false">IF(ISNA(VLOOKUP(A142,'Données projet'!$A$269:$I$289,6,0)),0%,VLOOKUP(A142,'Données projet'!$A$269:$I$289,6,0)*VLOOKUP('Données projet'!$B$18,Paramètres!$A$1:$I$89,7,0))</f>
        <v>0</v>
      </c>
      <c r="HF142" s="122" t="n">
        <f aca="false">IF(ISNA(VLOOKUP(A142,'Données projet'!$A$269:$I$289,7,0)),0%,VLOOKUP(A142,'Données projet'!$A$269:$I$289,7,0))</f>
        <v>0</v>
      </c>
      <c r="HG142" s="129" t="e">
        <f aca="false">EXP(-LN(2)/35)*HG141+(1-EXP(-LN(2)/35))/(LN(2)/35)*HC142*HD142*VLOOKUP('Données projet'!$B$18,Paramètres!$A$1:$I$89,3,0)*0.475*44/12</f>
        <v>#N/A</v>
      </c>
      <c r="HH142" s="129" t="e">
        <f aca="false">EXP(-LN(2)/25)*HH141+(1-EXP(-LN(2)/25))/(LN(2)/25)*Calculateur!HC142*Calculateur!HE142*VLOOKUP('Données projet'!$B$18,Paramètres!$A$1:$I$89,3,0)*0.475*44/12</f>
        <v>#N/A</v>
      </c>
      <c r="HI142" s="129" t="e">
        <f aca="false">EXP(-LN(2)/2)*HI141+(1-EXP(-LN(2)/2))/(LN(2)/2)*HC142*HF142*VLOOKUP('Données projet'!$B$18,Paramètres!$A$1:$I$89,3,0)*0.475*44/12</f>
        <v>#N/A</v>
      </c>
      <c r="HJ142" s="130" t="e">
        <f aca="false">SUM(HG142:HI142)</f>
        <v>#N/A</v>
      </c>
    </row>
    <row r="143" customFormat="false" ht="14.25" hidden="false" customHeight="false" outlineLevel="0" collapsed="false">
      <c r="A143" s="112" t="n">
        <f aca="false">A142+1</f>
        <v>140</v>
      </c>
      <c r="B143" s="113" t="n">
        <f aca="false">'Scénario référence'!$B$16*5+'Scénario référence'!$B$17*0+'Scénario référence'!$B$18*5</f>
        <v>0</v>
      </c>
      <c r="C143" s="127" t="n">
        <f aca="false"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4" t="n">
        <f aca="false">IFERROR(EXP(-1.0587+0.8836*LN(C143)+0.284),0)</f>
        <v>0</v>
      </c>
      <c r="E14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3" s="114" t="n">
        <f aca="false">IF(OR('Scénario référence'!$F$8&gt;0,'Scénario référence'!$F$9&gt;0),('Scénario référence'!$F$8+'Scénario référence'!$F$9)*10,0)</f>
        <v>0</v>
      </c>
      <c r="G143" s="114" t="n">
        <f aca="false"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15" t="n">
        <f aca="false">(B143+E143+F143)*44/12+(C143+D143)*0.475*44/12</f>
        <v>256.666666666667</v>
      </c>
      <c r="I143" s="11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7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8" t="e">
        <f aca="false">VLOOKUP(A143,'Données projet'!$A$35:$I$55,2,0)</f>
        <v>#N/A</v>
      </c>
      <c r="L143" s="118" t="e">
        <f aca="false">VLOOKUP(A143,'Données projet'!$A$35:$I$55,9,0)</f>
        <v>#N/A</v>
      </c>
      <c r="M143" s="118" t="e">
        <f aca="false" t="array" ref="M143:M143">INDEX(L:L,MIN(IF(ISNUMBER(L143:L339),ROW(L143:L339),"")))</f>
        <v>#N/A</v>
      </c>
      <c r="N143" s="117" t="n">
        <f aca="false">IF('Données projet'!$A$36&gt;35,N142+M143-V142,IF(A143&lt;'Données projet'!$A$36,$K$205^A143,IF(A143='Données projet'!$A$36,'Données projet'!$B$36,N142+M143-V142)))</f>
        <v>-1.13686837721616E-013</v>
      </c>
      <c r="O143" s="117" t="n">
        <f aca="false">N143*VLOOKUP('Données projet'!$B$9,Paramètres!$A$1:$I$89,3,0)*VLOOKUP('Données projet'!$B$9,Paramètres!$A$1:$I$89,5,0)</f>
        <v>-5.32054400537163E-014</v>
      </c>
      <c r="P143" s="117" t="e">
        <f aca="false">EXP(-1.0587+0.8836*LN(O143)+0.284)</f>
        <v>#VALUE!</v>
      </c>
      <c r="Q143" s="128" t="e">
        <f aca="false">(O143+P143)*0.475*44/12</f>
        <v>#VALUE!</v>
      </c>
      <c r="R143" s="120" t="e">
        <f aca="false">Q143+(I143+J143)*44/12</f>
        <v>#VALUE!</v>
      </c>
      <c r="S143" s="120" t="n">
        <f aca="true">AVERAGE(OFFSET($R$3,0,0,'Données projet'!$E$9+1,1))-AVERAGE(OFFSET($H$3,0,0,'Données projet'!$E$9+1,1))</f>
        <v>319.229030946746</v>
      </c>
      <c r="T143" s="120" t="n">
        <f aca="false">$T$3</f>
        <v>254.586909731428</v>
      </c>
      <c r="U143" s="121" t="n">
        <f aca="false">IF(ISNA(VLOOKUP(A143,'Données projet'!$A$35:$I$55,3,0)),0,VLOOKUP(A143,'Données projet'!$A$35:$I$55,3,0))</f>
        <v>0</v>
      </c>
      <c r="V143" s="121" t="n">
        <f aca="false">IF(ISNA(VLOOKUP(A143,'Données projet'!$A$35:$I$55,4,0)),0,VLOOKUP(A143,'Données projet'!$A$35:$I$55,4,0))</f>
        <v>0</v>
      </c>
      <c r="W143" s="122" t="n">
        <f aca="false">IF(ISNA(VLOOKUP(A143,'Données projet'!$A$35:$I$55,5,0)),0%,VLOOKUP(A143,'Données projet'!$A$35:$I$55,5,0)*VLOOKUP('Données projet'!$B$9,Paramètres!$A$1:$I$89,7,0))</f>
        <v>0</v>
      </c>
      <c r="X143" s="122" t="n">
        <f aca="false">IF(ISNA(VLOOKUP(A143,'Données projet'!$A$35:$I$55,6,0)),0%,VLOOKUP(A143,'Données projet'!$A$35:$I$55,6,0)*VLOOKUP('Données projet'!$B$9,Paramètres!$A$1:$I$89,7,0))</f>
        <v>0</v>
      </c>
      <c r="Y143" s="122" t="n">
        <f aca="false">IF(ISNA(VLOOKUP(A143,'Données projet'!$A$35:$I$55,7,0)),0%,VLOOKUP(A143,'Données projet'!$A$35:$I$55,7,0))</f>
        <v>0</v>
      </c>
      <c r="Z143" s="129" t="n">
        <f aca="false">EXP(-LN(2)/35)*Z142+(1-EXP(-LN(2)/35))/(LN(2)/35)*V143*W143*VLOOKUP('Données projet'!$B$9,Paramètres!$A$1:$I$89,3,0)*0.475*44/12</f>
        <v>1.02756241937279</v>
      </c>
      <c r="AA143" s="129" t="n">
        <f aca="false">EXP(-LN(2)/25)*AA142+(1-EXP(-LN(2)/25))/(LN(2)/25)*Calculateur!V143*Calculateur!X143*VLOOKUP('Données projet'!$B$9,Paramètres!$A$1:$I$89,3,0)*0.475*44/12</f>
        <v>0.528195024715602</v>
      </c>
      <c r="AB143" s="129" t="n">
        <f aca="false">EXP(-LN(2)/2)*AB142+(1-EXP(-LN(2)/2))/(LN(2)/2)*V143*Y143*VLOOKUP('Données projet'!$B$9,Paramètres!$A$1:$I$89,3,0)*0.475*44/12</f>
        <v>3.06508392100514E-016</v>
      </c>
      <c r="AC143" s="130" t="n">
        <f aca="false">SUM(Z143:AB143)</f>
        <v>1.5557574440884</v>
      </c>
      <c r="AD143" s="117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7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8" t="e">
        <f aca="false">VLOOKUP(A143,'Données projet'!$A$61:$I$81,2,0)</f>
        <v>#N/A</v>
      </c>
      <c r="AG143" s="118" t="e">
        <f aca="false">VLOOKUP(A143,'Données projet'!$A$61:$I$81,9,0)</f>
        <v>#N/A</v>
      </c>
      <c r="AH143" s="118" t="e">
        <f aca="false" t="array" ref="AH143:AH143">INDEX(AG:AG,MIN(IF(ISNUMBER(AG143:AG339),ROW(AG143:AG339),"")))</f>
        <v>#N/A</v>
      </c>
      <c r="AI143" s="117" t="n">
        <f aca="false">IF('Données projet'!$A$62&gt;35,AI142+AH143-AQ142,IF(A143&lt;'Données projet'!$A$62,$AF$205^A143,IF(A143='Données projet'!$A$62,'Données projet'!$B$62,AI142+AH143-AQ142)))</f>
        <v>1.13686837721616E-013</v>
      </c>
      <c r="AJ143" s="117" t="n">
        <f aca="false">AI143*VLOOKUP('Données projet'!$B$10,Paramètres!$A$1:$I$89,3,0)*VLOOKUP('Données projet'!$B$10,Paramètres!$A$1:$I$89,5,0)</f>
        <v>6.35509422863834E-014</v>
      </c>
      <c r="AK143" s="117" t="n">
        <f aca="false">EXP(-1.0587+0.8836*LN(AJ143)+0.284)</f>
        <v>1.0064464192544E-012</v>
      </c>
      <c r="AL143" s="128" t="n">
        <f aca="false">(AJ143+AK143)*0.475*44/12</f>
        <v>1.86357873801686E-012</v>
      </c>
      <c r="AM143" s="120" t="n">
        <f aca="false">AL143+(AD143+AE143)*44/12</f>
        <v>293.333333333335</v>
      </c>
      <c r="AN143" s="120" t="n">
        <f aca="true">AVERAGE(OFFSET($AM$3,0,0,'Données projet'!$E$10+1,1))-AVERAGE(OFFSET($H$3,0,0,'Données projet'!$E$10+1,1))</f>
        <v>365.705101827279</v>
      </c>
      <c r="AO143" s="120" t="n">
        <f aca="false">$AO$3</f>
        <v>436.238338449625</v>
      </c>
      <c r="AP143" s="121" t="n">
        <f aca="false">IF(ISNA(VLOOKUP(A143,'Données projet'!$A$61:$I$81,3,0)),0,VLOOKUP(A143,'Données projet'!$A$61:$I$81,3,0))</f>
        <v>0</v>
      </c>
      <c r="AQ143" s="121" t="n">
        <f aca="false">IF(ISNA(VLOOKUP(A143,'Données projet'!$A$61:$I$81,4,0)),0,VLOOKUP(A143,'Données projet'!$A$61:$I$81,4,0))</f>
        <v>0</v>
      </c>
      <c r="AR143" s="122" t="n">
        <f aca="false">IF(ISNA(VLOOKUP(A143,'Données projet'!$A$61:$I$81,5,0)),0%,VLOOKUP(A143,'Données projet'!$A$61:$I$81,5,0)*VLOOKUP('Données projet'!$B$10,Paramètres!$A$1:$I$89,7,0))</f>
        <v>0</v>
      </c>
      <c r="AS143" s="122" t="n">
        <f aca="false">IF(ISNA(VLOOKUP(A143,'Données projet'!$A$61:$I$81,6,0)),0%,VLOOKUP(A143,'Données projet'!$A$61:$I$81,6,0)*VLOOKUP('Données projet'!$B$10,Paramètres!$A$1:$I$89,7,0))</f>
        <v>0</v>
      </c>
      <c r="AT143" s="122" t="n">
        <f aca="false">IF(ISNA(VLOOKUP(A143,'Données projet'!$A$61:$I$81,7,0)),0%,VLOOKUP(A143,'Données projet'!$A$61:$I$81,7,0))</f>
        <v>0</v>
      </c>
      <c r="AU143" s="129" t="n">
        <f aca="false">EXP(-LN(2)/35)*AU142+(1-EXP(-LN(2)/35))/(LN(2)/35)*AQ143*AR143*VLOOKUP('Données projet'!$B$10,Paramètres!$A$1:$I$89,3,0)*0.475*44/12</f>
        <v>0.387871498291078</v>
      </c>
      <c r="AV143" s="129" t="n">
        <f aca="false">EXP(-LN(2)/25)*AV142+(1-EXP(-LN(2)/25))/(LN(2)/25)*Calculateur!AQ143*Calculateur!AS143*VLOOKUP('Données projet'!$B$10,Paramètres!$A$1:$I$89,3,0)*0.475*44/12</f>
        <v>0.625618447335658</v>
      </c>
      <c r="AW143" s="129" t="n">
        <f aca="false">EXP(-LN(2)/2)*AW142+(1-EXP(-LN(2)/2))/(LN(2)/2)*AQ143*AT143*VLOOKUP('Données projet'!$B$10,Paramètres!$A$1:$I$89,3,0)*0.475*44/12</f>
        <v>1.64953236783E-016</v>
      </c>
      <c r="AX143" s="129" t="n">
        <f aca="false">SUM(AU143:AW143)</f>
        <v>1.01348994562674</v>
      </c>
      <c r="AY143" s="124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8" t="e">
        <f aca="false">VLOOKUP(A143,'Données projet'!$A$87:$I$107,2,0)</f>
        <v>#N/A</v>
      </c>
      <c r="BB143" s="118" t="e">
        <f aca="false">VLOOKUP(A143,'Données projet'!$A$87:$I$107,9,0)</f>
        <v>#N/A</v>
      </c>
      <c r="BC143" s="118" t="e">
        <f aca="false" t="array" ref="BC143:BC143">INDEX(BB:BB,MIN(IF(ISNUMBER(BB143:BB339),ROW(BB143:BB339),"")))</f>
        <v>#N/A</v>
      </c>
      <c r="BD143" s="118" t="n">
        <f aca="false">IF('Données projet'!$A$88&gt;35,BD142+BC143-BL142,IF(A143&lt;'Données projet'!$A$88,$BA$205^A143,IF(A143='Données projet'!$A$88,'Données projet'!$B$88,BD142+BC143-BL142)))</f>
        <v>1.98951966012828E-013</v>
      </c>
      <c r="BE143" s="117" t="n">
        <f aca="false">BD143*VLOOKUP('Données projet'!$B$11,Paramètres!$A$1:$I$89,3,0)*VLOOKUP('Données projet'!$B$11,Paramètres!$A$1:$I$89,5,0)</f>
        <v>1.73804437508807E-013</v>
      </c>
      <c r="BF143" s="117" t="n">
        <f aca="false">EXP(-1.0587+0.8836*LN(BE143)+0.284)</f>
        <v>2.44832936339505E-012</v>
      </c>
      <c r="BG143" s="128" t="n">
        <f aca="false">(BE143+BF143)*0.475*44/12</f>
        <v>4.56688303657421E-012</v>
      </c>
      <c r="BH143" s="120" t="n">
        <f aca="false">BG143+(AY143+AZ143)*44/12</f>
        <v>293.333333333338</v>
      </c>
      <c r="BI143" s="120" t="n">
        <f aca="true">AVERAGE(OFFSET($BH$3,0,0,'Données projet'!$E$11+1,1))-AVERAGE(OFFSET($H$3,0,0,'Données projet'!$E$11+1,1))</f>
        <v>321.235999689929</v>
      </c>
      <c r="BJ143" s="120" t="n">
        <f aca="false">$BJ$3</f>
        <v>388.051958478005</v>
      </c>
      <c r="BK143" s="121" t="n">
        <f aca="false">IF(ISNA(VLOOKUP(A143,'Données projet'!$A$87:$I$107,3,0)),0,VLOOKUP(A143,'Données projet'!$A$87:$I$107,3,0))</f>
        <v>0</v>
      </c>
      <c r="BL143" s="121" t="n">
        <f aca="false">IF(ISNA(VLOOKUP(A143,'Données projet'!$A$87:$I$107,4,0)),0,VLOOKUP(A143,'Données projet'!$A$87:$I$107,4,0))</f>
        <v>0</v>
      </c>
      <c r="BM143" s="122" t="n">
        <f aca="false">IF(ISNA(VLOOKUP(A143,'Données projet'!$A$87:$I$107,5,0)),0%,VLOOKUP(A143,'Données projet'!$A$87:$I$107,5,0)*VLOOKUP('Données projet'!$B$11,Paramètres!$A$1:$I$89,7,0))</f>
        <v>0</v>
      </c>
      <c r="BN143" s="122" t="n">
        <f aca="false">IF(ISNA(VLOOKUP(A143,'Données projet'!$A$87:$I$107,6,0)),0%,VLOOKUP(A143,'Données projet'!$A$87:$I$107,6,0)*VLOOKUP('Données projet'!$B$11,Paramètres!$A$1:$I$89,7,0))</f>
        <v>0</v>
      </c>
      <c r="BO143" s="122" t="n">
        <f aca="false">IF(ISNA(VLOOKUP(A143,'Données projet'!$A$87:$I$107,7,0)),0%,VLOOKUP(A143,'Données projet'!$A$87:$I$107,7,0))</f>
        <v>0</v>
      </c>
      <c r="BP143" s="129" t="n">
        <f aca="false">EXP(-LN(2)/35)*BP142+(1-EXP(-LN(2)/35))/(LN(2)/35)*BL143*BM143*VLOOKUP('Données projet'!$B$11,Paramètres!$A$1:$I$89,3,0)*0.475*44/12</f>
        <v>0.973798465422725</v>
      </c>
      <c r="BQ143" s="129" t="n">
        <f aca="false">EXP(-LN(2)/25)*BQ142+(1-EXP(-LN(2)/25))/(LN(2)/25)*Calculateur!BL143*Calculateur!BN143*VLOOKUP('Données projet'!$B$11,Paramètres!$A$1:$I$89,3,0)*0.475*44/12</f>
        <v>0.638594151601927</v>
      </c>
      <c r="BR143" s="129" t="n">
        <f aca="false">EXP(-LN(2)/2)*BR142+(1-EXP(-LN(2)/2))/(LN(2)/2)*BL143*BO143*VLOOKUP('Données projet'!$B$11,Paramètres!$A$1:$I$89,3,0)*0.475*44/12</f>
        <v>1.67671536579892E-016</v>
      </c>
      <c r="BS143" s="130" t="n">
        <f aca="false">SUM(BP143:BR143)</f>
        <v>1.61239261702465</v>
      </c>
      <c r="BT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8" t="e">
        <f aca="false">VLOOKUP(A143,'Données projet'!$A$113:$I$133,2,0)</f>
        <v>#N/A</v>
      </c>
      <c r="BW143" s="118" t="e">
        <f aca="false">VLOOKUP(A143,'Données projet'!$A$113:$I$133,9,0)</f>
        <v>#N/A</v>
      </c>
      <c r="BX143" s="118" t="e">
        <f aca="false" t="array" ref="BX143:BX143">INDEX(BW:BW,MIN(IF(ISNUMBER(BW143:BW339),ROW(BW143:BW339),"")))</f>
        <v>#N/A</v>
      </c>
      <c r="BY143" s="118" t="n">
        <f aca="false">IF('Données projet'!$A$114&gt;35,BY142+BX143-CG142,IF(A143&lt;'Données projet'!$A$114,$BV$205^A143,IF(A143='Données projet'!$A$114,'Données projet'!$B$114,BY142+BX143-CG142)))</f>
        <v>0</v>
      </c>
      <c r="BZ143" s="117" t="n">
        <f aca="false">BY143*VLOOKUP('Données projet'!$B$12,Paramètres!$A$1:$I$89,3,0)*VLOOKUP('Données projet'!$B$12,Paramètres!$A$1:$I$89,5,0)</f>
        <v>0</v>
      </c>
      <c r="CA143" s="117" t="e">
        <f aca="false">EXP(-1.0587+0.8836*LN(BZ143)+0.284)</f>
        <v>#VALUE!</v>
      </c>
      <c r="CB143" s="128" t="e">
        <f aca="false">(BZ143+CA143)*0.475*44/12</f>
        <v>#VALUE!</v>
      </c>
      <c r="CC143" s="120" t="e">
        <f aca="false">CB143+(BT143+BU143)*44/12</f>
        <v>#VALUE!</v>
      </c>
      <c r="CD143" s="120" t="n">
        <f aca="true">AVERAGE(OFFSET($CC$3,0,0,'Données projet'!$E$12+1,1))-AVERAGE(OFFSET($H$3,0,0,'Données projet'!$E$12+1,1))</f>
        <v>240.228848647662</v>
      </c>
      <c r="CE143" s="120" t="n">
        <f aca="false">$CE$3</f>
        <v>343.237768841432</v>
      </c>
      <c r="CF143" s="121" t="n">
        <f aca="false">IF(ISNA(VLOOKUP(A143,'Données projet'!$A$113:$I$133,3,0)),0,VLOOKUP(A143,'Données projet'!$A$113:$I$133,3,0))</f>
        <v>0</v>
      </c>
      <c r="CG143" s="121" t="n">
        <f aca="false">IF(ISNA(VLOOKUP(A143,'Données projet'!$A$113:$I$133,4,0)),0,VLOOKUP(A143,'Données projet'!$A$113:$I$133,4,0))</f>
        <v>0</v>
      </c>
      <c r="CH143" s="122" t="n">
        <f aca="false">IF(ISNA(VLOOKUP(A143,'Données projet'!$A$113:$I$133,5,0)),0%,VLOOKUP(A143,'Données projet'!$A$113:$I$133,5,0)*VLOOKUP('Données projet'!$B$12,Paramètres!$A$1:$I$89,7,0))</f>
        <v>0</v>
      </c>
      <c r="CI143" s="122" t="n">
        <f aca="false">IF(ISNA(VLOOKUP(A143,'Données projet'!$A$113:$I$133,6,0)),0%,VLOOKUP(A143,'Données projet'!$A$113:$I$133,6,0)*VLOOKUP('Données projet'!$B$12,Paramètres!$A$1:$I$89,7,0))</f>
        <v>0</v>
      </c>
      <c r="CJ143" s="122" t="n">
        <f aca="false">IF(ISNA(VLOOKUP(A143,'Données projet'!$A$113:$I$133,7,0)),0%,VLOOKUP(A143,'Données projet'!$A$113:$I$133,7,0))</f>
        <v>0</v>
      </c>
      <c r="CK143" s="129" t="n">
        <f aca="false">EXP(-LN(2)/35)*CK142+(1-EXP(-LN(2)/35))/(LN(2)/35)*CG143*CH143*VLOOKUP('Données projet'!$B$12,Paramètres!$A$1:$I$89,3,0)*0.475*44/12</f>
        <v>0.59604052651918</v>
      </c>
      <c r="CL143" s="129" t="n">
        <f aca="false">EXP(-LN(2)/25)*CL142+(1-EXP(-LN(2)/25))/(LN(2)/25)*Calculateur!CG143*Calculateur!CI143*VLOOKUP('Données projet'!$B$12,Paramètres!$A$1:$I$89,3,0)*0.475*44/12</f>
        <v>1.12779423987207</v>
      </c>
      <c r="CM143" s="129" t="n">
        <f aca="false">EXP(-LN(2)/2)*CM142+(1-EXP(-LN(2)/2))/(LN(2)/2)*CG143*CJ143*VLOOKUP('Données projet'!$B$12,Paramètres!$A$1:$I$89,3,0)*0.475*44/12</f>
        <v>2.67559071175477E-016</v>
      </c>
      <c r="CN143" s="130" t="n">
        <f aca="false">SUM(CK143:CM143)</f>
        <v>1.72383476639125</v>
      </c>
      <c r="CO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8" t="e">
        <f aca="false">VLOOKUP(A143,'Données projet'!$A$139:$I$159,2,0)</f>
        <v>#N/A</v>
      </c>
      <c r="CR143" s="118" t="e">
        <f aca="false">VLOOKUP(A143,'Données projet'!$A$139:$I$159,9,0)</f>
        <v>#N/A</v>
      </c>
      <c r="CS143" s="118" t="e">
        <f aca="false" t="array" ref="CS143:CS143">INDEX(CR:CR,MIN(IF(ISNUMBER(CR143:CR339),ROW(CR143:CR339),"")))</f>
        <v>#N/A</v>
      </c>
      <c r="CT143" s="118" t="n">
        <f aca="false">IF('Données projet'!$A$140&gt;35,CT142+CS143-DB142,IF(A143&lt;'Données projet'!$A$140,$CQ$205^A143,IF(A143='Données projet'!$A$140,'Données projet'!$B$140,CT142+CS143-DB142)))</f>
        <v>-5.6843418860808E-014</v>
      </c>
      <c r="CU143" s="125" t="n">
        <f aca="false">CT143*VLOOKUP('Données projet'!$B$13,Paramètres!$A$1:$I$89,3,0)*VLOOKUP('Données projet'!$B$13,Paramètres!$A$1:$I$89,5,0)</f>
        <v>-3.10365066980012E-014</v>
      </c>
      <c r="CV143" s="117" t="e">
        <f aca="false">EXP(-1.0587+0.8836*LN(CU143)+0.284)</f>
        <v>#VALUE!</v>
      </c>
      <c r="CW143" s="128" t="e">
        <f aca="false">(CU143+CV143)*0.475*44/12</f>
        <v>#VALUE!</v>
      </c>
      <c r="CX143" s="120" t="e">
        <f aca="false">CW143+(CO143+CP143)*44/12</f>
        <v>#VALUE!</v>
      </c>
      <c r="CY143" s="120" t="n">
        <f aca="true">AVERAGE(OFFSET($CX$3,0,0,'Données projet'!$E$13+1,1))-AVERAGE(OFFSET($H$3,0,0,'Données projet'!$E$13+1,1))</f>
        <v>207.023069645676</v>
      </c>
      <c r="CZ143" s="120" t="n">
        <f aca="false">$CZ$3</f>
        <v>342.068879333518</v>
      </c>
      <c r="DA143" s="121" t="n">
        <f aca="false">IF(ISNA(VLOOKUP(A143,'Données projet'!$A$139:$I$159,3,0)),0,VLOOKUP(A143,'Données projet'!$A$139:$I$159,3,0))</f>
        <v>0</v>
      </c>
      <c r="DB143" s="121" t="n">
        <f aca="false">IF(ISNA(VLOOKUP(A143,'Données projet'!$A$139:$I$159,4,0)),0,VLOOKUP(A143,'Données projet'!$A$139:$I$159,4,0))</f>
        <v>0</v>
      </c>
      <c r="DC143" s="122" t="n">
        <f aca="false">IF(ISNA(VLOOKUP(A143,'Données projet'!$A$139:$I$159,5,0)),0%,VLOOKUP(A143,'Données projet'!$A$139:$I$159,5,0)*VLOOKUP('Données projet'!$B$13,Paramètres!$A$1:$I$89,7,0))</f>
        <v>0</v>
      </c>
      <c r="DD143" s="122" t="n">
        <f aca="false">IF(ISNA(VLOOKUP(A143,'Données projet'!$A$139:$I$159,6,0)),0%,VLOOKUP(A143,'Données projet'!$A$139:$I$159,6,0)*VLOOKUP('Données projet'!$B$13,Paramètres!$A$1:$I$89,7,0))</f>
        <v>0</v>
      </c>
      <c r="DE143" s="122" t="n">
        <f aca="false">IF(ISNA(VLOOKUP(A143,'Données projet'!$A$139:$I$159,7,0)),0%,VLOOKUP(A143,'Données projet'!$A$139:$I$159,7,0))</f>
        <v>0</v>
      </c>
      <c r="DF143" s="129" t="n">
        <f aca="false">EXP(-LN(2)/35)*DF142+(1-EXP(-LN(2)/35))/(LN(2)/35)*DB143*DC143*VLOOKUP('Données projet'!$B$13,Paramètres!$A$1:$I$89,3,0)*0.475*44/12</f>
        <v>0.747862170066518</v>
      </c>
      <c r="DG143" s="129" t="n">
        <f aca="false">EXP(-LN(2)/25)*DG142+(1-EXP(-LN(2)/25))/(LN(2)/25)*Calculateur!DB143*Calculateur!DD143*VLOOKUP('Données projet'!$B$13,Paramètres!$A$1:$I$89,3,0)*0.475*44/12</f>
        <v>1.84347386849132</v>
      </c>
      <c r="DH143" s="129" t="n">
        <f aca="false">EXP(-LN(2)/2)*DH142+(1-EXP(-LN(2)/2))/(LN(2)/2)*DB143*DE143*VLOOKUP('Données projet'!$B$13,Paramètres!$A$1:$I$89,3,0)*0.475*44/12</f>
        <v>3.68428965055757E-016</v>
      </c>
      <c r="DI143" s="130" t="n">
        <f aca="false">SUM(DF143:DH143)</f>
        <v>2.59133603855784</v>
      </c>
      <c r="DJ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8" t="e">
        <f aca="false">VLOOKUP(A143,'Données projet'!$A$165:$I$185,2,0)</f>
        <v>#N/A</v>
      </c>
      <c r="DM143" s="118" t="e">
        <f aca="false">VLOOKUP(A143,'Données projet'!$A$165:$I$185,9,0)</f>
        <v>#N/A</v>
      </c>
      <c r="DN143" s="118" t="e">
        <f aca="false" t="array" ref="DN143:DN143">INDEX(DM:DM,MIN(IF(ISNUMBER(DM143:DM339),ROW(DM143:DM339),"")))</f>
        <v>#N/A</v>
      </c>
      <c r="DO143" s="118" t="n">
        <f aca="false">IF('Données projet'!$A$166&gt;35,DO142+DN143-DW142,IF(A143&lt;'Données projet'!$A$166,$DL$205^A143,IF(A143='Données projet'!$A$166,'Données projet'!$B$166,DO142+DN143-DW142)))</f>
        <v>0</v>
      </c>
      <c r="DP143" s="125" t="n">
        <f aca="false">DO143*VLOOKUP('Données projet'!$B$14,Paramètres!$A$1:$I$89,3,0)*VLOOKUP('Données projet'!$B$14,Paramètres!$A$1:$I$89,5,0)</f>
        <v>0</v>
      </c>
      <c r="DQ143" s="117" t="e">
        <f aca="false">EXP(-1.0587+0.8836*LN(DP143)+0.284)</f>
        <v>#VALUE!</v>
      </c>
      <c r="DR143" s="128" t="e">
        <f aca="false">(DP143+DQ143)*0.475*44/12</f>
        <v>#VALUE!</v>
      </c>
      <c r="DS143" s="120" t="e">
        <f aca="false">DR143+(DJ143+DK143)*44/12</f>
        <v>#VALUE!</v>
      </c>
      <c r="DT143" s="120" t="n">
        <f aca="true">AVERAGE(OFFSET($DS$3,0,0,'Données projet'!$E$14+1,1))-AVERAGE(OFFSET($H$3,0,0,'Données projet'!$E$14+1,1))</f>
        <v>549.432320957297</v>
      </c>
      <c r="DU143" s="120" t="n">
        <f aca="false">$DU$3</f>
        <v>280.26155987301</v>
      </c>
      <c r="DV143" s="121" t="n">
        <f aca="false">IF(ISNA(VLOOKUP(A143,'Données projet'!$A$165:$I$185,3,0)),0,VLOOKUP(A143,'Données projet'!$A$165:$I$185,3,0))</f>
        <v>0</v>
      </c>
      <c r="DW143" s="121" t="n">
        <f aca="false">IF(ISNA(VLOOKUP(A143,'Données projet'!$A$165:$I$185,4,0)),0,VLOOKUP(A143,'Données projet'!$A$165:$I$185,4,0))</f>
        <v>0</v>
      </c>
      <c r="DX143" s="122" t="n">
        <f aca="false">IF(ISNA(VLOOKUP(A143,'Données projet'!$A$165:$I$185,5,0)),0%,VLOOKUP(A143,'Données projet'!$A$165:$I$185,5,0)*VLOOKUP('Données projet'!$B$14,Paramètres!$A$1:$I$89,7,0))</f>
        <v>0</v>
      </c>
      <c r="DY143" s="122" t="n">
        <f aca="false">IF(ISNA(VLOOKUP(A143,'Données projet'!$A$165:$I$185,6,0)),0%,VLOOKUP(A143,'Données projet'!$A$165:$I$185,6,0)*VLOOKUP('Données projet'!$B$14,Paramètres!$A$1:$I$89,7,0))</f>
        <v>0</v>
      </c>
      <c r="DZ143" s="122" t="n">
        <f aca="false">IF(ISNA(VLOOKUP(A143,'Données projet'!$A$165:$I$185,7,0)),0%,VLOOKUP(A143,'Données projet'!$A$165:$I$185,7,0))</f>
        <v>0</v>
      </c>
      <c r="EA143" s="129" t="n">
        <f aca="false">EXP(-LN(2)/35)*EA142+(1-EXP(-LN(2)/35))/(LN(2)/35)*DW143*DX143*VLOOKUP('Données projet'!$B$14,Paramètres!$A$1:$I$89,3,0)*0.475*44/12</f>
        <v>0.271921851137096</v>
      </c>
      <c r="EB143" s="129" t="n">
        <f aca="false">EXP(-LN(2)/25)*EB142+(1-EXP(-LN(2)/25))/(LN(2)/25)*Calculateur!DW143*Calculateur!DY143*VLOOKUP('Données projet'!$B$14,Paramètres!$A$1:$I$89,3,0)*0.475*44/12</f>
        <v>0.367256365703627</v>
      </c>
      <c r="EC143" s="129" t="n">
        <f aca="false">EXP(-LN(2)/2)*EC142+(1-EXP(-LN(2)/2))/(LN(2)/2)*DW143*DZ143*VLOOKUP('Données projet'!$B$14,Paramètres!$A$1:$I$89,3,0)*0.475*44/12</f>
        <v>1.69838158385879E-016</v>
      </c>
      <c r="ED143" s="130" t="n">
        <f aca="false">SUM(EA143:EC143)</f>
        <v>0.639178216840724</v>
      </c>
      <c r="EE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8" t="e">
        <f aca="false">VLOOKUP(A143,'Données projet'!$A$191:$I$211,2,0)</f>
        <v>#N/A</v>
      </c>
      <c r="EH143" s="118" t="e">
        <f aca="false">VLOOKUP(A143,'Données projet'!$A$191:$I$211,9,0)</f>
        <v>#N/A</v>
      </c>
      <c r="EI143" s="118" t="e">
        <f aca="false" t="array" ref="EI143:EI143">INDEX(EH:EH,MIN(IF(ISNUMBER(EH143:EH339),ROW(EH143:EH339),"")))</f>
        <v>#N/A</v>
      </c>
      <c r="EJ143" s="118" t="n">
        <f aca="false">IF('Données projet'!$A$192&gt;35,EJ142+EI143-ER142,IF(A143&lt;'Données projet'!$A$192,$EG$205^A143,IF(A143='Données projet'!$A$192,'Données projet'!$B$192,EJ142+EI143-ER142)))</f>
        <v>0</v>
      </c>
      <c r="EK143" s="125" t="e">
        <f aca="false">EJ143*VLOOKUP('Données projet'!$B$15,Paramètres!$A$1:$I$89,3,0)*VLOOKUP('Données projet'!$B$15,Paramètres!$A$1:$I$89,5,0)</f>
        <v>#N/A</v>
      </c>
      <c r="EL143" s="117" t="e">
        <f aca="false">EXP(-1.0587+0.8836*LN(EK143)+0.284)</f>
        <v>#N/A</v>
      </c>
      <c r="EM143" s="128" t="e">
        <f aca="false">(EK143+EL143)*0.475*44/12</f>
        <v>#N/A</v>
      </c>
      <c r="EN143" s="120" t="e">
        <f aca="false">EM143+(EE143+EF143)*44/12</f>
        <v>#N/A</v>
      </c>
      <c r="EO143" s="120" t="e">
        <f aca="true">AVERAGE(OFFSET($EN$3,0,0,'Données projet'!$E$15+1,1))-AVERAGE(OFFSET($H$3,0,0,'Données projet'!$E$15+1,1))</f>
        <v>#N/A</v>
      </c>
      <c r="EP143" s="120" t="e">
        <f aca="false">$EP$3</f>
        <v>#N/A</v>
      </c>
      <c r="EQ143" s="121" t="n">
        <f aca="false">IF(ISNA(VLOOKUP(A143,'Données projet'!$A$191:$I$211,3,0)),0,VLOOKUP(A143,'Données projet'!$A$191:$I$211,3,0))</f>
        <v>0</v>
      </c>
      <c r="ER143" s="121" t="n">
        <f aca="false">IF(ISNA(VLOOKUP(A143,'Données projet'!$A$191:$I$211,4,0)),0,VLOOKUP(A143,'Données projet'!$A$191:$I$211,4,0))</f>
        <v>0</v>
      </c>
      <c r="ES143" s="122" t="n">
        <f aca="false">IF(ISNA(VLOOKUP(A143,'Données projet'!$A$191:$I$211,5,0)),0%,VLOOKUP(A143,'Données projet'!$A$191:$I$211,5,0)*VLOOKUP('Données projet'!$B$15,Paramètres!$A$1:$I$89,7,0))</f>
        <v>0</v>
      </c>
      <c r="ET143" s="122" t="n">
        <f aca="false">IF(ISNA(VLOOKUP(A143,'Données projet'!$A$191:$I$211,6,0)),0%,VLOOKUP(A143,'Données projet'!$A$191:$I$211,6,0)*VLOOKUP('Données projet'!$B$15,Paramètres!$A$1:$I$89,7,0))</f>
        <v>0</v>
      </c>
      <c r="EU143" s="122" t="n">
        <f aca="false">IF(ISNA(VLOOKUP(A143,'Données projet'!$A$191:$I$211,7,0)),0%,VLOOKUP(A143,'Données projet'!$A$191:$I$211,7,0))</f>
        <v>0</v>
      </c>
      <c r="EV143" s="129" t="e">
        <f aca="false">EXP(-LN(2)/35)*EV142+(1-EXP(-LN(2)/35))/(LN(2)/35)*ER143*ES143*VLOOKUP('Données projet'!$B$15,Paramètres!$A$1:$I$89,3,0)*0.475*44/12</f>
        <v>#N/A</v>
      </c>
      <c r="EW143" s="129" t="e">
        <f aca="false">EXP(-LN(2)/25)*EW142+(1-EXP(-LN(2)/25))/(LN(2)/25)*Calculateur!ER143*Calculateur!ET143*VLOOKUP('Données projet'!$B$15,Paramètres!$A$1:$I$89,3,0)*0.475*44/12</f>
        <v>#N/A</v>
      </c>
      <c r="EX143" s="129" t="e">
        <f aca="false">EXP(-LN(2)/2)*EX142+(1-EXP(-LN(2)/2))/(LN(2)/2)*ER143*EU143*VLOOKUP('Données projet'!$B$15,Paramètres!$A$1:$I$89,3,0)*0.475*44/12</f>
        <v>#N/A</v>
      </c>
      <c r="EY143" s="130" t="e">
        <f aca="false">SUM(EV143:EX143)</f>
        <v>#N/A</v>
      </c>
      <c r="EZ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8" t="e">
        <f aca="false">VLOOKUP(A143,'Données projet'!$A$217:$I$237,2,0)</f>
        <v>#N/A</v>
      </c>
      <c r="FC143" s="118" t="e">
        <f aca="false">VLOOKUP(A143,'Données projet'!$A$217:$I$237,9,0)</f>
        <v>#N/A</v>
      </c>
      <c r="FD143" s="118" t="e">
        <f aca="false" t="array" ref="FD143:FD143">INDEX(FC:FC,MIN(IF(ISNUMBER(FC143:FC339),ROW(FC143:FC339),"")))</f>
        <v>#N/A</v>
      </c>
      <c r="FE143" s="118" t="n">
        <f aca="false">IF('Données projet'!$A$218&gt;35,FE142+FD143-FM142,IF(A143&lt;'Données projet'!$A$218,$FB$205^A143,IF(A143='Données projet'!$A$218,'Données projet'!$B$218,FE142+FD143-FM142)))</f>
        <v>0</v>
      </c>
      <c r="FF143" s="125" t="e">
        <f aca="false">FE143*VLOOKUP('Données projet'!$B$16,Paramètres!$A$1:$I$89,3,0)*VLOOKUP('Données projet'!$B$16,Paramètres!$A$1:$I$89,5,0)</f>
        <v>#N/A</v>
      </c>
      <c r="FG143" s="117" t="e">
        <f aca="false">EXP(-1.0587+0.8836*LN(FF143)+0.284)</f>
        <v>#N/A</v>
      </c>
      <c r="FH143" s="128" t="e">
        <f aca="false">(FF143+FG143)*0.475*44/12</f>
        <v>#N/A</v>
      </c>
      <c r="FI143" s="120" t="e">
        <f aca="false">FH143+(EZ143+FA143)*44/12</f>
        <v>#N/A</v>
      </c>
      <c r="FJ143" s="120" t="e">
        <f aca="true">AVERAGE(OFFSET($FI$3,0,0,'Données projet'!$E$16+1,1))-AVERAGE(OFFSET($H$3,0,0,'Données projet'!$E$16+1,1))</f>
        <v>#N/A</v>
      </c>
      <c r="FK143" s="120" t="e">
        <f aca="false">$FK$3</f>
        <v>#N/A</v>
      </c>
      <c r="FL143" s="121" t="n">
        <f aca="false">IF(ISNA(VLOOKUP(A143,'Données projet'!$A$217:$I$237,3,0)),0,VLOOKUP(A143,'Données projet'!$A$217:$I$237,3,0))</f>
        <v>0</v>
      </c>
      <c r="FM143" s="121" t="n">
        <f aca="false">IF(ISNA(VLOOKUP(A143,'Données projet'!$A$217:$I$237,4,0)),0,VLOOKUP(A143,'Données projet'!$A$217:$I$237,4,0))</f>
        <v>0</v>
      </c>
      <c r="FN143" s="122" t="n">
        <f aca="false">IF(ISNA(VLOOKUP(A143,'Données projet'!$A$217:$I$237,5,0)),0%,VLOOKUP(A143,'Données projet'!$A$217:$I$237,5,0)*VLOOKUP('Données projet'!$B$16,Paramètres!$A$1:$I$89,7,0))</f>
        <v>0</v>
      </c>
      <c r="FO143" s="122" t="n">
        <f aca="false">IF(ISNA(VLOOKUP(A143,'Données projet'!$A$217:$I$237,6,0)),0%,VLOOKUP(A143,'Données projet'!$A$217:$I$237,6,0)*VLOOKUP('Données projet'!$B$16,Paramètres!$A$1:$I$89,7,0))</f>
        <v>0</v>
      </c>
      <c r="FP143" s="122" t="n">
        <f aca="false">IF(ISNA(VLOOKUP(A143,'Données projet'!$A$217:$I$237,7,0)),0%,VLOOKUP(A143,'Données projet'!$A$217:$I$237,7,0))</f>
        <v>0</v>
      </c>
      <c r="FQ143" s="129" t="e">
        <f aca="false">EXP(-LN(2)/35)*FQ142+(1-EXP(-LN(2)/35))/(LN(2)/35)*FM143*FN143*VLOOKUP('Données projet'!$B$16,Paramètres!$A$1:$I$89,3,0)*0.475*44/12</f>
        <v>#N/A</v>
      </c>
      <c r="FR143" s="129" t="e">
        <f aca="false">EXP(-LN(2)/25)*FR142+(1-EXP(-LN(2)/25))/(LN(2)/25)*Calculateur!FM143*Calculateur!FO143*VLOOKUP('Données projet'!$B$16,Paramètres!$A$1:$I$89,3,0)*0.475*44/12</f>
        <v>#N/A</v>
      </c>
      <c r="FS143" s="129" t="e">
        <f aca="false">EXP(-LN(2)/2)*FS142+(1-EXP(-LN(2)/2))/(LN(2)/2)*FM143*FP143*VLOOKUP('Données projet'!$B$16,Paramètres!$A$1:$I$89,3,0)*0.475*44/12</f>
        <v>#N/A</v>
      </c>
      <c r="FT143" s="130" t="e">
        <f aca="false">SUM(FQ143:FS143)</f>
        <v>#N/A</v>
      </c>
      <c r="FU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8" t="e">
        <f aca="false">VLOOKUP(A143,'Données projet'!$A$243:$I$263,2,0)</f>
        <v>#N/A</v>
      </c>
      <c r="FX143" s="118" t="e">
        <f aca="false">VLOOKUP(A143,'Données projet'!$A$243:$I$263,9,0)</f>
        <v>#N/A</v>
      </c>
      <c r="FY143" s="118" t="e">
        <f aca="false" t="array" ref="FY143:FY143">INDEX(FX:FX,MIN(IF(ISNUMBER(FX143:FX339),ROW(FX143:FX339),"")))</f>
        <v>#N/A</v>
      </c>
      <c r="FZ143" s="118" t="n">
        <f aca="false">IF('Données projet'!$A$244&gt;35,FZ142+FY143-GH142,IF(A143&lt;'Données projet'!$A$244,$FW$205^A143,IF(A143='Données projet'!$A$244,'Données projet'!$B$244,FZ142+FY143-GH142)))</f>
        <v>0</v>
      </c>
      <c r="GA143" s="125" t="e">
        <f aca="false">FZ143*VLOOKUP('Données projet'!$B$17,Paramètres!$A$1:$I$89,3,0)*VLOOKUP('Données projet'!$B$17,Paramètres!$A$1:$I$89,5,0)</f>
        <v>#N/A</v>
      </c>
      <c r="GB143" s="117" t="e">
        <f aca="false">EXP(-1.0587+0.8836*LN(GA143)+0.284)</f>
        <v>#N/A</v>
      </c>
      <c r="GC143" s="128" t="e">
        <f aca="false">(GA143+GB143)*0.475*44/12</f>
        <v>#N/A</v>
      </c>
      <c r="GD143" s="120" t="e">
        <f aca="false">GC143+(FU143+FV143)*44/12</f>
        <v>#N/A</v>
      </c>
      <c r="GE143" s="120" t="e">
        <f aca="true">AVERAGE(OFFSET($GD$3,0,0,'Données projet'!$E$17+1,1))-AVERAGE(OFFSET($H$3,0,0,'Données projet'!$E$17+1,1))</f>
        <v>#N/A</v>
      </c>
      <c r="GF143" s="120" t="e">
        <f aca="false">$GF$3</f>
        <v>#N/A</v>
      </c>
      <c r="GG143" s="121" t="n">
        <f aca="false">IF(ISNA(VLOOKUP(A143,'Données projet'!$A$243:$I$263,3,0)),0,VLOOKUP(A143,'Données projet'!$A$243:$I$263,3,0))</f>
        <v>0</v>
      </c>
      <c r="GH143" s="121" t="n">
        <f aca="false">IF(ISNA(VLOOKUP(A143,'Données projet'!$A$243:$I$263,4,0)),0,VLOOKUP(A143,'Données projet'!$A$243:$I$263,4,0))</f>
        <v>0</v>
      </c>
      <c r="GI143" s="122" t="n">
        <f aca="false">IF(ISNA(VLOOKUP(A143,'Données projet'!$A$243:$I$263,5,0)),0%,VLOOKUP(A143,'Données projet'!$A$243:$I$263,5,0)*VLOOKUP('Données projet'!$B$17,Paramètres!$A$1:$I$89,7,0))</f>
        <v>0</v>
      </c>
      <c r="GJ143" s="122" t="n">
        <f aca="false">IF(ISNA(VLOOKUP(A143,'Données projet'!$A$243:$I$263,6,0)),0%,VLOOKUP(A143,'Données projet'!$A$243:$I$263,6,0)*VLOOKUP('Données projet'!$B$17,Paramètres!$A$1:$I$89,7,0))</f>
        <v>0</v>
      </c>
      <c r="GK143" s="122" t="n">
        <f aca="false">IF(ISNA(VLOOKUP(A143,'Données projet'!$A$243:$I$263,7,0)),0%,VLOOKUP(A143,'Données projet'!$A$243:$I$263,7,0))</f>
        <v>0</v>
      </c>
      <c r="GL143" s="129" t="e">
        <f aca="false">EXP(-LN(2)/35)*GL142+(1-EXP(-LN(2)/35))/(LN(2)/35)*GH143*GI143*VLOOKUP('Données projet'!$B$17,Paramètres!$A$1:$I$89,3,0)*0.475*44/12</f>
        <v>#N/A</v>
      </c>
      <c r="GM143" s="129" t="e">
        <f aca="false">EXP(-LN(2)/25)*GM142+(1-EXP(-LN(2)/25))/(LN(2)/25)*Calculateur!GH143*Calculateur!GJ143*VLOOKUP('Données projet'!$B$17,Paramètres!$A$1:$I$89,3,0)*0.475*44/12</f>
        <v>#N/A</v>
      </c>
      <c r="GN143" s="129" t="e">
        <f aca="false">EXP(-LN(2)/2)*GN142+(1-EXP(-LN(2)/2))/(LN(2)/2)*GH143*GK143*VLOOKUP('Données projet'!$B$17,Paramètres!$A$1:$I$89,3,0)*0.475*44/12</f>
        <v>#N/A</v>
      </c>
      <c r="GO143" s="129" t="e">
        <f aca="false">SUM(GL143:GN143)</f>
        <v>#N/A</v>
      </c>
      <c r="GP143" s="126" t="n">
        <f aca="false"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8" t="n">
        <f aca="false"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8" t="e">
        <f aca="false">VLOOKUP(A143,'Données projet'!$A$269:$I$289,2,0)</f>
        <v>#N/A</v>
      </c>
      <c r="GS143" s="118" t="e">
        <f aca="false">VLOOKUP(A143,'Données projet'!$A$269:$I$289,9,0)</f>
        <v>#N/A</v>
      </c>
      <c r="GT143" s="118" t="e">
        <f aca="false" t="array" ref="GT143:GT143">INDEX(GS:GS,MIN(IF(ISNUMBER(GS143:GS339),ROW(GS143:GS339),"")))</f>
        <v>#N/A</v>
      </c>
      <c r="GU143" s="118" t="n">
        <f aca="false">IF('Données projet'!$A$270&gt;35,GU142+GT143-HC142,IF(A143&lt;'Données projet'!$A$270,$GR$205^A143,IF(A143='Données projet'!$A$270,'Données projet'!$B$270,GU142+GT143-HC142)))</f>
        <v>0</v>
      </c>
      <c r="GV143" s="125" t="e">
        <f aca="false">GU143*VLOOKUP('Données projet'!$B$18,Paramètres!$A$1:$I$89,3,0)*VLOOKUP('Données projet'!$B$18,Paramètres!$A$1:$I$89,5,0)</f>
        <v>#N/A</v>
      </c>
      <c r="GW143" s="117" t="e">
        <f aca="false">EXP(-1.0587+0.8836*LN(GV143)+0.284)</f>
        <v>#N/A</v>
      </c>
      <c r="GX143" s="128" t="e">
        <f aca="false">(GV143+GW143)*0.475*44/12</f>
        <v>#N/A</v>
      </c>
      <c r="GY143" s="120" t="e">
        <f aca="false">GX143+(GP143+GQ143)*44/12</f>
        <v>#N/A</v>
      </c>
      <c r="GZ143" s="120" t="e">
        <f aca="true">AVERAGE(OFFSET($GY$3,0,0,'Données projet'!$E$18+1,1))-AVERAGE(OFFSET($H$3,0,0,'Données projet'!$E$18+1,1))</f>
        <v>#N/A</v>
      </c>
      <c r="HA143" s="120" t="e">
        <f aca="false">$HA$3</f>
        <v>#N/A</v>
      </c>
      <c r="HB143" s="121" t="n">
        <f aca="false">IF(ISNA(VLOOKUP(A143,'Données projet'!$A$269:$I$289,3,0)),0,VLOOKUP(A143,'Données projet'!$A$269:$I$289,3,0))</f>
        <v>0</v>
      </c>
      <c r="HC143" s="121" t="n">
        <f aca="false">IF(ISNA(VLOOKUP(A143,'Données projet'!$A$269:$I$289,4,0)),0,VLOOKUP(A143,'Données projet'!$A$269:$I$289,4,0))</f>
        <v>0</v>
      </c>
      <c r="HD143" s="122" t="n">
        <f aca="false">IF(ISNA(VLOOKUP(A143,'Données projet'!$A$269:$I$289,5,0)),0%,VLOOKUP(A143,'Données projet'!$A$269:$I$289,5,0)*VLOOKUP('Données projet'!$B$18,Paramètres!$A$1:$I$89,7,0))</f>
        <v>0</v>
      </c>
      <c r="HE143" s="122" t="n">
        <f aca="false">IF(ISNA(VLOOKUP(A143,'Données projet'!$A$269:$I$289,6,0)),0%,VLOOKUP(A143,'Données projet'!$A$269:$I$289,6,0)*VLOOKUP('Données projet'!$B$18,Paramètres!$A$1:$I$89,7,0))</f>
        <v>0</v>
      </c>
      <c r="HF143" s="122" t="n">
        <f aca="false">IF(ISNA(VLOOKUP(A143,'Données projet'!$A$269:$I$289,7,0)),0%,VLOOKUP(A143,'Données projet'!$A$269:$I$289,7,0))</f>
        <v>0</v>
      </c>
      <c r="HG143" s="129" t="e">
        <f aca="false">EXP(-LN(2)/35)*HG142+(1-EXP(-LN(2)/35))/(LN(2)/35)*HC143*HD143*VLOOKUP('Données projet'!$B$18,Paramètres!$A$1:$I$89,3,0)*0.475*44/12</f>
        <v>#N/A</v>
      </c>
      <c r="HH143" s="129" t="e">
        <f aca="false">EXP(-LN(2)/25)*HH142+(1-EXP(-LN(2)/25))/(LN(2)/25)*Calculateur!HC143*Calculateur!HE143*VLOOKUP('Données projet'!$B$18,Paramètres!$A$1:$I$89,3,0)*0.475*44/12</f>
        <v>#N/A</v>
      </c>
      <c r="HI143" s="129" t="e">
        <f aca="false">EXP(-LN(2)/2)*HI142+(1-EXP(-LN(2)/2))/(LN(2)/2)*HC143*HF143*VLOOKUP('Données projet'!$B$18,Paramètres!$A$1:$I$89,3,0)*0.475*44/12</f>
        <v>#N/A</v>
      </c>
      <c r="HJ143" s="130" t="e">
        <f aca="false">SUM(HG143:HI143)</f>
        <v>#N/A</v>
      </c>
    </row>
    <row r="144" customFormat="false" ht="14.25" hidden="false" customHeight="false" outlineLevel="0" collapsed="false">
      <c r="A144" s="112" t="n">
        <f aca="false">A143+1</f>
        <v>141</v>
      </c>
      <c r="B144" s="113" t="n">
        <f aca="false">'Scénario référence'!$B$16*5+'Scénario référence'!$B$17*0+'Scénario référence'!$B$18*5</f>
        <v>0</v>
      </c>
      <c r="C144" s="127" t="n">
        <f aca="false"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4" t="n">
        <f aca="false">IFERROR(EXP(-1.0587+0.8836*LN(C144)+0.284),0)</f>
        <v>0</v>
      </c>
      <c r="E14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4" s="114" t="n">
        <f aca="false">IF(OR('Scénario référence'!$F$8&gt;0,'Scénario référence'!$F$9&gt;0),('Scénario référence'!$F$8+'Scénario référence'!$F$9)*10,0)</f>
        <v>0</v>
      </c>
      <c r="G144" s="114" t="n">
        <f aca="false"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15" t="n">
        <f aca="false">(B144+E144+F144)*44/12+(C144+D144)*0.475*44/12</f>
        <v>256.666666666667</v>
      </c>
      <c r="I144" s="11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7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8" t="e">
        <f aca="false">VLOOKUP(A144,'Données projet'!$A$35:$I$55,2,0)</f>
        <v>#N/A</v>
      </c>
      <c r="L144" s="118" t="e">
        <f aca="false">VLOOKUP(A144,'Données projet'!$A$35:$I$55,9,0)</f>
        <v>#N/A</v>
      </c>
      <c r="M144" s="118" t="e">
        <f aca="false" t="array" ref="M144:M144">INDEX(L:L,MIN(IF(ISNUMBER(L144:L340),ROW(L144:L340),"")))</f>
        <v>#N/A</v>
      </c>
      <c r="N144" s="117" t="n">
        <f aca="false">IF('Données projet'!$A$36&gt;35,N143+M144-V143,IF(A144&lt;'Données projet'!$A$36,$K$205^A144,IF(A144='Données projet'!$A$36,'Données projet'!$B$36,N143+M144-V143)))</f>
        <v>-1.13686837721616E-013</v>
      </c>
      <c r="O144" s="117" t="n">
        <f aca="false">N144*VLOOKUP('Données projet'!$B$9,Paramètres!$A$1:$I$89,3,0)*VLOOKUP('Données projet'!$B$9,Paramètres!$A$1:$I$89,5,0)</f>
        <v>-5.32054400537163E-014</v>
      </c>
      <c r="P144" s="117" t="e">
        <f aca="false">EXP(-1.0587+0.8836*LN(O144)+0.284)</f>
        <v>#VALUE!</v>
      </c>
      <c r="Q144" s="128" t="e">
        <f aca="false">(O144+P144)*0.475*44/12</f>
        <v>#VALUE!</v>
      </c>
      <c r="R144" s="120" t="e">
        <f aca="false">Q144+(I144+J144)*44/12</f>
        <v>#VALUE!</v>
      </c>
      <c r="S144" s="120" t="n">
        <f aca="true">AVERAGE(OFFSET($R$3,0,0,'Données projet'!$E$9+1,1))-AVERAGE(OFFSET($H$3,0,0,'Données projet'!$E$9+1,1))</f>
        <v>319.229030946746</v>
      </c>
      <c r="T144" s="120" t="n">
        <f aca="false">$T$3</f>
        <v>254.586909731428</v>
      </c>
      <c r="U144" s="121" t="n">
        <f aca="false">IF(ISNA(VLOOKUP(A144,'Données projet'!$A$35:$I$55,3,0)),0,VLOOKUP(A144,'Données projet'!$A$35:$I$55,3,0))</f>
        <v>0</v>
      </c>
      <c r="V144" s="121" t="n">
        <f aca="false">IF(ISNA(VLOOKUP(A144,'Données projet'!$A$35:$I$55,4,0)),0,VLOOKUP(A144,'Données projet'!$A$35:$I$55,4,0))</f>
        <v>0</v>
      </c>
      <c r="W144" s="122" t="n">
        <f aca="false">IF(ISNA(VLOOKUP(A144,'Données projet'!$A$35:$I$55,5,0)),0%,VLOOKUP(A144,'Données projet'!$A$35:$I$55,5,0)*VLOOKUP('Données projet'!$B$9,Paramètres!$A$1:$I$89,7,0))</f>
        <v>0</v>
      </c>
      <c r="X144" s="122" t="n">
        <f aca="false">IF(ISNA(VLOOKUP(A144,'Données projet'!$A$35:$I$55,6,0)),0%,VLOOKUP(A144,'Données projet'!$A$35:$I$55,6,0)*VLOOKUP('Données projet'!$B$9,Paramètres!$A$1:$I$89,7,0))</f>
        <v>0</v>
      </c>
      <c r="Y144" s="122" t="n">
        <f aca="false">IF(ISNA(VLOOKUP(A144,'Données projet'!$A$35:$I$55,7,0)),0%,VLOOKUP(A144,'Données projet'!$A$35:$I$55,7,0))</f>
        <v>0</v>
      </c>
      <c r="Z144" s="129" t="n">
        <f aca="false">EXP(-LN(2)/35)*Z143+(1-EXP(-LN(2)/35))/(LN(2)/35)*V144*W144*VLOOKUP('Données projet'!$B$9,Paramètres!$A$1:$I$89,3,0)*0.475*44/12</f>
        <v>1.00741254708008</v>
      </c>
      <c r="AA144" s="129" t="n">
        <f aca="false">EXP(-LN(2)/25)*AA143+(1-EXP(-LN(2)/25))/(LN(2)/25)*Calculateur!V144*Calculateur!X144*VLOOKUP('Données projet'!$B$9,Paramètres!$A$1:$I$89,3,0)*0.475*44/12</f>
        <v>0.513751503988185</v>
      </c>
      <c r="AB144" s="129" t="n">
        <f aca="false">EXP(-LN(2)/2)*AB143+(1-EXP(-LN(2)/2))/(LN(2)/2)*V144*Y144*VLOOKUP('Données projet'!$B$9,Paramètres!$A$1:$I$89,3,0)*0.475*44/12</f>
        <v>2.16734162544859E-016</v>
      </c>
      <c r="AC144" s="130" t="n">
        <f aca="false">SUM(Z144:AB144)</f>
        <v>1.52116405106827</v>
      </c>
      <c r="AD144" s="117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7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8" t="e">
        <f aca="false">VLOOKUP(A144,'Données projet'!$A$61:$I$81,2,0)</f>
        <v>#N/A</v>
      </c>
      <c r="AG144" s="118" t="e">
        <f aca="false">VLOOKUP(A144,'Données projet'!$A$61:$I$81,9,0)</f>
        <v>#N/A</v>
      </c>
      <c r="AH144" s="118" t="e">
        <f aca="false" t="array" ref="AH144:AH144">INDEX(AG:AG,MIN(IF(ISNUMBER(AG144:AG340),ROW(AG144:AG340),"")))</f>
        <v>#N/A</v>
      </c>
      <c r="AI144" s="117" t="n">
        <f aca="false">IF('Données projet'!$A$62&gt;35,AI143+AH144-AQ143,IF(A144&lt;'Données projet'!$A$62,$AF$205^A144,IF(A144='Données projet'!$A$62,'Données projet'!$B$62,AI143+AH144-AQ143)))</f>
        <v>1.13686837721616E-013</v>
      </c>
      <c r="AJ144" s="117" t="n">
        <f aca="false">AI144*VLOOKUP('Données projet'!$B$10,Paramètres!$A$1:$I$89,3,0)*VLOOKUP('Données projet'!$B$10,Paramètres!$A$1:$I$89,5,0)</f>
        <v>6.35509422863834E-014</v>
      </c>
      <c r="AK144" s="117" t="n">
        <f aca="false">EXP(-1.0587+0.8836*LN(AJ144)+0.284)</f>
        <v>1.0064464192544E-012</v>
      </c>
      <c r="AL144" s="128" t="n">
        <f aca="false">(AJ144+AK144)*0.475*44/12</f>
        <v>1.86357873801686E-012</v>
      </c>
      <c r="AM144" s="120" t="n">
        <f aca="false">AL144+(AD144+AE144)*44/12</f>
        <v>293.333333333335</v>
      </c>
      <c r="AN144" s="120" t="n">
        <f aca="true">AVERAGE(OFFSET($AM$3,0,0,'Données projet'!$E$10+1,1))-AVERAGE(OFFSET($H$3,0,0,'Données projet'!$E$10+1,1))</f>
        <v>365.705101827279</v>
      </c>
      <c r="AO144" s="120" t="n">
        <f aca="false">$AO$3</f>
        <v>436.238338449625</v>
      </c>
      <c r="AP144" s="121" t="n">
        <f aca="false">IF(ISNA(VLOOKUP(A144,'Données projet'!$A$61:$I$81,3,0)),0,VLOOKUP(A144,'Données projet'!$A$61:$I$81,3,0))</f>
        <v>0</v>
      </c>
      <c r="AQ144" s="121" t="n">
        <f aca="false">IF(ISNA(VLOOKUP(A144,'Données projet'!$A$61:$I$81,4,0)),0,VLOOKUP(A144,'Données projet'!$A$61:$I$81,4,0))</f>
        <v>0</v>
      </c>
      <c r="AR144" s="122" t="n">
        <f aca="false">IF(ISNA(VLOOKUP(A144,'Données projet'!$A$61:$I$81,5,0)),0%,VLOOKUP(A144,'Données projet'!$A$61:$I$81,5,0)*VLOOKUP('Données projet'!$B$10,Paramètres!$A$1:$I$89,7,0))</f>
        <v>0</v>
      </c>
      <c r="AS144" s="122" t="n">
        <f aca="false">IF(ISNA(VLOOKUP(A144,'Données projet'!$A$61:$I$81,6,0)),0%,VLOOKUP(A144,'Données projet'!$A$61:$I$81,6,0)*VLOOKUP('Données projet'!$B$10,Paramètres!$A$1:$I$89,7,0))</f>
        <v>0</v>
      </c>
      <c r="AT144" s="122" t="n">
        <f aca="false">IF(ISNA(VLOOKUP(A144,'Données projet'!$A$61:$I$81,7,0)),0%,VLOOKUP(A144,'Données projet'!$A$61:$I$81,7,0))</f>
        <v>0</v>
      </c>
      <c r="AU144" s="129" t="n">
        <f aca="false">EXP(-LN(2)/35)*AU143+(1-EXP(-LN(2)/35))/(LN(2)/35)*AQ144*AR144*VLOOKUP('Données projet'!$B$10,Paramètres!$A$1:$I$89,3,0)*0.475*44/12</f>
        <v>0.380265574787844</v>
      </c>
      <c r="AV144" s="129" t="n">
        <f aca="false">EXP(-LN(2)/25)*AV143+(1-EXP(-LN(2)/25))/(LN(2)/25)*Calculateur!AQ144*Calculateur!AS144*VLOOKUP('Données projet'!$B$10,Paramètres!$A$1:$I$89,3,0)*0.475*44/12</f>
        <v>0.60851087799342</v>
      </c>
      <c r="AW144" s="129" t="n">
        <f aca="false">EXP(-LN(2)/2)*AW143+(1-EXP(-LN(2)/2))/(LN(2)/2)*AQ144*AT144*VLOOKUP('Données projet'!$B$10,Paramètres!$A$1:$I$89,3,0)*0.475*44/12</f>
        <v>1.16639552307929E-016</v>
      </c>
      <c r="AX144" s="129" t="n">
        <f aca="false">SUM(AU144:AW144)</f>
        <v>0.988776452781264</v>
      </c>
      <c r="AY144" s="124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8" t="e">
        <f aca="false">VLOOKUP(A144,'Données projet'!$A$87:$I$107,2,0)</f>
        <v>#N/A</v>
      </c>
      <c r="BB144" s="118" t="e">
        <f aca="false">VLOOKUP(A144,'Données projet'!$A$87:$I$107,9,0)</f>
        <v>#N/A</v>
      </c>
      <c r="BC144" s="118" t="e">
        <f aca="false" t="array" ref="BC144:BC144">INDEX(BB:BB,MIN(IF(ISNUMBER(BB144:BB340),ROW(BB144:BB340),"")))</f>
        <v>#N/A</v>
      </c>
      <c r="BD144" s="118" t="n">
        <f aca="false">IF('Données projet'!$A$88&gt;35,BD143+BC144-BL143,IF(A144&lt;'Données projet'!$A$88,$BA$205^A144,IF(A144='Données projet'!$A$88,'Données projet'!$B$88,BD143+BC144-BL143)))</f>
        <v>1.98951966012828E-013</v>
      </c>
      <c r="BE144" s="117" t="n">
        <f aca="false">BD144*VLOOKUP('Données projet'!$B$11,Paramètres!$A$1:$I$89,3,0)*VLOOKUP('Données projet'!$B$11,Paramètres!$A$1:$I$89,5,0)</f>
        <v>1.73804437508807E-013</v>
      </c>
      <c r="BF144" s="117" t="n">
        <f aca="false">EXP(-1.0587+0.8836*LN(BE144)+0.284)</f>
        <v>2.44832936339505E-012</v>
      </c>
      <c r="BG144" s="128" t="n">
        <f aca="false">(BE144+BF144)*0.475*44/12</f>
        <v>4.56688303657421E-012</v>
      </c>
      <c r="BH144" s="120" t="n">
        <f aca="false">BG144+(AY144+AZ144)*44/12</f>
        <v>293.333333333338</v>
      </c>
      <c r="BI144" s="120" t="n">
        <f aca="true">AVERAGE(OFFSET($BH$3,0,0,'Données projet'!$E$11+1,1))-AVERAGE(OFFSET($H$3,0,0,'Données projet'!$E$11+1,1))</f>
        <v>321.235999689929</v>
      </c>
      <c r="BJ144" s="120" t="n">
        <f aca="false">$BJ$3</f>
        <v>388.051958478005</v>
      </c>
      <c r="BK144" s="121" t="n">
        <f aca="false">IF(ISNA(VLOOKUP(A144,'Données projet'!$A$87:$I$107,3,0)),0,VLOOKUP(A144,'Données projet'!$A$87:$I$107,3,0))</f>
        <v>0</v>
      </c>
      <c r="BL144" s="121" t="n">
        <f aca="false">IF(ISNA(VLOOKUP(A144,'Données projet'!$A$87:$I$107,4,0)),0,VLOOKUP(A144,'Données projet'!$A$87:$I$107,4,0))</f>
        <v>0</v>
      </c>
      <c r="BM144" s="122" t="n">
        <f aca="false">IF(ISNA(VLOOKUP(A144,'Données projet'!$A$87:$I$107,5,0)),0%,VLOOKUP(A144,'Données projet'!$A$87:$I$107,5,0)*VLOOKUP('Données projet'!$B$11,Paramètres!$A$1:$I$89,7,0))</f>
        <v>0</v>
      </c>
      <c r="BN144" s="122" t="n">
        <f aca="false">IF(ISNA(VLOOKUP(A144,'Données projet'!$A$87:$I$107,6,0)),0%,VLOOKUP(A144,'Données projet'!$A$87:$I$107,6,0)*VLOOKUP('Données projet'!$B$11,Paramètres!$A$1:$I$89,7,0))</f>
        <v>0</v>
      </c>
      <c r="BO144" s="122" t="n">
        <f aca="false">IF(ISNA(VLOOKUP(A144,'Données projet'!$A$87:$I$107,7,0)),0%,VLOOKUP(A144,'Données projet'!$A$87:$I$107,7,0))</f>
        <v>0</v>
      </c>
      <c r="BP144" s="129" t="n">
        <f aca="false">EXP(-LN(2)/35)*BP143+(1-EXP(-LN(2)/35))/(LN(2)/35)*BL144*BM144*VLOOKUP('Données projet'!$B$11,Paramètres!$A$1:$I$89,3,0)*0.475*44/12</f>
        <v>0.954702871474201</v>
      </c>
      <c r="BQ144" s="129" t="n">
        <f aca="false">EXP(-LN(2)/25)*BQ143+(1-EXP(-LN(2)/25))/(LN(2)/25)*Calculateur!BL144*Calculateur!BN144*VLOOKUP('Données projet'!$B$11,Paramètres!$A$1:$I$89,3,0)*0.475*44/12</f>
        <v>0.621131760944166</v>
      </c>
      <c r="BR144" s="129" t="n">
        <f aca="false">EXP(-LN(2)/2)*BR143+(1-EXP(-LN(2)/2))/(LN(2)/2)*BL144*BO144*VLOOKUP('Données projet'!$B$11,Paramètres!$A$1:$I$89,3,0)*0.475*44/12</f>
        <v>1.1856168052761E-016</v>
      </c>
      <c r="BS144" s="130" t="n">
        <f aca="false">SUM(BP144:BR144)</f>
        <v>1.57583463241837</v>
      </c>
      <c r="BT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8" t="e">
        <f aca="false">VLOOKUP(A144,'Données projet'!$A$113:$I$133,2,0)</f>
        <v>#N/A</v>
      </c>
      <c r="BW144" s="118" t="e">
        <f aca="false">VLOOKUP(A144,'Données projet'!$A$113:$I$133,9,0)</f>
        <v>#N/A</v>
      </c>
      <c r="BX144" s="118" t="e">
        <f aca="false" t="array" ref="BX144:BX144">INDEX(BW:BW,MIN(IF(ISNUMBER(BW144:BW340),ROW(BW144:BW340),"")))</f>
        <v>#N/A</v>
      </c>
      <c r="BY144" s="118" t="n">
        <f aca="false">IF('Données projet'!$A$114&gt;35,BY143+BX144-CG143,IF(A144&lt;'Données projet'!$A$114,$BV$205^A144,IF(A144='Données projet'!$A$114,'Données projet'!$B$114,BY143+BX144-CG143)))</f>
        <v>0</v>
      </c>
      <c r="BZ144" s="117" t="n">
        <f aca="false">BY144*VLOOKUP('Données projet'!$B$12,Paramètres!$A$1:$I$89,3,0)*VLOOKUP('Données projet'!$B$12,Paramètres!$A$1:$I$89,5,0)</f>
        <v>0</v>
      </c>
      <c r="CA144" s="117" t="e">
        <f aca="false">EXP(-1.0587+0.8836*LN(BZ144)+0.284)</f>
        <v>#VALUE!</v>
      </c>
      <c r="CB144" s="128" t="e">
        <f aca="false">(BZ144+CA144)*0.475*44/12</f>
        <v>#VALUE!</v>
      </c>
      <c r="CC144" s="120" t="e">
        <f aca="false">CB144+(BT144+BU144)*44/12</f>
        <v>#VALUE!</v>
      </c>
      <c r="CD144" s="120" t="n">
        <f aca="true">AVERAGE(OFFSET($CC$3,0,0,'Données projet'!$E$12+1,1))-AVERAGE(OFFSET($H$3,0,0,'Données projet'!$E$12+1,1))</f>
        <v>240.228848647662</v>
      </c>
      <c r="CE144" s="120" t="n">
        <f aca="false">$CE$3</f>
        <v>343.237768841432</v>
      </c>
      <c r="CF144" s="121" t="n">
        <f aca="false">IF(ISNA(VLOOKUP(A144,'Données projet'!$A$113:$I$133,3,0)),0,VLOOKUP(A144,'Données projet'!$A$113:$I$133,3,0))</f>
        <v>0</v>
      </c>
      <c r="CG144" s="121" t="n">
        <f aca="false">IF(ISNA(VLOOKUP(A144,'Données projet'!$A$113:$I$133,4,0)),0,VLOOKUP(A144,'Données projet'!$A$113:$I$133,4,0))</f>
        <v>0</v>
      </c>
      <c r="CH144" s="122" t="n">
        <f aca="false">IF(ISNA(VLOOKUP(A144,'Données projet'!$A$113:$I$133,5,0)),0%,VLOOKUP(A144,'Données projet'!$A$113:$I$133,5,0)*VLOOKUP('Données projet'!$B$12,Paramètres!$A$1:$I$89,7,0))</f>
        <v>0</v>
      </c>
      <c r="CI144" s="122" t="n">
        <f aca="false">IF(ISNA(VLOOKUP(A144,'Données projet'!$A$113:$I$133,6,0)),0%,VLOOKUP(A144,'Données projet'!$A$113:$I$133,6,0)*VLOOKUP('Données projet'!$B$12,Paramètres!$A$1:$I$89,7,0))</f>
        <v>0</v>
      </c>
      <c r="CJ144" s="122" t="n">
        <f aca="false">IF(ISNA(VLOOKUP(A144,'Données projet'!$A$113:$I$133,7,0)),0%,VLOOKUP(A144,'Données projet'!$A$113:$I$133,7,0))</f>
        <v>0</v>
      </c>
      <c r="CK144" s="129" t="n">
        <f aca="false">EXP(-LN(2)/35)*CK143+(1-EXP(-LN(2)/35))/(LN(2)/35)*CG144*CH144*VLOOKUP('Données projet'!$B$12,Paramètres!$A$1:$I$89,3,0)*0.475*44/12</f>
        <v>0.584352535342963</v>
      </c>
      <c r="CL144" s="129" t="n">
        <f aca="false">EXP(-LN(2)/25)*CL143+(1-EXP(-LN(2)/25))/(LN(2)/25)*Calculateur!CG144*Calculateur!CI144*VLOOKUP('Données projet'!$B$12,Paramètres!$A$1:$I$89,3,0)*0.475*44/12</f>
        <v>1.09695464707465</v>
      </c>
      <c r="CM144" s="129" t="n">
        <f aca="false">EXP(-LN(2)/2)*CM143+(1-EXP(-LN(2)/2))/(LN(2)/2)*CG144*CJ144*VLOOKUP('Données projet'!$B$12,Paramètres!$A$1:$I$89,3,0)*0.475*44/12</f>
        <v>1.89192833596154E-016</v>
      </c>
      <c r="CN144" s="130" t="n">
        <f aca="false">SUM(CK144:CM144)</f>
        <v>1.68130718241761</v>
      </c>
      <c r="CO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8" t="e">
        <f aca="false">VLOOKUP(A144,'Données projet'!$A$139:$I$159,2,0)</f>
        <v>#N/A</v>
      </c>
      <c r="CR144" s="118" t="e">
        <f aca="false">VLOOKUP(A144,'Données projet'!$A$139:$I$159,9,0)</f>
        <v>#N/A</v>
      </c>
      <c r="CS144" s="118" t="e">
        <f aca="false" t="array" ref="CS144:CS144">INDEX(CR:CR,MIN(IF(ISNUMBER(CR144:CR340),ROW(CR144:CR340),"")))</f>
        <v>#N/A</v>
      </c>
      <c r="CT144" s="118" t="n">
        <f aca="false">IF('Données projet'!$A$140&gt;35,CT143+CS144-DB143,IF(A144&lt;'Données projet'!$A$140,$CQ$205^A144,IF(A144='Données projet'!$A$140,'Données projet'!$B$140,CT143+CS144-DB143)))</f>
        <v>-5.6843418860808E-014</v>
      </c>
      <c r="CU144" s="125" t="n">
        <f aca="false">CT144*VLOOKUP('Données projet'!$B$13,Paramètres!$A$1:$I$89,3,0)*VLOOKUP('Données projet'!$B$13,Paramètres!$A$1:$I$89,5,0)</f>
        <v>-3.10365066980012E-014</v>
      </c>
      <c r="CV144" s="117" t="e">
        <f aca="false">EXP(-1.0587+0.8836*LN(CU144)+0.284)</f>
        <v>#VALUE!</v>
      </c>
      <c r="CW144" s="128" t="e">
        <f aca="false">(CU144+CV144)*0.475*44/12</f>
        <v>#VALUE!</v>
      </c>
      <c r="CX144" s="120" t="e">
        <f aca="false">CW144+(CO144+CP144)*44/12</f>
        <v>#VALUE!</v>
      </c>
      <c r="CY144" s="120" t="n">
        <f aca="true">AVERAGE(OFFSET($CX$3,0,0,'Données projet'!$E$13+1,1))-AVERAGE(OFFSET($H$3,0,0,'Données projet'!$E$13+1,1))</f>
        <v>207.023069645676</v>
      </c>
      <c r="CZ144" s="120" t="n">
        <f aca="false">$CZ$3</f>
        <v>342.068879333518</v>
      </c>
      <c r="DA144" s="121" t="n">
        <f aca="false">IF(ISNA(VLOOKUP(A144,'Données projet'!$A$139:$I$159,3,0)),0,VLOOKUP(A144,'Données projet'!$A$139:$I$159,3,0))</f>
        <v>0</v>
      </c>
      <c r="DB144" s="121" t="n">
        <f aca="false">IF(ISNA(VLOOKUP(A144,'Données projet'!$A$139:$I$159,4,0)),0,VLOOKUP(A144,'Données projet'!$A$139:$I$159,4,0))</f>
        <v>0</v>
      </c>
      <c r="DC144" s="122" t="n">
        <f aca="false">IF(ISNA(VLOOKUP(A144,'Données projet'!$A$139:$I$159,5,0)),0%,VLOOKUP(A144,'Données projet'!$A$139:$I$159,5,0)*VLOOKUP('Données projet'!$B$13,Paramètres!$A$1:$I$89,7,0))</f>
        <v>0</v>
      </c>
      <c r="DD144" s="122" t="n">
        <f aca="false">IF(ISNA(VLOOKUP(A144,'Données projet'!$A$139:$I$159,6,0)),0%,VLOOKUP(A144,'Données projet'!$A$139:$I$159,6,0)*VLOOKUP('Données projet'!$B$13,Paramètres!$A$1:$I$89,7,0))</f>
        <v>0</v>
      </c>
      <c r="DE144" s="122" t="n">
        <f aca="false">IF(ISNA(VLOOKUP(A144,'Données projet'!$A$139:$I$159,7,0)),0%,VLOOKUP(A144,'Données projet'!$A$139:$I$159,7,0))</f>
        <v>0</v>
      </c>
      <c r="DF144" s="129" t="n">
        <f aca="false">EXP(-LN(2)/35)*DF143+(1-EXP(-LN(2)/35))/(LN(2)/35)*DB144*DC144*VLOOKUP('Données projet'!$B$13,Paramètres!$A$1:$I$89,3,0)*0.475*44/12</f>
        <v>0.733197049062396</v>
      </c>
      <c r="DG144" s="129" t="n">
        <f aca="false">EXP(-LN(2)/25)*DG143+(1-EXP(-LN(2)/25))/(LN(2)/25)*Calculateur!DB144*Calculateur!DD144*VLOOKUP('Données projet'!$B$13,Paramètres!$A$1:$I$89,3,0)*0.475*44/12</f>
        <v>1.79306397861335</v>
      </c>
      <c r="DH144" s="129" t="n">
        <f aca="false">EXP(-LN(2)/2)*DH143+(1-EXP(-LN(2)/2))/(LN(2)/2)*DB144*DE144*VLOOKUP('Données projet'!$B$13,Paramètres!$A$1:$I$89,3,0)*0.475*44/12</f>
        <v>2.60518619576467E-016</v>
      </c>
      <c r="DI144" s="130" t="n">
        <f aca="false">SUM(DF144:DH144)</f>
        <v>2.52626102767574</v>
      </c>
      <c r="DJ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8" t="e">
        <f aca="false">VLOOKUP(A144,'Données projet'!$A$165:$I$185,2,0)</f>
        <v>#N/A</v>
      </c>
      <c r="DM144" s="118" t="e">
        <f aca="false">VLOOKUP(A144,'Données projet'!$A$165:$I$185,9,0)</f>
        <v>#N/A</v>
      </c>
      <c r="DN144" s="118" t="e">
        <f aca="false" t="array" ref="DN144:DN144">INDEX(DM:DM,MIN(IF(ISNUMBER(DM144:DM340),ROW(DM144:DM340),"")))</f>
        <v>#N/A</v>
      </c>
      <c r="DO144" s="118" t="n">
        <f aca="false">IF('Données projet'!$A$166&gt;35,DO143+DN144-DW143,IF(A144&lt;'Données projet'!$A$166,$DL$205^A144,IF(A144='Données projet'!$A$166,'Données projet'!$B$166,DO143+DN144-DW143)))</f>
        <v>0</v>
      </c>
      <c r="DP144" s="125" t="n">
        <f aca="false">DO144*VLOOKUP('Données projet'!$B$14,Paramètres!$A$1:$I$89,3,0)*VLOOKUP('Données projet'!$B$14,Paramètres!$A$1:$I$89,5,0)</f>
        <v>0</v>
      </c>
      <c r="DQ144" s="117" t="e">
        <f aca="false">EXP(-1.0587+0.8836*LN(DP144)+0.284)</f>
        <v>#VALUE!</v>
      </c>
      <c r="DR144" s="128" t="e">
        <f aca="false">(DP144+DQ144)*0.475*44/12</f>
        <v>#VALUE!</v>
      </c>
      <c r="DS144" s="120" t="e">
        <f aca="false">DR144+(DJ144+DK144)*44/12</f>
        <v>#VALUE!</v>
      </c>
      <c r="DT144" s="120" t="n">
        <f aca="true">AVERAGE(OFFSET($DS$3,0,0,'Données projet'!$E$14+1,1))-AVERAGE(OFFSET($H$3,0,0,'Données projet'!$E$14+1,1))</f>
        <v>549.432320957297</v>
      </c>
      <c r="DU144" s="120" t="n">
        <f aca="false">$DU$3</f>
        <v>280.26155987301</v>
      </c>
      <c r="DV144" s="121" t="n">
        <f aca="false">IF(ISNA(VLOOKUP(A144,'Données projet'!$A$165:$I$185,3,0)),0,VLOOKUP(A144,'Données projet'!$A$165:$I$185,3,0))</f>
        <v>0</v>
      </c>
      <c r="DW144" s="121" t="n">
        <f aca="false">IF(ISNA(VLOOKUP(A144,'Données projet'!$A$165:$I$185,4,0)),0,VLOOKUP(A144,'Données projet'!$A$165:$I$185,4,0))</f>
        <v>0</v>
      </c>
      <c r="DX144" s="122" t="n">
        <f aca="false">IF(ISNA(VLOOKUP(A144,'Données projet'!$A$165:$I$185,5,0)),0%,VLOOKUP(A144,'Données projet'!$A$165:$I$185,5,0)*VLOOKUP('Données projet'!$B$14,Paramètres!$A$1:$I$89,7,0))</f>
        <v>0</v>
      </c>
      <c r="DY144" s="122" t="n">
        <f aca="false">IF(ISNA(VLOOKUP(A144,'Données projet'!$A$165:$I$185,6,0)),0%,VLOOKUP(A144,'Données projet'!$A$165:$I$185,6,0)*VLOOKUP('Données projet'!$B$14,Paramètres!$A$1:$I$89,7,0))</f>
        <v>0</v>
      </c>
      <c r="DZ144" s="122" t="n">
        <f aca="false">IF(ISNA(VLOOKUP(A144,'Données projet'!$A$165:$I$185,7,0)),0%,VLOOKUP(A144,'Données projet'!$A$165:$I$185,7,0))</f>
        <v>0</v>
      </c>
      <c r="EA144" s="129" t="n">
        <f aca="false">EXP(-LN(2)/35)*EA143+(1-EXP(-LN(2)/35))/(LN(2)/35)*DW144*DX144*VLOOKUP('Données projet'!$B$14,Paramètres!$A$1:$I$89,3,0)*0.475*44/12</f>
        <v>0.26658962949225</v>
      </c>
      <c r="EB144" s="129" t="n">
        <f aca="false">EXP(-LN(2)/25)*EB143+(1-EXP(-LN(2)/25))/(LN(2)/25)*Calculateur!DW144*Calculateur!DY144*VLOOKUP('Données projet'!$B$14,Paramètres!$A$1:$I$89,3,0)*0.475*44/12</f>
        <v>0.357213721070288</v>
      </c>
      <c r="EC144" s="129" t="n">
        <f aca="false">EXP(-LN(2)/2)*EC143+(1-EXP(-LN(2)/2))/(LN(2)/2)*DW144*DZ144*VLOOKUP('Données projet'!$B$14,Paramètres!$A$1:$I$89,3,0)*0.475*44/12</f>
        <v>1.2009371349889E-016</v>
      </c>
      <c r="ED144" s="130" t="n">
        <f aca="false">SUM(EA144:EC144)</f>
        <v>0.623803350562539</v>
      </c>
      <c r="EE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8" t="e">
        <f aca="false">VLOOKUP(A144,'Données projet'!$A$191:$I$211,2,0)</f>
        <v>#N/A</v>
      </c>
      <c r="EH144" s="118" t="e">
        <f aca="false">VLOOKUP(A144,'Données projet'!$A$191:$I$211,9,0)</f>
        <v>#N/A</v>
      </c>
      <c r="EI144" s="118" t="e">
        <f aca="false" t="array" ref="EI144:EI144">INDEX(EH:EH,MIN(IF(ISNUMBER(EH144:EH340),ROW(EH144:EH340),"")))</f>
        <v>#N/A</v>
      </c>
      <c r="EJ144" s="118" t="n">
        <f aca="false">IF('Données projet'!$A$192&gt;35,EJ143+EI144-ER143,IF(A144&lt;'Données projet'!$A$192,$EG$205^A144,IF(A144='Données projet'!$A$192,'Données projet'!$B$192,EJ143+EI144-ER143)))</f>
        <v>0</v>
      </c>
      <c r="EK144" s="125" t="e">
        <f aca="false">EJ144*VLOOKUP('Données projet'!$B$15,Paramètres!$A$1:$I$89,3,0)*VLOOKUP('Données projet'!$B$15,Paramètres!$A$1:$I$89,5,0)</f>
        <v>#N/A</v>
      </c>
      <c r="EL144" s="117" t="e">
        <f aca="false">EXP(-1.0587+0.8836*LN(EK144)+0.284)</f>
        <v>#N/A</v>
      </c>
      <c r="EM144" s="128" t="e">
        <f aca="false">(EK144+EL144)*0.475*44/12</f>
        <v>#N/A</v>
      </c>
      <c r="EN144" s="120" t="e">
        <f aca="false">EM144+(EE144+EF144)*44/12</f>
        <v>#N/A</v>
      </c>
      <c r="EO144" s="120" t="e">
        <f aca="true">AVERAGE(OFFSET($EN$3,0,0,'Données projet'!$E$15+1,1))-AVERAGE(OFFSET($H$3,0,0,'Données projet'!$E$15+1,1))</f>
        <v>#N/A</v>
      </c>
      <c r="EP144" s="120" t="e">
        <f aca="false">$EP$3</f>
        <v>#N/A</v>
      </c>
      <c r="EQ144" s="121" t="n">
        <f aca="false">IF(ISNA(VLOOKUP(A144,'Données projet'!$A$191:$I$211,3,0)),0,VLOOKUP(A144,'Données projet'!$A$191:$I$211,3,0))</f>
        <v>0</v>
      </c>
      <c r="ER144" s="121" t="n">
        <f aca="false">IF(ISNA(VLOOKUP(A144,'Données projet'!$A$191:$I$211,4,0)),0,VLOOKUP(A144,'Données projet'!$A$191:$I$211,4,0))</f>
        <v>0</v>
      </c>
      <c r="ES144" s="122" t="n">
        <f aca="false">IF(ISNA(VLOOKUP(A144,'Données projet'!$A$191:$I$211,5,0)),0%,VLOOKUP(A144,'Données projet'!$A$191:$I$211,5,0)*VLOOKUP('Données projet'!$B$15,Paramètres!$A$1:$I$89,7,0))</f>
        <v>0</v>
      </c>
      <c r="ET144" s="122" t="n">
        <f aca="false">IF(ISNA(VLOOKUP(A144,'Données projet'!$A$191:$I$211,6,0)),0%,VLOOKUP(A144,'Données projet'!$A$191:$I$211,6,0)*VLOOKUP('Données projet'!$B$15,Paramètres!$A$1:$I$89,7,0))</f>
        <v>0</v>
      </c>
      <c r="EU144" s="122" t="n">
        <f aca="false">IF(ISNA(VLOOKUP(A144,'Données projet'!$A$191:$I$211,7,0)),0%,VLOOKUP(A144,'Données projet'!$A$191:$I$211,7,0))</f>
        <v>0</v>
      </c>
      <c r="EV144" s="129" t="e">
        <f aca="false">EXP(-LN(2)/35)*EV143+(1-EXP(-LN(2)/35))/(LN(2)/35)*ER144*ES144*VLOOKUP('Données projet'!$B$15,Paramètres!$A$1:$I$89,3,0)*0.475*44/12</f>
        <v>#N/A</v>
      </c>
      <c r="EW144" s="129" t="e">
        <f aca="false">EXP(-LN(2)/25)*EW143+(1-EXP(-LN(2)/25))/(LN(2)/25)*Calculateur!ER144*Calculateur!ET144*VLOOKUP('Données projet'!$B$15,Paramètres!$A$1:$I$89,3,0)*0.475*44/12</f>
        <v>#N/A</v>
      </c>
      <c r="EX144" s="129" t="e">
        <f aca="false">EXP(-LN(2)/2)*EX143+(1-EXP(-LN(2)/2))/(LN(2)/2)*ER144*EU144*VLOOKUP('Données projet'!$B$15,Paramètres!$A$1:$I$89,3,0)*0.475*44/12</f>
        <v>#N/A</v>
      </c>
      <c r="EY144" s="130" t="e">
        <f aca="false">SUM(EV144:EX144)</f>
        <v>#N/A</v>
      </c>
      <c r="EZ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8" t="e">
        <f aca="false">VLOOKUP(A144,'Données projet'!$A$217:$I$237,2,0)</f>
        <v>#N/A</v>
      </c>
      <c r="FC144" s="118" t="e">
        <f aca="false">VLOOKUP(A144,'Données projet'!$A$217:$I$237,9,0)</f>
        <v>#N/A</v>
      </c>
      <c r="FD144" s="118" t="e">
        <f aca="false" t="array" ref="FD144:FD144">INDEX(FC:FC,MIN(IF(ISNUMBER(FC144:FC340),ROW(FC144:FC340),"")))</f>
        <v>#N/A</v>
      </c>
      <c r="FE144" s="118" t="n">
        <f aca="false">IF('Données projet'!$A$218&gt;35,FE143+FD144-FM143,IF(A144&lt;'Données projet'!$A$218,$FB$205^A144,IF(A144='Données projet'!$A$218,'Données projet'!$B$218,FE143+FD144-FM143)))</f>
        <v>0</v>
      </c>
      <c r="FF144" s="125" t="e">
        <f aca="false">FE144*VLOOKUP('Données projet'!$B$16,Paramètres!$A$1:$I$89,3,0)*VLOOKUP('Données projet'!$B$16,Paramètres!$A$1:$I$89,5,0)</f>
        <v>#N/A</v>
      </c>
      <c r="FG144" s="117" t="e">
        <f aca="false">EXP(-1.0587+0.8836*LN(FF144)+0.284)</f>
        <v>#N/A</v>
      </c>
      <c r="FH144" s="128" t="e">
        <f aca="false">(FF144+FG144)*0.475*44/12</f>
        <v>#N/A</v>
      </c>
      <c r="FI144" s="120" t="e">
        <f aca="false">FH144+(EZ144+FA144)*44/12</f>
        <v>#N/A</v>
      </c>
      <c r="FJ144" s="120" t="e">
        <f aca="true">AVERAGE(OFFSET($FI$3,0,0,'Données projet'!$E$16+1,1))-AVERAGE(OFFSET($H$3,0,0,'Données projet'!$E$16+1,1))</f>
        <v>#N/A</v>
      </c>
      <c r="FK144" s="120" t="e">
        <f aca="false">$FK$3</f>
        <v>#N/A</v>
      </c>
      <c r="FL144" s="121" t="n">
        <f aca="false">IF(ISNA(VLOOKUP(A144,'Données projet'!$A$217:$I$237,3,0)),0,VLOOKUP(A144,'Données projet'!$A$217:$I$237,3,0))</f>
        <v>0</v>
      </c>
      <c r="FM144" s="121" t="n">
        <f aca="false">IF(ISNA(VLOOKUP(A144,'Données projet'!$A$217:$I$237,4,0)),0,VLOOKUP(A144,'Données projet'!$A$217:$I$237,4,0))</f>
        <v>0</v>
      </c>
      <c r="FN144" s="122" t="n">
        <f aca="false">IF(ISNA(VLOOKUP(A144,'Données projet'!$A$217:$I$237,5,0)),0%,VLOOKUP(A144,'Données projet'!$A$217:$I$237,5,0)*VLOOKUP('Données projet'!$B$16,Paramètres!$A$1:$I$89,7,0))</f>
        <v>0</v>
      </c>
      <c r="FO144" s="122" t="n">
        <f aca="false">IF(ISNA(VLOOKUP(A144,'Données projet'!$A$217:$I$237,6,0)),0%,VLOOKUP(A144,'Données projet'!$A$217:$I$237,6,0)*VLOOKUP('Données projet'!$B$16,Paramètres!$A$1:$I$89,7,0))</f>
        <v>0</v>
      </c>
      <c r="FP144" s="122" t="n">
        <f aca="false">IF(ISNA(VLOOKUP(A144,'Données projet'!$A$217:$I$237,7,0)),0%,VLOOKUP(A144,'Données projet'!$A$217:$I$237,7,0))</f>
        <v>0</v>
      </c>
      <c r="FQ144" s="129" t="e">
        <f aca="false">EXP(-LN(2)/35)*FQ143+(1-EXP(-LN(2)/35))/(LN(2)/35)*FM144*FN144*VLOOKUP('Données projet'!$B$16,Paramètres!$A$1:$I$89,3,0)*0.475*44/12</f>
        <v>#N/A</v>
      </c>
      <c r="FR144" s="129" t="e">
        <f aca="false">EXP(-LN(2)/25)*FR143+(1-EXP(-LN(2)/25))/(LN(2)/25)*Calculateur!FM144*Calculateur!FO144*VLOOKUP('Données projet'!$B$16,Paramètres!$A$1:$I$89,3,0)*0.475*44/12</f>
        <v>#N/A</v>
      </c>
      <c r="FS144" s="129" t="e">
        <f aca="false">EXP(-LN(2)/2)*FS143+(1-EXP(-LN(2)/2))/(LN(2)/2)*FM144*FP144*VLOOKUP('Données projet'!$B$16,Paramètres!$A$1:$I$89,3,0)*0.475*44/12</f>
        <v>#N/A</v>
      </c>
      <c r="FT144" s="130" t="e">
        <f aca="false">SUM(FQ144:FS144)</f>
        <v>#N/A</v>
      </c>
      <c r="FU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8" t="e">
        <f aca="false">VLOOKUP(A144,'Données projet'!$A$243:$I$263,2,0)</f>
        <v>#N/A</v>
      </c>
      <c r="FX144" s="118" t="e">
        <f aca="false">VLOOKUP(A144,'Données projet'!$A$243:$I$263,9,0)</f>
        <v>#N/A</v>
      </c>
      <c r="FY144" s="118" t="e">
        <f aca="false" t="array" ref="FY144:FY144">INDEX(FX:FX,MIN(IF(ISNUMBER(FX144:FX340),ROW(FX144:FX340),"")))</f>
        <v>#N/A</v>
      </c>
      <c r="FZ144" s="118" t="n">
        <f aca="false">IF('Données projet'!$A$244&gt;35,FZ143+FY144-GH143,IF(A144&lt;'Données projet'!$A$244,$FW$205^A144,IF(A144='Données projet'!$A$244,'Données projet'!$B$244,FZ143+FY144-GH143)))</f>
        <v>0</v>
      </c>
      <c r="GA144" s="125" t="e">
        <f aca="false">FZ144*VLOOKUP('Données projet'!$B$17,Paramètres!$A$1:$I$89,3,0)*VLOOKUP('Données projet'!$B$17,Paramètres!$A$1:$I$89,5,0)</f>
        <v>#N/A</v>
      </c>
      <c r="GB144" s="117" t="e">
        <f aca="false">EXP(-1.0587+0.8836*LN(GA144)+0.284)</f>
        <v>#N/A</v>
      </c>
      <c r="GC144" s="128" t="e">
        <f aca="false">(GA144+GB144)*0.475*44/12</f>
        <v>#N/A</v>
      </c>
      <c r="GD144" s="120" t="e">
        <f aca="false">GC144+(FU144+FV144)*44/12</f>
        <v>#N/A</v>
      </c>
      <c r="GE144" s="120" t="e">
        <f aca="true">AVERAGE(OFFSET($GD$3,0,0,'Données projet'!$E$17+1,1))-AVERAGE(OFFSET($H$3,0,0,'Données projet'!$E$17+1,1))</f>
        <v>#N/A</v>
      </c>
      <c r="GF144" s="120" t="e">
        <f aca="false">$GF$3</f>
        <v>#N/A</v>
      </c>
      <c r="GG144" s="121" t="n">
        <f aca="false">IF(ISNA(VLOOKUP(A144,'Données projet'!$A$243:$I$263,3,0)),0,VLOOKUP(A144,'Données projet'!$A$243:$I$263,3,0))</f>
        <v>0</v>
      </c>
      <c r="GH144" s="121" t="n">
        <f aca="false">IF(ISNA(VLOOKUP(A144,'Données projet'!$A$243:$I$263,4,0)),0,VLOOKUP(A144,'Données projet'!$A$243:$I$263,4,0))</f>
        <v>0</v>
      </c>
      <c r="GI144" s="122" t="n">
        <f aca="false">IF(ISNA(VLOOKUP(A144,'Données projet'!$A$243:$I$263,5,0)),0%,VLOOKUP(A144,'Données projet'!$A$243:$I$263,5,0)*VLOOKUP('Données projet'!$B$17,Paramètres!$A$1:$I$89,7,0))</f>
        <v>0</v>
      </c>
      <c r="GJ144" s="122" t="n">
        <f aca="false">IF(ISNA(VLOOKUP(A144,'Données projet'!$A$243:$I$263,6,0)),0%,VLOOKUP(A144,'Données projet'!$A$243:$I$263,6,0)*VLOOKUP('Données projet'!$B$17,Paramètres!$A$1:$I$89,7,0))</f>
        <v>0</v>
      </c>
      <c r="GK144" s="122" t="n">
        <f aca="false">IF(ISNA(VLOOKUP(A144,'Données projet'!$A$243:$I$263,7,0)),0%,VLOOKUP(A144,'Données projet'!$A$243:$I$263,7,0))</f>
        <v>0</v>
      </c>
      <c r="GL144" s="129" t="e">
        <f aca="false">EXP(-LN(2)/35)*GL143+(1-EXP(-LN(2)/35))/(LN(2)/35)*GH144*GI144*VLOOKUP('Données projet'!$B$17,Paramètres!$A$1:$I$89,3,0)*0.475*44/12</f>
        <v>#N/A</v>
      </c>
      <c r="GM144" s="129" t="e">
        <f aca="false">EXP(-LN(2)/25)*GM143+(1-EXP(-LN(2)/25))/(LN(2)/25)*Calculateur!GH144*Calculateur!GJ144*VLOOKUP('Données projet'!$B$17,Paramètres!$A$1:$I$89,3,0)*0.475*44/12</f>
        <v>#N/A</v>
      </c>
      <c r="GN144" s="129" t="e">
        <f aca="false">EXP(-LN(2)/2)*GN143+(1-EXP(-LN(2)/2))/(LN(2)/2)*GH144*GK144*VLOOKUP('Données projet'!$B$17,Paramètres!$A$1:$I$89,3,0)*0.475*44/12</f>
        <v>#N/A</v>
      </c>
      <c r="GO144" s="129" t="e">
        <f aca="false">SUM(GL144:GN144)</f>
        <v>#N/A</v>
      </c>
      <c r="GP144" s="126" t="n">
        <f aca="false"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8" t="n">
        <f aca="false"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8" t="e">
        <f aca="false">VLOOKUP(A144,'Données projet'!$A$269:$I$289,2,0)</f>
        <v>#N/A</v>
      </c>
      <c r="GS144" s="118" t="e">
        <f aca="false">VLOOKUP(A144,'Données projet'!$A$269:$I$289,9,0)</f>
        <v>#N/A</v>
      </c>
      <c r="GT144" s="118" t="e">
        <f aca="false" t="array" ref="GT144:GT144">INDEX(GS:GS,MIN(IF(ISNUMBER(GS144:GS340),ROW(GS144:GS340),"")))</f>
        <v>#N/A</v>
      </c>
      <c r="GU144" s="118" t="n">
        <f aca="false">IF('Données projet'!$A$270&gt;35,GU143+GT144-HC143,IF(A144&lt;'Données projet'!$A$270,$GR$205^A144,IF(A144='Données projet'!$A$270,'Données projet'!$B$270,GU143+GT144-HC143)))</f>
        <v>0</v>
      </c>
      <c r="GV144" s="125" t="e">
        <f aca="false">GU144*VLOOKUP('Données projet'!$B$18,Paramètres!$A$1:$I$89,3,0)*VLOOKUP('Données projet'!$B$18,Paramètres!$A$1:$I$89,5,0)</f>
        <v>#N/A</v>
      </c>
      <c r="GW144" s="117" t="e">
        <f aca="false">EXP(-1.0587+0.8836*LN(GV144)+0.284)</f>
        <v>#N/A</v>
      </c>
      <c r="GX144" s="128" t="e">
        <f aca="false">(GV144+GW144)*0.475*44/12</f>
        <v>#N/A</v>
      </c>
      <c r="GY144" s="120" t="e">
        <f aca="false">GX144+(GP144+GQ144)*44/12</f>
        <v>#N/A</v>
      </c>
      <c r="GZ144" s="120" t="e">
        <f aca="true">AVERAGE(OFFSET($GY$3,0,0,'Données projet'!$E$18+1,1))-AVERAGE(OFFSET($H$3,0,0,'Données projet'!$E$18+1,1))</f>
        <v>#N/A</v>
      </c>
      <c r="HA144" s="120" t="e">
        <f aca="false">$HA$3</f>
        <v>#N/A</v>
      </c>
      <c r="HB144" s="121" t="n">
        <f aca="false">IF(ISNA(VLOOKUP(A144,'Données projet'!$A$269:$I$289,3,0)),0,VLOOKUP(A144,'Données projet'!$A$269:$I$289,3,0))</f>
        <v>0</v>
      </c>
      <c r="HC144" s="121" t="n">
        <f aca="false">IF(ISNA(VLOOKUP(A144,'Données projet'!$A$269:$I$289,4,0)),0,VLOOKUP(A144,'Données projet'!$A$269:$I$289,4,0))</f>
        <v>0</v>
      </c>
      <c r="HD144" s="122" t="n">
        <f aca="false">IF(ISNA(VLOOKUP(A144,'Données projet'!$A$269:$I$289,5,0)),0%,VLOOKUP(A144,'Données projet'!$A$269:$I$289,5,0)*VLOOKUP('Données projet'!$B$18,Paramètres!$A$1:$I$89,7,0))</f>
        <v>0</v>
      </c>
      <c r="HE144" s="122" t="n">
        <f aca="false">IF(ISNA(VLOOKUP(A144,'Données projet'!$A$269:$I$289,6,0)),0%,VLOOKUP(A144,'Données projet'!$A$269:$I$289,6,0)*VLOOKUP('Données projet'!$B$18,Paramètres!$A$1:$I$89,7,0))</f>
        <v>0</v>
      </c>
      <c r="HF144" s="122" t="n">
        <f aca="false">IF(ISNA(VLOOKUP(A144,'Données projet'!$A$269:$I$289,7,0)),0%,VLOOKUP(A144,'Données projet'!$A$269:$I$289,7,0))</f>
        <v>0</v>
      </c>
      <c r="HG144" s="129" t="e">
        <f aca="false">EXP(-LN(2)/35)*HG143+(1-EXP(-LN(2)/35))/(LN(2)/35)*HC144*HD144*VLOOKUP('Données projet'!$B$18,Paramètres!$A$1:$I$89,3,0)*0.475*44/12</f>
        <v>#N/A</v>
      </c>
      <c r="HH144" s="129" t="e">
        <f aca="false">EXP(-LN(2)/25)*HH143+(1-EXP(-LN(2)/25))/(LN(2)/25)*Calculateur!HC144*Calculateur!HE144*VLOOKUP('Données projet'!$B$18,Paramètres!$A$1:$I$89,3,0)*0.475*44/12</f>
        <v>#N/A</v>
      </c>
      <c r="HI144" s="129" t="e">
        <f aca="false">EXP(-LN(2)/2)*HI143+(1-EXP(-LN(2)/2))/(LN(2)/2)*HC144*HF144*VLOOKUP('Données projet'!$B$18,Paramètres!$A$1:$I$89,3,0)*0.475*44/12</f>
        <v>#N/A</v>
      </c>
      <c r="HJ144" s="130" t="e">
        <f aca="false">SUM(HG144:HI144)</f>
        <v>#N/A</v>
      </c>
    </row>
    <row r="145" customFormat="false" ht="14.25" hidden="false" customHeight="false" outlineLevel="0" collapsed="false">
      <c r="A145" s="112" t="n">
        <f aca="false">A144+1</f>
        <v>142</v>
      </c>
      <c r="B145" s="113" t="n">
        <f aca="false">'Scénario référence'!$B$16*5+'Scénario référence'!$B$17*0+'Scénario référence'!$B$18*5</f>
        <v>0</v>
      </c>
      <c r="C145" s="127" t="n">
        <f aca="false"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4" t="n">
        <f aca="false">IFERROR(EXP(-1.0587+0.8836*LN(C145)+0.284),0)</f>
        <v>0</v>
      </c>
      <c r="E14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5" s="114" t="n">
        <f aca="false">IF(OR('Scénario référence'!$F$8&gt;0,'Scénario référence'!$F$9&gt;0),('Scénario référence'!$F$8+'Scénario référence'!$F$9)*10,0)</f>
        <v>0</v>
      </c>
      <c r="G145" s="114" t="n">
        <f aca="false"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15" t="n">
        <f aca="false">(B145+E145+F145)*44/12+(C145+D145)*0.475*44/12</f>
        <v>256.666666666667</v>
      </c>
      <c r="I145" s="11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7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8" t="e">
        <f aca="false">VLOOKUP(A145,'Données projet'!$A$35:$I$55,2,0)</f>
        <v>#N/A</v>
      </c>
      <c r="L145" s="118" t="e">
        <f aca="false">VLOOKUP(A145,'Données projet'!$A$35:$I$55,9,0)</f>
        <v>#N/A</v>
      </c>
      <c r="M145" s="118" t="e">
        <f aca="false" t="array" ref="M145:M145">INDEX(L:L,MIN(IF(ISNUMBER(L145:L341),ROW(L145:L341),"")))</f>
        <v>#N/A</v>
      </c>
      <c r="N145" s="117" t="n">
        <f aca="false">IF('Données projet'!$A$36&gt;35,N144+M145-V144,IF(A145&lt;'Données projet'!$A$36,$K$205^A145,IF(A145='Données projet'!$A$36,'Données projet'!$B$36,N144+M145-V144)))</f>
        <v>-1.13686837721616E-013</v>
      </c>
      <c r="O145" s="117" t="n">
        <f aca="false">N145*VLOOKUP('Données projet'!$B$9,Paramètres!$A$1:$I$89,3,0)*VLOOKUP('Données projet'!$B$9,Paramètres!$A$1:$I$89,5,0)</f>
        <v>-5.32054400537163E-014</v>
      </c>
      <c r="P145" s="117" t="e">
        <f aca="false">EXP(-1.0587+0.8836*LN(O145)+0.284)</f>
        <v>#VALUE!</v>
      </c>
      <c r="Q145" s="128" t="e">
        <f aca="false">(O145+P145)*0.475*44/12</f>
        <v>#VALUE!</v>
      </c>
      <c r="R145" s="120" t="e">
        <f aca="false">Q145+(I145+J145)*44/12</f>
        <v>#VALUE!</v>
      </c>
      <c r="S145" s="120" t="n">
        <f aca="true">AVERAGE(OFFSET($R$3,0,0,'Données projet'!$E$9+1,1))-AVERAGE(OFFSET($H$3,0,0,'Données projet'!$E$9+1,1))</f>
        <v>319.229030946746</v>
      </c>
      <c r="T145" s="120" t="n">
        <f aca="false">$T$3</f>
        <v>254.586909731428</v>
      </c>
      <c r="U145" s="121" t="n">
        <f aca="false">IF(ISNA(VLOOKUP(A145,'Données projet'!$A$35:$I$55,3,0)),0,VLOOKUP(A145,'Données projet'!$A$35:$I$55,3,0))</f>
        <v>0</v>
      </c>
      <c r="V145" s="121" t="n">
        <f aca="false">IF(ISNA(VLOOKUP(A145,'Données projet'!$A$35:$I$55,4,0)),0,VLOOKUP(A145,'Données projet'!$A$35:$I$55,4,0))</f>
        <v>0</v>
      </c>
      <c r="W145" s="122" t="n">
        <f aca="false">IF(ISNA(VLOOKUP(A145,'Données projet'!$A$35:$I$55,5,0)),0%,VLOOKUP(A145,'Données projet'!$A$35:$I$55,5,0)*VLOOKUP('Données projet'!$B$9,Paramètres!$A$1:$I$89,7,0))</f>
        <v>0</v>
      </c>
      <c r="X145" s="122" t="n">
        <f aca="false">IF(ISNA(VLOOKUP(A145,'Données projet'!$A$35:$I$55,6,0)),0%,VLOOKUP(A145,'Données projet'!$A$35:$I$55,6,0)*VLOOKUP('Données projet'!$B$9,Paramètres!$A$1:$I$89,7,0))</f>
        <v>0</v>
      </c>
      <c r="Y145" s="122" t="n">
        <f aca="false">IF(ISNA(VLOOKUP(A145,'Données projet'!$A$35:$I$55,7,0)),0%,VLOOKUP(A145,'Données projet'!$A$35:$I$55,7,0))</f>
        <v>0</v>
      </c>
      <c r="Z145" s="129" t="n">
        <f aca="false">EXP(-LN(2)/35)*Z144+(1-EXP(-LN(2)/35))/(LN(2)/35)*V145*W145*VLOOKUP('Données projet'!$B$9,Paramètres!$A$1:$I$89,3,0)*0.475*44/12</f>
        <v>0.987657801492824</v>
      </c>
      <c r="AA145" s="129" t="n">
        <f aca="false">EXP(-LN(2)/25)*AA144+(1-EXP(-LN(2)/25))/(LN(2)/25)*Calculateur!V145*Calculateur!X145*VLOOKUP('Données projet'!$B$9,Paramètres!$A$1:$I$89,3,0)*0.475*44/12</f>
        <v>0.49970294209461</v>
      </c>
      <c r="AB145" s="129" t="n">
        <f aca="false">EXP(-LN(2)/2)*AB144+(1-EXP(-LN(2)/2))/(LN(2)/2)*V145*Y145*VLOOKUP('Données projet'!$B$9,Paramètres!$A$1:$I$89,3,0)*0.475*44/12</f>
        <v>1.53254196050257E-016</v>
      </c>
      <c r="AC145" s="130" t="n">
        <f aca="false">SUM(Z145:AB145)</f>
        <v>1.48736074358743</v>
      </c>
      <c r="AD145" s="117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7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8" t="e">
        <f aca="false">VLOOKUP(A145,'Données projet'!$A$61:$I$81,2,0)</f>
        <v>#N/A</v>
      </c>
      <c r="AG145" s="118" t="e">
        <f aca="false">VLOOKUP(A145,'Données projet'!$A$61:$I$81,9,0)</f>
        <v>#N/A</v>
      </c>
      <c r="AH145" s="118" t="e">
        <f aca="false" t="array" ref="AH145:AH145">INDEX(AG:AG,MIN(IF(ISNUMBER(AG145:AG341),ROW(AG145:AG341),"")))</f>
        <v>#N/A</v>
      </c>
      <c r="AI145" s="117" t="n">
        <f aca="false">IF('Données projet'!$A$62&gt;35,AI144+AH145-AQ144,IF(A145&lt;'Données projet'!$A$62,$AF$205^A145,IF(A145='Données projet'!$A$62,'Données projet'!$B$62,AI144+AH145-AQ144)))</f>
        <v>1.13686837721616E-013</v>
      </c>
      <c r="AJ145" s="117" t="n">
        <f aca="false">AI145*VLOOKUP('Données projet'!$B$10,Paramètres!$A$1:$I$89,3,0)*VLOOKUP('Données projet'!$B$10,Paramètres!$A$1:$I$89,5,0)</f>
        <v>6.35509422863834E-014</v>
      </c>
      <c r="AK145" s="117" t="n">
        <f aca="false">EXP(-1.0587+0.8836*LN(AJ145)+0.284)</f>
        <v>1.0064464192544E-012</v>
      </c>
      <c r="AL145" s="128" t="n">
        <f aca="false">(AJ145+AK145)*0.475*44/12</f>
        <v>1.86357873801686E-012</v>
      </c>
      <c r="AM145" s="120" t="n">
        <f aca="false">AL145+(AD145+AE145)*44/12</f>
        <v>293.333333333335</v>
      </c>
      <c r="AN145" s="120" t="n">
        <f aca="true">AVERAGE(OFFSET($AM$3,0,0,'Données projet'!$E$10+1,1))-AVERAGE(OFFSET($H$3,0,0,'Données projet'!$E$10+1,1))</f>
        <v>365.705101827279</v>
      </c>
      <c r="AO145" s="120" t="n">
        <f aca="false">$AO$3</f>
        <v>436.238338449625</v>
      </c>
      <c r="AP145" s="121" t="n">
        <f aca="false">IF(ISNA(VLOOKUP(A145,'Données projet'!$A$61:$I$81,3,0)),0,VLOOKUP(A145,'Données projet'!$A$61:$I$81,3,0))</f>
        <v>0</v>
      </c>
      <c r="AQ145" s="121" t="n">
        <f aca="false">IF(ISNA(VLOOKUP(A145,'Données projet'!$A$61:$I$81,4,0)),0,VLOOKUP(A145,'Données projet'!$A$61:$I$81,4,0))</f>
        <v>0</v>
      </c>
      <c r="AR145" s="122" t="n">
        <f aca="false">IF(ISNA(VLOOKUP(A145,'Données projet'!$A$61:$I$81,5,0)),0%,VLOOKUP(A145,'Données projet'!$A$61:$I$81,5,0)*VLOOKUP('Données projet'!$B$10,Paramètres!$A$1:$I$89,7,0))</f>
        <v>0</v>
      </c>
      <c r="AS145" s="122" t="n">
        <f aca="false">IF(ISNA(VLOOKUP(A145,'Données projet'!$A$61:$I$81,6,0)),0%,VLOOKUP(A145,'Données projet'!$A$61:$I$81,6,0)*VLOOKUP('Données projet'!$B$10,Paramètres!$A$1:$I$89,7,0))</f>
        <v>0</v>
      </c>
      <c r="AT145" s="122" t="n">
        <f aca="false">IF(ISNA(VLOOKUP(A145,'Données projet'!$A$61:$I$81,7,0)),0%,VLOOKUP(A145,'Données projet'!$A$61:$I$81,7,0))</f>
        <v>0</v>
      </c>
      <c r="AU145" s="129" t="n">
        <f aca="false">EXP(-LN(2)/35)*AU144+(1-EXP(-LN(2)/35))/(LN(2)/35)*AQ145*AR145*VLOOKUP('Données projet'!$B$10,Paramètres!$A$1:$I$89,3,0)*0.475*44/12</f>
        <v>0.372808798805353</v>
      </c>
      <c r="AV145" s="129" t="n">
        <f aca="false">EXP(-LN(2)/25)*AV144+(1-EXP(-LN(2)/25))/(LN(2)/25)*Calculateur!AQ145*Calculateur!AS145*VLOOKUP('Données projet'!$B$10,Paramètres!$A$1:$I$89,3,0)*0.475*44/12</f>
        <v>0.591871116034494</v>
      </c>
      <c r="AW145" s="129" t="n">
        <f aca="false">EXP(-LN(2)/2)*AW144+(1-EXP(-LN(2)/2))/(LN(2)/2)*AQ145*AT145*VLOOKUP('Données projet'!$B$10,Paramètres!$A$1:$I$89,3,0)*0.475*44/12</f>
        <v>8.24766183914998E-017</v>
      </c>
      <c r="AX145" s="129" t="n">
        <f aca="false">SUM(AU145:AW145)</f>
        <v>0.964679914839847</v>
      </c>
      <c r="AY145" s="124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8" t="e">
        <f aca="false">VLOOKUP(A145,'Données projet'!$A$87:$I$107,2,0)</f>
        <v>#N/A</v>
      </c>
      <c r="BB145" s="118" t="e">
        <f aca="false">VLOOKUP(A145,'Données projet'!$A$87:$I$107,9,0)</f>
        <v>#N/A</v>
      </c>
      <c r="BC145" s="118" t="e">
        <f aca="false" t="array" ref="BC145:BC145">INDEX(BB:BB,MIN(IF(ISNUMBER(BB145:BB341),ROW(BB145:BB341),"")))</f>
        <v>#N/A</v>
      </c>
      <c r="BD145" s="118" t="n">
        <f aca="false">IF('Données projet'!$A$88&gt;35,BD144+BC145-BL144,IF(A145&lt;'Données projet'!$A$88,$BA$205^A145,IF(A145='Données projet'!$A$88,'Données projet'!$B$88,BD144+BC145-BL144)))</f>
        <v>1.98951966012828E-013</v>
      </c>
      <c r="BE145" s="117" t="n">
        <f aca="false">BD145*VLOOKUP('Données projet'!$B$11,Paramètres!$A$1:$I$89,3,0)*VLOOKUP('Données projet'!$B$11,Paramètres!$A$1:$I$89,5,0)</f>
        <v>1.73804437508807E-013</v>
      </c>
      <c r="BF145" s="117" t="n">
        <f aca="false">EXP(-1.0587+0.8836*LN(BE145)+0.284)</f>
        <v>2.44832936339505E-012</v>
      </c>
      <c r="BG145" s="128" t="n">
        <f aca="false">(BE145+BF145)*0.475*44/12</f>
        <v>4.56688303657421E-012</v>
      </c>
      <c r="BH145" s="120" t="n">
        <f aca="false">BG145+(AY145+AZ145)*44/12</f>
        <v>293.333333333338</v>
      </c>
      <c r="BI145" s="120" t="n">
        <f aca="true">AVERAGE(OFFSET($BH$3,0,0,'Données projet'!$E$11+1,1))-AVERAGE(OFFSET($H$3,0,0,'Données projet'!$E$11+1,1))</f>
        <v>321.235999689929</v>
      </c>
      <c r="BJ145" s="120" t="n">
        <f aca="false">$BJ$3</f>
        <v>388.051958478005</v>
      </c>
      <c r="BK145" s="121" t="n">
        <f aca="false">IF(ISNA(VLOOKUP(A145,'Données projet'!$A$87:$I$107,3,0)),0,VLOOKUP(A145,'Données projet'!$A$87:$I$107,3,0))</f>
        <v>0</v>
      </c>
      <c r="BL145" s="121" t="n">
        <f aca="false">IF(ISNA(VLOOKUP(A145,'Données projet'!$A$87:$I$107,4,0)),0,VLOOKUP(A145,'Données projet'!$A$87:$I$107,4,0))</f>
        <v>0</v>
      </c>
      <c r="BM145" s="122" t="n">
        <f aca="false">IF(ISNA(VLOOKUP(A145,'Données projet'!$A$87:$I$107,5,0)),0%,VLOOKUP(A145,'Données projet'!$A$87:$I$107,5,0)*VLOOKUP('Données projet'!$B$11,Paramètres!$A$1:$I$89,7,0))</f>
        <v>0</v>
      </c>
      <c r="BN145" s="122" t="n">
        <f aca="false">IF(ISNA(VLOOKUP(A145,'Données projet'!$A$87:$I$107,6,0)),0%,VLOOKUP(A145,'Données projet'!$A$87:$I$107,6,0)*VLOOKUP('Données projet'!$B$11,Paramètres!$A$1:$I$89,7,0))</f>
        <v>0</v>
      </c>
      <c r="BO145" s="122" t="n">
        <f aca="false">IF(ISNA(VLOOKUP(A145,'Données projet'!$A$87:$I$107,7,0)),0%,VLOOKUP(A145,'Données projet'!$A$87:$I$107,7,0))</f>
        <v>0</v>
      </c>
      <c r="BP145" s="129" t="n">
        <f aca="false">EXP(-LN(2)/35)*BP144+(1-EXP(-LN(2)/35))/(LN(2)/35)*BL145*BM145*VLOOKUP('Données projet'!$B$11,Paramètres!$A$1:$I$89,3,0)*0.475*44/12</f>
        <v>0.935981730475845</v>
      </c>
      <c r="BQ145" s="129" t="n">
        <f aca="false">EXP(-LN(2)/25)*BQ144+(1-EXP(-LN(2)/25))/(LN(2)/25)*Calculateur!BL145*Calculateur!BN145*VLOOKUP('Données projet'!$B$11,Paramètres!$A$1:$I$89,3,0)*0.475*44/12</f>
        <v>0.604146880277248</v>
      </c>
      <c r="BR145" s="129" t="n">
        <f aca="false">EXP(-LN(2)/2)*BR144+(1-EXP(-LN(2)/2))/(LN(2)/2)*BL145*BO145*VLOOKUP('Données projet'!$B$11,Paramètres!$A$1:$I$89,3,0)*0.475*44/12</f>
        <v>8.38357682899462E-017</v>
      </c>
      <c r="BS145" s="130" t="n">
        <f aca="false">SUM(BP145:BR145)</f>
        <v>1.54012861075309</v>
      </c>
      <c r="BT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8" t="e">
        <f aca="false">VLOOKUP(A145,'Données projet'!$A$113:$I$133,2,0)</f>
        <v>#N/A</v>
      </c>
      <c r="BW145" s="118" t="e">
        <f aca="false">VLOOKUP(A145,'Données projet'!$A$113:$I$133,9,0)</f>
        <v>#N/A</v>
      </c>
      <c r="BX145" s="118" t="e">
        <f aca="false" t="array" ref="BX145:BX145">INDEX(BW:BW,MIN(IF(ISNUMBER(BW145:BW341),ROW(BW145:BW341),"")))</f>
        <v>#N/A</v>
      </c>
      <c r="BY145" s="118" t="n">
        <f aca="false">IF('Données projet'!$A$114&gt;35,BY144+BX145-CG144,IF(A145&lt;'Données projet'!$A$114,$BV$205^A145,IF(A145='Données projet'!$A$114,'Données projet'!$B$114,BY144+BX145-CG144)))</f>
        <v>0</v>
      </c>
      <c r="BZ145" s="117" t="n">
        <f aca="false">BY145*VLOOKUP('Données projet'!$B$12,Paramètres!$A$1:$I$89,3,0)*VLOOKUP('Données projet'!$B$12,Paramètres!$A$1:$I$89,5,0)</f>
        <v>0</v>
      </c>
      <c r="CA145" s="117" t="e">
        <f aca="false">EXP(-1.0587+0.8836*LN(BZ145)+0.284)</f>
        <v>#VALUE!</v>
      </c>
      <c r="CB145" s="128" t="e">
        <f aca="false">(BZ145+CA145)*0.475*44/12</f>
        <v>#VALUE!</v>
      </c>
      <c r="CC145" s="120" t="e">
        <f aca="false">CB145+(BT145+BU145)*44/12</f>
        <v>#VALUE!</v>
      </c>
      <c r="CD145" s="120" t="n">
        <f aca="true">AVERAGE(OFFSET($CC$3,0,0,'Données projet'!$E$12+1,1))-AVERAGE(OFFSET($H$3,0,0,'Données projet'!$E$12+1,1))</f>
        <v>240.228848647662</v>
      </c>
      <c r="CE145" s="120" t="n">
        <f aca="false">$CE$3</f>
        <v>343.237768841432</v>
      </c>
      <c r="CF145" s="121" t="n">
        <f aca="false">IF(ISNA(VLOOKUP(A145,'Données projet'!$A$113:$I$133,3,0)),0,VLOOKUP(A145,'Données projet'!$A$113:$I$133,3,0))</f>
        <v>0</v>
      </c>
      <c r="CG145" s="121" t="n">
        <f aca="false">IF(ISNA(VLOOKUP(A145,'Données projet'!$A$113:$I$133,4,0)),0,VLOOKUP(A145,'Données projet'!$A$113:$I$133,4,0))</f>
        <v>0</v>
      </c>
      <c r="CH145" s="122" t="n">
        <f aca="false">IF(ISNA(VLOOKUP(A145,'Données projet'!$A$113:$I$133,5,0)),0%,VLOOKUP(A145,'Données projet'!$A$113:$I$133,5,0)*VLOOKUP('Données projet'!$B$12,Paramètres!$A$1:$I$89,7,0))</f>
        <v>0</v>
      </c>
      <c r="CI145" s="122" t="n">
        <f aca="false">IF(ISNA(VLOOKUP(A145,'Données projet'!$A$113:$I$133,6,0)),0%,VLOOKUP(A145,'Données projet'!$A$113:$I$133,6,0)*VLOOKUP('Données projet'!$B$12,Paramètres!$A$1:$I$89,7,0))</f>
        <v>0</v>
      </c>
      <c r="CJ145" s="122" t="n">
        <f aca="false">IF(ISNA(VLOOKUP(A145,'Données projet'!$A$113:$I$133,7,0)),0%,VLOOKUP(A145,'Données projet'!$A$113:$I$133,7,0))</f>
        <v>0</v>
      </c>
      <c r="CK145" s="129" t="n">
        <f aca="false">EXP(-LN(2)/35)*CK144+(1-EXP(-LN(2)/35))/(LN(2)/35)*CG145*CH145*VLOOKUP('Données projet'!$B$12,Paramètres!$A$1:$I$89,3,0)*0.475*44/12</f>
        <v>0.57289373854474</v>
      </c>
      <c r="CL145" s="129" t="n">
        <f aca="false">EXP(-LN(2)/25)*CL144+(1-EXP(-LN(2)/25))/(LN(2)/25)*Calculateur!CG145*Calculateur!CI145*VLOOKUP('Données projet'!$B$12,Paramètres!$A$1:$I$89,3,0)*0.475*44/12</f>
        <v>1.06695836456406</v>
      </c>
      <c r="CM145" s="129" t="n">
        <f aca="false">EXP(-LN(2)/2)*CM144+(1-EXP(-LN(2)/2))/(LN(2)/2)*CG145*CJ145*VLOOKUP('Données projet'!$B$12,Paramètres!$A$1:$I$89,3,0)*0.475*44/12</f>
        <v>1.33779535587739E-016</v>
      </c>
      <c r="CN145" s="130" t="n">
        <f aca="false">SUM(CK145:CM145)</f>
        <v>1.6398521031088</v>
      </c>
      <c r="CO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8" t="e">
        <f aca="false">VLOOKUP(A145,'Données projet'!$A$139:$I$159,2,0)</f>
        <v>#N/A</v>
      </c>
      <c r="CR145" s="118" t="e">
        <f aca="false">VLOOKUP(A145,'Données projet'!$A$139:$I$159,9,0)</f>
        <v>#N/A</v>
      </c>
      <c r="CS145" s="118" t="e">
        <f aca="false" t="array" ref="CS145:CS145">INDEX(CR:CR,MIN(IF(ISNUMBER(CR145:CR341),ROW(CR145:CR341),"")))</f>
        <v>#N/A</v>
      </c>
      <c r="CT145" s="118" t="n">
        <f aca="false">IF('Données projet'!$A$140&gt;35,CT144+CS145-DB144,IF(A145&lt;'Données projet'!$A$140,$CQ$205^A145,IF(A145='Données projet'!$A$140,'Données projet'!$B$140,CT144+CS145-DB144)))</f>
        <v>-5.6843418860808E-014</v>
      </c>
      <c r="CU145" s="125" t="n">
        <f aca="false">CT145*VLOOKUP('Données projet'!$B$13,Paramètres!$A$1:$I$89,3,0)*VLOOKUP('Données projet'!$B$13,Paramètres!$A$1:$I$89,5,0)</f>
        <v>-3.10365066980012E-014</v>
      </c>
      <c r="CV145" s="117" t="e">
        <f aca="false">EXP(-1.0587+0.8836*LN(CU145)+0.284)</f>
        <v>#VALUE!</v>
      </c>
      <c r="CW145" s="128" t="e">
        <f aca="false">(CU145+CV145)*0.475*44/12</f>
        <v>#VALUE!</v>
      </c>
      <c r="CX145" s="120" t="e">
        <f aca="false">CW145+(CO145+CP145)*44/12</f>
        <v>#VALUE!</v>
      </c>
      <c r="CY145" s="120" t="n">
        <f aca="true">AVERAGE(OFFSET($CX$3,0,0,'Données projet'!$E$13+1,1))-AVERAGE(OFFSET($H$3,0,0,'Données projet'!$E$13+1,1))</f>
        <v>207.023069645676</v>
      </c>
      <c r="CZ145" s="120" t="n">
        <f aca="false">$CZ$3</f>
        <v>342.068879333518</v>
      </c>
      <c r="DA145" s="121" t="n">
        <f aca="false">IF(ISNA(VLOOKUP(A145,'Données projet'!$A$139:$I$159,3,0)),0,VLOOKUP(A145,'Données projet'!$A$139:$I$159,3,0))</f>
        <v>0</v>
      </c>
      <c r="DB145" s="121" t="n">
        <f aca="false">IF(ISNA(VLOOKUP(A145,'Données projet'!$A$139:$I$159,4,0)),0,VLOOKUP(A145,'Données projet'!$A$139:$I$159,4,0))</f>
        <v>0</v>
      </c>
      <c r="DC145" s="122" t="n">
        <f aca="false">IF(ISNA(VLOOKUP(A145,'Données projet'!$A$139:$I$159,5,0)),0%,VLOOKUP(A145,'Données projet'!$A$139:$I$159,5,0)*VLOOKUP('Données projet'!$B$13,Paramètres!$A$1:$I$89,7,0))</f>
        <v>0</v>
      </c>
      <c r="DD145" s="122" t="n">
        <f aca="false">IF(ISNA(VLOOKUP(A145,'Données projet'!$A$139:$I$159,6,0)),0%,VLOOKUP(A145,'Données projet'!$A$139:$I$159,6,0)*VLOOKUP('Données projet'!$B$13,Paramètres!$A$1:$I$89,7,0))</f>
        <v>0</v>
      </c>
      <c r="DE145" s="122" t="n">
        <f aca="false">IF(ISNA(VLOOKUP(A145,'Données projet'!$A$139:$I$159,7,0)),0%,VLOOKUP(A145,'Données projet'!$A$139:$I$159,7,0))</f>
        <v>0</v>
      </c>
      <c r="DF145" s="129" t="n">
        <f aca="false">EXP(-LN(2)/35)*DF144+(1-EXP(-LN(2)/35))/(LN(2)/35)*DB145*DC145*VLOOKUP('Données projet'!$B$13,Paramètres!$A$1:$I$89,3,0)*0.475*44/12</f>
        <v>0.718819502136325</v>
      </c>
      <c r="DG145" s="129" t="n">
        <f aca="false">EXP(-LN(2)/25)*DG144+(1-EXP(-LN(2)/25))/(LN(2)/25)*Calculateur!DB145*Calculateur!DD145*VLOOKUP('Données projet'!$B$13,Paramètres!$A$1:$I$89,3,0)*0.475*44/12</f>
        <v>1.74403254982503</v>
      </c>
      <c r="DH145" s="129" t="n">
        <f aca="false">EXP(-LN(2)/2)*DH144+(1-EXP(-LN(2)/2))/(LN(2)/2)*DB145*DE145*VLOOKUP('Données projet'!$B$13,Paramètres!$A$1:$I$89,3,0)*0.475*44/12</f>
        <v>1.84214482527879E-016</v>
      </c>
      <c r="DI145" s="130" t="n">
        <f aca="false">SUM(DF145:DH145)</f>
        <v>2.46285205196135</v>
      </c>
      <c r="DJ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8" t="e">
        <f aca="false">VLOOKUP(A145,'Données projet'!$A$165:$I$185,2,0)</f>
        <v>#N/A</v>
      </c>
      <c r="DM145" s="118" t="e">
        <f aca="false">VLOOKUP(A145,'Données projet'!$A$165:$I$185,9,0)</f>
        <v>#N/A</v>
      </c>
      <c r="DN145" s="118" t="e">
        <f aca="false" t="array" ref="DN145:DN145">INDEX(DM:DM,MIN(IF(ISNUMBER(DM145:DM341),ROW(DM145:DM341),"")))</f>
        <v>#N/A</v>
      </c>
      <c r="DO145" s="118" t="n">
        <f aca="false">IF('Données projet'!$A$166&gt;35,DO144+DN145-DW144,IF(A145&lt;'Données projet'!$A$166,$DL$205^A145,IF(A145='Données projet'!$A$166,'Données projet'!$B$166,DO144+DN145-DW144)))</f>
        <v>0</v>
      </c>
      <c r="DP145" s="125" t="n">
        <f aca="false">DO145*VLOOKUP('Données projet'!$B$14,Paramètres!$A$1:$I$89,3,0)*VLOOKUP('Données projet'!$B$14,Paramètres!$A$1:$I$89,5,0)</f>
        <v>0</v>
      </c>
      <c r="DQ145" s="117" t="e">
        <f aca="false">EXP(-1.0587+0.8836*LN(DP145)+0.284)</f>
        <v>#VALUE!</v>
      </c>
      <c r="DR145" s="128" t="e">
        <f aca="false">(DP145+DQ145)*0.475*44/12</f>
        <v>#VALUE!</v>
      </c>
      <c r="DS145" s="120" t="e">
        <f aca="false">DR145+(DJ145+DK145)*44/12</f>
        <v>#VALUE!</v>
      </c>
      <c r="DT145" s="120" t="n">
        <f aca="true">AVERAGE(OFFSET($DS$3,0,0,'Données projet'!$E$14+1,1))-AVERAGE(OFFSET($H$3,0,0,'Données projet'!$E$14+1,1))</f>
        <v>549.432320957297</v>
      </c>
      <c r="DU145" s="120" t="n">
        <f aca="false">$DU$3</f>
        <v>280.26155987301</v>
      </c>
      <c r="DV145" s="121" t="n">
        <f aca="false">IF(ISNA(VLOOKUP(A145,'Données projet'!$A$165:$I$185,3,0)),0,VLOOKUP(A145,'Données projet'!$A$165:$I$185,3,0))</f>
        <v>0</v>
      </c>
      <c r="DW145" s="121" t="n">
        <f aca="false">IF(ISNA(VLOOKUP(A145,'Données projet'!$A$165:$I$185,4,0)),0,VLOOKUP(A145,'Données projet'!$A$165:$I$185,4,0))</f>
        <v>0</v>
      </c>
      <c r="DX145" s="122" t="n">
        <f aca="false">IF(ISNA(VLOOKUP(A145,'Données projet'!$A$165:$I$185,5,0)),0%,VLOOKUP(A145,'Données projet'!$A$165:$I$185,5,0)*VLOOKUP('Données projet'!$B$14,Paramètres!$A$1:$I$89,7,0))</f>
        <v>0</v>
      </c>
      <c r="DY145" s="122" t="n">
        <f aca="false">IF(ISNA(VLOOKUP(A145,'Données projet'!$A$165:$I$185,6,0)),0%,VLOOKUP(A145,'Données projet'!$A$165:$I$185,6,0)*VLOOKUP('Données projet'!$B$14,Paramètres!$A$1:$I$89,7,0))</f>
        <v>0</v>
      </c>
      <c r="DZ145" s="122" t="n">
        <f aca="false">IF(ISNA(VLOOKUP(A145,'Données projet'!$A$165:$I$185,7,0)),0%,VLOOKUP(A145,'Données projet'!$A$165:$I$185,7,0))</f>
        <v>0</v>
      </c>
      <c r="EA145" s="129" t="n">
        <f aca="false">EXP(-LN(2)/35)*EA144+(1-EXP(-LN(2)/35))/(LN(2)/35)*DW145*DX145*VLOOKUP('Données projet'!$B$14,Paramètres!$A$1:$I$89,3,0)*0.475*44/12</f>
        <v>0.261361969461525</v>
      </c>
      <c r="EB145" s="129" t="n">
        <f aca="false">EXP(-LN(2)/25)*EB144+(1-EXP(-LN(2)/25))/(LN(2)/25)*Calculateur!DW145*Calculateur!DY145*VLOOKUP('Données projet'!$B$14,Paramètres!$A$1:$I$89,3,0)*0.475*44/12</f>
        <v>0.347445693082568</v>
      </c>
      <c r="EC145" s="129" t="n">
        <f aca="false">EXP(-LN(2)/2)*EC144+(1-EXP(-LN(2)/2))/(LN(2)/2)*DW145*DZ145*VLOOKUP('Données projet'!$B$14,Paramètres!$A$1:$I$89,3,0)*0.475*44/12</f>
        <v>8.49190791929393E-017</v>
      </c>
      <c r="ED145" s="130" t="n">
        <f aca="false">SUM(EA145:EC145)</f>
        <v>0.608807662544094</v>
      </c>
      <c r="EE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8" t="e">
        <f aca="false">VLOOKUP(A145,'Données projet'!$A$191:$I$211,2,0)</f>
        <v>#N/A</v>
      </c>
      <c r="EH145" s="118" t="e">
        <f aca="false">VLOOKUP(A145,'Données projet'!$A$191:$I$211,9,0)</f>
        <v>#N/A</v>
      </c>
      <c r="EI145" s="118" t="e">
        <f aca="false" t="array" ref="EI145:EI145">INDEX(EH:EH,MIN(IF(ISNUMBER(EH145:EH341),ROW(EH145:EH341),"")))</f>
        <v>#N/A</v>
      </c>
      <c r="EJ145" s="118" t="n">
        <f aca="false">IF('Données projet'!$A$192&gt;35,EJ144+EI145-ER144,IF(A145&lt;'Données projet'!$A$192,$EG$205^A145,IF(A145='Données projet'!$A$192,'Données projet'!$B$192,EJ144+EI145-ER144)))</f>
        <v>0</v>
      </c>
      <c r="EK145" s="125" t="e">
        <f aca="false">EJ145*VLOOKUP('Données projet'!$B$15,Paramètres!$A$1:$I$89,3,0)*VLOOKUP('Données projet'!$B$15,Paramètres!$A$1:$I$89,5,0)</f>
        <v>#N/A</v>
      </c>
      <c r="EL145" s="117" t="e">
        <f aca="false">EXP(-1.0587+0.8836*LN(EK145)+0.284)</f>
        <v>#N/A</v>
      </c>
      <c r="EM145" s="128" t="e">
        <f aca="false">(EK145+EL145)*0.475*44/12</f>
        <v>#N/A</v>
      </c>
      <c r="EN145" s="120" t="e">
        <f aca="false">EM145+(EE145+EF145)*44/12</f>
        <v>#N/A</v>
      </c>
      <c r="EO145" s="120" t="e">
        <f aca="true">AVERAGE(OFFSET($EN$3,0,0,'Données projet'!$E$15+1,1))-AVERAGE(OFFSET($H$3,0,0,'Données projet'!$E$15+1,1))</f>
        <v>#N/A</v>
      </c>
      <c r="EP145" s="120" t="e">
        <f aca="false">$EP$3</f>
        <v>#N/A</v>
      </c>
      <c r="EQ145" s="121" t="n">
        <f aca="false">IF(ISNA(VLOOKUP(A145,'Données projet'!$A$191:$I$211,3,0)),0,VLOOKUP(A145,'Données projet'!$A$191:$I$211,3,0))</f>
        <v>0</v>
      </c>
      <c r="ER145" s="121" t="n">
        <f aca="false">IF(ISNA(VLOOKUP(A145,'Données projet'!$A$191:$I$211,4,0)),0,VLOOKUP(A145,'Données projet'!$A$191:$I$211,4,0))</f>
        <v>0</v>
      </c>
      <c r="ES145" s="122" t="n">
        <f aca="false">IF(ISNA(VLOOKUP(A145,'Données projet'!$A$191:$I$211,5,0)),0%,VLOOKUP(A145,'Données projet'!$A$191:$I$211,5,0)*VLOOKUP('Données projet'!$B$15,Paramètres!$A$1:$I$89,7,0))</f>
        <v>0</v>
      </c>
      <c r="ET145" s="122" t="n">
        <f aca="false">IF(ISNA(VLOOKUP(A145,'Données projet'!$A$191:$I$211,6,0)),0%,VLOOKUP(A145,'Données projet'!$A$191:$I$211,6,0)*VLOOKUP('Données projet'!$B$15,Paramètres!$A$1:$I$89,7,0))</f>
        <v>0</v>
      </c>
      <c r="EU145" s="122" t="n">
        <f aca="false">IF(ISNA(VLOOKUP(A145,'Données projet'!$A$191:$I$211,7,0)),0%,VLOOKUP(A145,'Données projet'!$A$191:$I$211,7,0))</f>
        <v>0</v>
      </c>
      <c r="EV145" s="129" t="e">
        <f aca="false">EXP(-LN(2)/35)*EV144+(1-EXP(-LN(2)/35))/(LN(2)/35)*ER145*ES145*VLOOKUP('Données projet'!$B$15,Paramètres!$A$1:$I$89,3,0)*0.475*44/12</f>
        <v>#N/A</v>
      </c>
      <c r="EW145" s="129" t="e">
        <f aca="false">EXP(-LN(2)/25)*EW144+(1-EXP(-LN(2)/25))/(LN(2)/25)*Calculateur!ER145*Calculateur!ET145*VLOOKUP('Données projet'!$B$15,Paramètres!$A$1:$I$89,3,0)*0.475*44/12</f>
        <v>#N/A</v>
      </c>
      <c r="EX145" s="129" t="e">
        <f aca="false">EXP(-LN(2)/2)*EX144+(1-EXP(-LN(2)/2))/(LN(2)/2)*ER145*EU145*VLOOKUP('Données projet'!$B$15,Paramètres!$A$1:$I$89,3,0)*0.475*44/12</f>
        <v>#N/A</v>
      </c>
      <c r="EY145" s="130" t="e">
        <f aca="false">SUM(EV145:EX145)</f>
        <v>#N/A</v>
      </c>
      <c r="EZ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8" t="e">
        <f aca="false">VLOOKUP(A145,'Données projet'!$A$217:$I$237,2,0)</f>
        <v>#N/A</v>
      </c>
      <c r="FC145" s="118" t="e">
        <f aca="false">VLOOKUP(A145,'Données projet'!$A$217:$I$237,9,0)</f>
        <v>#N/A</v>
      </c>
      <c r="FD145" s="118" t="e">
        <f aca="false" t="array" ref="FD145:FD145">INDEX(FC:FC,MIN(IF(ISNUMBER(FC145:FC341),ROW(FC145:FC341),"")))</f>
        <v>#N/A</v>
      </c>
      <c r="FE145" s="118" t="n">
        <f aca="false">IF('Données projet'!$A$218&gt;35,FE144+FD145-FM144,IF(A145&lt;'Données projet'!$A$218,$FB$205^A145,IF(A145='Données projet'!$A$218,'Données projet'!$B$218,FE144+FD145-FM144)))</f>
        <v>0</v>
      </c>
      <c r="FF145" s="125" t="e">
        <f aca="false">FE145*VLOOKUP('Données projet'!$B$16,Paramètres!$A$1:$I$89,3,0)*VLOOKUP('Données projet'!$B$16,Paramètres!$A$1:$I$89,5,0)</f>
        <v>#N/A</v>
      </c>
      <c r="FG145" s="117" t="e">
        <f aca="false">EXP(-1.0587+0.8836*LN(FF145)+0.284)</f>
        <v>#N/A</v>
      </c>
      <c r="FH145" s="128" t="e">
        <f aca="false">(FF145+FG145)*0.475*44/12</f>
        <v>#N/A</v>
      </c>
      <c r="FI145" s="120" t="e">
        <f aca="false">FH145+(EZ145+FA145)*44/12</f>
        <v>#N/A</v>
      </c>
      <c r="FJ145" s="120" t="e">
        <f aca="true">AVERAGE(OFFSET($FI$3,0,0,'Données projet'!$E$16+1,1))-AVERAGE(OFFSET($H$3,0,0,'Données projet'!$E$16+1,1))</f>
        <v>#N/A</v>
      </c>
      <c r="FK145" s="120" t="e">
        <f aca="false">$FK$3</f>
        <v>#N/A</v>
      </c>
      <c r="FL145" s="121" t="n">
        <f aca="false">IF(ISNA(VLOOKUP(A145,'Données projet'!$A$217:$I$237,3,0)),0,VLOOKUP(A145,'Données projet'!$A$217:$I$237,3,0))</f>
        <v>0</v>
      </c>
      <c r="FM145" s="121" t="n">
        <f aca="false">IF(ISNA(VLOOKUP(A145,'Données projet'!$A$217:$I$237,4,0)),0,VLOOKUP(A145,'Données projet'!$A$217:$I$237,4,0))</f>
        <v>0</v>
      </c>
      <c r="FN145" s="122" t="n">
        <f aca="false">IF(ISNA(VLOOKUP(A145,'Données projet'!$A$217:$I$237,5,0)),0%,VLOOKUP(A145,'Données projet'!$A$217:$I$237,5,0)*VLOOKUP('Données projet'!$B$16,Paramètres!$A$1:$I$89,7,0))</f>
        <v>0</v>
      </c>
      <c r="FO145" s="122" t="n">
        <f aca="false">IF(ISNA(VLOOKUP(A145,'Données projet'!$A$217:$I$237,6,0)),0%,VLOOKUP(A145,'Données projet'!$A$217:$I$237,6,0)*VLOOKUP('Données projet'!$B$16,Paramètres!$A$1:$I$89,7,0))</f>
        <v>0</v>
      </c>
      <c r="FP145" s="122" t="n">
        <f aca="false">IF(ISNA(VLOOKUP(A145,'Données projet'!$A$217:$I$237,7,0)),0%,VLOOKUP(A145,'Données projet'!$A$217:$I$237,7,0))</f>
        <v>0</v>
      </c>
      <c r="FQ145" s="129" t="e">
        <f aca="false">EXP(-LN(2)/35)*FQ144+(1-EXP(-LN(2)/35))/(LN(2)/35)*FM145*FN145*VLOOKUP('Données projet'!$B$16,Paramètres!$A$1:$I$89,3,0)*0.475*44/12</f>
        <v>#N/A</v>
      </c>
      <c r="FR145" s="129" t="e">
        <f aca="false">EXP(-LN(2)/25)*FR144+(1-EXP(-LN(2)/25))/(LN(2)/25)*Calculateur!FM145*Calculateur!FO145*VLOOKUP('Données projet'!$B$16,Paramètres!$A$1:$I$89,3,0)*0.475*44/12</f>
        <v>#N/A</v>
      </c>
      <c r="FS145" s="129" t="e">
        <f aca="false">EXP(-LN(2)/2)*FS144+(1-EXP(-LN(2)/2))/(LN(2)/2)*FM145*FP145*VLOOKUP('Données projet'!$B$16,Paramètres!$A$1:$I$89,3,0)*0.475*44/12</f>
        <v>#N/A</v>
      </c>
      <c r="FT145" s="130" t="e">
        <f aca="false">SUM(FQ145:FS145)</f>
        <v>#N/A</v>
      </c>
      <c r="FU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8" t="e">
        <f aca="false">VLOOKUP(A145,'Données projet'!$A$243:$I$263,2,0)</f>
        <v>#N/A</v>
      </c>
      <c r="FX145" s="118" t="e">
        <f aca="false">VLOOKUP(A145,'Données projet'!$A$243:$I$263,9,0)</f>
        <v>#N/A</v>
      </c>
      <c r="FY145" s="118" t="e">
        <f aca="false" t="array" ref="FY145:FY145">INDEX(FX:FX,MIN(IF(ISNUMBER(FX145:FX341),ROW(FX145:FX341),"")))</f>
        <v>#N/A</v>
      </c>
      <c r="FZ145" s="118" t="n">
        <f aca="false">IF('Données projet'!$A$244&gt;35,FZ144+FY145-GH144,IF(A145&lt;'Données projet'!$A$244,$FW$205^A145,IF(A145='Données projet'!$A$244,'Données projet'!$B$244,FZ144+FY145-GH144)))</f>
        <v>0</v>
      </c>
      <c r="GA145" s="125" t="e">
        <f aca="false">FZ145*VLOOKUP('Données projet'!$B$17,Paramètres!$A$1:$I$89,3,0)*VLOOKUP('Données projet'!$B$17,Paramètres!$A$1:$I$89,5,0)</f>
        <v>#N/A</v>
      </c>
      <c r="GB145" s="117" t="e">
        <f aca="false">EXP(-1.0587+0.8836*LN(GA145)+0.284)</f>
        <v>#N/A</v>
      </c>
      <c r="GC145" s="128" t="e">
        <f aca="false">(GA145+GB145)*0.475*44/12</f>
        <v>#N/A</v>
      </c>
      <c r="GD145" s="120" t="e">
        <f aca="false">GC145+(FU145+FV145)*44/12</f>
        <v>#N/A</v>
      </c>
      <c r="GE145" s="120" t="e">
        <f aca="true">AVERAGE(OFFSET($GD$3,0,0,'Données projet'!$E$17+1,1))-AVERAGE(OFFSET($H$3,0,0,'Données projet'!$E$17+1,1))</f>
        <v>#N/A</v>
      </c>
      <c r="GF145" s="120" t="e">
        <f aca="false">$GF$3</f>
        <v>#N/A</v>
      </c>
      <c r="GG145" s="121" t="n">
        <f aca="false">IF(ISNA(VLOOKUP(A145,'Données projet'!$A$243:$I$263,3,0)),0,VLOOKUP(A145,'Données projet'!$A$243:$I$263,3,0))</f>
        <v>0</v>
      </c>
      <c r="GH145" s="121" t="n">
        <f aca="false">IF(ISNA(VLOOKUP(A145,'Données projet'!$A$243:$I$263,4,0)),0,VLOOKUP(A145,'Données projet'!$A$243:$I$263,4,0))</f>
        <v>0</v>
      </c>
      <c r="GI145" s="122" t="n">
        <f aca="false">IF(ISNA(VLOOKUP(A145,'Données projet'!$A$243:$I$263,5,0)),0%,VLOOKUP(A145,'Données projet'!$A$243:$I$263,5,0)*VLOOKUP('Données projet'!$B$17,Paramètres!$A$1:$I$89,7,0))</f>
        <v>0</v>
      </c>
      <c r="GJ145" s="122" t="n">
        <f aca="false">IF(ISNA(VLOOKUP(A145,'Données projet'!$A$243:$I$263,6,0)),0%,VLOOKUP(A145,'Données projet'!$A$243:$I$263,6,0)*VLOOKUP('Données projet'!$B$17,Paramètres!$A$1:$I$89,7,0))</f>
        <v>0</v>
      </c>
      <c r="GK145" s="122" t="n">
        <f aca="false">IF(ISNA(VLOOKUP(A145,'Données projet'!$A$243:$I$263,7,0)),0%,VLOOKUP(A145,'Données projet'!$A$243:$I$263,7,0))</f>
        <v>0</v>
      </c>
      <c r="GL145" s="129" t="e">
        <f aca="false">EXP(-LN(2)/35)*GL144+(1-EXP(-LN(2)/35))/(LN(2)/35)*GH145*GI145*VLOOKUP('Données projet'!$B$17,Paramètres!$A$1:$I$89,3,0)*0.475*44/12</f>
        <v>#N/A</v>
      </c>
      <c r="GM145" s="129" t="e">
        <f aca="false">EXP(-LN(2)/25)*GM144+(1-EXP(-LN(2)/25))/(LN(2)/25)*Calculateur!GH145*Calculateur!GJ145*VLOOKUP('Données projet'!$B$17,Paramètres!$A$1:$I$89,3,0)*0.475*44/12</f>
        <v>#N/A</v>
      </c>
      <c r="GN145" s="129" t="e">
        <f aca="false">EXP(-LN(2)/2)*GN144+(1-EXP(-LN(2)/2))/(LN(2)/2)*GH145*GK145*VLOOKUP('Données projet'!$B$17,Paramètres!$A$1:$I$89,3,0)*0.475*44/12</f>
        <v>#N/A</v>
      </c>
      <c r="GO145" s="129" t="e">
        <f aca="false">SUM(GL145:GN145)</f>
        <v>#N/A</v>
      </c>
      <c r="GP145" s="126" t="n">
        <f aca="false"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8" t="n">
        <f aca="false"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8" t="e">
        <f aca="false">VLOOKUP(A145,'Données projet'!$A$269:$I$289,2,0)</f>
        <v>#N/A</v>
      </c>
      <c r="GS145" s="118" t="e">
        <f aca="false">VLOOKUP(A145,'Données projet'!$A$269:$I$289,9,0)</f>
        <v>#N/A</v>
      </c>
      <c r="GT145" s="118" t="e">
        <f aca="false" t="array" ref="GT145:GT145">INDEX(GS:GS,MIN(IF(ISNUMBER(GS145:GS341),ROW(GS145:GS341),"")))</f>
        <v>#N/A</v>
      </c>
      <c r="GU145" s="118" t="n">
        <f aca="false">IF('Données projet'!$A$270&gt;35,GU144+GT145-HC144,IF(A145&lt;'Données projet'!$A$270,$GR$205^A145,IF(A145='Données projet'!$A$270,'Données projet'!$B$270,GU144+GT145-HC144)))</f>
        <v>0</v>
      </c>
      <c r="GV145" s="125" t="e">
        <f aca="false">GU145*VLOOKUP('Données projet'!$B$18,Paramètres!$A$1:$I$89,3,0)*VLOOKUP('Données projet'!$B$18,Paramètres!$A$1:$I$89,5,0)</f>
        <v>#N/A</v>
      </c>
      <c r="GW145" s="117" t="e">
        <f aca="false">EXP(-1.0587+0.8836*LN(GV145)+0.284)</f>
        <v>#N/A</v>
      </c>
      <c r="GX145" s="128" t="e">
        <f aca="false">(GV145+GW145)*0.475*44/12</f>
        <v>#N/A</v>
      </c>
      <c r="GY145" s="120" t="e">
        <f aca="false">GX145+(GP145+GQ145)*44/12</f>
        <v>#N/A</v>
      </c>
      <c r="GZ145" s="120" t="e">
        <f aca="true">AVERAGE(OFFSET($GY$3,0,0,'Données projet'!$E$18+1,1))-AVERAGE(OFFSET($H$3,0,0,'Données projet'!$E$18+1,1))</f>
        <v>#N/A</v>
      </c>
      <c r="HA145" s="120" t="e">
        <f aca="false">$HA$3</f>
        <v>#N/A</v>
      </c>
      <c r="HB145" s="121" t="n">
        <f aca="false">IF(ISNA(VLOOKUP(A145,'Données projet'!$A$269:$I$289,3,0)),0,VLOOKUP(A145,'Données projet'!$A$269:$I$289,3,0))</f>
        <v>0</v>
      </c>
      <c r="HC145" s="121" t="n">
        <f aca="false">IF(ISNA(VLOOKUP(A145,'Données projet'!$A$269:$I$289,4,0)),0,VLOOKUP(A145,'Données projet'!$A$269:$I$289,4,0))</f>
        <v>0</v>
      </c>
      <c r="HD145" s="122" t="n">
        <f aca="false">IF(ISNA(VLOOKUP(A145,'Données projet'!$A$269:$I$289,5,0)),0%,VLOOKUP(A145,'Données projet'!$A$269:$I$289,5,0)*VLOOKUP('Données projet'!$B$18,Paramètres!$A$1:$I$89,7,0))</f>
        <v>0</v>
      </c>
      <c r="HE145" s="122" t="n">
        <f aca="false">IF(ISNA(VLOOKUP(A145,'Données projet'!$A$269:$I$289,6,0)),0%,VLOOKUP(A145,'Données projet'!$A$269:$I$289,6,0)*VLOOKUP('Données projet'!$B$18,Paramètres!$A$1:$I$89,7,0))</f>
        <v>0</v>
      </c>
      <c r="HF145" s="122" t="n">
        <f aca="false">IF(ISNA(VLOOKUP(A145,'Données projet'!$A$269:$I$289,7,0)),0%,VLOOKUP(A145,'Données projet'!$A$269:$I$289,7,0))</f>
        <v>0</v>
      </c>
      <c r="HG145" s="129" t="e">
        <f aca="false">EXP(-LN(2)/35)*HG144+(1-EXP(-LN(2)/35))/(LN(2)/35)*HC145*HD145*VLOOKUP('Données projet'!$B$18,Paramètres!$A$1:$I$89,3,0)*0.475*44/12</f>
        <v>#N/A</v>
      </c>
      <c r="HH145" s="129" t="e">
        <f aca="false">EXP(-LN(2)/25)*HH144+(1-EXP(-LN(2)/25))/(LN(2)/25)*Calculateur!HC145*Calculateur!HE145*VLOOKUP('Données projet'!$B$18,Paramètres!$A$1:$I$89,3,0)*0.475*44/12</f>
        <v>#N/A</v>
      </c>
      <c r="HI145" s="129" t="e">
        <f aca="false">EXP(-LN(2)/2)*HI144+(1-EXP(-LN(2)/2))/(LN(2)/2)*HC145*HF145*VLOOKUP('Données projet'!$B$18,Paramètres!$A$1:$I$89,3,0)*0.475*44/12</f>
        <v>#N/A</v>
      </c>
      <c r="HJ145" s="130" t="e">
        <f aca="false">SUM(HG145:HI145)</f>
        <v>#N/A</v>
      </c>
    </row>
    <row r="146" customFormat="false" ht="14.25" hidden="false" customHeight="false" outlineLevel="0" collapsed="false">
      <c r="A146" s="112" t="n">
        <f aca="false">A145+1</f>
        <v>143</v>
      </c>
      <c r="B146" s="113" t="n">
        <f aca="false">'Scénario référence'!$B$16*5+'Scénario référence'!$B$17*0+'Scénario référence'!$B$18*5</f>
        <v>0</v>
      </c>
      <c r="C146" s="127" t="n">
        <f aca="false"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4" t="n">
        <f aca="false">IFERROR(EXP(-1.0587+0.8836*LN(C146)+0.284),0)</f>
        <v>0</v>
      </c>
      <c r="E14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6" s="114" t="n">
        <f aca="false">IF(OR('Scénario référence'!$F$8&gt;0,'Scénario référence'!$F$9&gt;0),('Scénario référence'!$F$8+'Scénario référence'!$F$9)*10,0)</f>
        <v>0</v>
      </c>
      <c r="G146" s="114" t="n">
        <f aca="false"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15" t="n">
        <f aca="false">(B146+E146+F146)*44/12+(C146+D146)*0.475*44/12</f>
        <v>256.666666666667</v>
      </c>
      <c r="I146" s="11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7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8" t="e">
        <f aca="false">VLOOKUP(A146,'Données projet'!$A$35:$I$55,2,0)</f>
        <v>#N/A</v>
      </c>
      <c r="L146" s="118" t="e">
        <f aca="false">VLOOKUP(A146,'Données projet'!$A$35:$I$55,9,0)</f>
        <v>#N/A</v>
      </c>
      <c r="M146" s="118" t="e">
        <f aca="false" t="array" ref="M146:M146">INDEX(L:L,MIN(IF(ISNUMBER(L146:L342),ROW(L146:L342),"")))</f>
        <v>#N/A</v>
      </c>
      <c r="N146" s="117" t="n">
        <f aca="false">IF('Données projet'!$A$36&gt;35,N145+M146-V145,IF(A146&lt;'Données projet'!$A$36,$K$205^A146,IF(A146='Données projet'!$A$36,'Données projet'!$B$36,N145+M146-V145)))</f>
        <v>-1.13686837721616E-013</v>
      </c>
      <c r="O146" s="117" t="n">
        <f aca="false">N146*VLOOKUP('Données projet'!$B$9,Paramètres!$A$1:$I$89,3,0)*VLOOKUP('Données projet'!$B$9,Paramètres!$A$1:$I$89,5,0)</f>
        <v>-5.32054400537163E-014</v>
      </c>
      <c r="P146" s="117" t="e">
        <f aca="false">EXP(-1.0587+0.8836*LN(O146)+0.284)</f>
        <v>#VALUE!</v>
      </c>
      <c r="Q146" s="128" t="e">
        <f aca="false">(O146+P146)*0.475*44/12</f>
        <v>#VALUE!</v>
      </c>
      <c r="R146" s="120" t="e">
        <f aca="false">Q146+(I146+J146)*44/12</f>
        <v>#VALUE!</v>
      </c>
      <c r="S146" s="120" t="n">
        <f aca="true">AVERAGE(OFFSET($R$3,0,0,'Données projet'!$E$9+1,1))-AVERAGE(OFFSET($H$3,0,0,'Données projet'!$E$9+1,1))</f>
        <v>319.229030946746</v>
      </c>
      <c r="T146" s="120" t="n">
        <f aca="false">$T$3</f>
        <v>254.586909731428</v>
      </c>
      <c r="U146" s="121" t="n">
        <f aca="false">IF(ISNA(VLOOKUP(A146,'Données projet'!$A$35:$I$55,3,0)),0,VLOOKUP(A146,'Données projet'!$A$35:$I$55,3,0))</f>
        <v>0</v>
      </c>
      <c r="V146" s="121" t="n">
        <f aca="false">IF(ISNA(VLOOKUP(A146,'Données projet'!$A$35:$I$55,4,0)),0,VLOOKUP(A146,'Données projet'!$A$35:$I$55,4,0))</f>
        <v>0</v>
      </c>
      <c r="W146" s="122" t="n">
        <f aca="false">IF(ISNA(VLOOKUP(A146,'Données projet'!$A$35:$I$55,5,0)),0%,VLOOKUP(A146,'Données projet'!$A$35:$I$55,5,0)*VLOOKUP('Données projet'!$B$9,Paramètres!$A$1:$I$89,7,0))</f>
        <v>0</v>
      </c>
      <c r="X146" s="122" t="n">
        <f aca="false">IF(ISNA(VLOOKUP(A146,'Données projet'!$A$35:$I$55,6,0)),0%,VLOOKUP(A146,'Données projet'!$A$35:$I$55,6,0)*VLOOKUP('Données projet'!$B$9,Paramètres!$A$1:$I$89,7,0))</f>
        <v>0</v>
      </c>
      <c r="Y146" s="122" t="n">
        <f aca="false">IF(ISNA(VLOOKUP(A146,'Données projet'!$A$35:$I$55,7,0)),0%,VLOOKUP(A146,'Données projet'!$A$35:$I$55,7,0))</f>
        <v>0</v>
      </c>
      <c r="Z146" s="129" t="n">
        <f aca="false">EXP(-LN(2)/35)*Z145+(1-EXP(-LN(2)/35))/(LN(2)/35)*V146*W146*VLOOKUP('Données projet'!$B$9,Paramètres!$A$1:$I$89,3,0)*0.475*44/12</f>
        <v>0.968290434417325</v>
      </c>
      <c r="AA146" s="129" t="n">
        <f aca="false">EXP(-LN(2)/25)*AA145+(1-EXP(-LN(2)/25))/(LN(2)/25)*Calculateur!V146*Calculateur!X146*VLOOKUP('Données projet'!$B$9,Paramètres!$A$1:$I$89,3,0)*0.475*44/12</f>
        <v>0.486038538864798</v>
      </c>
      <c r="AB146" s="129" t="n">
        <f aca="false">EXP(-LN(2)/2)*AB145+(1-EXP(-LN(2)/2))/(LN(2)/2)*V146*Y146*VLOOKUP('Données projet'!$B$9,Paramètres!$A$1:$I$89,3,0)*0.475*44/12</f>
        <v>1.08367081272429E-016</v>
      </c>
      <c r="AC146" s="130" t="n">
        <f aca="false">SUM(Z146:AB146)</f>
        <v>1.45432897328212</v>
      </c>
      <c r="AD146" s="117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7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8" t="e">
        <f aca="false">VLOOKUP(A146,'Données projet'!$A$61:$I$81,2,0)</f>
        <v>#N/A</v>
      </c>
      <c r="AG146" s="118" t="e">
        <f aca="false">VLOOKUP(A146,'Données projet'!$A$61:$I$81,9,0)</f>
        <v>#N/A</v>
      </c>
      <c r="AH146" s="118" t="e">
        <f aca="false" t="array" ref="AH146:AH146">INDEX(AG:AG,MIN(IF(ISNUMBER(AG146:AG342),ROW(AG146:AG342),"")))</f>
        <v>#N/A</v>
      </c>
      <c r="AI146" s="117" t="n">
        <f aca="false">IF('Données projet'!$A$62&gt;35,AI145+AH146-AQ145,IF(A146&lt;'Données projet'!$A$62,$AF$205^A146,IF(A146='Données projet'!$A$62,'Données projet'!$B$62,AI145+AH146-AQ145)))</f>
        <v>1.13686837721616E-013</v>
      </c>
      <c r="AJ146" s="117" t="n">
        <f aca="false">AI146*VLOOKUP('Données projet'!$B$10,Paramètres!$A$1:$I$89,3,0)*VLOOKUP('Données projet'!$B$10,Paramètres!$A$1:$I$89,5,0)</f>
        <v>6.35509422863834E-014</v>
      </c>
      <c r="AK146" s="117" t="n">
        <f aca="false">EXP(-1.0587+0.8836*LN(AJ146)+0.284)</f>
        <v>1.0064464192544E-012</v>
      </c>
      <c r="AL146" s="128" t="n">
        <f aca="false">(AJ146+AK146)*0.475*44/12</f>
        <v>1.86357873801686E-012</v>
      </c>
      <c r="AM146" s="120" t="n">
        <f aca="false">AL146+(AD146+AE146)*44/12</f>
        <v>293.333333333335</v>
      </c>
      <c r="AN146" s="120" t="n">
        <f aca="true">AVERAGE(OFFSET($AM$3,0,0,'Données projet'!$E$10+1,1))-AVERAGE(OFFSET($H$3,0,0,'Données projet'!$E$10+1,1))</f>
        <v>365.705101827279</v>
      </c>
      <c r="AO146" s="120" t="n">
        <f aca="false">$AO$3</f>
        <v>436.238338449625</v>
      </c>
      <c r="AP146" s="121" t="n">
        <f aca="false">IF(ISNA(VLOOKUP(A146,'Données projet'!$A$61:$I$81,3,0)),0,VLOOKUP(A146,'Données projet'!$A$61:$I$81,3,0))</f>
        <v>0</v>
      </c>
      <c r="AQ146" s="121" t="n">
        <f aca="false">IF(ISNA(VLOOKUP(A146,'Données projet'!$A$61:$I$81,4,0)),0,VLOOKUP(A146,'Données projet'!$A$61:$I$81,4,0))</f>
        <v>0</v>
      </c>
      <c r="AR146" s="122" t="n">
        <f aca="false">IF(ISNA(VLOOKUP(A146,'Données projet'!$A$61:$I$81,5,0)),0%,VLOOKUP(A146,'Données projet'!$A$61:$I$81,5,0)*VLOOKUP('Données projet'!$B$10,Paramètres!$A$1:$I$89,7,0))</f>
        <v>0</v>
      </c>
      <c r="AS146" s="122" t="n">
        <f aca="false">IF(ISNA(VLOOKUP(A146,'Données projet'!$A$61:$I$81,6,0)),0%,VLOOKUP(A146,'Données projet'!$A$61:$I$81,6,0)*VLOOKUP('Données projet'!$B$10,Paramètres!$A$1:$I$89,7,0))</f>
        <v>0</v>
      </c>
      <c r="AT146" s="122" t="n">
        <f aca="false">IF(ISNA(VLOOKUP(A146,'Données projet'!$A$61:$I$81,7,0)),0%,VLOOKUP(A146,'Données projet'!$A$61:$I$81,7,0))</f>
        <v>0</v>
      </c>
      <c r="AU146" s="129" t="n">
        <f aca="false">EXP(-LN(2)/35)*AU145+(1-EXP(-LN(2)/35))/(LN(2)/35)*AQ146*AR146*VLOOKUP('Données projet'!$B$10,Paramètres!$A$1:$I$89,3,0)*0.475*44/12</f>
        <v>0.365498245651694</v>
      </c>
      <c r="AV146" s="129" t="n">
        <f aca="false">EXP(-LN(2)/25)*AV145+(1-EXP(-LN(2)/25))/(LN(2)/25)*Calculateur!AQ146*Calculateur!AS146*VLOOKUP('Données projet'!$B$10,Paramètres!$A$1:$I$89,3,0)*0.475*44/12</f>
        <v>0.575686369241381</v>
      </c>
      <c r="AW146" s="129" t="n">
        <f aca="false">EXP(-LN(2)/2)*AW145+(1-EXP(-LN(2)/2))/(LN(2)/2)*AQ146*AT146*VLOOKUP('Données projet'!$B$10,Paramètres!$A$1:$I$89,3,0)*0.475*44/12</f>
        <v>5.83197761539646E-017</v>
      </c>
      <c r="AX146" s="129" t="n">
        <f aca="false">SUM(AU146:AW146)</f>
        <v>0.941184614893075</v>
      </c>
      <c r="AY146" s="124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8" t="e">
        <f aca="false">VLOOKUP(A146,'Données projet'!$A$87:$I$107,2,0)</f>
        <v>#N/A</v>
      </c>
      <c r="BB146" s="118" t="e">
        <f aca="false">VLOOKUP(A146,'Données projet'!$A$87:$I$107,9,0)</f>
        <v>#N/A</v>
      </c>
      <c r="BC146" s="118" t="e">
        <f aca="false" t="array" ref="BC146:BC146">INDEX(BB:BB,MIN(IF(ISNUMBER(BB146:BB342),ROW(BB146:BB342),"")))</f>
        <v>#N/A</v>
      </c>
      <c r="BD146" s="118" t="n">
        <f aca="false">IF('Données projet'!$A$88&gt;35,BD145+BC146-BL145,IF(A146&lt;'Données projet'!$A$88,$BA$205^A146,IF(A146='Données projet'!$A$88,'Données projet'!$B$88,BD145+BC146-BL145)))</f>
        <v>1.98951966012828E-013</v>
      </c>
      <c r="BE146" s="117" t="n">
        <f aca="false">BD146*VLOOKUP('Données projet'!$B$11,Paramètres!$A$1:$I$89,3,0)*VLOOKUP('Données projet'!$B$11,Paramètres!$A$1:$I$89,5,0)</f>
        <v>1.73804437508807E-013</v>
      </c>
      <c r="BF146" s="117" t="n">
        <f aca="false">EXP(-1.0587+0.8836*LN(BE146)+0.284)</f>
        <v>2.44832936339505E-012</v>
      </c>
      <c r="BG146" s="128" t="n">
        <f aca="false">(BE146+BF146)*0.475*44/12</f>
        <v>4.56688303657421E-012</v>
      </c>
      <c r="BH146" s="120" t="n">
        <f aca="false">BG146+(AY146+AZ146)*44/12</f>
        <v>293.333333333338</v>
      </c>
      <c r="BI146" s="120" t="n">
        <f aca="true">AVERAGE(OFFSET($BH$3,0,0,'Données projet'!$E$11+1,1))-AVERAGE(OFFSET($H$3,0,0,'Données projet'!$E$11+1,1))</f>
        <v>321.235999689929</v>
      </c>
      <c r="BJ146" s="120" t="n">
        <f aca="false">$BJ$3</f>
        <v>388.051958478005</v>
      </c>
      <c r="BK146" s="121" t="n">
        <f aca="false">IF(ISNA(VLOOKUP(A146,'Données projet'!$A$87:$I$107,3,0)),0,VLOOKUP(A146,'Données projet'!$A$87:$I$107,3,0))</f>
        <v>0</v>
      </c>
      <c r="BL146" s="121" t="n">
        <f aca="false">IF(ISNA(VLOOKUP(A146,'Données projet'!$A$87:$I$107,4,0)),0,VLOOKUP(A146,'Données projet'!$A$87:$I$107,4,0))</f>
        <v>0</v>
      </c>
      <c r="BM146" s="122" t="n">
        <f aca="false">IF(ISNA(VLOOKUP(A146,'Données projet'!$A$87:$I$107,5,0)),0%,VLOOKUP(A146,'Données projet'!$A$87:$I$107,5,0)*VLOOKUP('Données projet'!$B$11,Paramètres!$A$1:$I$89,7,0))</f>
        <v>0</v>
      </c>
      <c r="BN146" s="122" t="n">
        <f aca="false">IF(ISNA(VLOOKUP(A146,'Données projet'!$A$87:$I$107,6,0)),0%,VLOOKUP(A146,'Données projet'!$A$87:$I$107,6,0)*VLOOKUP('Données projet'!$B$11,Paramètres!$A$1:$I$89,7,0))</f>
        <v>0</v>
      </c>
      <c r="BO146" s="122" t="n">
        <f aca="false">IF(ISNA(VLOOKUP(A146,'Données projet'!$A$87:$I$107,7,0)),0%,VLOOKUP(A146,'Données projet'!$A$87:$I$107,7,0))</f>
        <v>0</v>
      </c>
      <c r="BP146" s="129" t="n">
        <f aca="false">EXP(-LN(2)/35)*BP145+(1-EXP(-LN(2)/35))/(LN(2)/35)*BL146*BM146*VLOOKUP('Données projet'!$B$11,Paramètres!$A$1:$I$89,3,0)*0.475*44/12</f>
        <v>0.917627699633698</v>
      </c>
      <c r="BQ146" s="129" t="n">
        <f aca="false">EXP(-LN(2)/25)*BQ145+(1-EXP(-LN(2)/25))/(LN(2)/25)*Calculateur!BL146*Calculateur!BN146*VLOOKUP('Données projet'!$B$11,Paramètres!$A$1:$I$89,3,0)*0.475*44/12</f>
        <v>0.587626452065363</v>
      </c>
      <c r="BR146" s="129" t="n">
        <f aca="false">EXP(-LN(2)/2)*BR145+(1-EXP(-LN(2)/2))/(LN(2)/2)*BL146*BO146*VLOOKUP('Données projet'!$B$11,Paramètres!$A$1:$I$89,3,0)*0.475*44/12</f>
        <v>5.92808402638051E-017</v>
      </c>
      <c r="BS146" s="130" t="n">
        <f aca="false">SUM(BP146:BR146)</f>
        <v>1.50525415169906</v>
      </c>
      <c r="BT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8" t="e">
        <f aca="false">VLOOKUP(A146,'Données projet'!$A$113:$I$133,2,0)</f>
        <v>#N/A</v>
      </c>
      <c r="BW146" s="118" t="e">
        <f aca="false">VLOOKUP(A146,'Données projet'!$A$113:$I$133,9,0)</f>
        <v>#N/A</v>
      </c>
      <c r="BX146" s="118" t="e">
        <f aca="false" t="array" ref="BX146:BX146">INDEX(BW:BW,MIN(IF(ISNUMBER(BW146:BW342),ROW(BW146:BW342),"")))</f>
        <v>#N/A</v>
      </c>
      <c r="BY146" s="118" t="n">
        <f aca="false">IF('Données projet'!$A$114&gt;35,BY145+BX146-CG145,IF(A146&lt;'Données projet'!$A$114,$BV$205^A146,IF(A146='Données projet'!$A$114,'Données projet'!$B$114,BY145+BX146-CG145)))</f>
        <v>0</v>
      </c>
      <c r="BZ146" s="117" t="n">
        <f aca="false">BY146*VLOOKUP('Données projet'!$B$12,Paramètres!$A$1:$I$89,3,0)*VLOOKUP('Données projet'!$B$12,Paramètres!$A$1:$I$89,5,0)</f>
        <v>0</v>
      </c>
      <c r="CA146" s="117" t="e">
        <f aca="false">EXP(-1.0587+0.8836*LN(BZ146)+0.284)</f>
        <v>#VALUE!</v>
      </c>
      <c r="CB146" s="128" t="e">
        <f aca="false">(BZ146+CA146)*0.475*44/12</f>
        <v>#VALUE!</v>
      </c>
      <c r="CC146" s="120" t="e">
        <f aca="false">CB146+(BT146+BU146)*44/12</f>
        <v>#VALUE!</v>
      </c>
      <c r="CD146" s="120" t="n">
        <f aca="true">AVERAGE(OFFSET($CC$3,0,0,'Données projet'!$E$12+1,1))-AVERAGE(OFFSET($H$3,0,0,'Données projet'!$E$12+1,1))</f>
        <v>240.228848647662</v>
      </c>
      <c r="CE146" s="120" t="n">
        <f aca="false">$CE$3</f>
        <v>343.237768841432</v>
      </c>
      <c r="CF146" s="121" t="n">
        <f aca="false">IF(ISNA(VLOOKUP(A146,'Données projet'!$A$113:$I$133,3,0)),0,VLOOKUP(A146,'Données projet'!$A$113:$I$133,3,0))</f>
        <v>0</v>
      </c>
      <c r="CG146" s="121" t="n">
        <f aca="false">IF(ISNA(VLOOKUP(A146,'Données projet'!$A$113:$I$133,4,0)),0,VLOOKUP(A146,'Données projet'!$A$113:$I$133,4,0))</f>
        <v>0</v>
      </c>
      <c r="CH146" s="122" t="n">
        <f aca="false">IF(ISNA(VLOOKUP(A146,'Données projet'!$A$113:$I$133,5,0)),0%,VLOOKUP(A146,'Données projet'!$A$113:$I$133,5,0)*VLOOKUP('Données projet'!$B$12,Paramètres!$A$1:$I$89,7,0))</f>
        <v>0</v>
      </c>
      <c r="CI146" s="122" t="n">
        <f aca="false">IF(ISNA(VLOOKUP(A146,'Données projet'!$A$113:$I$133,6,0)),0%,VLOOKUP(A146,'Données projet'!$A$113:$I$133,6,0)*VLOOKUP('Données projet'!$B$12,Paramètres!$A$1:$I$89,7,0))</f>
        <v>0</v>
      </c>
      <c r="CJ146" s="122" t="n">
        <f aca="false">IF(ISNA(VLOOKUP(A146,'Données projet'!$A$113:$I$133,7,0)),0%,VLOOKUP(A146,'Données projet'!$A$113:$I$133,7,0))</f>
        <v>0</v>
      </c>
      <c r="CK146" s="129" t="n">
        <f aca="false">EXP(-LN(2)/35)*CK145+(1-EXP(-LN(2)/35))/(LN(2)/35)*CG146*CH146*VLOOKUP('Données projet'!$B$12,Paramètres!$A$1:$I$89,3,0)*0.475*44/12</f>
        <v>0.561659641762555</v>
      </c>
      <c r="CL146" s="129" t="n">
        <f aca="false">EXP(-LN(2)/25)*CL145+(1-EXP(-LN(2)/25))/(LN(2)/25)*Calculateur!CG146*Calculateur!CI146*VLOOKUP('Données projet'!$B$12,Paramètres!$A$1:$I$89,3,0)*0.475*44/12</f>
        <v>1.03778233197615</v>
      </c>
      <c r="CM146" s="129" t="n">
        <f aca="false">EXP(-LN(2)/2)*CM145+(1-EXP(-LN(2)/2))/(LN(2)/2)*CG146*CJ146*VLOOKUP('Données projet'!$B$12,Paramètres!$A$1:$I$89,3,0)*0.475*44/12</f>
        <v>9.45964167980771E-017</v>
      </c>
      <c r="CN146" s="130" t="n">
        <f aca="false">SUM(CK146:CM146)</f>
        <v>1.59944197373871</v>
      </c>
      <c r="CO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8" t="e">
        <f aca="false">VLOOKUP(A146,'Données projet'!$A$139:$I$159,2,0)</f>
        <v>#N/A</v>
      </c>
      <c r="CR146" s="118" t="e">
        <f aca="false">VLOOKUP(A146,'Données projet'!$A$139:$I$159,9,0)</f>
        <v>#N/A</v>
      </c>
      <c r="CS146" s="118" t="e">
        <f aca="false" t="array" ref="CS146:CS146">INDEX(CR:CR,MIN(IF(ISNUMBER(CR146:CR342),ROW(CR146:CR342),"")))</f>
        <v>#N/A</v>
      </c>
      <c r="CT146" s="118" t="n">
        <f aca="false">IF('Données projet'!$A$140&gt;35,CT145+CS146-DB145,IF(A146&lt;'Données projet'!$A$140,$CQ$205^A146,IF(A146='Données projet'!$A$140,'Données projet'!$B$140,CT145+CS146-DB145)))</f>
        <v>-5.6843418860808E-014</v>
      </c>
      <c r="CU146" s="125" t="n">
        <f aca="false">CT146*VLOOKUP('Données projet'!$B$13,Paramètres!$A$1:$I$89,3,0)*VLOOKUP('Données projet'!$B$13,Paramètres!$A$1:$I$89,5,0)</f>
        <v>-3.10365066980012E-014</v>
      </c>
      <c r="CV146" s="117" t="e">
        <f aca="false">EXP(-1.0587+0.8836*LN(CU146)+0.284)</f>
        <v>#VALUE!</v>
      </c>
      <c r="CW146" s="128" t="e">
        <f aca="false">(CU146+CV146)*0.475*44/12</f>
        <v>#VALUE!</v>
      </c>
      <c r="CX146" s="120" t="e">
        <f aca="false">CW146+(CO146+CP146)*44/12</f>
        <v>#VALUE!</v>
      </c>
      <c r="CY146" s="120" t="n">
        <f aca="true">AVERAGE(OFFSET($CX$3,0,0,'Données projet'!$E$13+1,1))-AVERAGE(OFFSET($H$3,0,0,'Données projet'!$E$13+1,1))</f>
        <v>207.023069645676</v>
      </c>
      <c r="CZ146" s="120" t="n">
        <f aca="false">$CZ$3</f>
        <v>342.068879333518</v>
      </c>
      <c r="DA146" s="121" t="n">
        <f aca="false">IF(ISNA(VLOOKUP(A146,'Données projet'!$A$139:$I$159,3,0)),0,VLOOKUP(A146,'Données projet'!$A$139:$I$159,3,0))</f>
        <v>0</v>
      </c>
      <c r="DB146" s="121" t="n">
        <f aca="false">IF(ISNA(VLOOKUP(A146,'Données projet'!$A$139:$I$159,4,0)),0,VLOOKUP(A146,'Données projet'!$A$139:$I$159,4,0))</f>
        <v>0</v>
      </c>
      <c r="DC146" s="122" t="n">
        <f aca="false">IF(ISNA(VLOOKUP(A146,'Données projet'!$A$139:$I$159,5,0)),0%,VLOOKUP(A146,'Données projet'!$A$139:$I$159,5,0)*VLOOKUP('Données projet'!$B$13,Paramètres!$A$1:$I$89,7,0))</f>
        <v>0</v>
      </c>
      <c r="DD146" s="122" t="n">
        <f aca="false">IF(ISNA(VLOOKUP(A146,'Données projet'!$A$139:$I$159,6,0)),0%,VLOOKUP(A146,'Données projet'!$A$139:$I$159,6,0)*VLOOKUP('Données projet'!$B$13,Paramètres!$A$1:$I$89,7,0))</f>
        <v>0</v>
      </c>
      <c r="DE146" s="122" t="n">
        <f aca="false">IF(ISNA(VLOOKUP(A146,'Données projet'!$A$139:$I$159,7,0)),0%,VLOOKUP(A146,'Données projet'!$A$139:$I$159,7,0))</f>
        <v>0</v>
      </c>
      <c r="DF146" s="129" t="n">
        <f aca="false">EXP(-LN(2)/35)*DF145+(1-EXP(-LN(2)/35))/(LN(2)/35)*DB146*DC146*VLOOKUP('Données projet'!$B$13,Paramètres!$A$1:$I$89,3,0)*0.475*44/12</f>
        <v>0.704723890136036</v>
      </c>
      <c r="DG146" s="129" t="n">
        <f aca="false">EXP(-LN(2)/25)*DG145+(1-EXP(-LN(2)/25))/(LN(2)/25)*Calculateur!DB146*Calculateur!DD146*VLOOKUP('Données projet'!$B$13,Paramètres!$A$1:$I$89,3,0)*0.475*44/12</f>
        <v>1.69634188803538</v>
      </c>
      <c r="DH146" s="129" t="n">
        <f aca="false">EXP(-LN(2)/2)*DH145+(1-EXP(-LN(2)/2))/(LN(2)/2)*DB146*DE146*VLOOKUP('Données projet'!$B$13,Paramètres!$A$1:$I$89,3,0)*0.475*44/12</f>
        <v>1.30259309788234E-016</v>
      </c>
      <c r="DI146" s="130" t="n">
        <f aca="false">SUM(DF146:DH146)</f>
        <v>2.40106577817141</v>
      </c>
      <c r="DJ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8" t="e">
        <f aca="false">VLOOKUP(A146,'Données projet'!$A$165:$I$185,2,0)</f>
        <v>#N/A</v>
      </c>
      <c r="DM146" s="118" t="e">
        <f aca="false">VLOOKUP(A146,'Données projet'!$A$165:$I$185,9,0)</f>
        <v>#N/A</v>
      </c>
      <c r="DN146" s="118" t="e">
        <f aca="false" t="array" ref="DN146:DN146">INDEX(DM:DM,MIN(IF(ISNUMBER(DM146:DM342),ROW(DM146:DM342),"")))</f>
        <v>#N/A</v>
      </c>
      <c r="DO146" s="118" t="n">
        <f aca="false">IF('Données projet'!$A$166&gt;35,DO145+DN146-DW145,IF(A146&lt;'Données projet'!$A$166,$DL$205^A146,IF(A146='Données projet'!$A$166,'Données projet'!$B$166,DO145+DN146-DW145)))</f>
        <v>0</v>
      </c>
      <c r="DP146" s="125" t="n">
        <f aca="false">DO146*VLOOKUP('Données projet'!$B$14,Paramètres!$A$1:$I$89,3,0)*VLOOKUP('Données projet'!$B$14,Paramètres!$A$1:$I$89,5,0)</f>
        <v>0</v>
      </c>
      <c r="DQ146" s="117" t="e">
        <f aca="false">EXP(-1.0587+0.8836*LN(DP146)+0.284)</f>
        <v>#VALUE!</v>
      </c>
      <c r="DR146" s="128" t="e">
        <f aca="false">(DP146+DQ146)*0.475*44/12</f>
        <v>#VALUE!</v>
      </c>
      <c r="DS146" s="120" t="e">
        <f aca="false">DR146+(DJ146+DK146)*44/12</f>
        <v>#VALUE!</v>
      </c>
      <c r="DT146" s="120" t="n">
        <f aca="true">AVERAGE(OFFSET($DS$3,0,0,'Données projet'!$E$14+1,1))-AVERAGE(OFFSET($H$3,0,0,'Données projet'!$E$14+1,1))</f>
        <v>549.432320957297</v>
      </c>
      <c r="DU146" s="120" t="n">
        <f aca="false">$DU$3</f>
        <v>280.26155987301</v>
      </c>
      <c r="DV146" s="121" t="n">
        <f aca="false">IF(ISNA(VLOOKUP(A146,'Données projet'!$A$165:$I$185,3,0)),0,VLOOKUP(A146,'Données projet'!$A$165:$I$185,3,0))</f>
        <v>0</v>
      </c>
      <c r="DW146" s="121" t="n">
        <f aca="false">IF(ISNA(VLOOKUP(A146,'Données projet'!$A$165:$I$185,4,0)),0,VLOOKUP(A146,'Données projet'!$A$165:$I$185,4,0))</f>
        <v>0</v>
      </c>
      <c r="DX146" s="122" t="n">
        <f aca="false">IF(ISNA(VLOOKUP(A146,'Données projet'!$A$165:$I$185,5,0)),0%,VLOOKUP(A146,'Données projet'!$A$165:$I$185,5,0)*VLOOKUP('Données projet'!$B$14,Paramètres!$A$1:$I$89,7,0))</f>
        <v>0</v>
      </c>
      <c r="DY146" s="122" t="n">
        <f aca="false">IF(ISNA(VLOOKUP(A146,'Données projet'!$A$165:$I$185,6,0)),0%,VLOOKUP(A146,'Données projet'!$A$165:$I$185,6,0)*VLOOKUP('Données projet'!$B$14,Paramètres!$A$1:$I$89,7,0))</f>
        <v>0</v>
      </c>
      <c r="DZ146" s="122" t="n">
        <f aca="false">IF(ISNA(VLOOKUP(A146,'Données projet'!$A$165:$I$185,7,0)),0%,VLOOKUP(A146,'Données projet'!$A$165:$I$185,7,0))</f>
        <v>0</v>
      </c>
      <c r="EA146" s="129" t="n">
        <f aca="false">EXP(-LN(2)/35)*EA145+(1-EXP(-LN(2)/35))/(LN(2)/35)*DW146*DX146*VLOOKUP('Données projet'!$B$14,Paramètres!$A$1:$I$89,3,0)*0.475*44/12</f>
        <v>0.256236820655445</v>
      </c>
      <c r="EB146" s="129" t="n">
        <f aca="false">EXP(-LN(2)/25)*EB145+(1-EXP(-LN(2)/25))/(LN(2)/25)*Calculateur!DW146*Calculateur!DY146*VLOOKUP('Données projet'!$B$14,Paramètres!$A$1:$I$89,3,0)*0.475*44/12</f>
        <v>0.33794477233385</v>
      </c>
      <c r="EC146" s="129" t="n">
        <f aca="false">EXP(-LN(2)/2)*EC145+(1-EXP(-LN(2)/2))/(LN(2)/2)*DW146*DZ146*VLOOKUP('Données projet'!$B$14,Paramètres!$A$1:$I$89,3,0)*0.475*44/12</f>
        <v>6.00468567494448E-017</v>
      </c>
      <c r="ED146" s="130" t="n">
        <f aca="false">SUM(EA146:EC146)</f>
        <v>0.594181592989296</v>
      </c>
      <c r="EE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8" t="e">
        <f aca="false">VLOOKUP(A146,'Données projet'!$A$191:$I$211,2,0)</f>
        <v>#N/A</v>
      </c>
      <c r="EH146" s="118" t="e">
        <f aca="false">VLOOKUP(A146,'Données projet'!$A$191:$I$211,9,0)</f>
        <v>#N/A</v>
      </c>
      <c r="EI146" s="118" t="e">
        <f aca="false" t="array" ref="EI146:EI146">INDEX(EH:EH,MIN(IF(ISNUMBER(EH146:EH342),ROW(EH146:EH342),"")))</f>
        <v>#N/A</v>
      </c>
      <c r="EJ146" s="118" t="n">
        <f aca="false">IF('Données projet'!$A$192&gt;35,EJ145+EI146-ER145,IF(A146&lt;'Données projet'!$A$192,$EG$205^A146,IF(A146='Données projet'!$A$192,'Données projet'!$B$192,EJ145+EI146-ER145)))</f>
        <v>0</v>
      </c>
      <c r="EK146" s="125" t="e">
        <f aca="false">EJ146*VLOOKUP('Données projet'!$B$15,Paramètres!$A$1:$I$89,3,0)*VLOOKUP('Données projet'!$B$15,Paramètres!$A$1:$I$89,5,0)</f>
        <v>#N/A</v>
      </c>
      <c r="EL146" s="117" t="e">
        <f aca="false">EXP(-1.0587+0.8836*LN(EK146)+0.284)</f>
        <v>#N/A</v>
      </c>
      <c r="EM146" s="128" t="e">
        <f aca="false">(EK146+EL146)*0.475*44/12</f>
        <v>#N/A</v>
      </c>
      <c r="EN146" s="120" t="e">
        <f aca="false">EM146+(EE146+EF146)*44/12</f>
        <v>#N/A</v>
      </c>
      <c r="EO146" s="120" t="e">
        <f aca="true">AVERAGE(OFFSET($EN$3,0,0,'Données projet'!$E$15+1,1))-AVERAGE(OFFSET($H$3,0,0,'Données projet'!$E$15+1,1))</f>
        <v>#N/A</v>
      </c>
      <c r="EP146" s="120" t="e">
        <f aca="false">$EP$3</f>
        <v>#N/A</v>
      </c>
      <c r="EQ146" s="121" t="n">
        <f aca="false">IF(ISNA(VLOOKUP(A146,'Données projet'!$A$191:$I$211,3,0)),0,VLOOKUP(A146,'Données projet'!$A$191:$I$211,3,0))</f>
        <v>0</v>
      </c>
      <c r="ER146" s="121" t="n">
        <f aca="false">IF(ISNA(VLOOKUP(A146,'Données projet'!$A$191:$I$211,4,0)),0,VLOOKUP(A146,'Données projet'!$A$191:$I$211,4,0))</f>
        <v>0</v>
      </c>
      <c r="ES146" s="122" t="n">
        <f aca="false">IF(ISNA(VLOOKUP(A146,'Données projet'!$A$191:$I$211,5,0)),0%,VLOOKUP(A146,'Données projet'!$A$191:$I$211,5,0)*VLOOKUP('Données projet'!$B$15,Paramètres!$A$1:$I$89,7,0))</f>
        <v>0</v>
      </c>
      <c r="ET146" s="122" t="n">
        <f aca="false">IF(ISNA(VLOOKUP(A146,'Données projet'!$A$191:$I$211,6,0)),0%,VLOOKUP(A146,'Données projet'!$A$191:$I$211,6,0)*VLOOKUP('Données projet'!$B$15,Paramètres!$A$1:$I$89,7,0))</f>
        <v>0</v>
      </c>
      <c r="EU146" s="122" t="n">
        <f aca="false">IF(ISNA(VLOOKUP(A146,'Données projet'!$A$191:$I$211,7,0)),0%,VLOOKUP(A146,'Données projet'!$A$191:$I$211,7,0))</f>
        <v>0</v>
      </c>
      <c r="EV146" s="129" t="e">
        <f aca="false">EXP(-LN(2)/35)*EV145+(1-EXP(-LN(2)/35))/(LN(2)/35)*ER146*ES146*VLOOKUP('Données projet'!$B$15,Paramètres!$A$1:$I$89,3,0)*0.475*44/12</f>
        <v>#N/A</v>
      </c>
      <c r="EW146" s="129" t="e">
        <f aca="false">EXP(-LN(2)/25)*EW145+(1-EXP(-LN(2)/25))/(LN(2)/25)*Calculateur!ER146*Calculateur!ET146*VLOOKUP('Données projet'!$B$15,Paramètres!$A$1:$I$89,3,0)*0.475*44/12</f>
        <v>#N/A</v>
      </c>
      <c r="EX146" s="129" t="e">
        <f aca="false">EXP(-LN(2)/2)*EX145+(1-EXP(-LN(2)/2))/(LN(2)/2)*ER146*EU146*VLOOKUP('Données projet'!$B$15,Paramètres!$A$1:$I$89,3,0)*0.475*44/12</f>
        <v>#N/A</v>
      </c>
      <c r="EY146" s="130" t="e">
        <f aca="false">SUM(EV146:EX146)</f>
        <v>#N/A</v>
      </c>
      <c r="EZ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8" t="e">
        <f aca="false">VLOOKUP(A146,'Données projet'!$A$217:$I$237,2,0)</f>
        <v>#N/A</v>
      </c>
      <c r="FC146" s="118" t="e">
        <f aca="false">VLOOKUP(A146,'Données projet'!$A$217:$I$237,9,0)</f>
        <v>#N/A</v>
      </c>
      <c r="FD146" s="118" t="e">
        <f aca="false" t="array" ref="FD146:FD146">INDEX(FC:FC,MIN(IF(ISNUMBER(FC146:FC342),ROW(FC146:FC342),"")))</f>
        <v>#N/A</v>
      </c>
      <c r="FE146" s="118" t="n">
        <f aca="false">IF('Données projet'!$A$218&gt;35,FE145+FD146-FM145,IF(A146&lt;'Données projet'!$A$218,$FB$205^A146,IF(A146='Données projet'!$A$218,'Données projet'!$B$218,FE145+FD146-FM145)))</f>
        <v>0</v>
      </c>
      <c r="FF146" s="125" t="e">
        <f aca="false">FE146*VLOOKUP('Données projet'!$B$16,Paramètres!$A$1:$I$89,3,0)*VLOOKUP('Données projet'!$B$16,Paramètres!$A$1:$I$89,5,0)</f>
        <v>#N/A</v>
      </c>
      <c r="FG146" s="117" t="e">
        <f aca="false">EXP(-1.0587+0.8836*LN(FF146)+0.284)</f>
        <v>#N/A</v>
      </c>
      <c r="FH146" s="128" t="e">
        <f aca="false">(FF146+FG146)*0.475*44/12</f>
        <v>#N/A</v>
      </c>
      <c r="FI146" s="120" t="e">
        <f aca="false">FH146+(EZ146+FA146)*44/12</f>
        <v>#N/A</v>
      </c>
      <c r="FJ146" s="120" t="e">
        <f aca="true">AVERAGE(OFFSET($FI$3,0,0,'Données projet'!$E$16+1,1))-AVERAGE(OFFSET($H$3,0,0,'Données projet'!$E$16+1,1))</f>
        <v>#N/A</v>
      </c>
      <c r="FK146" s="120" t="e">
        <f aca="false">$FK$3</f>
        <v>#N/A</v>
      </c>
      <c r="FL146" s="121" t="n">
        <f aca="false">IF(ISNA(VLOOKUP(A146,'Données projet'!$A$217:$I$237,3,0)),0,VLOOKUP(A146,'Données projet'!$A$217:$I$237,3,0))</f>
        <v>0</v>
      </c>
      <c r="FM146" s="121" t="n">
        <f aca="false">IF(ISNA(VLOOKUP(A146,'Données projet'!$A$217:$I$237,4,0)),0,VLOOKUP(A146,'Données projet'!$A$217:$I$237,4,0))</f>
        <v>0</v>
      </c>
      <c r="FN146" s="122" t="n">
        <f aca="false">IF(ISNA(VLOOKUP(A146,'Données projet'!$A$217:$I$237,5,0)),0%,VLOOKUP(A146,'Données projet'!$A$217:$I$237,5,0)*VLOOKUP('Données projet'!$B$16,Paramètres!$A$1:$I$89,7,0))</f>
        <v>0</v>
      </c>
      <c r="FO146" s="122" t="n">
        <f aca="false">IF(ISNA(VLOOKUP(A146,'Données projet'!$A$217:$I$237,6,0)),0%,VLOOKUP(A146,'Données projet'!$A$217:$I$237,6,0)*VLOOKUP('Données projet'!$B$16,Paramètres!$A$1:$I$89,7,0))</f>
        <v>0</v>
      </c>
      <c r="FP146" s="122" t="n">
        <f aca="false">IF(ISNA(VLOOKUP(A146,'Données projet'!$A$217:$I$237,7,0)),0%,VLOOKUP(A146,'Données projet'!$A$217:$I$237,7,0))</f>
        <v>0</v>
      </c>
      <c r="FQ146" s="129" t="e">
        <f aca="false">EXP(-LN(2)/35)*FQ145+(1-EXP(-LN(2)/35))/(LN(2)/35)*FM146*FN146*VLOOKUP('Données projet'!$B$16,Paramètres!$A$1:$I$89,3,0)*0.475*44/12</f>
        <v>#N/A</v>
      </c>
      <c r="FR146" s="129" t="e">
        <f aca="false">EXP(-LN(2)/25)*FR145+(1-EXP(-LN(2)/25))/(LN(2)/25)*Calculateur!FM146*Calculateur!FO146*VLOOKUP('Données projet'!$B$16,Paramètres!$A$1:$I$89,3,0)*0.475*44/12</f>
        <v>#N/A</v>
      </c>
      <c r="FS146" s="129" t="e">
        <f aca="false">EXP(-LN(2)/2)*FS145+(1-EXP(-LN(2)/2))/(LN(2)/2)*FM146*FP146*VLOOKUP('Données projet'!$B$16,Paramètres!$A$1:$I$89,3,0)*0.475*44/12</f>
        <v>#N/A</v>
      </c>
      <c r="FT146" s="130" t="e">
        <f aca="false">SUM(FQ146:FS146)</f>
        <v>#N/A</v>
      </c>
      <c r="FU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8" t="e">
        <f aca="false">VLOOKUP(A146,'Données projet'!$A$243:$I$263,2,0)</f>
        <v>#N/A</v>
      </c>
      <c r="FX146" s="118" t="e">
        <f aca="false">VLOOKUP(A146,'Données projet'!$A$243:$I$263,9,0)</f>
        <v>#N/A</v>
      </c>
      <c r="FY146" s="118" t="e">
        <f aca="false" t="array" ref="FY146:FY146">INDEX(FX:FX,MIN(IF(ISNUMBER(FX146:FX342),ROW(FX146:FX342),"")))</f>
        <v>#N/A</v>
      </c>
      <c r="FZ146" s="118" t="n">
        <f aca="false">IF('Données projet'!$A$244&gt;35,FZ145+FY146-GH145,IF(A146&lt;'Données projet'!$A$244,$FW$205^A146,IF(A146='Données projet'!$A$244,'Données projet'!$B$244,FZ145+FY146-GH145)))</f>
        <v>0</v>
      </c>
      <c r="GA146" s="125" t="e">
        <f aca="false">FZ146*VLOOKUP('Données projet'!$B$17,Paramètres!$A$1:$I$89,3,0)*VLOOKUP('Données projet'!$B$17,Paramètres!$A$1:$I$89,5,0)</f>
        <v>#N/A</v>
      </c>
      <c r="GB146" s="117" t="e">
        <f aca="false">EXP(-1.0587+0.8836*LN(GA146)+0.284)</f>
        <v>#N/A</v>
      </c>
      <c r="GC146" s="128" t="e">
        <f aca="false">(GA146+GB146)*0.475*44/12</f>
        <v>#N/A</v>
      </c>
      <c r="GD146" s="120" t="e">
        <f aca="false">GC146+(FU146+FV146)*44/12</f>
        <v>#N/A</v>
      </c>
      <c r="GE146" s="120" t="e">
        <f aca="true">AVERAGE(OFFSET($GD$3,0,0,'Données projet'!$E$17+1,1))-AVERAGE(OFFSET($H$3,0,0,'Données projet'!$E$17+1,1))</f>
        <v>#N/A</v>
      </c>
      <c r="GF146" s="120" t="e">
        <f aca="false">$GF$3</f>
        <v>#N/A</v>
      </c>
      <c r="GG146" s="121" t="n">
        <f aca="false">IF(ISNA(VLOOKUP(A146,'Données projet'!$A$243:$I$263,3,0)),0,VLOOKUP(A146,'Données projet'!$A$243:$I$263,3,0))</f>
        <v>0</v>
      </c>
      <c r="GH146" s="121" t="n">
        <f aca="false">IF(ISNA(VLOOKUP(A146,'Données projet'!$A$243:$I$263,4,0)),0,VLOOKUP(A146,'Données projet'!$A$243:$I$263,4,0))</f>
        <v>0</v>
      </c>
      <c r="GI146" s="122" t="n">
        <f aca="false">IF(ISNA(VLOOKUP(A146,'Données projet'!$A$243:$I$263,5,0)),0%,VLOOKUP(A146,'Données projet'!$A$243:$I$263,5,0)*VLOOKUP('Données projet'!$B$17,Paramètres!$A$1:$I$89,7,0))</f>
        <v>0</v>
      </c>
      <c r="GJ146" s="122" t="n">
        <f aca="false">IF(ISNA(VLOOKUP(A146,'Données projet'!$A$243:$I$263,6,0)),0%,VLOOKUP(A146,'Données projet'!$A$243:$I$263,6,0)*VLOOKUP('Données projet'!$B$17,Paramètres!$A$1:$I$89,7,0))</f>
        <v>0</v>
      </c>
      <c r="GK146" s="122" t="n">
        <f aca="false">IF(ISNA(VLOOKUP(A146,'Données projet'!$A$243:$I$263,7,0)),0%,VLOOKUP(A146,'Données projet'!$A$243:$I$263,7,0))</f>
        <v>0</v>
      </c>
      <c r="GL146" s="129" t="e">
        <f aca="false">EXP(-LN(2)/35)*GL145+(1-EXP(-LN(2)/35))/(LN(2)/35)*GH146*GI146*VLOOKUP('Données projet'!$B$17,Paramètres!$A$1:$I$89,3,0)*0.475*44/12</f>
        <v>#N/A</v>
      </c>
      <c r="GM146" s="129" t="e">
        <f aca="false">EXP(-LN(2)/25)*GM145+(1-EXP(-LN(2)/25))/(LN(2)/25)*Calculateur!GH146*Calculateur!GJ146*VLOOKUP('Données projet'!$B$17,Paramètres!$A$1:$I$89,3,0)*0.475*44/12</f>
        <v>#N/A</v>
      </c>
      <c r="GN146" s="129" t="e">
        <f aca="false">EXP(-LN(2)/2)*GN145+(1-EXP(-LN(2)/2))/(LN(2)/2)*GH146*GK146*VLOOKUP('Données projet'!$B$17,Paramètres!$A$1:$I$89,3,0)*0.475*44/12</f>
        <v>#N/A</v>
      </c>
      <c r="GO146" s="129" t="e">
        <f aca="false">SUM(GL146:GN146)</f>
        <v>#N/A</v>
      </c>
      <c r="GP146" s="126" t="n">
        <f aca="false"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8" t="n">
        <f aca="false"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8" t="e">
        <f aca="false">VLOOKUP(A146,'Données projet'!$A$269:$I$289,2,0)</f>
        <v>#N/A</v>
      </c>
      <c r="GS146" s="118" t="e">
        <f aca="false">VLOOKUP(A146,'Données projet'!$A$269:$I$289,9,0)</f>
        <v>#N/A</v>
      </c>
      <c r="GT146" s="118" t="e">
        <f aca="false" t="array" ref="GT146:GT146">INDEX(GS:GS,MIN(IF(ISNUMBER(GS146:GS342),ROW(GS146:GS342),"")))</f>
        <v>#N/A</v>
      </c>
      <c r="GU146" s="118" t="n">
        <f aca="false">IF('Données projet'!$A$270&gt;35,GU145+GT146-HC145,IF(A146&lt;'Données projet'!$A$270,$GR$205^A146,IF(A146='Données projet'!$A$270,'Données projet'!$B$270,GU145+GT146-HC145)))</f>
        <v>0</v>
      </c>
      <c r="GV146" s="125" t="e">
        <f aca="false">GU146*VLOOKUP('Données projet'!$B$18,Paramètres!$A$1:$I$89,3,0)*VLOOKUP('Données projet'!$B$18,Paramètres!$A$1:$I$89,5,0)</f>
        <v>#N/A</v>
      </c>
      <c r="GW146" s="117" t="e">
        <f aca="false">EXP(-1.0587+0.8836*LN(GV146)+0.284)</f>
        <v>#N/A</v>
      </c>
      <c r="GX146" s="128" t="e">
        <f aca="false">(GV146+GW146)*0.475*44/12</f>
        <v>#N/A</v>
      </c>
      <c r="GY146" s="120" t="e">
        <f aca="false">GX146+(GP146+GQ146)*44/12</f>
        <v>#N/A</v>
      </c>
      <c r="GZ146" s="120" t="e">
        <f aca="true">AVERAGE(OFFSET($GY$3,0,0,'Données projet'!$E$18+1,1))-AVERAGE(OFFSET($H$3,0,0,'Données projet'!$E$18+1,1))</f>
        <v>#N/A</v>
      </c>
      <c r="HA146" s="120" t="e">
        <f aca="false">$HA$3</f>
        <v>#N/A</v>
      </c>
      <c r="HB146" s="121" t="n">
        <f aca="false">IF(ISNA(VLOOKUP(A146,'Données projet'!$A$269:$I$289,3,0)),0,VLOOKUP(A146,'Données projet'!$A$269:$I$289,3,0))</f>
        <v>0</v>
      </c>
      <c r="HC146" s="121" t="n">
        <f aca="false">IF(ISNA(VLOOKUP(A146,'Données projet'!$A$269:$I$289,4,0)),0,VLOOKUP(A146,'Données projet'!$A$269:$I$289,4,0))</f>
        <v>0</v>
      </c>
      <c r="HD146" s="122" t="n">
        <f aca="false">IF(ISNA(VLOOKUP(A146,'Données projet'!$A$269:$I$289,5,0)),0%,VLOOKUP(A146,'Données projet'!$A$269:$I$289,5,0)*VLOOKUP('Données projet'!$B$18,Paramètres!$A$1:$I$89,7,0))</f>
        <v>0</v>
      </c>
      <c r="HE146" s="122" t="n">
        <f aca="false">IF(ISNA(VLOOKUP(A146,'Données projet'!$A$269:$I$289,6,0)),0%,VLOOKUP(A146,'Données projet'!$A$269:$I$289,6,0)*VLOOKUP('Données projet'!$B$18,Paramètres!$A$1:$I$89,7,0))</f>
        <v>0</v>
      </c>
      <c r="HF146" s="122" t="n">
        <f aca="false">IF(ISNA(VLOOKUP(A146,'Données projet'!$A$269:$I$289,7,0)),0%,VLOOKUP(A146,'Données projet'!$A$269:$I$289,7,0))</f>
        <v>0</v>
      </c>
      <c r="HG146" s="129" t="e">
        <f aca="false">EXP(-LN(2)/35)*HG145+(1-EXP(-LN(2)/35))/(LN(2)/35)*HC146*HD146*VLOOKUP('Données projet'!$B$18,Paramètres!$A$1:$I$89,3,0)*0.475*44/12</f>
        <v>#N/A</v>
      </c>
      <c r="HH146" s="129" t="e">
        <f aca="false">EXP(-LN(2)/25)*HH145+(1-EXP(-LN(2)/25))/(LN(2)/25)*Calculateur!HC146*Calculateur!HE146*VLOOKUP('Données projet'!$B$18,Paramètres!$A$1:$I$89,3,0)*0.475*44/12</f>
        <v>#N/A</v>
      </c>
      <c r="HI146" s="129" t="e">
        <f aca="false">EXP(-LN(2)/2)*HI145+(1-EXP(-LN(2)/2))/(LN(2)/2)*HC146*HF146*VLOOKUP('Données projet'!$B$18,Paramètres!$A$1:$I$89,3,0)*0.475*44/12</f>
        <v>#N/A</v>
      </c>
      <c r="HJ146" s="130" t="e">
        <f aca="false">SUM(HG146:HI146)</f>
        <v>#N/A</v>
      </c>
    </row>
    <row r="147" customFormat="false" ht="14.25" hidden="false" customHeight="false" outlineLevel="0" collapsed="false">
      <c r="A147" s="112" t="n">
        <f aca="false">A146+1</f>
        <v>144</v>
      </c>
      <c r="B147" s="113" t="n">
        <f aca="false">'Scénario référence'!$B$16*5+'Scénario référence'!$B$17*0+'Scénario référence'!$B$18*5</f>
        <v>0</v>
      </c>
      <c r="C147" s="127" t="n">
        <f aca="false"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4" t="n">
        <f aca="false">IFERROR(EXP(-1.0587+0.8836*LN(C147)+0.284),0)</f>
        <v>0</v>
      </c>
      <c r="E14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7" s="114" t="n">
        <f aca="false">IF(OR('Scénario référence'!$F$8&gt;0,'Scénario référence'!$F$9&gt;0),('Scénario référence'!$F$8+'Scénario référence'!$F$9)*10,0)</f>
        <v>0</v>
      </c>
      <c r="G147" s="114" t="n">
        <f aca="false"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15" t="n">
        <f aca="false">(B147+E147+F147)*44/12+(C147+D147)*0.475*44/12</f>
        <v>256.666666666667</v>
      </c>
      <c r="I147" s="11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7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8" t="e">
        <f aca="false">VLOOKUP(A147,'Données projet'!$A$35:$I$55,2,0)</f>
        <v>#N/A</v>
      </c>
      <c r="L147" s="118" t="e">
        <f aca="false">VLOOKUP(A147,'Données projet'!$A$35:$I$55,9,0)</f>
        <v>#N/A</v>
      </c>
      <c r="M147" s="118" t="e">
        <f aca="false" t="array" ref="M147:M147">INDEX(L:L,MIN(IF(ISNUMBER(L147:L343),ROW(L147:L343),"")))</f>
        <v>#N/A</v>
      </c>
      <c r="N147" s="117" t="n">
        <f aca="false">IF('Données projet'!$A$36&gt;35,N146+M147-V146,IF(A147&lt;'Données projet'!$A$36,$K$205^A147,IF(A147='Données projet'!$A$36,'Données projet'!$B$36,N146+M147-V146)))</f>
        <v>-1.13686837721616E-013</v>
      </c>
      <c r="O147" s="117" t="n">
        <f aca="false">N147*VLOOKUP('Données projet'!$B$9,Paramètres!$A$1:$I$89,3,0)*VLOOKUP('Données projet'!$B$9,Paramètres!$A$1:$I$89,5,0)</f>
        <v>-5.32054400537163E-014</v>
      </c>
      <c r="P147" s="117" t="e">
        <f aca="false">EXP(-1.0587+0.8836*LN(O147)+0.284)</f>
        <v>#VALUE!</v>
      </c>
      <c r="Q147" s="128" t="e">
        <f aca="false">(O147+P147)*0.475*44/12</f>
        <v>#VALUE!</v>
      </c>
      <c r="R147" s="120" t="e">
        <f aca="false">Q147+(I147+J147)*44/12</f>
        <v>#VALUE!</v>
      </c>
      <c r="S147" s="120" t="n">
        <f aca="true">AVERAGE(OFFSET($R$3,0,0,'Données projet'!$E$9+1,1))-AVERAGE(OFFSET($H$3,0,0,'Données projet'!$E$9+1,1))</f>
        <v>319.229030946746</v>
      </c>
      <c r="T147" s="120" t="n">
        <f aca="false">$T$3</f>
        <v>254.586909731428</v>
      </c>
      <c r="U147" s="121" t="n">
        <f aca="false">IF(ISNA(VLOOKUP(A147,'Données projet'!$A$35:$I$55,3,0)),0,VLOOKUP(A147,'Données projet'!$A$35:$I$55,3,0))</f>
        <v>0</v>
      </c>
      <c r="V147" s="121" t="n">
        <f aca="false">IF(ISNA(VLOOKUP(A147,'Données projet'!$A$35:$I$55,4,0)),0,VLOOKUP(A147,'Données projet'!$A$35:$I$55,4,0))</f>
        <v>0</v>
      </c>
      <c r="W147" s="122" t="n">
        <f aca="false">IF(ISNA(VLOOKUP(A147,'Données projet'!$A$35:$I$55,5,0)),0%,VLOOKUP(A147,'Données projet'!$A$35:$I$55,5,0)*VLOOKUP('Données projet'!$B$9,Paramètres!$A$1:$I$89,7,0))</f>
        <v>0</v>
      </c>
      <c r="X147" s="122" t="n">
        <f aca="false">IF(ISNA(VLOOKUP(A147,'Données projet'!$A$35:$I$55,6,0)),0%,VLOOKUP(A147,'Données projet'!$A$35:$I$55,6,0)*VLOOKUP('Données projet'!$B$9,Paramètres!$A$1:$I$89,7,0))</f>
        <v>0</v>
      </c>
      <c r="Y147" s="122" t="n">
        <f aca="false">IF(ISNA(VLOOKUP(A147,'Données projet'!$A$35:$I$55,7,0)),0%,VLOOKUP(A147,'Données projet'!$A$35:$I$55,7,0))</f>
        <v>0</v>
      </c>
      <c r="Z147" s="129" t="n">
        <f aca="false">EXP(-LN(2)/35)*Z146+(1-EXP(-LN(2)/35))/(LN(2)/35)*V147*W147*VLOOKUP('Données projet'!$B$9,Paramètres!$A$1:$I$89,3,0)*0.475*44/12</f>
        <v>0.94930284959725</v>
      </c>
      <c r="AA147" s="129" t="n">
        <f aca="false">EXP(-LN(2)/25)*AA146+(1-EXP(-LN(2)/25))/(LN(2)/25)*Calculateur!V147*Calculateur!X147*VLOOKUP('Données projet'!$B$9,Paramètres!$A$1:$I$89,3,0)*0.475*44/12</f>
        <v>0.472747789459884</v>
      </c>
      <c r="AB147" s="129" t="n">
        <f aca="false">EXP(-LN(2)/2)*AB146+(1-EXP(-LN(2)/2))/(LN(2)/2)*V147*Y147*VLOOKUP('Données projet'!$B$9,Paramètres!$A$1:$I$89,3,0)*0.475*44/12</f>
        <v>7.66270980251286E-017</v>
      </c>
      <c r="AC147" s="130" t="n">
        <f aca="false">SUM(Z147:AB147)</f>
        <v>1.42205063905713</v>
      </c>
      <c r="AD147" s="117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7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8" t="e">
        <f aca="false">VLOOKUP(A147,'Données projet'!$A$61:$I$81,2,0)</f>
        <v>#N/A</v>
      </c>
      <c r="AG147" s="118" t="e">
        <f aca="false">VLOOKUP(A147,'Données projet'!$A$61:$I$81,9,0)</f>
        <v>#N/A</v>
      </c>
      <c r="AH147" s="118" t="e">
        <f aca="false" t="array" ref="AH147:AH147">INDEX(AG:AG,MIN(IF(ISNUMBER(AG147:AG343),ROW(AG147:AG343),"")))</f>
        <v>#N/A</v>
      </c>
      <c r="AI147" s="117" t="n">
        <f aca="false">IF('Données projet'!$A$62&gt;35,AI146+AH147-AQ146,IF(A147&lt;'Données projet'!$A$62,$AF$205^A147,IF(A147='Données projet'!$A$62,'Données projet'!$B$62,AI146+AH147-AQ146)))</f>
        <v>1.13686837721616E-013</v>
      </c>
      <c r="AJ147" s="117" t="n">
        <f aca="false">AI147*VLOOKUP('Données projet'!$B$10,Paramètres!$A$1:$I$89,3,0)*VLOOKUP('Données projet'!$B$10,Paramètres!$A$1:$I$89,5,0)</f>
        <v>6.35509422863834E-014</v>
      </c>
      <c r="AK147" s="117" t="n">
        <f aca="false">EXP(-1.0587+0.8836*LN(AJ147)+0.284)</f>
        <v>1.0064464192544E-012</v>
      </c>
      <c r="AL147" s="128" t="n">
        <f aca="false">(AJ147+AK147)*0.475*44/12</f>
        <v>1.86357873801686E-012</v>
      </c>
      <c r="AM147" s="120" t="n">
        <f aca="false">AL147+(AD147+AE147)*44/12</f>
        <v>293.333333333335</v>
      </c>
      <c r="AN147" s="120" t="n">
        <f aca="true">AVERAGE(OFFSET($AM$3,0,0,'Données projet'!$E$10+1,1))-AVERAGE(OFFSET($H$3,0,0,'Données projet'!$E$10+1,1))</f>
        <v>365.705101827279</v>
      </c>
      <c r="AO147" s="120" t="n">
        <f aca="false">$AO$3</f>
        <v>436.238338449625</v>
      </c>
      <c r="AP147" s="121" t="n">
        <f aca="false">IF(ISNA(VLOOKUP(A147,'Données projet'!$A$61:$I$81,3,0)),0,VLOOKUP(A147,'Données projet'!$A$61:$I$81,3,0))</f>
        <v>0</v>
      </c>
      <c r="AQ147" s="121" t="n">
        <f aca="false">IF(ISNA(VLOOKUP(A147,'Données projet'!$A$61:$I$81,4,0)),0,VLOOKUP(A147,'Données projet'!$A$61:$I$81,4,0))</f>
        <v>0</v>
      </c>
      <c r="AR147" s="122" t="n">
        <f aca="false">IF(ISNA(VLOOKUP(A147,'Données projet'!$A$61:$I$81,5,0)),0%,VLOOKUP(A147,'Données projet'!$A$61:$I$81,5,0)*VLOOKUP('Données projet'!$B$10,Paramètres!$A$1:$I$89,7,0))</f>
        <v>0</v>
      </c>
      <c r="AS147" s="122" t="n">
        <f aca="false">IF(ISNA(VLOOKUP(A147,'Données projet'!$A$61:$I$81,6,0)),0%,VLOOKUP(A147,'Données projet'!$A$61:$I$81,6,0)*VLOOKUP('Données projet'!$B$10,Paramètres!$A$1:$I$89,7,0))</f>
        <v>0</v>
      </c>
      <c r="AT147" s="122" t="n">
        <f aca="false">IF(ISNA(VLOOKUP(A147,'Données projet'!$A$61:$I$81,7,0)),0%,VLOOKUP(A147,'Données projet'!$A$61:$I$81,7,0))</f>
        <v>0</v>
      </c>
      <c r="AU147" s="129" t="n">
        <f aca="false">EXP(-LN(2)/35)*AU146+(1-EXP(-LN(2)/35))/(LN(2)/35)*AQ147*AR147*VLOOKUP('Données projet'!$B$10,Paramètres!$A$1:$I$89,3,0)*0.475*44/12</f>
        <v>0.358331047986381</v>
      </c>
      <c r="AV147" s="129" t="n">
        <f aca="false">EXP(-LN(2)/25)*AV146+(1-EXP(-LN(2)/25))/(LN(2)/25)*Calculateur!AQ147*Calculateur!AS147*VLOOKUP('Données projet'!$B$10,Paramètres!$A$1:$I$89,3,0)*0.475*44/12</f>
        <v>0.559944195200445</v>
      </c>
      <c r="AW147" s="129" t="n">
        <f aca="false">EXP(-LN(2)/2)*AW146+(1-EXP(-LN(2)/2))/(LN(2)/2)*AQ147*AT147*VLOOKUP('Données projet'!$B$10,Paramètres!$A$1:$I$89,3,0)*0.475*44/12</f>
        <v>4.12383091957499E-017</v>
      </c>
      <c r="AX147" s="129" t="n">
        <f aca="false">SUM(AU147:AW147)</f>
        <v>0.918275243186827</v>
      </c>
      <c r="AY147" s="124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8" t="e">
        <f aca="false">VLOOKUP(A147,'Données projet'!$A$87:$I$107,2,0)</f>
        <v>#N/A</v>
      </c>
      <c r="BB147" s="118" t="e">
        <f aca="false">VLOOKUP(A147,'Données projet'!$A$87:$I$107,9,0)</f>
        <v>#N/A</v>
      </c>
      <c r="BC147" s="118" t="e">
        <f aca="false" t="array" ref="BC147:BC147">INDEX(BB:BB,MIN(IF(ISNUMBER(BB147:BB343),ROW(BB147:BB343),"")))</f>
        <v>#N/A</v>
      </c>
      <c r="BD147" s="118" t="n">
        <f aca="false">IF('Données projet'!$A$88&gt;35,BD146+BC147-BL146,IF(A147&lt;'Données projet'!$A$88,$BA$205^A147,IF(A147='Données projet'!$A$88,'Données projet'!$B$88,BD146+BC147-BL146)))</f>
        <v>1.98951966012828E-013</v>
      </c>
      <c r="BE147" s="117" t="n">
        <f aca="false">BD147*VLOOKUP('Données projet'!$B$11,Paramètres!$A$1:$I$89,3,0)*VLOOKUP('Données projet'!$B$11,Paramètres!$A$1:$I$89,5,0)</f>
        <v>1.73804437508807E-013</v>
      </c>
      <c r="BF147" s="117" t="n">
        <f aca="false">EXP(-1.0587+0.8836*LN(BE147)+0.284)</f>
        <v>2.44832936339505E-012</v>
      </c>
      <c r="BG147" s="128" t="n">
        <f aca="false">(BE147+BF147)*0.475*44/12</f>
        <v>4.56688303657421E-012</v>
      </c>
      <c r="BH147" s="120" t="n">
        <f aca="false">BG147+(AY147+AZ147)*44/12</f>
        <v>293.333333333338</v>
      </c>
      <c r="BI147" s="120" t="n">
        <f aca="true">AVERAGE(OFFSET($BH$3,0,0,'Données projet'!$E$11+1,1))-AVERAGE(OFFSET($H$3,0,0,'Données projet'!$E$11+1,1))</f>
        <v>321.235999689929</v>
      </c>
      <c r="BJ147" s="120" t="n">
        <f aca="false">$BJ$3</f>
        <v>388.051958478005</v>
      </c>
      <c r="BK147" s="121" t="n">
        <f aca="false">IF(ISNA(VLOOKUP(A147,'Données projet'!$A$87:$I$107,3,0)),0,VLOOKUP(A147,'Données projet'!$A$87:$I$107,3,0))</f>
        <v>0</v>
      </c>
      <c r="BL147" s="121" t="n">
        <f aca="false">IF(ISNA(VLOOKUP(A147,'Données projet'!$A$87:$I$107,4,0)),0,VLOOKUP(A147,'Données projet'!$A$87:$I$107,4,0))</f>
        <v>0</v>
      </c>
      <c r="BM147" s="122" t="n">
        <f aca="false">IF(ISNA(VLOOKUP(A147,'Données projet'!$A$87:$I$107,5,0)),0%,VLOOKUP(A147,'Données projet'!$A$87:$I$107,5,0)*VLOOKUP('Données projet'!$B$11,Paramètres!$A$1:$I$89,7,0))</f>
        <v>0</v>
      </c>
      <c r="BN147" s="122" t="n">
        <f aca="false">IF(ISNA(VLOOKUP(A147,'Données projet'!$A$87:$I$107,6,0)),0%,VLOOKUP(A147,'Données projet'!$A$87:$I$107,6,0)*VLOOKUP('Données projet'!$B$11,Paramètres!$A$1:$I$89,7,0))</f>
        <v>0</v>
      </c>
      <c r="BO147" s="122" t="n">
        <f aca="false">IF(ISNA(VLOOKUP(A147,'Données projet'!$A$87:$I$107,7,0)),0%,VLOOKUP(A147,'Données projet'!$A$87:$I$107,7,0))</f>
        <v>0</v>
      </c>
      <c r="BP147" s="129" t="n">
        <f aca="false">EXP(-LN(2)/35)*BP146+(1-EXP(-LN(2)/35))/(LN(2)/35)*BL147*BM147*VLOOKUP('Données projet'!$B$11,Paramètres!$A$1:$I$89,3,0)*0.475*44/12</f>
        <v>0.899633580141512</v>
      </c>
      <c r="BQ147" s="129" t="n">
        <f aca="false">EXP(-LN(2)/25)*BQ146+(1-EXP(-LN(2)/25))/(LN(2)/25)*Calculateur!BL147*Calculateur!BN147*VLOOKUP('Données projet'!$B$11,Paramètres!$A$1:$I$89,3,0)*0.475*44/12</f>
        <v>0.571557775831703</v>
      </c>
      <c r="BR147" s="129" t="n">
        <f aca="false">EXP(-LN(2)/2)*BR146+(1-EXP(-LN(2)/2))/(LN(2)/2)*BL147*BO147*VLOOKUP('Données projet'!$B$11,Paramètres!$A$1:$I$89,3,0)*0.475*44/12</f>
        <v>4.19178841449731E-017</v>
      </c>
      <c r="BS147" s="130" t="n">
        <f aca="false">SUM(BP147:BR147)</f>
        <v>1.47119135597322</v>
      </c>
      <c r="BT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8" t="e">
        <f aca="false">VLOOKUP(A147,'Données projet'!$A$113:$I$133,2,0)</f>
        <v>#N/A</v>
      </c>
      <c r="BW147" s="118" t="e">
        <f aca="false">VLOOKUP(A147,'Données projet'!$A$113:$I$133,9,0)</f>
        <v>#N/A</v>
      </c>
      <c r="BX147" s="118" t="e">
        <f aca="false" t="array" ref="BX147:BX147">INDEX(BW:BW,MIN(IF(ISNUMBER(BW147:BW343),ROW(BW147:BW343),"")))</f>
        <v>#N/A</v>
      </c>
      <c r="BY147" s="118" t="n">
        <f aca="false">IF('Données projet'!$A$114&gt;35,BY146+BX147-CG146,IF(A147&lt;'Données projet'!$A$114,$BV$205^A147,IF(A147='Données projet'!$A$114,'Données projet'!$B$114,BY146+BX147-CG146)))</f>
        <v>0</v>
      </c>
      <c r="BZ147" s="117" t="n">
        <f aca="false">BY147*VLOOKUP('Données projet'!$B$12,Paramètres!$A$1:$I$89,3,0)*VLOOKUP('Données projet'!$B$12,Paramètres!$A$1:$I$89,5,0)</f>
        <v>0</v>
      </c>
      <c r="CA147" s="117" t="e">
        <f aca="false">EXP(-1.0587+0.8836*LN(BZ147)+0.284)</f>
        <v>#VALUE!</v>
      </c>
      <c r="CB147" s="128" t="e">
        <f aca="false">(BZ147+CA147)*0.475*44/12</f>
        <v>#VALUE!</v>
      </c>
      <c r="CC147" s="120" t="e">
        <f aca="false">CB147+(BT147+BU147)*44/12</f>
        <v>#VALUE!</v>
      </c>
      <c r="CD147" s="120" t="n">
        <f aca="true">AVERAGE(OFFSET($CC$3,0,0,'Données projet'!$E$12+1,1))-AVERAGE(OFFSET($H$3,0,0,'Données projet'!$E$12+1,1))</f>
        <v>240.228848647662</v>
      </c>
      <c r="CE147" s="120" t="n">
        <f aca="false">$CE$3</f>
        <v>343.237768841432</v>
      </c>
      <c r="CF147" s="121" t="n">
        <f aca="false">IF(ISNA(VLOOKUP(A147,'Données projet'!$A$113:$I$133,3,0)),0,VLOOKUP(A147,'Données projet'!$A$113:$I$133,3,0))</f>
        <v>0</v>
      </c>
      <c r="CG147" s="121" t="n">
        <f aca="false">IF(ISNA(VLOOKUP(A147,'Données projet'!$A$113:$I$133,4,0)),0,VLOOKUP(A147,'Données projet'!$A$113:$I$133,4,0))</f>
        <v>0</v>
      </c>
      <c r="CH147" s="122" t="n">
        <f aca="false">IF(ISNA(VLOOKUP(A147,'Données projet'!$A$113:$I$133,5,0)),0%,VLOOKUP(A147,'Données projet'!$A$113:$I$133,5,0)*VLOOKUP('Données projet'!$B$12,Paramètres!$A$1:$I$89,7,0))</f>
        <v>0</v>
      </c>
      <c r="CI147" s="122" t="n">
        <f aca="false">IF(ISNA(VLOOKUP(A147,'Données projet'!$A$113:$I$133,6,0)),0%,VLOOKUP(A147,'Données projet'!$A$113:$I$133,6,0)*VLOOKUP('Données projet'!$B$12,Paramètres!$A$1:$I$89,7,0))</f>
        <v>0</v>
      </c>
      <c r="CJ147" s="122" t="n">
        <f aca="false">IF(ISNA(VLOOKUP(A147,'Données projet'!$A$113:$I$133,7,0)),0%,VLOOKUP(A147,'Données projet'!$A$113:$I$133,7,0))</f>
        <v>0</v>
      </c>
      <c r="CK147" s="129" t="n">
        <f aca="false">EXP(-LN(2)/35)*CK146+(1-EXP(-LN(2)/35))/(LN(2)/35)*CG147*CH147*VLOOKUP('Données projet'!$B$12,Paramètres!$A$1:$I$89,3,0)*0.475*44/12</f>
        <v>0.550645838766146</v>
      </c>
      <c r="CL147" s="129" t="n">
        <f aca="false">EXP(-LN(2)/25)*CL146+(1-EXP(-LN(2)/25))/(LN(2)/25)*Calculateur!CG147*Calculateur!CI147*VLOOKUP('Données projet'!$B$12,Paramètres!$A$1:$I$89,3,0)*0.475*44/12</f>
        <v>1.00940411953366</v>
      </c>
      <c r="CM147" s="129" t="n">
        <f aca="false">EXP(-LN(2)/2)*CM146+(1-EXP(-LN(2)/2))/(LN(2)/2)*CG147*CJ147*VLOOKUP('Données projet'!$B$12,Paramètres!$A$1:$I$89,3,0)*0.475*44/12</f>
        <v>6.68897677938694E-017</v>
      </c>
      <c r="CN147" s="130" t="n">
        <f aca="false">SUM(CK147:CM147)</f>
        <v>1.56004995829981</v>
      </c>
      <c r="CO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8" t="e">
        <f aca="false">VLOOKUP(A147,'Données projet'!$A$139:$I$159,2,0)</f>
        <v>#N/A</v>
      </c>
      <c r="CR147" s="118" t="e">
        <f aca="false">VLOOKUP(A147,'Données projet'!$A$139:$I$159,9,0)</f>
        <v>#N/A</v>
      </c>
      <c r="CS147" s="118" t="e">
        <f aca="false" t="array" ref="CS147:CS147">INDEX(CR:CR,MIN(IF(ISNUMBER(CR147:CR343),ROW(CR147:CR343),"")))</f>
        <v>#N/A</v>
      </c>
      <c r="CT147" s="118" t="n">
        <f aca="false">IF('Données projet'!$A$140&gt;35,CT146+CS147-DB146,IF(A147&lt;'Données projet'!$A$140,$CQ$205^A147,IF(A147='Données projet'!$A$140,'Données projet'!$B$140,CT146+CS147-DB146)))</f>
        <v>-5.6843418860808E-014</v>
      </c>
      <c r="CU147" s="125" t="n">
        <f aca="false">CT147*VLOOKUP('Données projet'!$B$13,Paramètres!$A$1:$I$89,3,0)*VLOOKUP('Données projet'!$B$13,Paramètres!$A$1:$I$89,5,0)</f>
        <v>-3.10365066980012E-014</v>
      </c>
      <c r="CV147" s="117" t="e">
        <f aca="false">EXP(-1.0587+0.8836*LN(CU147)+0.284)</f>
        <v>#VALUE!</v>
      </c>
      <c r="CW147" s="128" t="e">
        <f aca="false">(CU147+CV147)*0.475*44/12</f>
        <v>#VALUE!</v>
      </c>
      <c r="CX147" s="120" t="e">
        <f aca="false">CW147+(CO147+CP147)*44/12</f>
        <v>#VALUE!</v>
      </c>
      <c r="CY147" s="120" t="n">
        <f aca="true">AVERAGE(OFFSET($CX$3,0,0,'Données projet'!$E$13+1,1))-AVERAGE(OFFSET($H$3,0,0,'Données projet'!$E$13+1,1))</f>
        <v>207.023069645676</v>
      </c>
      <c r="CZ147" s="120" t="n">
        <f aca="false">$CZ$3</f>
        <v>342.068879333518</v>
      </c>
      <c r="DA147" s="121" t="n">
        <f aca="false">IF(ISNA(VLOOKUP(A147,'Données projet'!$A$139:$I$159,3,0)),0,VLOOKUP(A147,'Données projet'!$A$139:$I$159,3,0))</f>
        <v>0</v>
      </c>
      <c r="DB147" s="121" t="n">
        <f aca="false">IF(ISNA(VLOOKUP(A147,'Données projet'!$A$139:$I$159,4,0)),0,VLOOKUP(A147,'Données projet'!$A$139:$I$159,4,0))</f>
        <v>0</v>
      </c>
      <c r="DC147" s="122" t="n">
        <f aca="false">IF(ISNA(VLOOKUP(A147,'Données projet'!$A$139:$I$159,5,0)),0%,VLOOKUP(A147,'Données projet'!$A$139:$I$159,5,0)*VLOOKUP('Données projet'!$B$13,Paramètres!$A$1:$I$89,7,0))</f>
        <v>0</v>
      </c>
      <c r="DD147" s="122" t="n">
        <f aca="false">IF(ISNA(VLOOKUP(A147,'Données projet'!$A$139:$I$159,6,0)),0%,VLOOKUP(A147,'Données projet'!$A$139:$I$159,6,0)*VLOOKUP('Données projet'!$B$13,Paramètres!$A$1:$I$89,7,0))</f>
        <v>0</v>
      </c>
      <c r="DE147" s="122" t="n">
        <f aca="false">IF(ISNA(VLOOKUP(A147,'Données projet'!$A$139:$I$159,7,0)),0%,VLOOKUP(A147,'Données projet'!$A$139:$I$159,7,0))</f>
        <v>0</v>
      </c>
      <c r="DF147" s="129" t="n">
        <f aca="false">EXP(-LN(2)/35)*DF146+(1-EXP(-LN(2)/35))/(LN(2)/35)*DB147*DC147*VLOOKUP('Données projet'!$B$13,Paramètres!$A$1:$I$89,3,0)*0.475*44/12</f>
        <v>0.690904684489598</v>
      </c>
      <c r="DG147" s="129" t="n">
        <f aca="false">EXP(-LN(2)/25)*DG146+(1-EXP(-LN(2)/25))/(LN(2)/25)*Calculateur!DB147*Calculateur!DD147*VLOOKUP('Données projet'!$B$13,Paramètres!$A$1:$I$89,3,0)*0.475*44/12</f>
        <v>1.64995532990031</v>
      </c>
      <c r="DH147" s="129" t="n">
        <f aca="false">EXP(-LN(2)/2)*DH146+(1-EXP(-LN(2)/2))/(LN(2)/2)*DB147*DE147*VLOOKUP('Données projet'!$B$13,Paramètres!$A$1:$I$89,3,0)*0.475*44/12</f>
        <v>9.21072412639393E-017</v>
      </c>
      <c r="DI147" s="130" t="n">
        <f aca="false">SUM(DF147:DH147)</f>
        <v>2.3408600143899</v>
      </c>
      <c r="DJ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8" t="e">
        <f aca="false">VLOOKUP(A147,'Données projet'!$A$165:$I$185,2,0)</f>
        <v>#N/A</v>
      </c>
      <c r="DM147" s="118" t="e">
        <f aca="false">VLOOKUP(A147,'Données projet'!$A$165:$I$185,9,0)</f>
        <v>#N/A</v>
      </c>
      <c r="DN147" s="118" t="e">
        <f aca="false" t="array" ref="DN147:DN147">INDEX(DM:DM,MIN(IF(ISNUMBER(DM147:DM343),ROW(DM147:DM343),"")))</f>
        <v>#N/A</v>
      </c>
      <c r="DO147" s="118" t="n">
        <f aca="false">IF('Données projet'!$A$166&gt;35,DO146+DN147-DW146,IF(A147&lt;'Données projet'!$A$166,$DL$205^A147,IF(A147='Données projet'!$A$166,'Données projet'!$B$166,DO146+DN147-DW146)))</f>
        <v>0</v>
      </c>
      <c r="DP147" s="125" t="n">
        <f aca="false">DO147*VLOOKUP('Données projet'!$B$14,Paramètres!$A$1:$I$89,3,0)*VLOOKUP('Données projet'!$B$14,Paramètres!$A$1:$I$89,5,0)</f>
        <v>0</v>
      </c>
      <c r="DQ147" s="117" t="e">
        <f aca="false">EXP(-1.0587+0.8836*LN(DP147)+0.284)</f>
        <v>#VALUE!</v>
      </c>
      <c r="DR147" s="128" t="e">
        <f aca="false">(DP147+DQ147)*0.475*44/12</f>
        <v>#VALUE!</v>
      </c>
      <c r="DS147" s="120" t="e">
        <f aca="false">DR147+(DJ147+DK147)*44/12</f>
        <v>#VALUE!</v>
      </c>
      <c r="DT147" s="120" t="n">
        <f aca="true">AVERAGE(OFFSET($DS$3,0,0,'Données projet'!$E$14+1,1))-AVERAGE(OFFSET($H$3,0,0,'Données projet'!$E$14+1,1))</f>
        <v>549.432320957297</v>
      </c>
      <c r="DU147" s="120" t="n">
        <f aca="false">$DU$3</f>
        <v>280.26155987301</v>
      </c>
      <c r="DV147" s="121" t="n">
        <f aca="false">IF(ISNA(VLOOKUP(A147,'Données projet'!$A$165:$I$185,3,0)),0,VLOOKUP(A147,'Données projet'!$A$165:$I$185,3,0))</f>
        <v>0</v>
      </c>
      <c r="DW147" s="121" t="n">
        <f aca="false">IF(ISNA(VLOOKUP(A147,'Données projet'!$A$165:$I$185,4,0)),0,VLOOKUP(A147,'Données projet'!$A$165:$I$185,4,0))</f>
        <v>0</v>
      </c>
      <c r="DX147" s="122" t="n">
        <f aca="false">IF(ISNA(VLOOKUP(A147,'Données projet'!$A$165:$I$185,5,0)),0%,VLOOKUP(A147,'Données projet'!$A$165:$I$185,5,0)*VLOOKUP('Données projet'!$B$14,Paramètres!$A$1:$I$89,7,0))</f>
        <v>0</v>
      </c>
      <c r="DY147" s="122" t="n">
        <f aca="false">IF(ISNA(VLOOKUP(A147,'Données projet'!$A$165:$I$185,6,0)),0%,VLOOKUP(A147,'Données projet'!$A$165:$I$185,6,0)*VLOOKUP('Données projet'!$B$14,Paramètres!$A$1:$I$89,7,0))</f>
        <v>0</v>
      </c>
      <c r="DZ147" s="122" t="n">
        <f aca="false">IF(ISNA(VLOOKUP(A147,'Données projet'!$A$165:$I$185,7,0)),0%,VLOOKUP(A147,'Données projet'!$A$165:$I$185,7,0))</f>
        <v>0</v>
      </c>
      <c r="EA147" s="129" t="n">
        <f aca="false">EXP(-LN(2)/35)*EA146+(1-EXP(-LN(2)/35))/(LN(2)/35)*DW147*DX147*VLOOKUP('Données projet'!$B$14,Paramètres!$A$1:$I$89,3,0)*0.475*44/12</f>
        <v>0.25121217289142</v>
      </c>
      <c r="EB147" s="129" t="n">
        <f aca="false">EXP(-LN(2)/25)*EB146+(1-EXP(-LN(2)/25))/(LN(2)/25)*Calculateur!DW147*Calculateur!DY147*VLOOKUP('Données projet'!$B$14,Paramètres!$A$1:$I$89,3,0)*0.475*44/12</f>
        <v>0.328703654762638</v>
      </c>
      <c r="EC147" s="129" t="n">
        <f aca="false">EXP(-LN(2)/2)*EC146+(1-EXP(-LN(2)/2))/(LN(2)/2)*DW147*DZ147*VLOOKUP('Données projet'!$B$14,Paramètres!$A$1:$I$89,3,0)*0.475*44/12</f>
        <v>4.24595395964697E-017</v>
      </c>
      <c r="ED147" s="130" t="n">
        <f aca="false">SUM(EA147:EC147)</f>
        <v>0.579915827654059</v>
      </c>
      <c r="EE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8" t="e">
        <f aca="false">VLOOKUP(A147,'Données projet'!$A$191:$I$211,2,0)</f>
        <v>#N/A</v>
      </c>
      <c r="EH147" s="118" t="e">
        <f aca="false">VLOOKUP(A147,'Données projet'!$A$191:$I$211,9,0)</f>
        <v>#N/A</v>
      </c>
      <c r="EI147" s="118" t="e">
        <f aca="false" t="array" ref="EI147:EI147">INDEX(EH:EH,MIN(IF(ISNUMBER(EH147:EH343),ROW(EH147:EH343),"")))</f>
        <v>#N/A</v>
      </c>
      <c r="EJ147" s="118" t="n">
        <f aca="false">IF('Données projet'!$A$192&gt;35,EJ146+EI147-ER146,IF(A147&lt;'Données projet'!$A$192,$EG$205^A147,IF(A147='Données projet'!$A$192,'Données projet'!$B$192,EJ146+EI147-ER146)))</f>
        <v>0</v>
      </c>
      <c r="EK147" s="125" t="e">
        <f aca="false">EJ147*VLOOKUP('Données projet'!$B$15,Paramètres!$A$1:$I$89,3,0)*VLOOKUP('Données projet'!$B$15,Paramètres!$A$1:$I$89,5,0)</f>
        <v>#N/A</v>
      </c>
      <c r="EL147" s="117" t="e">
        <f aca="false">EXP(-1.0587+0.8836*LN(EK147)+0.284)</f>
        <v>#N/A</v>
      </c>
      <c r="EM147" s="128" t="e">
        <f aca="false">(EK147+EL147)*0.475*44/12</f>
        <v>#N/A</v>
      </c>
      <c r="EN147" s="120" t="e">
        <f aca="false">EM147+(EE147+EF147)*44/12</f>
        <v>#N/A</v>
      </c>
      <c r="EO147" s="120" t="e">
        <f aca="true">AVERAGE(OFFSET($EN$3,0,0,'Données projet'!$E$15+1,1))-AVERAGE(OFFSET($H$3,0,0,'Données projet'!$E$15+1,1))</f>
        <v>#N/A</v>
      </c>
      <c r="EP147" s="120" t="e">
        <f aca="false">$EP$3</f>
        <v>#N/A</v>
      </c>
      <c r="EQ147" s="121" t="n">
        <f aca="false">IF(ISNA(VLOOKUP(A147,'Données projet'!$A$191:$I$211,3,0)),0,VLOOKUP(A147,'Données projet'!$A$191:$I$211,3,0))</f>
        <v>0</v>
      </c>
      <c r="ER147" s="121" t="n">
        <f aca="false">IF(ISNA(VLOOKUP(A147,'Données projet'!$A$191:$I$211,4,0)),0,VLOOKUP(A147,'Données projet'!$A$191:$I$211,4,0))</f>
        <v>0</v>
      </c>
      <c r="ES147" s="122" t="n">
        <f aca="false">IF(ISNA(VLOOKUP(A147,'Données projet'!$A$191:$I$211,5,0)),0%,VLOOKUP(A147,'Données projet'!$A$191:$I$211,5,0)*VLOOKUP('Données projet'!$B$15,Paramètres!$A$1:$I$89,7,0))</f>
        <v>0</v>
      </c>
      <c r="ET147" s="122" t="n">
        <f aca="false">IF(ISNA(VLOOKUP(A147,'Données projet'!$A$191:$I$211,6,0)),0%,VLOOKUP(A147,'Données projet'!$A$191:$I$211,6,0)*VLOOKUP('Données projet'!$B$15,Paramètres!$A$1:$I$89,7,0))</f>
        <v>0</v>
      </c>
      <c r="EU147" s="122" t="n">
        <f aca="false">IF(ISNA(VLOOKUP(A147,'Données projet'!$A$191:$I$211,7,0)),0%,VLOOKUP(A147,'Données projet'!$A$191:$I$211,7,0))</f>
        <v>0</v>
      </c>
      <c r="EV147" s="129" t="e">
        <f aca="false">EXP(-LN(2)/35)*EV146+(1-EXP(-LN(2)/35))/(LN(2)/35)*ER147*ES147*VLOOKUP('Données projet'!$B$15,Paramètres!$A$1:$I$89,3,0)*0.475*44/12</f>
        <v>#N/A</v>
      </c>
      <c r="EW147" s="129" t="e">
        <f aca="false">EXP(-LN(2)/25)*EW146+(1-EXP(-LN(2)/25))/(LN(2)/25)*Calculateur!ER147*Calculateur!ET147*VLOOKUP('Données projet'!$B$15,Paramètres!$A$1:$I$89,3,0)*0.475*44/12</f>
        <v>#N/A</v>
      </c>
      <c r="EX147" s="129" t="e">
        <f aca="false">EXP(-LN(2)/2)*EX146+(1-EXP(-LN(2)/2))/(LN(2)/2)*ER147*EU147*VLOOKUP('Données projet'!$B$15,Paramètres!$A$1:$I$89,3,0)*0.475*44/12</f>
        <v>#N/A</v>
      </c>
      <c r="EY147" s="130" t="e">
        <f aca="false">SUM(EV147:EX147)</f>
        <v>#N/A</v>
      </c>
      <c r="EZ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8" t="e">
        <f aca="false">VLOOKUP(A147,'Données projet'!$A$217:$I$237,2,0)</f>
        <v>#N/A</v>
      </c>
      <c r="FC147" s="118" t="e">
        <f aca="false">VLOOKUP(A147,'Données projet'!$A$217:$I$237,9,0)</f>
        <v>#N/A</v>
      </c>
      <c r="FD147" s="118" t="e">
        <f aca="false" t="array" ref="FD147:FD147">INDEX(FC:FC,MIN(IF(ISNUMBER(FC147:FC343),ROW(FC147:FC343),"")))</f>
        <v>#N/A</v>
      </c>
      <c r="FE147" s="118" t="n">
        <f aca="false">IF('Données projet'!$A$218&gt;35,FE146+FD147-FM146,IF(A147&lt;'Données projet'!$A$218,$FB$205^A147,IF(A147='Données projet'!$A$218,'Données projet'!$B$218,FE146+FD147-FM146)))</f>
        <v>0</v>
      </c>
      <c r="FF147" s="125" t="e">
        <f aca="false">FE147*VLOOKUP('Données projet'!$B$16,Paramètres!$A$1:$I$89,3,0)*VLOOKUP('Données projet'!$B$16,Paramètres!$A$1:$I$89,5,0)</f>
        <v>#N/A</v>
      </c>
      <c r="FG147" s="117" t="e">
        <f aca="false">EXP(-1.0587+0.8836*LN(FF147)+0.284)</f>
        <v>#N/A</v>
      </c>
      <c r="FH147" s="128" t="e">
        <f aca="false">(FF147+FG147)*0.475*44/12</f>
        <v>#N/A</v>
      </c>
      <c r="FI147" s="120" t="e">
        <f aca="false">FH147+(EZ147+FA147)*44/12</f>
        <v>#N/A</v>
      </c>
      <c r="FJ147" s="120" t="e">
        <f aca="true">AVERAGE(OFFSET($FI$3,0,0,'Données projet'!$E$16+1,1))-AVERAGE(OFFSET($H$3,0,0,'Données projet'!$E$16+1,1))</f>
        <v>#N/A</v>
      </c>
      <c r="FK147" s="120" t="e">
        <f aca="false">$FK$3</f>
        <v>#N/A</v>
      </c>
      <c r="FL147" s="121" t="n">
        <f aca="false">IF(ISNA(VLOOKUP(A147,'Données projet'!$A$217:$I$237,3,0)),0,VLOOKUP(A147,'Données projet'!$A$217:$I$237,3,0))</f>
        <v>0</v>
      </c>
      <c r="FM147" s="121" t="n">
        <f aca="false">IF(ISNA(VLOOKUP(A147,'Données projet'!$A$217:$I$237,4,0)),0,VLOOKUP(A147,'Données projet'!$A$217:$I$237,4,0))</f>
        <v>0</v>
      </c>
      <c r="FN147" s="122" t="n">
        <f aca="false">IF(ISNA(VLOOKUP(A147,'Données projet'!$A$217:$I$237,5,0)),0%,VLOOKUP(A147,'Données projet'!$A$217:$I$237,5,0)*VLOOKUP('Données projet'!$B$16,Paramètres!$A$1:$I$89,7,0))</f>
        <v>0</v>
      </c>
      <c r="FO147" s="122" t="n">
        <f aca="false">IF(ISNA(VLOOKUP(A147,'Données projet'!$A$217:$I$237,6,0)),0%,VLOOKUP(A147,'Données projet'!$A$217:$I$237,6,0)*VLOOKUP('Données projet'!$B$16,Paramètres!$A$1:$I$89,7,0))</f>
        <v>0</v>
      </c>
      <c r="FP147" s="122" t="n">
        <f aca="false">IF(ISNA(VLOOKUP(A147,'Données projet'!$A$217:$I$237,7,0)),0%,VLOOKUP(A147,'Données projet'!$A$217:$I$237,7,0))</f>
        <v>0</v>
      </c>
      <c r="FQ147" s="129" t="e">
        <f aca="false">EXP(-LN(2)/35)*FQ146+(1-EXP(-LN(2)/35))/(LN(2)/35)*FM147*FN147*VLOOKUP('Données projet'!$B$16,Paramètres!$A$1:$I$89,3,0)*0.475*44/12</f>
        <v>#N/A</v>
      </c>
      <c r="FR147" s="129" t="e">
        <f aca="false">EXP(-LN(2)/25)*FR146+(1-EXP(-LN(2)/25))/(LN(2)/25)*Calculateur!FM147*Calculateur!FO147*VLOOKUP('Données projet'!$B$16,Paramètres!$A$1:$I$89,3,0)*0.475*44/12</f>
        <v>#N/A</v>
      </c>
      <c r="FS147" s="129" t="e">
        <f aca="false">EXP(-LN(2)/2)*FS146+(1-EXP(-LN(2)/2))/(LN(2)/2)*FM147*FP147*VLOOKUP('Données projet'!$B$16,Paramètres!$A$1:$I$89,3,0)*0.475*44/12</f>
        <v>#N/A</v>
      </c>
      <c r="FT147" s="130" t="e">
        <f aca="false">SUM(FQ147:FS147)</f>
        <v>#N/A</v>
      </c>
      <c r="FU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8" t="e">
        <f aca="false">VLOOKUP(A147,'Données projet'!$A$243:$I$263,2,0)</f>
        <v>#N/A</v>
      </c>
      <c r="FX147" s="118" t="e">
        <f aca="false">VLOOKUP(A147,'Données projet'!$A$243:$I$263,9,0)</f>
        <v>#N/A</v>
      </c>
      <c r="FY147" s="118" t="e">
        <f aca="false" t="array" ref="FY147:FY147">INDEX(FX:FX,MIN(IF(ISNUMBER(FX147:FX343),ROW(FX147:FX343),"")))</f>
        <v>#N/A</v>
      </c>
      <c r="FZ147" s="118" t="n">
        <f aca="false">IF('Données projet'!$A$244&gt;35,FZ146+FY147-GH146,IF(A147&lt;'Données projet'!$A$244,$FW$205^A147,IF(A147='Données projet'!$A$244,'Données projet'!$B$244,FZ146+FY147-GH146)))</f>
        <v>0</v>
      </c>
      <c r="GA147" s="125" t="e">
        <f aca="false">FZ147*VLOOKUP('Données projet'!$B$17,Paramètres!$A$1:$I$89,3,0)*VLOOKUP('Données projet'!$B$17,Paramètres!$A$1:$I$89,5,0)</f>
        <v>#N/A</v>
      </c>
      <c r="GB147" s="117" t="e">
        <f aca="false">EXP(-1.0587+0.8836*LN(GA147)+0.284)</f>
        <v>#N/A</v>
      </c>
      <c r="GC147" s="128" t="e">
        <f aca="false">(GA147+GB147)*0.475*44/12</f>
        <v>#N/A</v>
      </c>
      <c r="GD147" s="120" t="e">
        <f aca="false">GC147+(FU147+FV147)*44/12</f>
        <v>#N/A</v>
      </c>
      <c r="GE147" s="120" t="e">
        <f aca="true">AVERAGE(OFFSET($GD$3,0,0,'Données projet'!$E$17+1,1))-AVERAGE(OFFSET($H$3,0,0,'Données projet'!$E$17+1,1))</f>
        <v>#N/A</v>
      </c>
      <c r="GF147" s="120" t="e">
        <f aca="false">$GF$3</f>
        <v>#N/A</v>
      </c>
      <c r="GG147" s="121" t="n">
        <f aca="false">IF(ISNA(VLOOKUP(A147,'Données projet'!$A$243:$I$263,3,0)),0,VLOOKUP(A147,'Données projet'!$A$243:$I$263,3,0))</f>
        <v>0</v>
      </c>
      <c r="GH147" s="121" t="n">
        <f aca="false">IF(ISNA(VLOOKUP(A147,'Données projet'!$A$243:$I$263,4,0)),0,VLOOKUP(A147,'Données projet'!$A$243:$I$263,4,0))</f>
        <v>0</v>
      </c>
      <c r="GI147" s="122" t="n">
        <f aca="false">IF(ISNA(VLOOKUP(A147,'Données projet'!$A$243:$I$263,5,0)),0%,VLOOKUP(A147,'Données projet'!$A$243:$I$263,5,0)*VLOOKUP('Données projet'!$B$17,Paramètres!$A$1:$I$89,7,0))</f>
        <v>0</v>
      </c>
      <c r="GJ147" s="122" t="n">
        <f aca="false">IF(ISNA(VLOOKUP(A147,'Données projet'!$A$243:$I$263,6,0)),0%,VLOOKUP(A147,'Données projet'!$A$243:$I$263,6,0)*VLOOKUP('Données projet'!$B$17,Paramètres!$A$1:$I$89,7,0))</f>
        <v>0</v>
      </c>
      <c r="GK147" s="122" t="n">
        <f aca="false">IF(ISNA(VLOOKUP(A147,'Données projet'!$A$243:$I$263,7,0)),0%,VLOOKUP(A147,'Données projet'!$A$243:$I$263,7,0))</f>
        <v>0</v>
      </c>
      <c r="GL147" s="129" t="e">
        <f aca="false">EXP(-LN(2)/35)*GL146+(1-EXP(-LN(2)/35))/(LN(2)/35)*GH147*GI147*VLOOKUP('Données projet'!$B$17,Paramètres!$A$1:$I$89,3,0)*0.475*44/12</f>
        <v>#N/A</v>
      </c>
      <c r="GM147" s="129" t="e">
        <f aca="false">EXP(-LN(2)/25)*GM146+(1-EXP(-LN(2)/25))/(LN(2)/25)*Calculateur!GH147*Calculateur!GJ147*VLOOKUP('Données projet'!$B$17,Paramètres!$A$1:$I$89,3,0)*0.475*44/12</f>
        <v>#N/A</v>
      </c>
      <c r="GN147" s="129" t="e">
        <f aca="false">EXP(-LN(2)/2)*GN146+(1-EXP(-LN(2)/2))/(LN(2)/2)*GH147*GK147*VLOOKUP('Données projet'!$B$17,Paramètres!$A$1:$I$89,3,0)*0.475*44/12</f>
        <v>#N/A</v>
      </c>
      <c r="GO147" s="129" t="e">
        <f aca="false">SUM(GL147:GN147)</f>
        <v>#N/A</v>
      </c>
      <c r="GP147" s="126" t="n">
        <f aca="false"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8" t="n">
        <f aca="false"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8" t="e">
        <f aca="false">VLOOKUP(A147,'Données projet'!$A$269:$I$289,2,0)</f>
        <v>#N/A</v>
      </c>
      <c r="GS147" s="118" t="e">
        <f aca="false">VLOOKUP(A147,'Données projet'!$A$269:$I$289,9,0)</f>
        <v>#N/A</v>
      </c>
      <c r="GT147" s="118" t="e">
        <f aca="false" t="array" ref="GT147:GT147">INDEX(GS:GS,MIN(IF(ISNUMBER(GS147:GS343),ROW(GS147:GS343),"")))</f>
        <v>#N/A</v>
      </c>
      <c r="GU147" s="118" t="n">
        <f aca="false">IF('Données projet'!$A$270&gt;35,GU146+GT147-HC146,IF(A147&lt;'Données projet'!$A$270,$GR$205^A147,IF(A147='Données projet'!$A$270,'Données projet'!$B$270,GU146+GT147-HC146)))</f>
        <v>0</v>
      </c>
      <c r="GV147" s="125" t="e">
        <f aca="false">GU147*VLOOKUP('Données projet'!$B$18,Paramètres!$A$1:$I$89,3,0)*VLOOKUP('Données projet'!$B$18,Paramètres!$A$1:$I$89,5,0)</f>
        <v>#N/A</v>
      </c>
      <c r="GW147" s="117" t="e">
        <f aca="false">EXP(-1.0587+0.8836*LN(GV147)+0.284)</f>
        <v>#N/A</v>
      </c>
      <c r="GX147" s="128" t="e">
        <f aca="false">(GV147+GW147)*0.475*44/12</f>
        <v>#N/A</v>
      </c>
      <c r="GY147" s="120" t="e">
        <f aca="false">GX147+(GP147+GQ147)*44/12</f>
        <v>#N/A</v>
      </c>
      <c r="GZ147" s="120" t="e">
        <f aca="true">AVERAGE(OFFSET($GY$3,0,0,'Données projet'!$E$18+1,1))-AVERAGE(OFFSET($H$3,0,0,'Données projet'!$E$18+1,1))</f>
        <v>#N/A</v>
      </c>
      <c r="HA147" s="120" t="e">
        <f aca="false">$HA$3</f>
        <v>#N/A</v>
      </c>
      <c r="HB147" s="121" t="n">
        <f aca="false">IF(ISNA(VLOOKUP(A147,'Données projet'!$A$269:$I$289,3,0)),0,VLOOKUP(A147,'Données projet'!$A$269:$I$289,3,0))</f>
        <v>0</v>
      </c>
      <c r="HC147" s="121" t="n">
        <f aca="false">IF(ISNA(VLOOKUP(A147,'Données projet'!$A$269:$I$289,4,0)),0,VLOOKUP(A147,'Données projet'!$A$269:$I$289,4,0))</f>
        <v>0</v>
      </c>
      <c r="HD147" s="122" t="n">
        <f aca="false">IF(ISNA(VLOOKUP(A147,'Données projet'!$A$269:$I$289,5,0)),0%,VLOOKUP(A147,'Données projet'!$A$269:$I$289,5,0)*VLOOKUP('Données projet'!$B$18,Paramètres!$A$1:$I$89,7,0))</f>
        <v>0</v>
      </c>
      <c r="HE147" s="122" t="n">
        <f aca="false">IF(ISNA(VLOOKUP(A147,'Données projet'!$A$269:$I$289,6,0)),0%,VLOOKUP(A147,'Données projet'!$A$269:$I$289,6,0)*VLOOKUP('Données projet'!$B$18,Paramètres!$A$1:$I$89,7,0))</f>
        <v>0</v>
      </c>
      <c r="HF147" s="122" t="n">
        <f aca="false">IF(ISNA(VLOOKUP(A147,'Données projet'!$A$269:$I$289,7,0)),0%,VLOOKUP(A147,'Données projet'!$A$269:$I$289,7,0))</f>
        <v>0</v>
      </c>
      <c r="HG147" s="129" t="e">
        <f aca="false">EXP(-LN(2)/35)*HG146+(1-EXP(-LN(2)/35))/(LN(2)/35)*HC147*HD147*VLOOKUP('Données projet'!$B$18,Paramètres!$A$1:$I$89,3,0)*0.475*44/12</f>
        <v>#N/A</v>
      </c>
      <c r="HH147" s="129" t="e">
        <f aca="false">EXP(-LN(2)/25)*HH146+(1-EXP(-LN(2)/25))/(LN(2)/25)*Calculateur!HC147*Calculateur!HE147*VLOOKUP('Données projet'!$B$18,Paramètres!$A$1:$I$89,3,0)*0.475*44/12</f>
        <v>#N/A</v>
      </c>
      <c r="HI147" s="129" t="e">
        <f aca="false">EXP(-LN(2)/2)*HI146+(1-EXP(-LN(2)/2))/(LN(2)/2)*HC147*HF147*VLOOKUP('Données projet'!$B$18,Paramètres!$A$1:$I$89,3,0)*0.475*44/12</f>
        <v>#N/A</v>
      </c>
      <c r="HJ147" s="130" t="e">
        <f aca="false">SUM(HG147:HI147)</f>
        <v>#N/A</v>
      </c>
    </row>
    <row r="148" customFormat="false" ht="14.25" hidden="false" customHeight="false" outlineLevel="0" collapsed="false">
      <c r="A148" s="112" t="n">
        <f aca="false">A147+1</f>
        <v>145</v>
      </c>
      <c r="B148" s="113" t="n">
        <f aca="false">'Scénario référence'!$B$16*5+'Scénario référence'!$B$17*0+'Scénario référence'!$B$18*5</f>
        <v>0</v>
      </c>
      <c r="C148" s="127" t="n">
        <f aca="false"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4" t="n">
        <f aca="false">IFERROR(EXP(-1.0587+0.8836*LN(C148)+0.284),0)</f>
        <v>0</v>
      </c>
      <c r="E14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8" s="114" t="n">
        <f aca="false">IF(OR('Scénario référence'!$F$8&gt;0,'Scénario référence'!$F$9&gt;0),('Scénario référence'!$F$8+'Scénario référence'!$F$9)*10,0)</f>
        <v>0</v>
      </c>
      <c r="G148" s="114" t="n">
        <f aca="false"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15" t="n">
        <f aca="false">(B148+E148+F148)*44/12+(C148+D148)*0.475*44/12</f>
        <v>256.666666666667</v>
      </c>
      <c r="I148" s="11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7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8" t="e">
        <f aca="false">VLOOKUP(A148,'Données projet'!$A$35:$I$55,2,0)</f>
        <v>#N/A</v>
      </c>
      <c r="L148" s="118" t="e">
        <f aca="false">VLOOKUP(A148,'Données projet'!$A$35:$I$55,9,0)</f>
        <v>#N/A</v>
      </c>
      <c r="M148" s="118" t="e">
        <f aca="false" t="array" ref="M148:M148">INDEX(L:L,MIN(IF(ISNUMBER(L148:L344),ROW(L148:L344),"")))</f>
        <v>#N/A</v>
      </c>
      <c r="N148" s="117" t="n">
        <f aca="false">IF('Données projet'!$A$36&gt;35,N147+M148-V147,IF(A148&lt;'Données projet'!$A$36,$K$205^A148,IF(A148='Données projet'!$A$36,'Données projet'!$B$36,N147+M148-V147)))</f>
        <v>-1.13686837721616E-013</v>
      </c>
      <c r="O148" s="117" t="n">
        <f aca="false">N148*VLOOKUP('Données projet'!$B$9,Paramètres!$A$1:$I$89,3,0)*VLOOKUP('Données projet'!$B$9,Paramètres!$A$1:$I$89,5,0)</f>
        <v>-5.32054400537163E-014</v>
      </c>
      <c r="P148" s="117" t="e">
        <f aca="false">EXP(-1.0587+0.8836*LN(O148)+0.284)</f>
        <v>#VALUE!</v>
      </c>
      <c r="Q148" s="128" t="e">
        <f aca="false">(O148+P148)*0.475*44/12</f>
        <v>#VALUE!</v>
      </c>
      <c r="R148" s="120" t="e">
        <f aca="false">Q148+(I148+J148)*44/12</f>
        <v>#VALUE!</v>
      </c>
      <c r="S148" s="120" t="n">
        <f aca="true">AVERAGE(OFFSET($R$3,0,0,'Données projet'!$E$9+1,1))-AVERAGE(OFFSET($H$3,0,0,'Données projet'!$E$9+1,1))</f>
        <v>319.229030946746</v>
      </c>
      <c r="T148" s="120" t="n">
        <f aca="false">$T$3</f>
        <v>254.586909731428</v>
      </c>
      <c r="U148" s="121" t="n">
        <f aca="false">IF(ISNA(VLOOKUP(A148,'Données projet'!$A$35:$I$55,3,0)),0,VLOOKUP(A148,'Données projet'!$A$35:$I$55,3,0))</f>
        <v>0</v>
      </c>
      <c r="V148" s="121" t="n">
        <f aca="false">IF(ISNA(VLOOKUP(A148,'Données projet'!$A$35:$I$55,4,0)),0,VLOOKUP(A148,'Données projet'!$A$35:$I$55,4,0))</f>
        <v>0</v>
      </c>
      <c r="W148" s="122" t="n">
        <f aca="false">IF(ISNA(VLOOKUP(A148,'Données projet'!$A$35:$I$55,5,0)),0%,VLOOKUP(A148,'Données projet'!$A$35:$I$55,5,0)*VLOOKUP('Données projet'!$B$9,Paramètres!$A$1:$I$89,7,0))</f>
        <v>0</v>
      </c>
      <c r="X148" s="122" t="n">
        <f aca="false">IF(ISNA(VLOOKUP(A148,'Données projet'!$A$35:$I$55,6,0)),0%,VLOOKUP(A148,'Données projet'!$A$35:$I$55,6,0)*VLOOKUP('Données projet'!$B$9,Paramètres!$A$1:$I$89,7,0))</f>
        <v>0</v>
      </c>
      <c r="Y148" s="122" t="n">
        <f aca="false">IF(ISNA(VLOOKUP(A148,'Données projet'!$A$35:$I$55,7,0)),0%,VLOOKUP(A148,'Données projet'!$A$35:$I$55,7,0))</f>
        <v>0</v>
      </c>
      <c r="Z148" s="129" t="n">
        <f aca="false">EXP(-LN(2)/35)*Z147+(1-EXP(-LN(2)/35))/(LN(2)/35)*V148*W148*VLOOKUP('Données projet'!$B$9,Paramètres!$A$1:$I$89,3,0)*0.475*44/12</f>
        <v>0.930687599734213</v>
      </c>
      <c r="AA148" s="129" t="n">
        <f aca="false">EXP(-LN(2)/25)*AA147+(1-EXP(-LN(2)/25))/(LN(2)/25)*Calculateur!V148*Calculateur!X148*VLOOKUP('Données projet'!$B$9,Paramètres!$A$1:$I$89,3,0)*0.475*44/12</f>
        <v>0.459820476296377</v>
      </c>
      <c r="AB148" s="129" t="n">
        <f aca="false">EXP(-LN(2)/2)*AB147+(1-EXP(-LN(2)/2))/(LN(2)/2)*V148*Y148*VLOOKUP('Données projet'!$B$9,Paramètres!$A$1:$I$89,3,0)*0.475*44/12</f>
        <v>5.41835406362147E-017</v>
      </c>
      <c r="AC148" s="130" t="n">
        <f aca="false">SUM(Z148:AB148)</f>
        <v>1.39050807603059</v>
      </c>
      <c r="AD148" s="117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7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8" t="e">
        <f aca="false">VLOOKUP(A148,'Données projet'!$A$61:$I$81,2,0)</f>
        <v>#N/A</v>
      </c>
      <c r="AG148" s="118" t="e">
        <f aca="false">VLOOKUP(A148,'Données projet'!$A$61:$I$81,9,0)</f>
        <v>#N/A</v>
      </c>
      <c r="AH148" s="118" t="e">
        <f aca="false" t="array" ref="AH148:AH148">INDEX(AG:AG,MIN(IF(ISNUMBER(AG148:AG344),ROW(AG148:AG344),"")))</f>
        <v>#N/A</v>
      </c>
      <c r="AI148" s="117" t="n">
        <f aca="false">IF('Données projet'!$A$62&gt;35,AI147+AH148-AQ147,IF(A148&lt;'Données projet'!$A$62,$AF$205^A148,IF(A148='Données projet'!$A$62,'Données projet'!$B$62,AI147+AH148-AQ147)))</f>
        <v>1.13686837721616E-013</v>
      </c>
      <c r="AJ148" s="117" t="n">
        <f aca="false">AI148*VLOOKUP('Données projet'!$B$10,Paramètres!$A$1:$I$89,3,0)*VLOOKUP('Données projet'!$B$10,Paramètres!$A$1:$I$89,5,0)</f>
        <v>6.35509422863834E-014</v>
      </c>
      <c r="AK148" s="117" t="n">
        <f aca="false">EXP(-1.0587+0.8836*LN(AJ148)+0.284)</f>
        <v>1.0064464192544E-012</v>
      </c>
      <c r="AL148" s="128" t="n">
        <f aca="false">(AJ148+AK148)*0.475*44/12</f>
        <v>1.86357873801686E-012</v>
      </c>
      <c r="AM148" s="120" t="n">
        <f aca="false">AL148+(AD148+AE148)*44/12</f>
        <v>293.333333333335</v>
      </c>
      <c r="AN148" s="120" t="n">
        <f aca="true">AVERAGE(OFFSET($AM$3,0,0,'Données projet'!$E$10+1,1))-AVERAGE(OFFSET($H$3,0,0,'Données projet'!$E$10+1,1))</f>
        <v>365.705101827279</v>
      </c>
      <c r="AO148" s="120" t="n">
        <f aca="false">$AO$3</f>
        <v>436.238338449625</v>
      </c>
      <c r="AP148" s="121" t="n">
        <f aca="false">IF(ISNA(VLOOKUP(A148,'Données projet'!$A$61:$I$81,3,0)),0,VLOOKUP(A148,'Données projet'!$A$61:$I$81,3,0))</f>
        <v>0</v>
      </c>
      <c r="AQ148" s="121" t="n">
        <f aca="false">IF(ISNA(VLOOKUP(A148,'Données projet'!$A$61:$I$81,4,0)),0,VLOOKUP(A148,'Données projet'!$A$61:$I$81,4,0))</f>
        <v>0</v>
      </c>
      <c r="AR148" s="122" t="n">
        <f aca="false">IF(ISNA(VLOOKUP(A148,'Données projet'!$A$61:$I$81,5,0)),0%,VLOOKUP(A148,'Données projet'!$A$61:$I$81,5,0)*VLOOKUP('Données projet'!$B$10,Paramètres!$A$1:$I$89,7,0))</f>
        <v>0</v>
      </c>
      <c r="AS148" s="122" t="n">
        <f aca="false">IF(ISNA(VLOOKUP(A148,'Données projet'!$A$61:$I$81,6,0)),0%,VLOOKUP(A148,'Données projet'!$A$61:$I$81,6,0)*VLOOKUP('Données projet'!$B$10,Paramètres!$A$1:$I$89,7,0))</f>
        <v>0</v>
      </c>
      <c r="AT148" s="122" t="n">
        <f aca="false">IF(ISNA(VLOOKUP(A148,'Données projet'!$A$61:$I$81,7,0)),0%,VLOOKUP(A148,'Données projet'!$A$61:$I$81,7,0))</f>
        <v>0</v>
      </c>
      <c r="AU148" s="129" t="n">
        <f aca="false">EXP(-LN(2)/35)*AU147+(1-EXP(-LN(2)/35))/(LN(2)/35)*AQ148*AR148*VLOOKUP('Données projet'!$B$10,Paramètres!$A$1:$I$89,3,0)*0.475*44/12</f>
        <v>0.351304394695727</v>
      </c>
      <c r="AV148" s="129" t="n">
        <f aca="false">EXP(-LN(2)/25)*AV147+(1-EXP(-LN(2)/25))/(LN(2)/25)*Calculateur!AQ148*Calculateur!AS148*VLOOKUP('Données projet'!$B$10,Paramètres!$A$1:$I$89,3,0)*0.475*44/12</f>
        <v>0.544632491736504</v>
      </c>
      <c r="AW148" s="129" t="n">
        <f aca="false">EXP(-LN(2)/2)*AW147+(1-EXP(-LN(2)/2))/(LN(2)/2)*AQ148*AT148*VLOOKUP('Données projet'!$B$10,Paramètres!$A$1:$I$89,3,0)*0.475*44/12</f>
        <v>2.91598880769823E-017</v>
      </c>
      <c r="AX148" s="129" t="n">
        <f aca="false">SUM(AU148:AW148)</f>
        <v>0.89593688643223</v>
      </c>
      <c r="AY148" s="124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8" t="e">
        <f aca="false">VLOOKUP(A148,'Données projet'!$A$87:$I$107,2,0)</f>
        <v>#N/A</v>
      </c>
      <c r="BB148" s="118" t="e">
        <f aca="false">VLOOKUP(A148,'Données projet'!$A$87:$I$107,9,0)</f>
        <v>#N/A</v>
      </c>
      <c r="BC148" s="118" t="e">
        <f aca="false" t="array" ref="BC148:BC148">INDEX(BB:BB,MIN(IF(ISNUMBER(BB148:BB344),ROW(BB148:BB344),"")))</f>
        <v>#N/A</v>
      </c>
      <c r="BD148" s="118" t="n">
        <f aca="false">IF('Données projet'!$A$88&gt;35,BD147+BC148-BL147,IF(A148&lt;'Données projet'!$A$88,$BA$205^A148,IF(A148='Données projet'!$A$88,'Données projet'!$B$88,BD147+BC148-BL147)))</f>
        <v>1.98951966012828E-013</v>
      </c>
      <c r="BE148" s="117" t="n">
        <f aca="false">BD148*VLOOKUP('Données projet'!$B$11,Paramètres!$A$1:$I$89,3,0)*VLOOKUP('Données projet'!$B$11,Paramètres!$A$1:$I$89,5,0)</f>
        <v>1.73804437508807E-013</v>
      </c>
      <c r="BF148" s="117" t="n">
        <f aca="false">EXP(-1.0587+0.8836*LN(BE148)+0.284)</f>
        <v>2.44832936339505E-012</v>
      </c>
      <c r="BG148" s="128" t="n">
        <f aca="false">(BE148+BF148)*0.475*44/12</f>
        <v>4.56688303657421E-012</v>
      </c>
      <c r="BH148" s="120" t="n">
        <f aca="false">BG148+(AY148+AZ148)*44/12</f>
        <v>293.333333333338</v>
      </c>
      <c r="BI148" s="120" t="n">
        <f aca="true">AVERAGE(OFFSET($BH$3,0,0,'Données projet'!$E$11+1,1))-AVERAGE(OFFSET($H$3,0,0,'Données projet'!$E$11+1,1))</f>
        <v>321.235999689929</v>
      </c>
      <c r="BJ148" s="120" t="n">
        <f aca="false">$BJ$3</f>
        <v>388.051958478005</v>
      </c>
      <c r="BK148" s="121" t="n">
        <f aca="false">IF(ISNA(VLOOKUP(A148,'Données projet'!$A$87:$I$107,3,0)),0,VLOOKUP(A148,'Données projet'!$A$87:$I$107,3,0))</f>
        <v>0</v>
      </c>
      <c r="BL148" s="121" t="n">
        <f aca="false">IF(ISNA(VLOOKUP(A148,'Données projet'!$A$87:$I$107,4,0)),0,VLOOKUP(A148,'Données projet'!$A$87:$I$107,4,0))</f>
        <v>0</v>
      </c>
      <c r="BM148" s="122" t="n">
        <f aca="false">IF(ISNA(VLOOKUP(A148,'Données projet'!$A$87:$I$107,5,0)),0%,VLOOKUP(A148,'Données projet'!$A$87:$I$107,5,0)*VLOOKUP('Données projet'!$B$11,Paramètres!$A$1:$I$89,7,0))</f>
        <v>0</v>
      </c>
      <c r="BN148" s="122" t="n">
        <f aca="false">IF(ISNA(VLOOKUP(A148,'Données projet'!$A$87:$I$107,6,0)),0%,VLOOKUP(A148,'Données projet'!$A$87:$I$107,6,0)*VLOOKUP('Données projet'!$B$11,Paramètres!$A$1:$I$89,7,0))</f>
        <v>0</v>
      </c>
      <c r="BO148" s="122" t="n">
        <f aca="false">IF(ISNA(VLOOKUP(A148,'Données projet'!$A$87:$I$107,7,0)),0%,VLOOKUP(A148,'Données projet'!$A$87:$I$107,7,0))</f>
        <v>0</v>
      </c>
      <c r="BP148" s="129" t="n">
        <f aca="false">EXP(-LN(2)/35)*BP147+(1-EXP(-LN(2)/35))/(LN(2)/35)*BL148*BM148*VLOOKUP('Données projet'!$B$11,Paramètres!$A$1:$I$89,3,0)*0.475*44/12</f>
        <v>0.881992314357239</v>
      </c>
      <c r="BQ148" s="129" t="n">
        <f aca="false">EXP(-LN(2)/25)*BQ147+(1-EXP(-LN(2)/25))/(LN(2)/25)*Calculateur!BL148*Calculateur!BN148*VLOOKUP('Données projet'!$B$11,Paramètres!$A$1:$I$89,3,0)*0.475*44/12</f>
        <v>0.555928498394668</v>
      </c>
      <c r="BR148" s="129" t="n">
        <f aca="false">EXP(-LN(2)/2)*BR147+(1-EXP(-LN(2)/2))/(LN(2)/2)*BL148*BO148*VLOOKUP('Données projet'!$B$11,Paramètres!$A$1:$I$89,3,0)*0.475*44/12</f>
        <v>2.96404201319025E-017</v>
      </c>
      <c r="BS148" s="130" t="n">
        <f aca="false">SUM(BP148:BR148)</f>
        <v>1.43792081275191</v>
      </c>
      <c r="BT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8" t="e">
        <f aca="false">VLOOKUP(A148,'Données projet'!$A$113:$I$133,2,0)</f>
        <v>#N/A</v>
      </c>
      <c r="BW148" s="118" t="e">
        <f aca="false">VLOOKUP(A148,'Données projet'!$A$113:$I$133,9,0)</f>
        <v>#N/A</v>
      </c>
      <c r="BX148" s="118" t="e">
        <f aca="false" t="array" ref="BX148:BX148">INDEX(BW:BW,MIN(IF(ISNUMBER(BW148:BW344),ROW(BW148:BW344),"")))</f>
        <v>#N/A</v>
      </c>
      <c r="BY148" s="118" t="n">
        <f aca="false">IF('Données projet'!$A$114&gt;35,BY147+BX148-CG147,IF(A148&lt;'Données projet'!$A$114,$BV$205^A148,IF(A148='Données projet'!$A$114,'Données projet'!$B$114,BY147+BX148-CG147)))</f>
        <v>0</v>
      </c>
      <c r="BZ148" s="117" t="n">
        <f aca="false">BY148*VLOOKUP('Données projet'!$B$12,Paramètres!$A$1:$I$89,3,0)*VLOOKUP('Données projet'!$B$12,Paramètres!$A$1:$I$89,5,0)</f>
        <v>0</v>
      </c>
      <c r="CA148" s="117" t="e">
        <f aca="false">EXP(-1.0587+0.8836*LN(BZ148)+0.284)</f>
        <v>#VALUE!</v>
      </c>
      <c r="CB148" s="128" t="e">
        <f aca="false">(BZ148+CA148)*0.475*44/12</f>
        <v>#VALUE!</v>
      </c>
      <c r="CC148" s="120" t="e">
        <f aca="false">CB148+(BT148+BU148)*44/12</f>
        <v>#VALUE!</v>
      </c>
      <c r="CD148" s="120" t="n">
        <f aca="true">AVERAGE(OFFSET($CC$3,0,0,'Données projet'!$E$12+1,1))-AVERAGE(OFFSET($H$3,0,0,'Données projet'!$E$12+1,1))</f>
        <v>240.228848647662</v>
      </c>
      <c r="CE148" s="120" t="n">
        <f aca="false">$CE$3</f>
        <v>343.237768841432</v>
      </c>
      <c r="CF148" s="121" t="n">
        <f aca="false">IF(ISNA(VLOOKUP(A148,'Données projet'!$A$113:$I$133,3,0)),0,VLOOKUP(A148,'Données projet'!$A$113:$I$133,3,0))</f>
        <v>0</v>
      </c>
      <c r="CG148" s="121" t="n">
        <f aca="false">IF(ISNA(VLOOKUP(A148,'Données projet'!$A$113:$I$133,4,0)),0,VLOOKUP(A148,'Données projet'!$A$113:$I$133,4,0))</f>
        <v>0</v>
      </c>
      <c r="CH148" s="122" t="n">
        <f aca="false">IF(ISNA(VLOOKUP(A148,'Données projet'!$A$113:$I$133,5,0)),0%,VLOOKUP(A148,'Données projet'!$A$113:$I$133,5,0)*VLOOKUP('Données projet'!$B$12,Paramètres!$A$1:$I$89,7,0))</f>
        <v>0</v>
      </c>
      <c r="CI148" s="122" t="n">
        <f aca="false">IF(ISNA(VLOOKUP(A148,'Données projet'!$A$113:$I$133,6,0)),0%,VLOOKUP(A148,'Données projet'!$A$113:$I$133,6,0)*VLOOKUP('Données projet'!$B$12,Paramètres!$A$1:$I$89,7,0))</f>
        <v>0</v>
      </c>
      <c r="CJ148" s="122" t="n">
        <f aca="false">IF(ISNA(VLOOKUP(A148,'Données projet'!$A$113:$I$133,7,0)),0%,VLOOKUP(A148,'Données projet'!$A$113:$I$133,7,0))</f>
        <v>0</v>
      </c>
      <c r="CK148" s="129" t="n">
        <f aca="false">EXP(-LN(2)/35)*CK147+(1-EXP(-LN(2)/35))/(LN(2)/35)*CG148*CH148*VLOOKUP('Données projet'!$B$12,Paramètres!$A$1:$I$89,3,0)*0.475*44/12</f>
        <v>0.53984800972874</v>
      </c>
      <c r="CL148" s="129" t="n">
        <f aca="false">EXP(-LN(2)/25)*CL147+(1-EXP(-LN(2)/25))/(LN(2)/25)*Calculateur!CG148*Calculateur!CI148*VLOOKUP('Données projet'!$B$12,Paramètres!$A$1:$I$89,3,0)*0.475*44/12</f>
        <v>0.981801910802758</v>
      </c>
      <c r="CM148" s="129" t="n">
        <f aca="false">EXP(-LN(2)/2)*CM147+(1-EXP(-LN(2)/2))/(LN(2)/2)*CG148*CJ148*VLOOKUP('Données projet'!$B$12,Paramètres!$A$1:$I$89,3,0)*0.475*44/12</f>
        <v>4.72982083990386E-017</v>
      </c>
      <c r="CN148" s="130" t="n">
        <f aca="false">SUM(CK148:CM148)</f>
        <v>1.5216499205315</v>
      </c>
      <c r="CO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8" t="e">
        <f aca="false">VLOOKUP(A148,'Données projet'!$A$139:$I$159,2,0)</f>
        <v>#N/A</v>
      </c>
      <c r="CR148" s="118" t="e">
        <f aca="false">VLOOKUP(A148,'Données projet'!$A$139:$I$159,9,0)</f>
        <v>#N/A</v>
      </c>
      <c r="CS148" s="118" t="e">
        <f aca="false" t="array" ref="CS148:CS148">INDEX(CR:CR,MIN(IF(ISNUMBER(CR148:CR344),ROW(CR148:CR344),"")))</f>
        <v>#N/A</v>
      </c>
      <c r="CT148" s="118" t="n">
        <f aca="false">IF('Données projet'!$A$140&gt;35,CT147+CS148-DB147,IF(A148&lt;'Données projet'!$A$140,$CQ$205^A148,IF(A148='Données projet'!$A$140,'Données projet'!$B$140,CT147+CS148-DB147)))</f>
        <v>-5.6843418860808E-014</v>
      </c>
      <c r="CU148" s="125" t="n">
        <f aca="false">CT148*VLOOKUP('Données projet'!$B$13,Paramètres!$A$1:$I$89,3,0)*VLOOKUP('Données projet'!$B$13,Paramètres!$A$1:$I$89,5,0)</f>
        <v>-3.10365066980012E-014</v>
      </c>
      <c r="CV148" s="117" t="e">
        <f aca="false">EXP(-1.0587+0.8836*LN(CU148)+0.284)</f>
        <v>#VALUE!</v>
      </c>
      <c r="CW148" s="128" t="e">
        <f aca="false">(CU148+CV148)*0.475*44/12</f>
        <v>#VALUE!</v>
      </c>
      <c r="CX148" s="120" t="e">
        <f aca="false">CW148+(CO148+CP148)*44/12</f>
        <v>#VALUE!</v>
      </c>
      <c r="CY148" s="120" t="n">
        <f aca="true">AVERAGE(OFFSET($CX$3,0,0,'Données projet'!$E$13+1,1))-AVERAGE(OFFSET($H$3,0,0,'Données projet'!$E$13+1,1))</f>
        <v>207.023069645676</v>
      </c>
      <c r="CZ148" s="120" t="n">
        <f aca="false">$CZ$3</f>
        <v>342.068879333518</v>
      </c>
      <c r="DA148" s="121" t="n">
        <f aca="false">IF(ISNA(VLOOKUP(A148,'Données projet'!$A$139:$I$159,3,0)),0,VLOOKUP(A148,'Données projet'!$A$139:$I$159,3,0))</f>
        <v>0</v>
      </c>
      <c r="DB148" s="121" t="n">
        <f aca="false">IF(ISNA(VLOOKUP(A148,'Données projet'!$A$139:$I$159,4,0)),0,VLOOKUP(A148,'Données projet'!$A$139:$I$159,4,0))</f>
        <v>0</v>
      </c>
      <c r="DC148" s="122" t="n">
        <f aca="false">IF(ISNA(VLOOKUP(A148,'Données projet'!$A$139:$I$159,5,0)),0%,VLOOKUP(A148,'Données projet'!$A$139:$I$159,5,0)*VLOOKUP('Données projet'!$B$13,Paramètres!$A$1:$I$89,7,0))</f>
        <v>0</v>
      </c>
      <c r="DD148" s="122" t="n">
        <f aca="false">IF(ISNA(VLOOKUP(A148,'Données projet'!$A$139:$I$159,6,0)),0%,VLOOKUP(A148,'Données projet'!$A$139:$I$159,6,0)*VLOOKUP('Données projet'!$B$13,Paramètres!$A$1:$I$89,7,0))</f>
        <v>0</v>
      </c>
      <c r="DE148" s="122" t="n">
        <f aca="false">IF(ISNA(VLOOKUP(A148,'Données projet'!$A$139:$I$159,7,0)),0%,VLOOKUP(A148,'Données projet'!$A$139:$I$159,7,0))</f>
        <v>0</v>
      </c>
      <c r="DF148" s="129" t="n">
        <f aca="false">EXP(-LN(2)/35)*DF147+(1-EXP(-LN(2)/35))/(LN(2)/35)*DB148*DC148*VLOOKUP('Données projet'!$B$13,Paramètres!$A$1:$I$89,3,0)*0.475*44/12</f>
        <v>0.677356465037004</v>
      </c>
      <c r="DG148" s="129" t="n">
        <f aca="false">EXP(-LN(2)/25)*DG147+(1-EXP(-LN(2)/25))/(LN(2)/25)*Calculateur!DB148*Calculateur!DD148*VLOOKUP('Données projet'!$B$13,Paramètres!$A$1:$I$89,3,0)*0.475*44/12</f>
        <v>1.6048372146368</v>
      </c>
      <c r="DH148" s="129" t="n">
        <f aca="false">EXP(-LN(2)/2)*DH147+(1-EXP(-LN(2)/2))/(LN(2)/2)*DB148*DE148*VLOOKUP('Données projet'!$B$13,Paramètres!$A$1:$I$89,3,0)*0.475*44/12</f>
        <v>6.51296548941168E-017</v>
      </c>
      <c r="DI148" s="130" t="n">
        <f aca="false">SUM(DF148:DH148)</f>
        <v>2.28219367967381</v>
      </c>
      <c r="DJ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8" t="e">
        <f aca="false">VLOOKUP(A148,'Données projet'!$A$165:$I$185,2,0)</f>
        <v>#N/A</v>
      </c>
      <c r="DM148" s="118" t="e">
        <f aca="false">VLOOKUP(A148,'Données projet'!$A$165:$I$185,9,0)</f>
        <v>#N/A</v>
      </c>
      <c r="DN148" s="118" t="e">
        <f aca="false" t="array" ref="DN148:DN148">INDEX(DM:DM,MIN(IF(ISNUMBER(DM148:DM344),ROW(DM148:DM344),"")))</f>
        <v>#N/A</v>
      </c>
      <c r="DO148" s="118" t="n">
        <f aca="false">IF('Données projet'!$A$166&gt;35,DO147+DN148-DW147,IF(A148&lt;'Données projet'!$A$166,$DL$205^A148,IF(A148='Données projet'!$A$166,'Données projet'!$B$166,DO147+DN148-DW147)))</f>
        <v>0</v>
      </c>
      <c r="DP148" s="125" t="n">
        <f aca="false">DO148*VLOOKUP('Données projet'!$B$14,Paramètres!$A$1:$I$89,3,0)*VLOOKUP('Données projet'!$B$14,Paramètres!$A$1:$I$89,5,0)</f>
        <v>0</v>
      </c>
      <c r="DQ148" s="117" t="e">
        <f aca="false">EXP(-1.0587+0.8836*LN(DP148)+0.284)</f>
        <v>#VALUE!</v>
      </c>
      <c r="DR148" s="128" t="e">
        <f aca="false">(DP148+DQ148)*0.475*44/12</f>
        <v>#VALUE!</v>
      </c>
      <c r="DS148" s="120" t="e">
        <f aca="false">DR148+(DJ148+DK148)*44/12</f>
        <v>#VALUE!</v>
      </c>
      <c r="DT148" s="120" t="n">
        <f aca="true">AVERAGE(OFFSET($DS$3,0,0,'Données projet'!$E$14+1,1))-AVERAGE(OFFSET($H$3,0,0,'Données projet'!$E$14+1,1))</f>
        <v>549.432320957297</v>
      </c>
      <c r="DU148" s="120" t="n">
        <f aca="false">$DU$3</f>
        <v>280.26155987301</v>
      </c>
      <c r="DV148" s="121" t="n">
        <f aca="false">IF(ISNA(VLOOKUP(A148,'Données projet'!$A$165:$I$185,3,0)),0,VLOOKUP(A148,'Données projet'!$A$165:$I$185,3,0))</f>
        <v>0</v>
      </c>
      <c r="DW148" s="121" t="n">
        <f aca="false">IF(ISNA(VLOOKUP(A148,'Données projet'!$A$165:$I$185,4,0)),0,VLOOKUP(A148,'Données projet'!$A$165:$I$185,4,0))</f>
        <v>0</v>
      </c>
      <c r="DX148" s="122" t="n">
        <f aca="false">IF(ISNA(VLOOKUP(A148,'Données projet'!$A$165:$I$185,5,0)),0%,VLOOKUP(A148,'Données projet'!$A$165:$I$185,5,0)*VLOOKUP('Données projet'!$B$14,Paramètres!$A$1:$I$89,7,0))</f>
        <v>0</v>
      </c>
      <c r="DY148" s="122" t="n">
        <f aca="false">IF(ISNA(VLOOKUP(A148,'Données projet'!$A$165:$I$185,6,0)),0%,VLOOKUP(A148,'Données projet'!$A$165:$I$185,6,0)*VLOOKUP('Données projet'!$B$14,Paramètres!$A$1:$I$89,7,0))</f>
        <v>0</v>
      </c>
      <c r="DZ148" s="122" t="n">
        <f aca="false">IF(ISNA(VLOOKUP(A148,'Données projet'!$A$165:$I$185,7,0)),0%,VLOOKUP(A148,'Données projet'!$A$165:$I$185,7,0))</f>
        <v>0</v>
      </c>
      <c r="EA148" s="129" t="n">
        <f aca="false">EXP(-LN(2)/35)*EA147+(1-EXP(-LN(2)/35))/(LN(2)/35)*DW148*DX148*VLOOKUP('Données projet'!$B$14,Paramètres!$A$1:$I$89,3,0)*0.475*44/12</f>
        <v>0.246286055405315</v>
      </c>
      <c r="EB148" s="129" t="n">
        <f aca="false">EXP(-LN(2)/25)*EB147+(1-EXP(-LN(2)/25))/(LN(2)/25)*Calculateur!DW148*Calculateur!DY148*VLOOKUP('Données projet'!$B$14,Paramètres!$A$1:$I$89,3,0)*0.475*44/12</f>
        <v>0.31971523603738</v>
      </c>
      <c r="EC148" s="129" t="n">
        <f aca="false">EXP(-LN(2)/2)*EC147+(1-EXP(-LN(2)/2))/(LN(2)/2)*DW148*DZ148*VLOOKUP('Données projet'!$B$14,Paramètres!$A$1:$I$89,3,0)*0.475*44/12</f>
        <v>3.00234283747224E-017</v>
      </c>
      <c r="ED148" s="130" t="n">
        <f aca="false">SUM(EA148:EC148)</f>
        <v>0.566001291442695</v>
      </c>
      <c r="EE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8" t="e">
        <f aca="false">VLOOKUP(A148,'Données projet'!$A$191:$I$211,2,0)</f>
        <v>#N/A</v>
      </c>
      <c r="EH148" s="118" t="e">
        <f aca="false">VLOOKUP(A148,'Données projet'!$A$191:$I$211,9,0)</f>
        <v>#N/A</v>
      </c>
      <c r="EI148" s="118" t="e">
        <f aca="false" t="array" ref="EI148:EI148">INDEX(EH:EH,MIN(IF(ISNUMBER(EH148:EH344),ROW(EH148:EH344),"")))</f>
        <v>#N/A</v>
      </c>
      <c r="EJ148" s="118" t="n">
        <f aca="false">IF('Données projet'!$A$192&gt;35,EJ147+EI148-ER147,IF(A148&lt;'Données projet'!$A$192,$EG$205^A148,IF(A148='Données projet'!$A$192,'Données projet'!$B$192,EJ147+EI148-ER147)))</f>
        <v>0</v>
      </c>
      <c r="EK148" s="125" t="e">
        <f aca="false">EJ148*VLOOKUP('Données projet'!$B$15,Paramètres!$A$1:$I$89,3,0)*VLOOKUP('Données projet'!$B$15,Paramètres!$A$1:$I$89,5,0)</f>
        <v>#N/A</v>
      </c>
      <c r="EL148" s="117" t="e">
        <f aca="false">EXP(-1.0587+0.8836*LN(EK148)+0.284)</f>
        <v>#N/A</v>
      </c>
      <c r="EM148" s="128" t="e">
        <f aca="false">(EK148+EL148)*0.475*44/12</f>
        <v>#N/A</v>
      </c>
      <c r="EN148" s="120" t="e">
        <f aca="false">EM148+(EE148+EF148)*44/12</f>
        <v>#N/A</v>
      </c>
      <c r="EO148" s="120" t="e">
        <f aca="true">AVERAGE(OFFSET($EN$3,0,0,'Données projet'!$E$15+1,1))-AVERAGE(OFFSET($H$3,0,0,'Données projet'!$E$15+1,1))</f>
        <v>#N/A</v>
      </c>
      <c r="EP148" s="120" t="e">
        <f aca="false">$EP$3</f>
        <v>#N/A</v>
      </c>
      <c r="EQ148" s="121" t="n">
        <f aca="false">IF(ISNA(VLOOKUP(A148,'Données projet'!$A$191:$I$211,3,0)),0,VLOOKUP(A148,'Données projet'!$A$191:$I$211,3,0))</f>
        <v>0</v>
      </c>
      <c r="ER148" s="121" t="n">
        <f aca="false">IF(ISNA(VLOOKUP(A148,'Données projet'!$A$191:$I$211,4,0)),0,VLOOKUP(A148,'Données projet'!$A$191:$I$211,4,0))</f>
        <v>0</v>
      </c>
      <c r="ES148" s="122" t="n">
        <f aca="false">IF(ISNA(VLOOKUP(A148,'Données projet'!$A$191:$I$211,5,0)),0%,VLOOKUP(A148,'Données projet'!$A$191:$I$211,5,0)*VLOOKUP('Données projet'!$B$15,Paramètres!$A$1:$I$89,7,0))</f>
        <v>0</v>
      </c>
      <c r="ET148" s="122" t="n">
        <f aca="false">IF(ISNA(VLOOKUP(A148,'Données projet'!$A$191:$I$211,6,0)),0%,VLOOKUP(A148,'Données projet'!$A$191:$I$211,6,0)*VLOOKUP('Données projet'!$B$15,Paramètres!$A$1:$I$89,7,0))</f>
        <v>0</v>
      </c>
      <c r="EU148" s="122" t="n">
        <f aca="false">IF(ISNA(VLOOKUP(A148,'Données projet'!$A$191:$I$211,7,0)),0%,VLOOKUP(A148,'Données projet'!$A$191:$I$211,7,0))</f>
        <v>0</v>
      </c>
      <c r="EV148" s="129" t="e">
        <f aca="false">EXP(-LN(2)/35)*EV147+(1-EXP(-LN(2)/35))/(LN(2)/35)*ER148*ES148*VLOOKUP('Données projet'!$B$15,Paramètres!$A$1:$I$89,3,0)*0.475*44/12</f>
        <v>#N/A</v>
      </c>
      <c r="EW148" s="129" t="e">
        <f aca="false">EXP(-LN(2)/25)*EW147+(1-EXP(-LN(2)/25))/(LN(2)/25)*Calculateur!ER148*Calculateur!ET148*VLOOKUP('Données projet'!$B$15,Paramètres!$A$1:$I$89,3,0)*0.475*44/12</f>
        <v>#N/A</v>
      </c>
      <c r="EX148" s="129" t="e">
        <f aca="false">EXP(-LN(2)/2)*EX147+(1-EXP(-LN(2)/2))/(LN(2)/2)*ER148*EU148*VLOOKUP('Données projet'!$B$15,Paramètres!$A$1:$I$89,3,0)*0.475*44/12</f>
        <v>#N/A</v>
      </c>
      <c r="EY148" s="130" t="e">
        <f aca="false">SUM(EV148:EX148)</f>
        <v>#N/A</v>
      </c>
      <c r="EZ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8" t="e">
        <f aca="false">VLOOKUP(A148,'Données projet'!$A$217:$I$237,2,0)</f>
        <v>#N/A</v>
      </c>
      <c r="FC148" s="118" t="e">
        <f aca="false">VLOOKUP(A148,'Données projet'!$A$217:$I$237,9,0)</f>
        <v>#N/A</v>
      </c>
      <c r="FD148" s="118" t="e">
        <f aca="false" t="array" ref="FD148:FD148">INDEX(FC:FC,MIN(IF(ISNUMBER(FC148:FC344),ROW(FC148:FC344),"")))</f>
        <v>#N/A</v>
      </c>
      <c r="FE148" s="118" t="n">
        <f aca="false">IF('Données projet'!$A$218&gt;35,FE147+FD148-FM147,IF(A148&lt;'Données projet'!$A$218,$FB$205^A148,IF(A148='Données projet'!$A$218,'Données projet'!$B$218,FE147+FD148-FM147)))</f>
        <v>0</v>
      </c>
      <c r="FF148" s="125" t="e">
        <f aca="false">FE148*VLOOKUP('Données projet'!$B$16,Paramètres!$A$1:$I$89,3,0)*VLOOKUP('Données projet'!$B$16,Paramètres!$A$1:$I$89,5,0)</f>
        <v>#N/A</v>
      </c>
      <c r="FG148" s="117" t="e">
        <f aca="false">EXP(-1.0587+0.8836*LN(FF148)+0.284)</f>
        <v>#N/A</v>
      </c>
      <c r="FH148" s="128" t="e">
        <f aca="false">(FF148+FG148)*0.475*44/12</f>
        <v>#N/A</v>
      </c>
      <c r="FI148" s="120" t="e">
        <f aca="false">FH148+(EZ148+FA148)*44/12</f>
        <v>#N/A</v>
      </c>
      <c r="FJ148" s="120" t="e">
        <f aca="true">AVERAGE(OFFSET($FI$3,0,0,'Données projet'!$E$16+1,1))-AVERAGE(OFFSET($H$3,0,0,'Données projet'!$E$16+1,1))</f>
        <v>#N/A</v>
      </c>
      <c r="FK148" s="120" t="e">
        <f aca="false">$FK$3</f>
        <v>#N/A</v>
      </c>
      <c r="FL148" s="121" t="n">
        <f aca="false">IF(ISNA(VLOOKUP(A148,'Données projet'!$A$217:$I$237,3,0)),0,VLOOKUP(A148,'Données projet'!$A$217:$I$237,3,0))</f>
        <v>0</v>
      </c>
      <c r="FM148" s="121" t="n">
        <f aca="false">IF(ISNA(VLOOKUP(A148,'Données projet'!$A$217:$I$237,4,0)),0,VLOOKUP(A148,'Données projet'!$A$217:$I$237,4,0))</f>
        <v>0</v>
      </c>
      <c r="FN148" s="122" t="n">
        <f aca="false">IF(ISNA(VLOOKUP(A148,'Données projet'!$A$217:$I$237,5,0)),0%,VLOOKUP(A148,'Données projet'!$A$217:$I$237,5,0)*VLOOKUP('Données projet'!$B$16,Paramètres!$A$1:$I$89,7,0))</f>
        <v>0</v>
      </c>
      <c r="FO148" s="122" t="n">
        <f aca="false">IF(ISNA(VLOOKUP(A148,'Données projet'!$A$217:$I$237,6,0)),0%,VLOOKUP(A148,'Données projet'!$A$217:$I$237,6,0)*VLOOKUP('Données projet'!$B$16,Paramètres!$A$1:$I$89,7,0))</f>
        <v>0</v>
      </c>
      <c r="FP148" s="122" t="n">
        <f aca="false">IF(ISNA(VLOOKUP(A148,'Données projet'!$A$217:$I$237,7,0)),0%,VLOOKUP(A148,'Données projet'!$A$217:$I$237,7,0))</f>
        <v>0</v>
      </c>
      <c r="FQ148" s="129" t="e">
        <f aca="false">EXP(-LN(2)/35)*FQ147+(1-EXP(-LN(2)/35))/(LN(2)/35)*FM148*FN148*VLOOKUP('Données projet'!$B$16,Paramètres!$A$1:$I$89,3,0)*0.475*44/12</f>
        <v>#N/A</v>
      </c>
      <c r="FR148" s="129" t="e">
        <f aca="false">EXP(-LN(2)/25)*FR147+(1-EXP(-LN(2)/25))/(LN(2)/25)*Calculateur!FM148*Calculateur!FO148*VLOOKUP('Données projet'!$B$16,Paramètres!$A$1:$I$89,3,0)*0.475*44/12</f>
        <v>#N/A</v>
      </c>
      <c r="FS148" s="129" t="e">
        <f aca="false">EXP(-LN(2)/2)*FS147+(1-EXP(-LN(2)/2))/(LN(2)/2)*FM148*FP148*VLOOKUP('Données projet'!$B$16,Paramètres!$A$1:$I$89,3,0)*0.475*44/12</f>
        <v>#N/A</v>
      </c>
      <c r="FT148" s="130" t="e">
        <f aca="false">SUM(FQ148:FS148)</f>
        <v>#N/A</v>
      </c>
      <c r="FU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8" t="e">
        <f aca="false">VLOOKUP(A148,'Données projet'!$A$243:$I$263,2,0)</f>
        <v>#N/A</v>
      </c>
      <c r="FX148" s="118" t="e">
        <f aca="false">VLOOKUP(A148,'Données projet'!$A$243:$I$263,9,0)</f>
        <v>#N/A</v>
      </c>
      <c r="FY148" s="118" t="e">
        <f aca="false" t="array" ref="FY148:FY148">INDEX(FX:FX,MIN(IF(ISNUMBER(FX148:FX344),ROW(FX148:FX344),"")))</f>
        <v>#N/A</v>
      </c>
      <c r="FZ148" s="118" t="n">
        <f aca="false">IF('Données projet'!$A$244&gt;35,FZ147+FY148-GH147,IF(A148&lt;'Données projet'!$A$244,$FW$205^A148,IF(A148='Données projet'!$A$244,'Données projet'!$B$244,FZ147+FY148-GH147)))</f>
        <v>0</v>
      </c>
      <c r="GA148" s="125" t="e">
        <f aca="false">FZ148*VLOOKUP('Données projet'!$B$17,Paramètres!$A$1:$I$89,3,0)*VLOOKUP('Données projet'!$B$17,Paramètres!$A$1:$I$89,5,0)</f>
        <v>#N/A</v>
      </c>
      <c r="GB148" s="117" t="e">
        <f aca="false">EXP(-1.0587+0.8836*LN(GA148)+0.284)</f>
        <v>#N/A</v>
      </c>
      <c r="GC148" s="128" t="e">
        <f aca="false">(GA148+GB148)*0.475*44/12</f>
        <v>#N/A</v>
      </c>
      <c r="GD148" s="120" t="e">
        <f aca="false">GC148+(FU148+FV148)*44/12</f>
        <v>#N/A</v>
      </c>
      <c r="GE148" s="120" t="e">
        <f aca="true">AVERAGE(OFFSET($GD$3,0,0,'Données projet'!$E$17+1,1))-AVERAGE(OFFSET($H$3,0,0,'Données projet'!$E$17+1,1))</f>
        <v>#N/A</v>
      </c>
      <c r="GF148" s="120" t="e">
        <f aca="false">$GF$3</f>
        <v>#N/A</v>
      </c>
      <c r="GG148" s="121" t="n">
        <f aca="false">IF(ISNA(VLOOKUP(A148,'Données projet'!$A$243:$I$263,3,0)),0,VLOOKUP(A148,'Données projet'!$A$243:$I$263,3,0))</f>
        <v>0</v>
      </c>
      <c r="GH148" s="121" t="n">
        <f aca="false">IF(ISNA(VLOOKUP(A148,'Données projet'!$A$243:$I$263,4,0)),0,VLOOKUP(A148,'Données projet'!$A$243:$I$263,4,0))</f>
        <v>0</v>
      </c>
      <c r="GI148" s="122" t="n">
        <f aca="false">IF(ISNA(VLOOKUP(A148,'Données projet'!$A$243:$I$263,5,0)),0%,VLOOKUP(A148,'Données projet'!$A$243:$I$263,5,0)*VLOOKUP('Données projet'!$B$17,Paramètres!$A$1:$I$89,7,0))</f>
        <v>0</v>
      </c>
      <c r="GJ148" s="122" t="n">
        <f aca="false">IF(ISNA(VLOOKUP(A148,'Données projet'!$A$243:$I$263,6,0)),0%,VLOOKUP(A148,'Données projet'!$A$243:$I$263,6,0)*VLOOKUP('Données projet'!$B$17,Paramètres!$A$1:$I$89,7,0))</f>
        <v>0</v>
      </c>
      <c r="GK148" s="122" t="n">
        <f aca="false">IF(ISNA(VLOOKUP(A148,'Données projet'!$A$243:$I$263,7,0)),0%,VLOOKUP(A148,'Données projet'!$A$243:$I$263,7,0))</f>
        <v>0</v>
      </c>
      <c r="GL148" s="129" t="e">
        <f aca="false">EXP(-LN(2)/35)*GL147+(1-EXP(-LN(2)/35))/(LN(2)/35)*GH148*GI148*VLOOKUP('Données projet'!$B$17,Paramètres!$A$1:$I$89,3,0)*0.475*44/12</f>
        <v>#N/A</v>
      </c>
      <c r="GM148" s="129" t="e">
        <f aca="false">EXP(-LN(2)/25)*GM147+(1-EXP(-LN(2)/25))/(LN(2)/25)*Calculateur!GH148*Calculateur!GJ148*VLOOKUP('Données projet'!$B$17,Paramètres!$A$1:$I$89,3,0)*0.475*44/12</f>
        <v>#N/A</v>
      </c>
      <c r="GN148" s="129" t="e">
        <f aca="false">EXP(-LN(2)/2)*GN147+(1-EXP(-LN(2)/2))/(LN(2)/2)*GH148*GK148*VLOOKUP('Données projet'!$B$17,Paramètres!$A$1:$I$89,3,0)*0.475*44/12</f>
        <v>#N/A</v>
      </c>
      <c r="GO148" s="129" t="e">
        <f aca="false">SUM(GL148:GN148)</f>
        <v>#N/A</v>
      </c>
      <c r="GP148" s="126" t="n">
        <f aca="false"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8" t="n">
        <f aca="false"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8" t="e">
        <f aca="false">VLOOKUP(A148,'Données projet'!$A$269:$I$289,2,0)</f>
        <v>#N/A</v>
      </c>
      <c r="GS148" s="118" t="e">
        <f aca="false">VLOOKUP(A148,'Données projet'!$A$269:$I$289,9,0)</f>
        <v>#N/A</v>
      </c>
      <c r="GT148" s="118" t="e">
        <f aca="false" t="array" ref="GT148:GT148">INDEX(GS:GS,MIN(IF(ISNUMBER(GS148:GS344),ROW(GS148:GS344),"")))</f>
        <v>#N/A</v>
      </c>
      <c r="GU148" s="118" t="n">
        <f aca="false">IF('Données projet'!$A$270&gt;35,GU147+GT148-HC147,IF(A148&lt;'Données projet'!$A$270,$GR$205^A148,IF(A148='Données projet'!$A$270,'Données projet'!$B$270,GU147+GT148-HC147)))</f>
        <v>0</v>
      </c>
      <c r="GV148" s="125" t="e">
        <f aca="false">GU148*VLOOKUP('Données projet'!$B$18,Paramètres!$A$1:$I$89,3,0)*VLOOKUP('Données projet'!$B$18,Paramètres!$A$1:$I$89,5,0)</f>
        <v>#N/A</v>
      </c>
      <c r="GW148" s="117" t="e">
        <f aca="false">EXP(-1.0587+0.8836*LN(GV148)+0.284)</f>
        <v>#N/A</v>
      </c>
      <c r="GX148" s="128" t="e">
        <f aca="false">(GV148+GW148)*0.475*44/12</f>
        <v>#N/A</v>
      </c>
      <c r="GY148" s="120" t="e">
        <f aca="false">GX148+(GP148+GQ148)*44/12</f>
        <v>#N/A</v>
      </c>
      <c r="GZ148" s="120" t="e">
        <f aca="true">AVERAGE(OFFSET($GY$3,0,0,'Données projet'!$E$18+1,1))-AVERAGE(OFFSET($H$3,0,0,'Données projet'!$E$18+1,1))</f>
        <v>#N/A</v>
      </c>
      <c r="HA148" s="120" t="e">
        <f aca="false">$HA$3</f>
        <v>#N/A</v>
      </c>
      <c r="HB148" s="121" t="n">
        <f aca="false">IF(ISNA(VLOOKUP(A148,'Données projet'!$A$269:$I$289,3,0)),0,VLOOKUP(A148,'Données projet'!$A$269:$I$289,3,0))</f>
        <v>0</v>
      </c>
      <c r="HC148" s="121" t="n">
        <f aca="false">IF(ISNA(VLOOKUP(A148,'Données projet'!$A$269:$I$289,4,0)),0,VLOOKUP(A148,'Données projet'!$A$269:$I$289,4,0))</f>
        <v>0</v>
      </c>
      <c r="HD148" s="122" t="n">
        <f aca="false">IF(ISNA(VLOOKUP(A148,'Données projet'!$A$269:$I$289,5,0)),0%,VLOOKUP(A148,'Données projet'!$A$269:$I$289,5,0)*VLOOKUP('Données projet'!$B$18,Paramètres!$A$1:$I$89,7,0))</f>
        <v>0</v>
      </c>
      <c r="HE148" s="122" t="n">
        <f aca="false">IF(ISNA(VLOOKUP(A148,'Données projet'!$A$269:$I$289,6,0)),0%,VLOOKUP(A148,'Données projet'!$A$269:$I$289,6,0)*VLOOKUP('Données projet'!$B$18,Paramètres!$A$1:$I$89,7,0))</f>
        <v>0</v>
      </c>
      <c r="HF148" s="122" t="n">
        <f aca="false">IF(ISNA(VLOOKUP(A148,'Données projet'!$A$269:$I$289,7,0)),0%,VLOOKUP(A148,'Données projet'!$A$269:$I$289,7,0))</f>
        <v>0</v>
      </c>
      <c r="HG148" s="129" t="e">
        <f aca="false">EXP(-LN(2)/35)*HG147+(1-EXP(-LN(2)/35))/(LN(2)/35)*HC148*HD148*VLOOKUP('Données projet'!$B$18,Paramètres!$A$1:$I$89,3,0)*0.475*44/12</f>
        <v>#N/A</v>
      </c>
      <c r="HH148" s="129" t="e">
        <f aca="false">EXP(-LN(2)/25)*HH147+(1-EXP(-LN(2)/25))/(LN(2)/25)*Calculateur!HC148*Calculateur!HE148*VLOOKUP('Données projet'!$B$18,Paramètres!$A$1:$I$89,3,0)*0.475*44/12</f>
        <v>#N/A</v>
      </c>
      <c r="HI148" s="129" t="e">
        <f aca="false">EXP(-LN(2)/2)*HI147+(1-EXP(-LN(2)/2))/(LN(2)/2)*HC148*HF148*VLOOKUP('Données projet'!$B$18,Paramètres!$A$1:$I$89,3,0)*0.475*44/12</f>
        <v>#N/A</v>
      </c>
      <c r="HJ148" s="130" t="e">
        <f aca="false">SUM(HG148:HI148)</f>
        <v>#N/A</v>
      </c>
    </row>
    <row r="149" customFormat="false" ht="14.25" hidden="false" customHeight="false" outlineLevel="0" collapsed="false">
      <c r="A149" s="112" t="n">
        <f aca="false">A148+1</f>
        <v>146</v>
      </c>
      <c r="B149" s="113" t="n">
        <f aca="false">'Scénario référence'!$B$16*5+'Scénario référence'!$B$17*0+'Scénario référence'!$B$18*5</f>
        <v>0</v>
      </c>
      <c r="C149" s="127" t="n">
        <f aca="false"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4" t="n">
        <f aca="false">IFERROR(EXP(-1.0587+0.8836*LN(C149)+0.284),0)</f>
        <v>0</v>
      </c>
      <c r="E14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49" s="114" t="n">
        <f aca="false">IF(OR('Scénario référence'!$F$8&gt;0,'Scénario référence'!$F$9&gt;0),('Scénario référence'!$F$8+'Scénario référence'!$F$9)*10,0)</f>
        <v>0</v>
      </c>
      <c r="G149" s="114" t="n">
        <f aca="false"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15" t="n">
        <f aca="false">(B149+E149+F149)*44/12+(C149+D149)*0.475*44/12</f>
        <v>256.666666666667</v>
      </c>
      <c r="I149" s="11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7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8" t="e">
        <f aca="false">VLOOKUP(A149,'Données projet'!$A$35:$I$55,2,0)</f>
        <v>#N/A</v>
      </c>
      <c r="L149" s="118" t="e">
        <f aca="false">VLOOKUP(A149,'Données projet'!$A$35:$I$55,9,0)</f>
        <v>#N/A</v>
      </c>
      <c r="M149" s="118" t="e">
        <f aca="false" t="array" ref="M149:M149">INDEX(L:L,MIN(IF(ISNUMBER(L149:L345),ROW(L149:L345),"")))</f>
        <v>#N/A</v>
      </c>
      <c r="N149" s="117" t="n">
        <f aca="false">IF('Données projet'!$A$36&gt;35,N148+M149-V148,IF(A149&lt;'Données projet'!$A$36,$K$205^A149,IF(A149='Données projet'!$A$36,'Données projet'!$B$36,N148+M149-V148)))</f>
        <v>-1.13686837721616E-013</v>
      </c>
      <c r="O149" s="117" t="n">
        <f aca="false">N149*VLOOKUP('Données projet'!$B$9,Paramètres!$A$1:$I$89,3,0)*VLOOKUP('Données projet'!$B$9,Paramètres!$A$1:$I$89,5,0)</f>
        <v>-5.32054400537163E-014</v>
      </c>
      <c r="P149" s="117" t="e">
        <f aca="false">EXP(-1.0587+0.8836*LN(O149)+0.284)</f>
        <v>#VALUE!</v>
      </c>
      <c r="Q149" s="128" t="e">
        <f aca="false">(O149+P149)*0.475*44/12</f>
        <v>#VALUE!</v>
      </c>
      <c r="R149" s="120" t="e">
        <f aca="false">Q149+(I149+J149)*44/12</f>
        <v>#VALUE!</v>
      </c>
      <c r="S149" s="120" t="n">
        <f aca="true">AVERAGE(OFFSET($R$3,0,0,'Données projet'!$E$9+1,1))-AVERAGE(OFFSET($H$3,0,0,'Données projet'!$E$9+1,1))</f>
        <v>319.229030946746</v>
      </c>
      <c r="T149" s="120" t="n">
        <f aca="false">$T$3</f>
        <v>254.586909731428</v>
      </c>
      <c r="U149" s="121" t="n">
        <f aca="false">IF(ISNA(VLOOKUP(A149,'Données projet'!$A$35:$I$55,3,0)),0,VLOOKUP(A149,'Données projet'!$A$35:$I$55,3,0))</f>
        <v>0</v>
      </c>
      <c r="V149" s="121" t="n">
        <f aca="false">IF(ISNA(VLOOKUP(A149,'Données projet'!$A$35:$I$55,4,0)),0,VLOOKUP(A149,'Données projet'!$A$35:$I$55,4,0))</f>
        <v>0</v>
      </c>
      <c r="W149" s="122" t="n">
        <f aca="false">IF(ISNA(VLOOKUP(A149,'Données projet'!$A$35:$I$55,5,0)),0%,VLOOKUP(A149,'Données projet'!$A$35:$I$55,5,0)*VLOOKUP('Données projet'!$B$9,Paramètres!$A$1:$I$89,7,0))</f>
        <v>0</v>
      </c>
      <c r="X149" s="122" t="n">
        <f aca="false">IF(ISNA(VLOOKUP(A149,'Données projet'!$A$35:$I$55,6,0)),0%,VLOOKUP(A149,'Données projet'!$A$35:$I$55,6,0)*VLOOKUP('Données projet'!$B$9,Paramètres!$A$1:$I$89,7,0))</f>
        <v>0</v>
      </c>
      <c r="Y149" s="122" t="n">
        <f aca="false">IF(ISNA(VLOOKUP(A149,'Données projet'!$A$35:$I$55,7,0)),0%,VLOOKUP(A149,'Données projet'!$A$35:$I$55,7,0))</f>
        <v>0</v>
      </c>
      <c r="Z149" s="129" t="n">
        <f aca="false">EXP(-LN(2)/35)*Z148+(1-EXP(-LN(2)/35))/(LN(2)/35)*V149*W149*VLOOKUP('Données projet'!$B$9,Paramètres!$A$1:$I$89,3,0)*0.475*44/12</f>
        <v>0.912437383566808</v>
      </c>
      <c r="AA149" s="129" t="n">
        <f aca="false">EXP(-LN(2)/25)*AA148+(1-EXP(-LN(2)/25))/(LN(2)/25)*Calculateur!V149*Calculateur!X149*VLOOKUP('Données projet'!$B$9,Paramètres!$A$1:$I$89,3,0)*0.475*44/12</f>
        <v>0.447246661191145</v>
      </c>
      <c r="AB149" s="129" t="n">
        <f aca="false">EXP(-LN(2)/2)*AB148+(1-EXP(-LN(2)/2))/(LN(2)/2)*V149*Y149*VLOOKUP('Données projet'!$B$9,Paramètres!$A$1:$I$89,3,0)*0.475*44/12</f>
        <v>3.83135490125643E-017</v>
      </c>
      <c r="AC149" s="130" t="n">
        <f aca="false">SUM(Z149:AB149)</f>
        <v>1.35968404475795</v>
      </c>
      <c r="AD149" s="117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7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8" t="e">
        <f aca="false">VLOOKUP(A149,'Données projet'!$A$61:$I$81,2,0)</f>
        <v>#N/A</v>
      </c>
      <c r="AG149" s="118" t="e">
        <f aca="false">VLOOKUP(A149,'Données projet'!$A$61:$I$81,9,0)</f>
        <v>#N/A</v>
      </c>
      <c r="AH149" s="118" t="e">
        <f aca="false" t="array" ref="AH149:AH149">INDEX(AG:AG,MIN(IF(ISNUMBER(AG149:AG345),ROW(AG149:AG345),"")))</f>
        <v>#N/A</v>
      </c>
      <c r="AI149" s="117" t="n">
        <f aca="false">IF('Données projet'!$A$62&gt;35,AI148+AH149-AQ148,IF(A149&lt;'Données projet'!$A$62,$AF$205^A149,IF(A149='Données projet'!$A$62,'Données projet'!$B$62,AI148+AH149-AQ148)))</f>
        <v>1.13686837721616E-013</v>
      </c>
      <c r="AJ149" s="117" t="n">
        <f aca="false">AI149*VLOOKUP('Données projet'!$B$10,Paramètres!$A$1:$I$89,3,0)*VLOOKUP('Données projet'!$B$10,Paramètres!$A$1:$I$89,5,0)</f>
        <v>6.35509422863834E-014</v>
      </c>
      <c r="AK149" s="117" t="n">
        <f aca="false">EXP(-1.0587+0.8836*LN(AJ149)+0.284)</f>
        <v>1.0064464192544E-012</v>
      </c>
      <c r="AL149" s="128" t="n">
        <f aca="false">(AJ149+AK149)*0.475*44/12</f>
        <v>1.86357873801686E-012</v>
      </c>
      <c r="AM149" s="120" t="n">
        <f aca="false">AL149+(AD149+AE149)*44/12</f>
        <v>293.333333333335</v>
      </c>
      <c r="AN149" s="120" t="n">
        <f aca="true">AVERAGE(OFFSET($AM$3,0,0,'Données projet'!$E$10+1,1))-AVERAGE(OFFSET($H$3,0,0,'Données projet'!$E$10+1,1))</f>
        <v>365.705101827279</v>
      </c>
      <c r="AO149" s="120" t="n">
        <f aca="false">$AO$3</f>
        <v>436.238338449625</v>
      </c>
      <c r="AP149" s="121" t="n">
        <f aca="false">IF(ISNA(VLOOKUP(A149,'Données projet'!$A$61:$I$81,3,0)),0,VLOOKUP(A149,'Données projet'!$A$61:$I$81,3,0))</f>
        <v>0</v>
      </c>
      <c r="AQ149" s="121" t="n">
        <f aca="false">IF(ISNA(VLOOKUP(A149,'Données projet'!$A$61:$I$81,4,0)),0,VLOOKUP(A149,'Données projet'!$A$61:$I$81,4,0))</f>
        <v>0</v>
      </c>
      <c r="AR149" s="122" t="n">
        <f aca="false">IF(ISNA(VLOOKUP(A149,'Données projet'!$A$61:$I$81,5,0)),0%,VLOOKUP(A149,'Données projet'!$A$61:$I$81,5,0)*VLOOKUP('Données projet'!$B$10,Paramètres!$A$1:$I$89,7,0))</f>
        <v>0</v>
      </c>
      <c r="AS149" s="122" t="n">
        <f aca="false">IF(ISNA(VLOOKUP(A149,'Données projet'!$A$61:$I$81,6,0)),0%,VLOOKUP(A149,'Données projet'!$A$61:$I$81,6,0)*VLOOKUP('Données projet'!$B$10,Paramètres!$A$1:$I$89,7,0))</f>
        <v>0</v>
      </c>
      <c r="AT149" s="122" t="n">
        <f aca="false">IF(ISNA(VLOOKUP(A149,'Données projet'!$A$61:$I$81,7,0)),0%,VLOOKUP(A149,'Données projet'!$A$61:$I$81,7,0))</f>
        <v>0</v>
      </c>
      <c r="AU149" s="129" t="n">
        <f aca="false">EXP(-LN(2)/35)*AU148+(1-EXP(-LN(2)/35))/(LN(2)/35)*AQ149*AR149*VLOOKUP('Données projet'!$B$10,Paramètres!$A$1:$I$89,3,0)*0.475*44/12</f>
        <v>0.344415529790266</v>
      </c>
      <c r="AV149" s="129" t="n">
        <f aca="false">EXP(-LN(2)/25)*AV148+(1-EXP(-LN(2)/25))/(LN(2)/25)*Calculateur!AQ149*Calculateur!AS149*VLOOKUP('Données projet'!$B$10,Paramètres!$A$1:$I$89,3,0)*0.475*44/12</f>
        <v>0.529739487608991</v>
      </c>
      <c r="AW149" s="129" t="n">
        <f aca="false">EXP(-LN(2)/2)*AW148+(1-EXP(-LN(2)/2))/(LN(2)/2)*AQ149*AT149*VLOOKUP('Données projet'!$B$10,Paramètres!$A$1:$I$89,3,0)*0.475*44/12</f>
        <v>2.06191545978749E-017</v>
      </c>
      <c r="AX149" s="129" t="n">
        <f aca="false">SUM(AU149:AW149)</f>
        <v>0.874155017399257</v>
      </c>
      <c r="AY149" s="124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8" t="e">
        <f aca="false">VLOOKUP(A149,'Données projet'!$A$87:$I$107,2,0)</f>
        <v>#N/A</v>
      </c>
      <c r="BB149" s="118" t="e">
        <f aca="false">VLOOKUP(A149,'Données projet'!$A$87:$I$107,9,0)</f>
        <v>#N/A</v>
      </c>
      <c r="BC149" s="118" t="e">
        <f aca="false" t="array" ref="BC149:BC149">INDEX(BB:BB,MIN(IF(ISNUMBER(BB149:BB345),ROW(BB149:BB345),"")))</f>
        <v>#N/A</v>
      </c>
      <c r="BD149" s="118" t="n">
        <f aca="false">IF('Données projet'!$A$88&gt;35,BD148+BC149-BL148,IF(A149&lt;'Données projet'!$A$88,$BA$205^A149,IF(A149='Données projet'!$A$88,'Données projet'!$B$88,BD148+BC149-BL148)))</f>
        <v>1.98951966012828E-013</v>
      </c>
      <c r="BE149" s="117" t="n">
        <f aca="false">BD149*VLOOKUP('Données projet'!$B$11,Paramètres!$A$1:$I$89,3,0)*VLOOKUP('Données projet'!$B$11,Paramètres!$A$1:$I$89,5,0)</f>
        <v>1.73804437508807E-013</v>
      </c>
      <c r="BF149" s="117" t="n">
        <f aca="false">EXP(-1.0587+0.8836*LN(BE149)+0.284)</f>
        <v>2.44832936339505E-012</v>
      </c>
      <c r="BG149" s="128" t="n">
        <f aca="false">(BE149+BF149)*0.475*44/12</f>
        <v>4.56688303657421E-012</v>
      </c>
      <c r="BH149" s="120" t="n">
        <f aca="false">BG149+(AY149+AZ149)*44/12</f>
        <v>293.333333333338</v>
      </c>
      <c r="BI149" s="120" t="n">
        <f aca="true">AVERAGE(OFFSET($BH$3,0,0,'Données projet'!$E$11+1,1))-AVERAGE(OFFSET($H$3,0,0,'Données projet'!$E$11+1,1))</f>
        <v>321.235999689929</v>
      </c>
      <c r="BJ149" s="120" t="n">
        <f aca="false">$BJ$3</f>
        <v>388.051958478005</v>
      </c>
      <c r="BK149" s="121" t="n">
        <f aca="false">IF(ISNA(VLOOKUP(A149,'Données projet'!$A$87:$I$107,3,0)),0,VLOOKUP(A149,'Données projet'!$A$87:$I$107,3,0))</f>
        <v>0</v>
      </c>
      <c r="BL149" s="121" t="n">
        <f aca="false">IF(ISNA(VLOOKUP(A149,'Données projet'!$A$87:$I$107,4,0)),0,VLOOKUP(A149,'Données projet'!$A$87:$I$107,4,0))</f>
        <v>0</v>
      </c>
      <c r="BM149" s="122" t="n">
        <f aca="false">IF(ISNA(VLOOKUP(A149,'Données projet'!$A$87:$I$107,5,0)),0%,VLOOKUP(A149,'Données projet'!$A$87:$I$107,5,0)*VLOOKUP('Données projet'!$B$11,Paramètres!$A$1:$I$89,7,0))</f>
        <v>0</v>
      </c>
      <c r="BN149" s="122" t="n">
        <f aca="false">IF(ISNA(VLOOKUP(A149,'Données projet'!$A$87:$I$107,6,0)),0%,VLOOKUP(A149,'Données projet'!$A$87:$I$107,6,0)*VLOOKUP('Données projet'!$B$11,Paramètres!$A$1:$I$89,7,0))</f>
        <v>0</v>
      </c>
      <c r="BO149" s="122" t="n">
        <f aca="false">IF(ISNA(VLOOKUP(A149,'Données projet'!$A$87:$I$107,7,0)),0%,VLOOKUP(A149,'Données projet'!$A$87:$I$107,7,0))</f>
        <v>0</v>
      </c>
      <c r="BP149" s="129" t="n">
        <f aca="false">EXP(-LN(2)/35)*BP148+(1-EXP(-LN(2)/35))/(LN(2)/35)*BL149*BM149*VLOOKUP('Données projet'!$B$11,Paramètres!$A$1:$I$89,3,0)*0.475*44/12</f>
        <v>0.864696983034886</v>
      </c>
      <c r="BQ149" s="129" t="n">
        <f aca="false">EXP(-LN(2)/25)*BQ148+(1-EXP(-LN(2)/25))/(LN(2)/25)*Calculateur!BL149*Calculateur!BN149*VLOOKUP('Données projet'!$B$11,Paramètres!$A$1:$I$89,3,0)*0.475*44/12</f>
        <v>0.540726604371057</v>
      </c>
      <c r="BR149" s="129" t="n">
        <f aca="false">EXP(-LN(2)/2)*BR148+(1-EXP(-LN(2)/2))/(LN(2)/2)*BL149*BO149*VLOOKUP('Données projet'!$B$11,Paramètres!$A$1:$I$89,3,0)*0.475*44/12</f>
        <v>2.09589420724865E-017</v>
      </c>
      <c r="BS149" s="130" t="n">
        <f aca="false">SUM(BP149:BR149)</f>
        <v>1.40542358740594</v>
      </c>
      <c r="BT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8" t="e">
        <f aca="false">VLOOKUP(A149,'Données projet'!$A$113:$I$133,2,0)</f>
        <v>#N/A</v>
      </c>
      <c r="BW149" s="118" t="e">
        <f aca="false">VLOOKUP(A149,'Données projet'!$A$113:$I$133,9,0)</f>
        <v>#N/A</v>
      </c>
      <c r="BX149" s="118" t="e">
        <f aca="false" t="array" ref="BX149:BX149">INDEX(BW:BW,MIN(IF(ISNUMBER(BW149:BW345),ROW(BW149:BW345),"")))</f>
        <v>#N/A</v>
      </c>
      <c r="BY149" s="118" t="n">
        <f aca="false">IF('Données projet'!$A$114&gt;35,BY148+BX149-CG148,IF(A149&lt;'Données projet'!$A$114,$BV$205^A149,IF(A149='Données projet'!$A$114,'Données projet'!$B$114,BY148+BX149-CG148)))</f>
        <v>0</v>
      </c>
      <c r="BZ149" s="117" t="n">
        <f aca="false">BY149*VLOOKUP('Données projet'!$B$12,Paramètres!$A$1:$I$89,3,0)*VLOOKUP('Données projet'!$B$12,Paramètres!$A$1:$I$89,5,0)</f>
        <v>0</v>
      </c>
      <c r="CA149" s="117" t="e">
        <f aca="false">EXP(-1.0587+0.8836*LN(BZ149)+0.284)</f>
        <v>#VALUE!</v>
      </c>
      <c r="CB149" s="128" t="e">
        <f aca="false">(BZ149+CA149)*0.475*44/12</f>
        <v>#VALUE!</v>
      </c>
      <c r="CC149" s="120" t="e">
        <f aca="false">CB149+(BT149+BU149)*44/12</f>
        <v>#VALUE!</v>
      </c>
      <c r="CD149" s="120" t="n">
        <f aca="true">AVERAGE(OFFSET($CC$3,0,0,'Données projet'!$E$12+1,1))-AVERAGE(OFFSET($H$3,0,0,'Données projet'!$E$12+1,1))</f>
        <v>240.228848647662</v>
      </c>
      <c r="CE149" s="120" t="n">
        <f aca="false">$CE$3</f>
        <v>343.237768841432</v>
      </c>
      <c r="CF149" s="121" t="n">
        <f aca="false">IF(ISNA(VLOOKUP(A149,'Données projet'!$A$113:$I$133,3,0)),0,VLOOKUP(A149,'Données projet'!$A$113:$I$133,3,0))</f>
        <v>0</v>
      </c>
      <c r="CG149" s="121" t="n">
        <f aca="false">IF(ISNA(VLOOKUP(A149,'Données projet'!$A$113:$I$133,4,0)),0,VLOOKUP(A149,'Données projet'!$A$113:$I$133,4,0))</f>
        <v>0</v>
      </c>
      <c r="CH149" s="122" t="n">
        <f aca="false">IF(ISNA(VLOOKUP(A149,'Données projet'!$A$113:$I$133,5,0)),0%,VLOOKUP(A149,'Données projet'!$A$113:$I$133,5,0)*VLOOKUP('Données projet'!$B$12,Paramètres!$A$1:$I$89,7,0))</f>
        <v>0</v>
      </c>
      <c r="CI149" s="122" t="n">
        <f aca="false">IF(ISNA(VLOOKUP(A149,'Données projet'!$A$113:$I$133,6,0)),0%,VLOOKUP(A149,'Données projet'!$A$113:$I$133,6,0)*VLOOKUP('Données projet'!$B$12,Paramètres!$A$1:$I$89,7,0))</f>
        <v>0</v>
      </c>
      <c r="CJ149" s="122" t="n">
        <f aca="false">IF(ISNA(VLOOKUP(A149,'Données projet'!$A$113:$I$133,7,0)),0%,VLOOKUP(A149,'Données projet'!$A$113:$I$133,7,0))</f>
        <v>0</v>
      </c>
      <c r="CK149" s="129" t="n">
        <f aca="false">EXP(-LN(2)/35)*CK148+(1-EXP(-LN(2)/35))/(LN(2)/35)*CG149*CH149*VLOOKUP('Données projet'!$B$12,Paramètres!$A$1:$I$89,3,0)*0.475*44/12</f>
        <v>0.529261919532732</v>
      </c>
      <c r="CL149" s="129" t="n">
        <f aca="false">EXP(-LN(2)/25)*CL148+(1-EXP(-LN(2)/25))/(LN(2)/25)*Calculateur!CG149*Calculateur!CI149*VLOOKUP('Données projet'!$B$12,Paramètres!$A$1:$I$89,3,0)*0.475*44/12</f>
        <v>0.954954485921138</v>
      </c>
      <c r="CM149" s="129" t="n">
        <f aca="false">EXP(-LN(2)/2)*CM148+(1-EXP(-LN(2)/2))/(LN(2)/2)*CG149*CJ149*VLOOKUP('Données projet'!$B$12,Paramètres!$A$1:$I$89,3,0)*0.475*44/12</f>
        <v>3.34448838969347E-017</v>
      </c>
      <c r="CN149" s="130" t="n">
        <f aca="false">SUM(CK149:CM149)</f>
        <v>1.48421640545387</v>
      </c>
      <c r="CO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8" t="e">
        <f aca="false">VLOOKUP(A149,'Données projet'!$A$139:$I$159,2,0)</f>
        <v>#N/A</v>
      </c>
      <c r="CR149" s="118" t="e">
        <f aca="false">VLOOKUP(A149,'Données projet'!$A$139:$I$159,9,0)</f>
        <v>#N/A</v>
      </c>
      <c r="CS149" s="118" t="e">
        <f aca="false" t="array" ref="CS149:CS149">INDEX(CR:CR,MIN(IF(ISNUMBER(CR149:CR345),ROW(CR149:CR345),"")))</f>
        <v>#N/A</v>
      </c>
      <c r="CT149" s="118" t="n">
        <f aca="false">IF('Données projet'!$A$140&gt;35,CT148+CS149-DB148,IF(A149&lt;'Données projet'!$A$140,$CQ$205^A149,IF(A149='Données projet'!$A$140,'Données projet'!$B$140,CT148+CS149-DB148)))</f>
        <v>-5.6843418860808E-014</v>
      </c>
      <c r="CU149" s="125" t="n">
        <f aca="false">CT149*VLOOKUP('Données projet'!$B$13,Paramètres!$A$1:$I$89,3,0)*VLOOKUP('Données projet'!$B$13,Paramètres!$A$1:$I$89,5,0)</f>
        <v>-3.10365066980012E-014</v>
      </c>
      <c r="CV149" s="117" t="e">
        <f aca="false">EXP(-1.0587+0.8836*LN(CU149)+0.284)</f>
        <v>#VALUE!</v>
      </c>
      <c r="CW149" s="128" t="e">
        <f aca="false">(CU149+CV149)*0.475*44/12</f>
        <v>#VALUE!</v>
      </c>
      <c r="CX149" s="120" t="e">
        <f aca="false">CW149+(CO149+CP149)*44/12</f>
        <v>#VALUE!</v>
      </c>
      <c r="CY149" s="120" t="n">
        <f aca="true">AVERAGE(OFFSET($CX$3,0,0,'Données projet'!$E$13+1,1))-AVERAGE(OFFSET($H$3,0,0,'Données projet'!$E$13+1,1))</f>
        <v>207.023069645676</v>
      </c>
      <c r="CZ149" s="120" t="n">
        <f aca="false">$CZ$3</f>
        <v>342.068879333518</v>
      </c>
      <c r="DA149" s="121" t="n">
        <f aca="false">IF(ISNA(VLOOKUP(A149,'Données projet'!$A$139:$I$159,3,0)),0,VLOOKUP(A149,'Données projet'!$A$139:$I$159,3,0))</f>
        <v>0</v>
      </c>
      <c r="DB149" s="121" t="n">
        <f aca="false">IF(ISNA(VLOOKUP(A149,'Données projet'!$A$139:$I$159,4,0)),0,VLOOKUP(A149,'Données projet'!$A$139:$I$159,4,0))</f>
        <v>0</v>
      </c>
      <c r="DC149" s="122" t="n">
        <f aca="false">IF(ISNA(VLOOKUP(A149,'Données projet'!$A$139:$I$159,5,0)),0%,VLOOKUP(A149,'Données projet'!$A$139:$I$159,5,0)*VLOOKUP('Données projet'!$B$13,Paramètres!$A$1:$I$89,7,0))</f>
        <v>0</v>
      </c>
      <c r="DD149" s="122" t="n">
        <f aca="false">IF(ISNA(VLOOKUP(A149,'Données projet'!$A$139:$I$159,6,0)),0%,VLOOKUP(A149,'Données projet'!$A$139:$I$159,6,0)*VLOOKUP('Données projet'!$B$13,Paramètres!$A$1:$I$89,7,0))</f>
        <v>0</v>
      </c>
      <c r="DE149" s="122" t="n">
        <f aca="false">IF(ISNA(VLOOKUP(A149,'Données projet'!$A$139:$I$159,7,0)),0%,VLOOKUP(A149,'Données projet'!$A$139:$I$159,7,0))</f>
        <v>0</v>
      </c>
      <c r="DF149" s="129" t="n">
        <f aca="false">EXP(-LN(2)/35)*DF148+(1-EXP(-LN(2)/35))/(LN(2)/35)*DB149*DC149*VLOOKUP('Données projet'!$B$13,Paramètres!$A$1:$I$89,3,0)*0.475*44/12</f>
        <v>0.664073917904277</v>
      </c>
      <c r="DG149" s="129" t="n">
        <f aca="false">EXP(-LN(2)/25)*DG148+(1-EXP(-LN(2)/25))/(LN(2)/25)*Calculateur!DB149*Calculateur!DD149*VLOOKUP('Données projet'!$B$13,Paramètres!$A$1:$I$89,3,0)*0.475*44/12</f>
        <v>1.56095285660784</v>
      </c>
      <c r="DH149" s="129" t="n">
        <f aca="false">EXP(-LN(2)/2)*DH148+(1-EXP(-LN(2)/2))/(LN(2)/2)*DB149*DE149*VLOOKUP('Données projet'!$B$13,Paramètres!$A$1:$I$89,3,0)*0.475*44/12</f>
        <v>4.60536206319696E-017</v>
      </c>
      <c r="DI149" s="130" t="n">
        <f aca="false">SUM(DF149:DH149)</f>
        <v>2.22502677451212</v>
      </c>
      <c r="DJ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8" t="e">
        <f aca="false">VLOOKUP(A149,'Données projet'!$A$165:$I$185,2,0)</f>
        <v>#N/A</v>
      </c>
      <c r="DM149" s="118" t="e">
        <f aca="false">VLOOKUP(A149,'Données projet'!$A$165:$I$185,9,0)</f>
        <v>#N/A</v>
      </c>
      <c r="DN149" s="118" t="e">
        <f aca="false" t="array" ref="DN149:DN149">INDEX(DM:DM,MIN(IF(ISNUMBER(DM149:DM345),ROW(DM149:DM345),"")))</f>
        <v>#N/A</v>
      </c>
      <c r="DO149" s="118" t="n">
        <f aca="false">IF('Données projet'!$A$166&gt;35,DO148+DN149-DW148,IF(A149&lt;'Données projet'!$A$166,$DL$205^A149,IF(A149='Données projet'!$A$166,'Données projet'!$B$166,DO148+DN149-DW148)))</f>
        <v>0</v>
      </c>
      <c r="DP149" s="125" t="n">
        <f aca="false">DO149*VLOOKUP('Données projet'!$B$14,Paramètres!$A$1:$I$89,3,0)*VLOOKUP('Données projet'!$B$14,Paramètres!$A$1:$I$89,5,0)</f>
        <v>0</v>
      </c>
      <c r="DQ149" s="117" t="e">
        <f aca="false">EXP(-1.0587+0.8836*LN(DP149)+0.284)</f>
        <v>#VALUE!</v>
      </c>
      <c r="DR149" s="128" t="e">
        <f aca="false">(DP149+DQ149)*0.475*44/12</f>
        <v>#VALUE!</v>
      </c>
      <c r="DS149" s="120" t="e">
        <f aca="false">DR149+(DJ149+DK149)*44/12</f>
        <v>#VALUE!</v>
      </c>
      <c r="DT149" s="120" t="n">
        <f aca="true">AVERAGE(OFFSET($DS$3,0,0,'Données projet'!$E$14+1,1))-AVERAGE(OFFSET($H$3,0,0,'Données projet'!$E$14+1,1))</f>
        <v>549.432320957297</v>
      </c>
      <c r="DU149" s="120" t="n">
        <f aca="false">$DU$3</f>
        <v>280.26155987301</v>
      </c>
      <c r="DV149" s="121" t="n">
        <f aca="false">IF(ISNA(VLOOKUP(A149,'Données projet'!$A$165:$I$185,3,0)),0,VLOOKUP(A149,'Données projet'!$A$165:$I$185,3,0))</f>
        <v>0</v>
      </c>
      <c r="DW149" s="121" t="n">
        <f aca="false">IF(ISNA(VLOOKUP(A149,'Données projet'!$A$165:$I$185,4,0)),0,VLOOKUP(A149,'Données projet'!$A$165:$I$185,4,0))</f>
        <v>0</v>
      </c>
      <c r="DX149" s="122" t="n">
        <f aca="false">IF(ISNA(VLOOKUP(A149,'Données projet'!$A$165:$I$185,5,0)),0%,VLOOKUP(A149,'Données projet'!$A$165:$I$185,5,0)*VLOOKUP('Données projet'!$B$14,Paramètres!$A$1:$I$89,7,0))</f>
        <v>0</v>
      </c>
      <c r="DY149" s="122" t="n">
        <f aca="false">IF(ISNA(VLOOKUP(A149,'Données projet'!$A$165:$I$185,6,0)),0%,VLOOKUP(A149,'Données projet'!$A$165:$I$185,6,0)*VLOOKUP('Données projet'!$B$14,Paramètres!$A$1:$I$89,7,0))</f>
        <v>0</v>
      </c>
      <c r="DZ149" s="122" t="n">
        <f aca="false">IF(ISNA(VLOOKUP(A149,'Données projet'!$A$165:$I$185,7,0)),0%,VLOOKUP(A149,'Données projet'!$A$165:$I$185,7,0))</f>
        <v>0</v>
      </c>
      <c r="EA149" s="129" t="n">
        <f aca="false">EXP(-LN(2)/35)*EA148+(1-EXP(-LN(2)/35))/(LN(2)/35)*DW149*DX149*VLOOKUP('Données projet'!$B$14,Paramètres!$A$1:$I$89,3,0)*0.475*44/12</f>
        <v>0.241456536078478</v>
      </c>
      <c r="EB149" s="129" t="n">
        <f aca="false">EXP(-LN(2)/25)*EB148+(1-EXP(-LN(2)/25))/(LN(2)/25)*Calculateur!DW149*Calculateur!DY149*VLOOKUP('Données projet'!$B$14,Paramètres!$A$1:$I$89,3,0)*0.475*44/12</f>
        <v>0.310972606094844</v>
      </c>
      <c r="EC149" s="129" t="n">
        <f aca="false">EXP(-LN(2)/2)*EC148+(1-EXP(-LN(2)/2))/(LN(2)/2)*DW149*DZ149*VLOOKUP('Données projet'!$B$14,Paramètres!$A$1:$I$89,3,0)*0.475*44/12</f>
        <v>2.12297697982348E-017</v>
      </c>
      <c r="ED149" s="130" t="n">
        <f aca="false">SUM(EA149:EC149)</f>
        <v>0.552429142173322</v>
      </c>
      <c r="EE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8" t="e">
        <f aca="false">VLOOKUP(A149,'Données projet'!$A$191:$I$211,2,0)</f>
        <v>#N/A</v>
      </c>
      <c r="EH149" s="118" t="e">
        <f aca="false">VLOOKUP(A149,'Données projet'!$A$191:$I$211,9,0)</f>
        <v>#N/A</v>
      </c>
      <c r="EI149" s="118" t="e">
        <f aca="false" t="array" ref="EI149:EI149">INDEX(EH:EH,MIN(IF(ISNUMBER(EH149:EH345),ROW(EH149:EH345),"")))</f>
        <v>#N/A</v>
      </c>
      <c r="EJ149" s="118" t="n">
        <f aca="false">IF('Données projet'!$A$192&gt;35,EJ148+EI149-ER148,IF(A149&lt;'Données projet'!$A$192,$EG$205^A149,IF(A149='Données projet'!$A$192,'Données projet'!$B$192,EJ148+EI149-ER148)))</f>
        <v>0</v>
      </c>
      <c r="EK149" s="125" t="e">
        <f aca="false">EJ149*VLOOKUP('Données projet'!$B$15,Paramètres!$A$1:$I$89,3,0)*VLOOKUP('Données projet'!$B$15,Paramètres!$A$1:$I$89,5,0)</f>
        <v>#N/A</v>
      </c>
      <c r="EL149" s="117" t="e">
        <f aca="false">EXP(-1.0587+0.8836*LN(EK149)+0.284)</f>
        <v>#N/A</v>
      </c>
      <c r="EM149" s="128" t="e">
        <f aca="false">(EK149+EL149)*0.475*44/12</f>
        <v>#N/A</v>
      </c>
      <c r="EN149" s="120" t="e">
        <f aca="false">EM149+(EE149+EF149)*44/12</f>
        <v>#N/A</v>
      </c>
      <c r="EO149" s="120" t="e">
        <f aca="true">AVERAGE(OFFSET($EN$3,0,0,'Données projet'!$E$15+1,1))-AVERAGE(OFFSET($H$3,0,0,'Données projet'!$E$15+1,1))</f>
        <v>#N/A</v>
      </c>
      <c r="EP149" s="120" t="e">
        <f aca="false">$EP$3</f>
        <v>#N/A</v>
      </c>
      <c r="EQ149" s="121" t="n">
        <f aca="false">IF(ISNA(VLOOKUP(A149,'Données projet'!$A$191:$I$211,3,0)),0,VLOOKUP(A149,'Données projet'!$A$191:$I$211,3,0))</f>
        <v>0</v>
      </c>
      <c r="ER149" s="121" t="n">
        <f aca="false">IF(ISNA(VLOOKUP(A149,'Données projet'!$A$191:$I$211,4,0)),0,VLOOKUP(A149,'Données projet'!$A$191:$I$211,4,0))</f>
        <v>0</v>
      </c>
      <c r="ES149" s="122" t="n">
        <f aca="false">IF(ISNA(VLOOKUP(A149,'Données projet'!$A$191:$I$211,5,0)),0%,VLOOKUP(A149,'Données projet'!$A$191:$I$211,5,0)*VLOOKUP('Données projet'!$B$15,Paramètres!$A$1:$I$89,7,0))</f>
        <v>0</v>
      </c>
      <c r="ET149" s="122" t="n">
        <f aca="false">IF(ISNA(VLOOKUP(A149,'Données projet'!$A$191:$I$211,6,0)),0%,VLOOKUP(A149,'Données projet'!$A$191:$I$211,6,0)*VLOOKUP('Données projet'!$B$15,Paramètres!$A$1:$I$89,7,0))</f>
        <v>0</v>
      </c>
      <c r="EU149" s="122" t="n">
        <f aca="false">IF(ISNA(VLOOKUP(A149,'Données projet'!$A$191:$I$211,7,0)),0%,VLOOKUP(A149,'Données projet'!$A$191:$I$211,7,0))</f>
        <v>0</v>
      </c>
      <c r="EV149" s="129" t="e">
        <f aca="false">EXP(-LN(2)/35)*EV148+(1-EXP(-LN(2)/35))/(LN(2)/35)*ER149*ES149*VLOOKUP('Données projet'!$B$15,Paramètres!$A$1:$I$89,3,0)*0.475*44/12</f>
        <v>#N/A</v>
      </c>
      <c r="EW149" s="129" t="e">
        <f aca="false">EXP(-LN(2)/25)*EW148+(1-EXP(-LN(2)/25))/(LN(2)/25)*Calculateur!ER149*Calculateur!ET149*VLOOKUP('Données projet'!$B$15,Paramètres!$A$1:$I$89,3,0)*0.475*44/12</f>
        <v>#N/A</v>
      </c>
      <c r="EX149" s="129" t="e">
        <f aca="false">EXP(-LN(2)/2)*EX148+(1-EXP(-LN(2)/2))/(LN(2)/2)*ER149*EU149*VLOOKUP('Données projet'!$B$15,Paramètres!$A$1:$I$89,3,0)*0.475*44/12</f>
        <v>#N/A</v>
      </c>
      <c r="EY149" s="130" t="e">
        <f aca="false">SUM(EV149:EX149)</f>
        <v>#N/A</v>
      </c>
      <c r="EZ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8" t="e">
        <f aca="false">VLOOKUP(A149,'Données projet'!$A$217:$I$237,2,0)</f>
        <v>#N/A</v>
      </c>
      <c r="FC149" s="118" t="e">
        <f aca="false">VLOOKUP(A149,'Données projet'!$A$217:$I$237,9,0)</f>
        <v>#N/A</v>
      </c>
      <c r="FD149" s="118" t="e">
        <f aca="false" t="array" ref="FD149:FD149">INDEX(FC:FC,MIN(IF(ISNUMBER(FC149:FC345),ROW(FC149:FC345),"")))</f>
        <v>#N/A</v>
      </c>
      <c r="FE149" s="118" t="n">
        <f aca="false">IF('Données projet'!$A$218&gt;35,FE148+FD149-FM148,IF(A149&lt;'Données projet'!$A$218,$FB$205^A149,IF(A149='Données projet'!$A$218,'Données projet'!$B$218,FE148+FD149-FM148)))</f>
        <v>0</v>
      </c>
      <c r="FF149" s="125" t="e">
        <f aca="false">FE149*VLOOKUP('Données projet'!$B$16,Paramètres!$A$1:$I$89,3,0)*VLOOKUP('Données projet'!$B$16,Paramètres!$A$1:$I$89,5,0)</f>
        <v>#N/A</v>
      </c>
      <c r="FG149" s="117" t="e">
        <f aca="false">EXP(-1.0587+0.8836*LN(FF149)+0.284)</f>
        <v>#N/A</v>
      </c>
      <c r="FH149" s="128" t="e">
        <f aca="false">(FF149+FG149)*0.475*44/12</f>
        <v>#N/A</v>
      </c>
      <c r="FI149" s="120" t="e">
        <f aca="false">FH149+(EZ149+FA149)*44/12</f>
        <v>#N/A</v>
      </c>
      <c r="FJ149" s="120" t="e">
        <f aca="true">AVERAGE(OFFSET($FI$3,0,0,'Données projet'!$E$16+1,1))-AVERAGE(OFFSET($H$3,0,0,'Données projet'!$E$16+1,1))</f>
        <v>#N/A</v>
      </c>
      <c r="FK149" s="120" t="e">
        <f aca="false">$FK$3</f>
        <v>#N/A</v>
      </c>
      <c r="FL149" s="121" t="n">
        <f aca="false">IF(ISNA(VLOOKUP(A149,'Données projet'!$A$217:$I$237,3,0)),0,VLOOKUP(A149,'Données projet'!$A$217:$I$237,3,0))</f>
        <v>0</v>
      </c>
      <c r="FM149" s="121" t="n">
        <f aca="false">IF(ISNA(VLOOKUP(A149,'Données projet'!$A$217:$I$237,4,0)),0,VLOOKUP(A149,'Données projet'!$A$217:$I$237,4,0))</f>
        <v>0</v>
      </c>
      <c r="FN149" s="122" t="n">
        <f aca="false">IF(ISNA(VLOOKUP(A149,'Données projet'!$A$217:$I$237,5,0)),0%,VLOOKUP(A149,'Données projet'!$A$217:$I$237,5,0)*VLOOKUP('Données projet'!$B$16,Paramètres!$A$1:$I$89,7,0))</f>
        <v>0</v>
      </c>
      <c r="FO149" s="122" t="n">
        <f aca="false">IF(ISNA(VLOOKUP(A149,'Données projet'!$A$217:$I$237,6,0)),0%,VLOOKUP(A149,'Données projet'!$A$217:$I$237,6,0)*VLOOKUP('Données projet'!$B$16,Paramètres!$A$1:$I$89,7,0))</f>
        <v>0</v>
      </c>
      <c r="FP149" s="122" t="n">
        <f aca="false">IF(ISNA(VLOOKUP(A149,'Données projet'!$A$217:$I$237,7,0)),0%,VLOOKUP(A149,'Données projet'!$A$217:$I$237,7,0))</f>
        <v>0</v>
      </c>
      <c r="FQ149" s="129" t="e">
        <f aca="false">EXP(-LN(2)/35)*FQ148+(1-EXP(-LN(2)/35))/(LN(2)/35)*FM149*FN149*VLOOKUP('Données projet'!$B$16,Paramètres!$A$1:$I$89,3,0)*0.475*44/12</f>
        <v>#N/A</v>
      </c>
      <c r="FR149" s="129" t="e">
        <f aca="false">EXP(-LN(2)/25)*FR148+(1-EXP(-LN(2)/25))/(LN(2)/25)*Calculateur!FM149*Calculateur!FO149*VLOOKUP('Données projet'!$B$16,Paramètres!$A$1:$I$89,3,0)*0.475*44/12</f>
        <v>#N/A</v>
      </c>
      <c r="FS149" s="129" t="e">
        <f aca="false">EXP(-LN(2)/2)*FS148+(1-EXP(-LN(2)/2))/(LN(2)/2)*FM149*FP149*VLOOKUP('Données projet'!$B$16,Paramètres!$A$1:$I$89,3,0)*0.475*44/12</f>
        <v>#N/A</v>
      </c>
      <c r="FT149" s="130" t="e">
        <f aca="false">SUM(FQ149:FS149)</f>
        <v>#N/A</v>
      </c>
      <c r="FU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8" t="e">
        <f aca="false">VLOOKUP(A149,'Données projet'!$A$243:$I$263,2,0)</f>
        <v>#N/A</v>
      </c>
      <c r="FX149" s="118" t="e">
        <f aca="false">VLOOKUP(A149,'Données projet'!$A$243:$I$263,9,0)</f>
        <v>#N/A</v>
      </c>
      <c r="FY149" s="118" t="e">
        <f aca="false" t="array" ref="FY149:FY149">INDEX(FX:FX,MIN(IF(ISNUMBER(FX149:FX345),ROW(FX149:FX345),"")))</f>
        <v>#N/A</v>
      </c>
      <c r="FZ149" s="118" t="n">
        <f aca="false">IF('Données projet'!$A$244&gt;35,FZ148+FY149-GH148,IF(A149&lt;'Données projet'!$A$244,$FW$205^A149,IF(A149='Données projet'!$A$244,'Données projet'!$B$244,FZ148+FY149-GH148)))</f>
        <v>0</v>
      </c>
      <c r="GA149" s="125" t="e">
        <f aca="false">FZ149*VLOOKUP('Données projet'!$B$17,Paramètres!$A$1:$I$89,3,0)*VLOOKUP('Données projet'!$B$17,Paramètres!$A$1:$I$89,5,0)</f>
        <v>#N/A</v>
      </c>
      <c r="GB149" s="117" t="e">
        <f aca="false">EXP(-1.0587+0.8836*LN(GA149)+0.284)</f>
        <v>#N/A</v>
      </c>
      <c r="GC149" s="128" t="e">
        <f aca="false">(GA149+GB149)*0.475*44/12</f>
        <v>#N/A</v>
      </c>
      <c r="GD149" s="120" t="e">
        <f aca="false">GC149+(FU149+FV149)*44/12</f>
        <v>#N/A</v>
      </c>
      <c r="GE149" s="120" t="e">
        <f aca="true">AVERAGE(OFFSET($GD$3,0,0,'Données projet'!$E$17+1,1))-AVERAGE(OFFSET($H$3,0,0,'Données projet'!$E$17+1,1))</f>
        <v>#N/A</v>
      </c>
      <c r="GF149" s="120" t="e">
        <f aca="false">$GF$3</f>
        <v>#N/A</v>
      </c>
      <c r="GG149" s="121" t="n">
        <f aca="false">IF(ISNA(VLOOKUP(A149,'Données projet'!$A$243:$I$263,3,0)),0,VLOOKUP(A149,'Données projet'!$A$243:$I$263,3,0))</f>
        <v>0</v>
      </c>
      <c r="GH149" s="121" t="n">
        <f aca="false">IF(ISNA(VLOOKUP(A149,'Données projet'!$A$243:$I$263,4,0)),0,VLOOKUP(A149,'Données projet'!$A$243:$I$263,4,0))</f>
        <v>0</v>
      </c>
      <c r="GI149" s="122" t="n">
        <f aca="false">IF(ISNA(VLOOKUP(A149,'Données projet'!$A$243:$I$263,5,0)),0%,VLOOKUP(A149,'Données projet'!$A$243:$I$263,5,0)*VLOOKUP('Données projet'!$B$17,Paramètres!$A$1:$I$89,7,0))</f>
        <v>0</v>
      </c>
      <c r="GJ149" s="122" t="n">
        <f aca="false">IF(ISNA(VLOOKUP(A149,'Données projet'!$A$243:$I$263,6,0)),0%,VLOOKUP(A149,'Données projet'!$A$243:$I$263,6,0)*VLOOKUP('Données projet'!$B$17,Paramètres!$A$1:$I$89,7,0))</f>
        <v>0</v>
      </c>
      <c r="GK149" s="122" t="n">
        <f aca="false">IF(ISNA(VLOOKUP(A149,'Données projet'!$A$243:$I$263,7,0)),0%,VLOOKUP(A149,'Données projet'!$A$243:$I$263,7,0))</f>
        <v>0</v>
      </c>
      <c r="GL149" s="129" t="e">
        <f aca="false">EXP(-LN(2)/35)*GL148+(1-EXP(-LN(2)/35))/(LN(2)/35)*GH149*GI149*VLOOKUP('Données projet'!$B$17,Paramètres!$A$1:$I$89,3,0)*0.475*44/12</f>
        <v>#N/A</v>
      </c>
      <c r="GM149" s="129" t="e">
        <f aca="false">EXP(-LN(2)/25)*GM148+(1-EXP(-LN(2)/25))/(LN(2)/25)*Calculateur!GH149*Calculateur!GJ149*VLOOKUP('Données projet'!$B$17,Paramètres!$A$1:$I$89,3,0)*0.475*44/12</f>
        <v>#N/A</v>
      </c>
      <c r="GN149" s="129" t="e">
        <f aca="false">EXP(-LN(2)/2)*GN148+(1-EXP(-LN(2)/2))/(LN(2)/2)*GH149*GK149*VLOOKUP('Données projet'!$B$17,Paramètres!$A$1:$I$89,3,0)*0.475*44/12</f>
        <v>#N/A</v>
      </c>
      <c r="GO149" s="129" t="e">
        <f aca="false">SUM(GL149:GN149)</f>
        <v>#N/A</v>
      </c>
      <c r="GP149" s="126" t="n">
        <f aca="false"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8" t="n">
        <f aca="false"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8" t="e">
        <f aca="false">VLOOKUP(A149,'Données projet'!$A$269:$I$289,2,0)</f>
        <v>#N/A</v>
      </c>
      <c r="GS149" s="118" t="e">
        <f aca="false">VLOOKUP(A149,'Données projet'!$A$269:$I$289,9,0)</f>
        <v>#N/A</v>
      </c>
      <c r="GT149" s="118" t="e">
        <f aca="false" t="array" ref="GT149:GT149">INDEX(GS:GS,MIN(IF(ISNUMBER(GS149:GS345),ROW(GS149:GS345),"")))</f>
        <v>#N/A</v>
      </c>
      <c r="GU149" s="118" t="n">
        <f aca="false">IF('Données projet'!$A$270&gt;35,GU148+GT149-HC148,IF(A149&lt;'Données projet'!$A$270,$GR$205^A149,IF(A149='Données projet'!$A$270,'Données projet'!$B$270,GU148+GT149-HC148)))</f>
        <v>0</v>
      </c>
      <c r="GV149" s="125" t="e">
        <f aca="false">GU149*VLOOKUP('Données projet'!$B$18,Paramètres!$A$1:$I$89,3,0)*VLOOKUP('Données projet'!$B$18,Paramètres!$A$1:$I$89,5,0)</f>
        <v>#N/A</v>
      </c>
      <c r="GW149" s="117" t="e">
        <f aca="false">EXP(-1.0587+0.8836*LN(GV149)+0.284)</f>
        <v>#N/A</v>
      </c>
      <c r="GX149" s="128" t="e">
        <f aca="false">(GV149+GW149)*0.475*44/12</f>
        <v>#N/A</v>
      </c>
      <c r="GY149" s="120" t="e">
        <f aca="false">GX149+(GP149+GQ149)*44/12</f>
        <v>#N/A</v>
      </c>
      <c r="GZ149" s="120" t="e">
        <f aca="true">AVERAGE(OFFSET($GY$3,0,0,'Données projet'!$E$18+1,1))-AVERAGE(OFFSET($H$3,0,0,'Données projet'!$E$18+1,1))</f>
        <v>#N/A</v>
      </c>
      <c r="HA149" s="120" t="e">
        <f aca="false">$HA$3</f>
        <v>#N/A</v>
      </c>
      <c r="HB149" s="121" t="n">
        <f aca="false">IF(ISNA(VLOOKUP(A149,'Données projet'!$A$269:$I$289,3,0)),0,VLOOKUP(A149,'Données projet'!$A$269:$I$289,3,0))</f>
        <v>0</v>
      </c>
      <c r="HC149" s="121" t="n">
        <f aca="false">IF(ISNA(VLOOKUP(A149,'Données projet'!$A$269:$I$289,4,0)),0,VLOOKUP(A149,'Données projet'!$A$269:$I$289,4,0))</f>
        <v>0</v>
      </c>
      <c r="HD149" s="122" t="n">
        <f aca="false">IF(ISNA(VLOOKUP(A149,'Données projet'!$A$269:$I$289,5,0)),0%,VLOOKUP(A149,'Données projet'!$A$269:$I$289,5,0)*VLOOKUP('Données projet'!$B$18,Paramètres!$A$1:$I$89,7,0))</f>
        <v>0</v>
      </c>
      <c r="HE149" s="122" t="n">
        <f aca="false">IF(ISNA(VLOOKUP(A149,'Données projet'!$A$269:$I$289,6,0)),0%,VLOOKUP(A149,'Données projet'!$A$269:$I$289,6,0)*VLOOKUP('Données projet'!$B$18,Paramètres!$A$1:$I$89,7,0))</f>
        <v>0</v>
      </c>
      <c r="HF149" s="122" t="n">
        <f aca="false">IF(ISNA(VLOOKUP(A149,'Données projet'!$A$269:$I$289,7,0)),0%,VLOOKUP(A149,'Données projet'!$A$269:$I$289,7,0))</f>
        <v>0</v>
      </c>
      <c r="HG149" s="129" t="e">
        <f aca="false">EXP(-LN(2)/35)*HG148+(1-EXP(-LN(2)/35))/(LN(2)/35)*HC149*HD149*VLOOKUP('Données projet'!$B$18,Paramètres!$A$1:$I$89,3,0)*0.475*44/12</f>
        <v>#N/A</v>
      </c>
      <c r="HH149" s="129" t="e">
        <f aca="false">EXP(-LN(2)/25)*HH148+(1-EXP(-LN(2)/25))/(LN(2)/25)*Calculateur!HC149*Calculateur!HE149*VLOOKUP('Données projet'!$B$18,Paramètres!$A$1:$I$89,3,0)*0.475*44/12</f>
        <v>#N/A</v>
      </c>
      <c r="HI149" s="129" t="e">
        <f aca="false">EXP(-LN(2)/2)*HI148+(1-EXP(-LN(2)/2))/(LN(2)/2)*HC149*HF149*VLOOKUP('Données projet'!$B$18,Paramètres!$A$1:$I$89,3,0)*0.475*44/12</f>
        <v>#N/A</v>
      </c>
      <c r="HJ149" s="130" t="e">
        <f aca="false">SUM(HG149:HI149)</f>
        <v>#N/A</v>
      </c>
    </row>
    <row r="150" customFormat="false" ht="14.25" hidden="false" customHeight="false" outlineLevel="0" collapsed="false">
      <c r="A150" s="112" t="n">
        <f aca="false">A149+1</f>
        <v>147</v>
      </c>
      <c r="B150" s="113" t="n">
        <f aca="false">'Scénario référence'!$B$16*5+'Scénario référence'!$B$17*0+'Scénario référence'!$B$18*5</f>
        <v>0</v>
      </c>
      <c r="C150" s="127" t="n">
        <f aca="false"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4" t="n">
        <f aca="false">IFERROR(EXP(-1.0587+0.8836*LN(C150)+0.284),0)</f>
        <v>0</v>
      </c>
      <c r="E15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0" s="114" t="n">
        <f aca="false">IF(OR('Scénario référence'!$F$8&gt;0,'Scénario référence'!$F$9&gt;0),('Scénario référence'!$F$8+'Scénario référence'!$F$9)*10,0)</f>
        <v>0</v>
      </c>
      <c r="G150" s="114" t="n">
        <f aca="false"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15" t="n">
        <f aca="false">(B150+E150+F150)*44/12+(C150+D150)*0.475*44/12</f>
        <v>256.666666666667</v>
      </c>
      <c r="I150" s="11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7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8" t="e">
        <f aca="false">VLOOKUP(A150,'Données projet'!$A$35:$I$55,2,0)</f>
        <v>#N/A</v>
      </c>
      <c r="L150" s="118" t="e">
        <f aca="false">VLOOKUP(A150,'Données projet'!$A$35:$I$55,9,0)</f>
        <v>#N/A</v>
      </c>
      <c r="M150" s="118" t="e">
        <f aca="false" t="array" ref="M150:M150">INDEX(L:L,MIN(IF(ISNUMBER(L150:L346),ROW(L150:L346),"")))</f>
        <v>#N/A</v>
      </c>
      <c r="N150" s="117" t="n">
        <f aca="false">IF('Données projet'!$A$36&gt;35,N149+M150-V149,IF(A150&lt;'Données projet'!$A$36,$K$205^A150,IF(A150='Données projet'!$A$36,'Données projet'!$B$36,N149+M150-V149)))</f>
        <v>-1.13686837721616E-013</v>
      </c>
      <c r="O150" s="117" t="n">
        <f aca="false">N150*VLOOKUP('Données projet'!$B$9,Paramètres!$A$1:$I$89,3,0)*VLOOKUP('Données projet'!$B$9,Paramètres!$A$1:$I$89,5,0)</f>
        <v>-5.32054400537163E-014</v>
      </c>
      <c r="P150" s="117" t="e">
        <f aca="false">EXP(-1.0587+0.8836*LN(O150)+0.284)</f>
        <v>#VALUE!</v>
      </c>
      <c r="Q150" s="128" t="e">
        <f aca="false">(O150+P150)*0.475*44/12</f>
        <v>#VALUE!</v>
      </c>
      <c r="R150" s="120" t="e">
        <f aca="false">Q150+(I150+J150)*44/12</f>
        <v>#VALUE!</v>
      </c>
      <c r="S150" s="120" t="n">
        <f aca="true">AVERAGE(OFFSET($R$3,0,0,'Données projet'!$E$9+1,1))-AVERAGE(OFFSET($H$3,0,0,'Données projet'!$E$9+1,1))</f>
        <v>319.229030946746</v>
      </c>
      <c r="T150" s="120" t="n">
        <f aca="false">$T$3</f>
        <v>254.586909731428</v>
      </c>
      <c r="U150" s="121" t="n">
        <f aca="false">IF(ISNA(VLOOKUP(A150,'Données projet'!$A$35:$I$55,3,0)),0,VLOOKUP(A150,'Données projet'!$A$35:$I$55,3,0))</f>
        <v>0</v>
      </c>
      <c r="V150" s="121" t="n">
        <f aca="false">IF(ISNA(VLOOKUP(A150,'Données projet'!$A$35:$I$55,4,0)),0,VLOOKUP(A150,'Données projet'!$A$35:$I$55,4,0))</f>
        <v>0</v>
      </c>
      <c r="W150" s="122" t="n">
        <f aca="false">IF(ISNA(VLOOKUP(A150,'Données projet'!$A$35:$I$55,5,0)),0%,VLOOKUP(A150,'Données projet'!$A$35:$I$55,5,0)*VLOOKUP('Données projet'!$B$9,Paramètres!$A$1:$I$89,7,0))</f>
        <v>0</v>
      </c>
      <c r="X150" s="122" t="n">
        <f aca="false">IF(ISNA(VLOOKUP(A150,'Données projet'!$A$35:$I$55,6,0)),0%,VLOOKUP(A150,'Données projet'!$A$35:$I$55,6,0)*VLOOKUP('Données projet'!$B$9,Paramètres!$A$1:$I$89,7,0))</f>
        <v>0</v>
      </c>
      <c r="Y150" s="122" t="n">
        <f aca="false">IF(ISNA(VLOOKUP(A150,'Données projet'!$A$35:$I$55,7,0)),0%,VLOOKUP(A150,'Données projet'!$A$35:$I$55,7,0))</f>
        <v>0</v>
      </c>
      <c r="Z150" s="129" t="n">
        <f aca="false">EXP(-LN(2)/35)*Z149+(1-EXP(-LN(2)/35))/(LN(2)/35)*V150*W150*VLOOKUP('Données projet'!$B$9,Paramètres!$A$1:$I$89,3,0)*0.475*44/12</f>
        <v>0.894545043006914</v>
      </c>
      <c r="AA150" s="129" t="n">
        <f aca="false">EXP(-LN(2)/25)*AA149+(1-EXP(-LN(2)/25))/(LN(2)/25)*Calculateur!V150*Calculateur!X150*VLOOKUP('Données projet'!$B$9,Paramètres!$A$1:$I$89,3,0)*0.475*44/12</f>
        <v>0.435016677721193</v>
      </c>
      <c r="AB150" s="129" t="n">
        <f aca="false">EXP(-LN(2)/2)*AB149+(1-EXP(-LN(2)/2))/(LN(2)/2)*V150*Y150*VLOOKUP('Données projet'!$B$9,Paramètres!$A$1:$I$89,3,0)*0.475*44/12</f>
        <v>2.70917703181074E-017</v>
      </c>
      <c r="AC150" s="130" t="n">
        <f aca="false">SUM(Z150:AB150)</f>
        <v>1.32956172072811</v>
      </c>
      <c r="AD150" s="117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7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8" t="e">
        <f aca="false">VLOOKUP(A150,'Données projet'!$A$61:$I$81,2,0)</f>
        <v>#N/A</v>
      </c>
      <c r="AG150" s="118" t="e">
        <f aca="false">VLOOKUP(A150,'Données projet'!$A$61:$I$81,9,0)</f>
        <v>#N/A</v>
      </c>
      <c r="AH150" s="118" t="e">
        <f aca="false" t="array" ref="AH150:AH150">INDEX(AG:AG,MIN(IF(ISNUMBER(AG150:AG346),ROW(AG150:AG346),"")))</f>
        <v>#N/A</v>
      </c>
      <c r="AI150" s="117" t="n">
        <f aca="false">IF('Données projet'!$A$62&gt;35,AI149+AH150-AQ149,IF(A150&lt;'Données projet'!$A$62,$AF$205^A150,IF(A150='Données projet'!$A$62,'Données projet'!$B$62,AI149+AH150-AQ149)))</f>
        <v>1.13686837721616E-013</v>
      </c>
      <c r="AJ150" s="117" t="n">
        <f aca="false">AI150*VLOOKUP('Données projet'!$B$10,Paramètres!$A$1:$I$89,3,0)*VLOOKUP('Données projet'!$B$10,Paramètres!$A$1:$I$89,5,0)</f>
        <v>6.35509422863834E-014</v>
      </c>
      <c r="AK150" s="117" t="n">
        <f aca="false">EXP(-1.0587+0.8836*LN(AJ150)+0.284)</f>
        <v>1.0064464192544E-012</v>
      </c>
      <c r="AL150" s="128" t="n">
        <f aca="false">(AJ150+AK150)*0.475*44/12</f>
        <v>1.86357873801686E-012</v>
      </c>
      <c r="AM150" s="120" t="n">
        <f aca="false">AL150+(AD150+AE150)*44/12</f>
        <v>293.333333333335</v>
      </c>
      <c r="AN150" s="120" t="n">
        <f aca="true">AVERAGE(OFFSET($AM$3,0,0,'Données projet'!$E$10+1,1))-AVERAGE(OFFSET($H$3,0,0,'Données projet'!$E$10+1,1))</f>
        <v>365.705101827279</v>
      </c>
      <c r="AO150" s="120" t="n">
        <f aca="false">$AO$3</f>
        <v>436.238338449625</v>
      </c>
      <c r="AP150" s="121" t="n">
        <f aca="false">IF(ISNA(VLOOKUP(A150,'Données projet'!$A$61:$I$81,3,0)),0,VLOOKUP(A150,'Données projet'!$A$61:$I$81,3,0))</f>
        <v>0</v>
      </c>
      <c r="AQ150" s="121" t="n">
        <f aca="false">IF(ISNA(VLOOKUP(A150,'Données projet'!$A$61:$I$81,4,0)),0,VLOOKUP(A150,'Données projet'!$A$61:$I$81,4,0))</f>
        <v>0</v>
      </c>
      <c r="AR150" s="122" t="n">
        <f aca="false">IF(ISNA(VLOOKUP(A150,'Données projet'!$A$61:$I$81,5,0)),0%,VLOOKUP(A150,'Données projet'!$A$61:$I$81,5,0)*VLOOKUP('Données projet'!$B$10,Paramètres!$A$1:$I$89,7,0))</f>
        <v>0</v>
      </c>
      <c r="AS150" s="122" t="n">
        <f aca="false">IF(ISNA(VLOOKUP(A150,'Données projet'!$A$61:$I$81,6,0)),0%,VLOOKUP(A150,'Données projet'!$A$61:$I$81,6,0)*VLOOKUP('Données projet'!$B$10,Paramètres!$A$1:$I$89,7,0))</f>
        <v>0</v>
      </c>
      <c r="AT150" s="122" t="n">
        <f aca="false">IF(ISNA(VLOOKUP(A150,'Données projet'!$A$61:$I$81,7,0)),0%,VLOOKUP(A150,'Données projet'!$A$61:$I$81,7,0))</f>
        <v>0</v>
      </c>
      <c r="AU150" s="129" t="n">
        <f aca="false">EXP(-LN(2)/35)*AU149+(1-EXP(-LN(2)/35))/(LN(2)/35)*AQ150*AR150*VLOOKUP('Données projet'!$B$10,Paramètres!$A$1:$I$89,3,0)*0.475*44/12</f>
        <v>0.337661751323809</v>
      </c>
      <c r="AV150" s="129" t="n">
        <f aca="false">EXP(-LN(2)/25)*AV149+(1-EXP(-LN(2)/25))/(LN(2)/25)*Calculateur!AQ150*Calculateur!AS150*VLOOKUP('Données projet'!$B$10,Paramètres!$A$1:$I$89,3,0)*0.475*44/12</f>
        <v>0.515253733462534</v>
      </c>
      <c r="AW150" s="129" t="n">
        <f aca="false">EXP(-LN(2)/2)*AW149+(1-EXP(-LN(2)/2))/(LN(2)/2)*AQ150*AT150*VLOOKUP('Données projet'!$B$10,Paramètres!$A$1:$I$89,3,0)*0.475*44/12</f>
        <v>1.45799440384912E-017</v>
      </c>
      <c r="AX150" s="129" t="n">
        <f aca="false">SUM(AU150:AW150)</f>
        <v>0.852915484786344</v>
      </c>
      <c r="AY150" s="124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8" t="e">
        <f aca="false">VLOOKUP(A150,'Données projet'!$A$87:$I$107,2,0)</f>
        <v>#N/A</v>
      </c>
      <c r="BB150" s="118" t="e">
        <f aca="false">VLOOKUP(A150,'Données projet'!$A$87:$I$107,9,0)</f>
        <v>#N/A</v>
      </c>
      <c r="BC150" s="118" t="e">
        <f aca="false" t="array" ref="BC150:BC150">INDEX(BB:BB,MIN(IF(ISNUMBER(BB150:BB346),ROW(BB150:BB346),"")))</f>
        <v>#N/A</v>
      </c>
      <c r="BD150" s="118" t="n">
        <f aca="false">IF('Données projet'!$A$88&gt;35,BD149+BC150-BL149,IF(A150&lt;'Données projet'!$A$88,$BA$205^A150,IF(A150='Données projet'!$A$88,'Données projet'!$B$88,BD149+BC150-BL149)))</f>
        <v>1.98951966012828E-013</v>
      </c>
      <c r="BE150" s="117" t="n">
        <f aca="false">BD150*VLOOKUP('Données projet'!$B$11,Paramètres!$A$1:$I$89,3,0)*VLOOKUP('Données projet'!$B$11,Paramètres!$A$1:$I$89,5,0)</f>
        <v>1.73804437508807E-013</v>
      </c>
      <c r="BF150" s="117" t="n">
        <f aca="false">EXP(-1.0587+0.8836*LN(BE150)+0.284)</f>
        <v>2.44832936339505E-012</v>
      </c>
      <c r="BG150" s="128" t="n">
        <f aca="false">(BE150+BF150)*0.475*44/12</f>
        <v>4.56688303657421E-012</v>
      </c>
      <c r="BH150" s="120" t="n">
        <f aca="false">BG150+(AY150+AZ150)*44/12</f>
        <v>293.333333333338</v>
      </c>
      <c r="BI150" s="120" t="n">
        <f aca="true">AVERAGE(OFFSET($BH$3,0,0,'Données projet'!$E$11+1,1))-AVERAGE(OFFSET($H$3,0,0,'Données projet'!$E$11+1,1))</f>
        <v>321.235999689929</v>
      </c>
      <c r="BJ150" s="120" t="n">
        <f aca="false">$BJ$3</f>
        <v>388.051958478005</v>
      </c>
      <c r="BK150" s="121" t="n">
        <f aca="false">IF(ISNA(VLOOKUP(A150,'Données projet'!$A$87:$I$107,3,0)),0,VLOOKUP(A150,'Données projet'!$A$87:$I$107,3,0))</f>
        <v>0</v>
      </c>
      <c r="BL150" s="121" t="n">
        <f aca="false">IF(ISNA(VLOOKUP(A150,'Données projet'!$A$87:$I$107,4,0)),0,VLOOKUP(A150,'Données projet'!$A$87:$I$107,4,0))</f>
        <v>0</v>
      </c>
      <c r="BM150" s="122" t="n">
        <f aca="false">IF(ISNA(VLOOKUP(A150,'Données projet'!$A$87:$I$107,5,0)),0%,VLOOKUP(A150,'Données projet'!$A$87:$I$107,5,0)*VLOOKUP('Données projet'!$B$11,Paramètres!$A$1:$I$89,7,0))</f>
        <v>0</v>
      </c>
      <c r="BN150" s="122" t="n">
        <f aca="false">IF(ISNA(VLOOKUP(A150,'Données projet'!$A$87:$I$107,6,0)),0%,VLOOKUP(A150,'Données projet'!$A$87:$I$107,6,0)*VLOOKUP('Données projet'!$B$11,Paramètres!$A$1:$I$89,7,0))</f>
        <v>0</v>
      </c>
      <c r="BO150" s="122" t="n">
        <f aca="false">IF(ISNA(VLOOKUP(A150,'Données projet'!$A$87:$I$107,7,0)),0%,VLOOKUP(A150,'Données projet'!$A$87:$I$107,7,0))</f>
        <v>0</v>
      </c>
      <c r="BP150" s="129" t="n">
        <f aca="false">EXP(-LN(2)/35)*BP149+(1-EXP(-LN(2)/35))/(LN(2)/35)*BL150*BM150*VLOOKUP('Données projet'!$B$11,Paramètres!$A$1:$I$89,3,0)*0.475*44/12</f>
        <v>0.847740802610654</v>
      </c>
      <c r="BQ150" s="129" t="n">
        <f aca="false">EXP(-LN(2)/25)*BQ149+(1-EXP(-LN(2)/25))/(LN(2)/25)*Calculateur!BL150*Calculateur!BN150*VLOOKUP('Données projet'!$B$11,Paramètres!$A$1:$I$89,3,0)*0.475*44/12</f>
        <v>0.525940406938954</v>
      </c>
      <c r="BR150" s="129" t="n">
        <f aca="false">EXP(-LN(2)/2)*BR149+(1-EXP(-LN(2)/2))/(LN(2)/2)*BL150*BO150*VLOOKUP('Données projet'!$B$11,Paramètres!$A$1:$I$89,3,0)*0.475*44/12</f>
        <v>1.48202100659513E-017</v>
      </c>
      <c r="BS150" s="130" t="n">
        <f aca="false">SUM(BP150:BR150)</f>
        <v>1.37368120954961</v>
      </c>
      <c r="BT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8" t="e">
        <f aca="false">VLOOKUP(A150,'Données projet'!$A$113:$I$133,2,0)</f>
        <v>#N/A</v>
      </c>
      <c r="BW150" s="118" t="e">
        <f aca="false">VLOOKUP(A150,'Données projet'!$A$113:$I$133,9,0)</f>
        <v>#N/A</v>
      </c>
      <c r="BX150" s="118" t="e">
        <f aca="false" t="array" ref="BX150:BX150">INDEX(BW:BW,MIN(IF(ISNUMBER(BW150:BW346),ROW(BW150:BW346),"")))</f>
        <v>#N/A</v>
      </c>
      <c r="BY150" s="118" t="n">
        <f aca="false">IF('Données projet'!$A$114&gt;35,BY149+BX150-CG149,IF(A150&lt;'Données projet'!$A$114,$BV$205^A150,IF(A150='Données projet'!$A$114,'Données projet'!$B$114,BY149+BX150-CG149)))</f>
        <v>0</v>
      </c>
      <c r="BZ150" s="117" t="n">
        <f aca="false">BY150*VLOOKUP('Données projet'!$B$12,Paramètres!$A$1:$I$89,3,0)*VLOOKUP('Données projet'!$B$12,Paramètres!$A$1:$I$89,5,0)</f>
        <v>0</v>
      </c>
      <c r="CA150" s="117" t="e">
        <f aca="false">EXP(-1.0587+0.8836*LN(BZ150)+0.284)</f>
        <v>#VALUE!</v>
      </c>
      <c r="CB150" s="128" t="e">
        <f aca="false">(BZ150+CA150)*0.475*44/12</f>
        <v>#VALUE!</v>
      </c>
      <c r="CC150" s="120" t="e">
        <f aca="false">CB150+(BT150+BU150)*44/12</f>
        <v>#VALUE!</v>
      </c>
      <c r="CD150" s="120" t="n">
        <f aca="true">AVERAGE(OFFSET($CC$3,0,0,'Données projet'!$E$12+1,1))-AVERAGE(OFFSET($H$3,0,0,'Données projet'!$E$12+1,1))</f>
        <v>240.228848647662</v>
      </c>
      <c r="CE150" s="120" t="n">
        <f aca="false">$CE$3</f>
        <v>343.237768841432</v>
      </c>
      <c r="CF150" s="121" t="n">
        <f aca="false">IF(ISNA(VLOOKUP(A150,'Données projet'!$A$113:$I$133,3,0)),0,VLOOKUP(A150,'Données projet'!$A$113:$I$133,3,0))</f>
        <v>0</v>
      </c>
      <c r="CG150" s="121" t="n">
        <f aca="false">IF(ISNA(VLOOKUP(A150,'Données projet'!$A$113:$I$133,4,0)),0,VLOOKUP(A150,'Données projet'!$A$113:$I$133,4,0))</f>
        <v>0</v>
      </c>
      <c r="CH150" s="122" t="n">
        <f aca="false">IF(ISNA(VLOOKUP(A150,'Données projet'!$A$113:$I$133,5,0)),0%,VLOOKUP(A150,'Données projet'!$A$113:$I$133,5,0)*VLOOKUP('Données projet'!$B$12,Paramètres!$A$1:$I$89,7,0))</f>
        <v>0</v>
      </c>
      <c r="CI150" s="122" t="n">
        <f aca="false">IF(ISNA(VLOOKUP(A150,'Données projet'!$A$113:$I$133,6,0)),0%,VLOOKUP(A150,'Données projet'!$A$113:$I$133,6,0)*VLOOKUP('Données projet'!$B$12,Paramètres!$A$1:$I$89,7,0))</f>
        <v>0</v>
      </c>
      <c r="CJ150" s="122" t="n">
        <f aca="false">IF(ISNA(VLOOKUP(A150,'Données projet'!$A$113:$I$133,7,0)),0%,VLOOKUP(A150,'Données projet'!$A$113:$I$133,7,0))</f>
        <v>0</v>
      </c>
      <c r="CK150" s="129" t="n">
        <f aca="false">EXP(-LN(2)/35)*CK149+(1-EXP(-LN(2)/35))/(LN(2)/35)*CG150*CH150*VLOOKUP('Données projet'!$B$12,Paramètres!$A$1:$I$89,3,0)*0.475*44/12</f>
        <v>0.518883416108591</v>
      </c>
      <c r="CL150" s="129" t="n">
        <f aca="false">EXP(-LN(2)/25)*CL149+(1-EXP(-LN(2)/25))/(LN(2)/25)*Calculateur!CG150*Calculateur!CI150*VLOOKUP('Données projet'!$B$12,Paramètres!$A$1:$I$89,3,0)*0.475*44/12</f>
        <v>0.928841205284751</v>
      </c>
      <c r="CM150" s="129" t="n">
        <f aca="false">EXP(-LN(2)/2)*CM149+(1-EXP(-LN(2)/2))/(LN(2)/2)*CG150*CJ150*VLOOKUP('Données projet'!$B$12,Paramètres!$A$1:$I$89,3,0)*0.475*44/12</f>
        <v>2.36491041995193E-017</v>
      </c>
      <c r="CN150" s="130" t="n">
        <f aca="false">SUM(CK150:CM150)</f>
        <v>1.44772462139334</v>
      </c>
      <c r="CO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8" t="e">
        <f aca="false">VLOOKUP(A150,'Données projet'!$A$139:$I$159,2,0)</f>
        <v>#N/A</v>
      </c>
      <c r="CR150" s="118" t="e">
        <f aca="false">VLOOKUP(A150,'Données projet'!$A$139:$I$159,9,0)</f>
        <v>#N/A</v>
      </c>
      <c r="CS150" s="118" t="e">
        <f aca="false" t="array" ref="CS150:CS150">INDEX(CR:CR,MIN(IF(ISNUMBER(CR150:CR346),ROW(CR150:CR346),"")))</f>
        <v>#N/A</v>
      </c>
      <c r="CT150" s="118" t="n">
        <f aca="false">IF('Données projet'!$A$140&gt;35,CT149+CS150-DB149,IF(A150&lt;'Données projet'!$A$140,$CQ$205^A150,IF(A150='Données projet'!$A$140,'Données projet'!$B$140,CT149+CS150-DB149)))</f>
        <v>-5.6843418860808E-014</v>
      </c>
      <c r="CU150" s="125" t="n">
        <f aca="false">CT150*VLOOKUP('Données projet'!$B$13,Paramètres!$A$1:$I$89,3,0)*VLOOKUP('Données projet'!$B$13,Paramètres!$A$1:$I$89,5,0)</f>
        <v>-3.10365066980012E-014</v>
      </c>
      <c r="CV150" s="117" t="e">
        <f aca="false">EXP(-1.0587+0.8836*LN(CU150)+0.284)</f>
        <v>#VALUE!</v>
      </c>
      <c r="CW150" s="128" t="e">
        <f aca="false">(CU150+CV150)*0.475*44/12</f>
        <v>#VALUE!</v>
      </c>
      <c r="CX150" s="120" t="e">
        <f aca="false">CW150+(CO150+CP150)*44/12</f>
        <v>#VALUE!</v>
      </c>
      <c r="CY150" s="120" t="n">
        <f aca="true">AVERAGE(OFFSET($CX$3,0,0,'Données projet'!$E$13+1,1))-AVERAGE(OFFSET($H$3,0,0,'Données projet'!$E$13+1,1))</f>
        <v>207.023069645676</v>
      </c>
      <c r="CZ150" s="120" t="n">
        <f aca="false">$CZ$3</f>
        <v>342.068879333518</v>
      </c>
      <c r="DA150" s="121" t="n">
        <f aca="false">IF(ISNA(VLOOKUP(A150,'Données projet'!$A$139:$I$159,3,0)),0,VLOOKUP(A150,'Données projet'!$A$139:$I$159,3,0))</f>
        <v>0</v>
      </c>
      <c r="DB150" s="121" t="n">
        <f aca="false">IF(ISNA(VLOOKUP(A150,'Données projet'!$A$139:$I$159,4,0)),0,VLOOKUP(A150,'Données projet'!$A$139:$I$159,4,0))</f>
        <v>0</v>
      </c>
      <c r="DC150" s="122" t="n">
        <f aca="false">IF(ISNA(VLOOKUP(A150,'Données projet'!$A$139:$I$159,5,0)),0%,VLOOKUP(A150,'Données projet'!$A$139:$I$159,5,0)*VLOOKUP('Données projet'!$B$13,Paramètres!$A$1:$I$89,7,0))</f>
        <v>0</v>
      </c>
      <c r="DD150" s="122" t="n">
        <f aca="false">IF(ISNA(VLOOKUP(A150,'Données projet'!$A$139:$I$159,6,0)),0%,VLOOKUP(A150,'Données projet'!$A$139:$I$159,6,0)*VLOOKUP('Données projet'!$B$13,Paramètres!$A$1:$I$89,7,0))</f>
        <v>0</v>
      </c>
      <c r="DE150" s="122" t="n">
        <f aca="false">IF(ISNA(VLOOKUP(A150,'Données projet'!$A$139:$I$159,7,0)),0%,VLOOKUP(A150,'Données projet'!$A$139:$I$159,7,0))</f>
        <v>0</v>
      </c>
      <c r="DF150" s="129" t="n">
        <f aca="false">EXP(-LN(2)/35)*DF149+(1-EXP(-LN(2)/35))/(LN(2)/35)*DB150*DC150*VLOOKUP('Données projet'!$B$13,Paramètres!$A$1:$I$89,3,0)*0.475*44/12</f>
        <v>0.651051833419269</v>
      </c>
      <c r="DG150" s="129" t="n">
        <f aca="false">EXP(-LN(2)/25)*DG149+(1-EXP(-LN(2)/25))/(LN(2)/25)*Calculateur!DB150*Calculateur!DD150*VLOOKUP('Données projet'!$B$13,Paramètres!$A$1:$I$89,3,0)*0.475*44/12</f>
        <v>1.51826851865695</v>
      </c>
      <c r="DH150" s="129" t="n">
        <f aca="false">EXP(-LN(2)/2)*DH149+(1-EXP(-LN(2)/2))/(LN(2)/2)*DB150*DE150*VLOOKUP('Données projet'!$B$13,Paramètres!$A$1:$I$89,3,0)*0.475*44/12</f>
        <v>3.25648274470584E-017</v>
      </c>
      <c r="DI150" s="130" t="n">
        <f aca="false">SUM(DF150:DH150)</f>
        <v>2.16932035207622</v>
      </c>
      <c r="DJ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8" t="e">
        <f aca="false">VLOOKUP(A150,'Données projet'!$A$165:$I$185,2,0)</f>
        <v>#N/A</v>
      </c>
      <c r="DM150" s="118" t="e">
        <f aca="false">VLOOKUP(A150,'Données projet'!$A$165:$I$185,9,0)</f>
        <v>#N/A</v>
      </c>
      <c r="DN150" s="118" t="e">
        <f aca="false" t="array" ref="DN150:DN150">INDEX(DM:DM,MIN(IF(ISNUMBER(DM150:DM346),ROW(DM150:DM346),"")))</f>
        <v>#N/A</v>
      </c>
      <c r="DO150" s="118" t="n">
        <f aca="false">IF('Données projet'!$A$166&gt;35,DO149+DN150-DW149,IF(A150&lt;'Données projet'!$A$166,$DL$205^A150,IF(A150='Données projet'!$A$166,'Données projet'!$B$166,DO149+DN150-DW149)))</f>
        <v>0</v>
      </c>
      <c r="DP150" s="125" t="n">
        <f aca="false">DO150*VLOOKUP('Données projet'!$B$14,Paramètres!$A$1:$I$89,3,0)*VLOOKUP('Données projet'!$B$14,Paramètres!$A$1:$I$89,5,0)</f>
        <v>0</v>
      </c>
      <c r="DQ150" s="117" t="e">
        <f aca="false">EXP(-1.0587+0.8836*LN(DP150)+0.284)</f>
        <v>#VALUE!</v>
      </c>
      <c r="DR150" s="128" t="e">
        <f aca="false">(DP150+DQ150)*0.475*44/12</f>
        <v>#VALUE!</v>
      </c>
      <c r="DS150" s="120" t="e">
        <f aca="false">DR150+(DJ150+DK150)*44/12</f>
        <v>#VALUE!</v>
      </c>
      <c r="DT150" s="120" t="n">
        <f aca="true">AVERAGE(OFFSET($DS$3,0,0,'Données projet'!$E$14+1,1))-AVERAGE(OFFSET($H$3,0,0,'Données projet'!$E$14+1,1))</f>
        <v>549.432320957297</v>
      </c>
      <c r="DU150" s="120" t="n">
        <f aca="false">$DU$3</f>
        <v>280.26155987301</v>
      </c>
      <c r="DV150" s="121" t="n">
        <f aca="false">IF(ISNA(VLOOKUP(A150,'Données projet'!$A$165:$I$185,3,0)),0,VLOOKUP(A150,'Données projet'!$A$165:$I$185,3,0))</f>
        <v>0</v>
      </c>
      <c r="DW150" s="121" t="n">
        <f aca="false">IF(ISNA(VLOOKUP(A150,'Données projet'!$A$165:$I$185,4,0)),0,VLOOKUP(A150,'Données projet'!$A$165:$I$185,4,0))</f>
        <v>0</v>
      </c>
      <c r="DX150" s="122" t="n">
        <f aca="false">IF(ISNA(VLOOKUP(A150,'Données projet'!$A$165:$I$185,5,0)),0%,VLOOKUP(A150,'Données projet'!$A$165:$I$185,5,0)*VLOOKUP('Données projet'!$B$14,Paramètres!$A$1:$I$89,7,0))</f>
        <v>0</v>
      </c>
      <c r="DY150" s="122" t="n">
        <f aca="false">IF(ISNA(VLOOKUP(A150,'Données projet'!$A$165:$I$185,6,0)),0%,VLOOKUP(A150,'Données projet'!$A$165:$I$185,6,0)*VLOOKUP('Données projet'!$B$14,Paramètres!$A$1:$I$89,7,0))</f>
        <v>0</v>
      </c>
      <c r="DZ150" s="122" t="n">
        <f aca="false">IF(ISNA(VLOOKUP(A150,'Données projet'!$A$165:$I$185,7,0)),0%,VLOOKUP(A150,'Données projet'!$A$165:$I$185,7,0))</f>
        <v>0</v>
      </c>
      <c r="EA150" s="129" t="n">
        <f aca="false">EXP(-LN(2)/35)*EA149+(1-EXP(-LN(2)/35))/(LN(2)/35)*DW150*DX150*VLOOKUP('Données projet'!$B$14,Paramètres!$A$1:$I$89,3,0)*0.475*44/12</f>
        <v>0.236721720679924</v>
      </c>
      <c r="EB150" s="129" t="n">
        <f aca="false">EXP(-LN(2)/25)*EB149+(1-EXP(-LN(2)/25))/(LN(2)/25)*Calculateur!DW150*Calculateur!DY150*VLOOKUP('Données projet'!$B$14,Paramètres!$A$1:$I$89,3,0)*0.475*44/12</f>
        <v>0.302469043827842</v>
      </c>
      <c r="EC150" s="129" t="n">
        <f aca="false">EXP(-LN(2)/2)*EC149+(1-EXP(-LN(2)/2))/(LN(2)/2)*DW150*DZ150*VLOOKUP('Données projet'!$B$14,Paramètres!$A$1:$I$89,3,0)*0.475*44/12</f>
        <v>1.50117141873612E-017</v>
      </c>
      <c r="ED150" s="130" t="n">
        <f aca="false">SUM(EA150:EC150)</f>
        <v>0.539190764507766</v>
      </c>
      <c r="EE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8" t="e">
        <f aca="false">VLOOKUP(A150,'Données projet'!$A$191:$I$211,2,0)</f>
        <v>#N/A</v>
      </c>
      <c r="EH150" s="118" t="e">
        <f aca="false">VLOOKUP(A150,'Données projet'!$A$191:$I$211,9,0)</f>
        <v>#N/A</v>
      </c>
      <c r="EI150" s="118" t="e">
        <f aca="false" t="array" ref="EI150:EI150">INDEX(EH:EH,MIN(IF(ISNUMBER(EH150:EH346),ROW(EH150:EH346),"")))</f>
        <v>#N/A</v>
      </c>
      <c r="EJ150" s="118" t="n">
        <f aca="false">IF('Données projet'!$A$192&gt;35,EJ149+EI150-ER149,IF(A150&lt;'Données projet'!$A$192,$EG$205^A150,IF(A150='Données projet'!$A$192,'Données projet'!$B$192,EJ149+EI150-ER149)))</f>
        <v>0</v>
      </c>
      <c r="EK150" s="125" t="e">
        <f aca="false">EJ150*VLOOKUP('Données projet'!$B$15,Paramètres!$A$1:$I$89,3,0)*VLOOKUP('Données projet'!$B$15,Paramètres!$A$1:$I$89,5,0)</f>
        <v>#N/A</v>
      </c>
      <c r="EL150" s="117" t="e">
        <f aca="false">EXP(-1.0587+0.8836*LN(EK150)+0.284)</f>
        <v>#N/A</v>
      </c>
      <c r="EM150" s="128" t="e">
        <f aca="false">(EK150+EL150)*0.475*44/12</f>
        <v>#N/A</v>
      </c>
      <c r="EN150" s="120" t="e">
        <f aca="false">EM150+(EE150+EF150)*44/12</f>
        <v>#N/A</v>
      </c>
      <c r="EO150" s="120" t="e">
        <f aca="true">AVERAGE(OFFSET($EN$3,0,0,'Données projet'!$E$15+1,1))-AVERAGE(OFFSET($H$3,0,0,'Données projet'!$E$15+1,1))</f>
        <v>#N/A</v>
      </c>
      <c r="EP150" s="120" t="e">
        <f aca="false">$EP$3</f>
        <v>#N/A</v>
      </c>
      <c r="EQ150" s="121" t="n">
        <f aca="false">IF(ISNA(VLOOKUP(A150,'Données projet'!$A$191:$I$211,3,0)),0,VLOOKUP(A150,'Données projet'!$A$191:$I$211,3,0))</f>
        <v>0</v>
      </c>
      <c r="ER150" s="121" t="n">
        <f aca="false">IF(ISNA(VLOOKUP(A150,'Données projet'!$A$191:$I$211,4,0)),0,VLOOKUP(A150,'Données projet'!$A$191:$I$211,4,0))</f>
        <v>0</v>
      </c>
      <c r="ES150" s="122" t="n">
        <f aca="false">IF(ISNA(VLOOKUP(A150,'Données projet'!$A$191:$I$211,5,0)),0%,VLOOKUP(A150,'Données projet'!$A$191:$I$211,5,0)*VLOOKUP('Données projet'!$B$15,Paramètres!$A$1:$I$89,7,0))</f>
        <v>0</v>
      </c>
      <c r="ET150" s="122" t="n">
        <f aca="false">IF(ISNA(VLOOKUP(A150,'Données projet'!$A$191:$I$211,6,0)),0%,VLOOKUP(A150,'Données projet'!$A$191:$I$211,6,0)*VLOOKUP('Données projet'!$B$15,Paramètres!$A$1:$I$89,7,0))</f>
        <v>0</v>
      </c>
      <c r="EU150" s="122" t="n">
        <f aca="false">IF(ISNA(VLOOKUP(A150,'Données projet'!$A$191:$I$211,7,0)),0%,VLOOKUP(A150,'Données projet'!$A$191:$I$211,7,0))</f>
        <v>0</v>
      </c>
      <c r="EV150" s="129" t="e">
        <f aca="false">EXP(-LN(2)/35)*EV149+(1-EXP(-LN(2)/35))/(LN(2)/35)*ER150*ES150*VLOOKUP('Données projet'!$B$15,Paramètres!$A$1:$I$89,3,0)*0.475*44/12</f>
        <v>#N/A</v>
      </c>
      <c r="EW150" s="129" t="e">
        <f aca="false">EXP(-LN(2)/25)*EW149+(1-EXP(-LN(2)/25))/(LN(2)/25)*Calculateur!ER150*Calculateur!ET150*VLOOKUP('Données projet'!$B$15,Paramètres!$A$1:$I$89,3,0)*0.475*44/12</f>
        <v>#N/A</v>
      </c>
      <c r="EX150" s="129" t="e">
        <f aca="false">EXP(-LN(2)/2)*EX149+(1-EXP(-LN(2)/2))/(LN(2)/2)*ER150*EU150*VLOOKUP('Données projet'!$B$15,Paramètres!$A$1:$I$89,3,0)*0.475*44/12</f>
        <v>#N/A</v>
      </c>
      <c r="EY150" s="130" t="e">
        <f aca="false">SUM(EV150:EX150)</f>
        <v>#N/A</v>
      </c>
      <c r="EZ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8" t="e">
        <f aca="false">VLOOKUP(A150,'Données projet'!$A$217:$I$237,2,0)</f>
        <v>#N/A</v>
      </c>
      <c r="FC150" s="118" t="e">
        <f aca="false">VLOOKUP(A150,'Données projet'!$A$217:$I$237,9,0)</f>
        <v>#N/A</v>
      </c>
      <c r="FD150" s="118" t="e">
        <f aca="false" t="array" ref="FD150:FD150">INDEX(FC:FC,MIN(IF(ISNUMBER(FC150:FC346),ROW(FC150:FC346),"")))</f>
        <v>#N/A</v>
      </c>
      <c r="FE150" s="118" t="n">
        <f aca="false">IF('Données projet'!$A$218&gt;35,FE149+FD150-FM149,IF(A150&lt;'Données projet'!$A$218,$FB$205^A150,IF(A150='Données projet'!$A$218,'Données projet'!$B$218,FE149+FD150-FM149)))</f>
        <v>0</v>
      </c>
      <c r="FF150" s="125" t="e">
        <f aca="false">FE150*VLOOKUP('Données projet'!$B$16,Paramètres!$A$1:$I$89,3,0)*VLOOKUP('Données projet'!$B$16,Paramètres!$A$1:$I$89,5,0)</f>
        <v>#N/A</v>
      </c>
      <c r="FG150" s="117" t="e">
        <f aca="false">EXP(-1.0587+0.8836*LN(FF150)+0.284)</f>
        <v>#N/A</v>
      </c>
      <c r="FH150" s="128" t="e">
        <f aca="false">(FF150+FG150)*0.475*44/12</f>
        <v>#N/A</v>
      </c>
      <c r="FI150" s="120" t="e">
        <f aca="false">FH150+(EZ150+FA150)*44/12</f>
        <v>#N/A</v>
      </c>
      <c r="FJ150" s="120" t="e">
        <f aca="true">AVERAGE(OFFSET($FI$3,0,0,'Données projet'!$E$16+1,1))-AVERAGE(OFFSET($H$3,0,0,'Données projet'!$E$16+1,1))</f>
        <v>#N/A</v>
      </c>
      <c r="FK150" s="120" t="e">
        <f aca="false">$FK$3</f>
        <v>#N/A</v>
      </c>
      <c r="FL150" s="121" t="n">
        <f aca="false">IF(ISNA(VLOOKUP(A150,'Données projet'!$A$217:$I$237,3,0)),0,VLOOKUP(A150,'Données projet'!$A$217:$I$237,3,0))</f>
        <v>0</v>
      </c>
      <c r="FM150" s="121" t="n">
        <f aca="false">IF(ISNA(VLOOKUP(A150,'Données projet'!$A$217:$I$237,4,0)),0,VLOOKUP(A150,'Données projet'!$A$217:$I$237,4,0))</f>
        <v>0</v>
      </c>
      <c r="FN150" s="122" t="n">
        <f aca="false">IF(ISNA(VLOOKUP(A150,'Données projet'!$A$217:$I$237,5,0)),0%,VLOOKUP(A150,'Données projet'!$A$217:$I$237,5,0)*VLOOKUP('Données projet'!$B$16,Paramètres!$A$1:$I$89,7,0))</f>
        <v>0</v>
      </c>
      <c r="FO150" s="122" t="n">
        <f aca="false">IF(ISNA(VLOOKUP(A150,'Données projet'!$A$217:$I$237,6,0)),0%,VLOOKUP(A150,'Données projet'!$A$217:$I$237,6,0)*VLOOKUP('Données projet'!$B$16,Paramètres!$A$1:$I$89,7,0))</f>
        <v>0</v>
      </c>
      <c r="FP150" s="122" t="n">
        <f aca="false">IF(ISNA(VLOOKUP(A150,'Données projet'!$A$217:$I$237,7,0)),0%,VLOOKUP(A150,'Données projet'!$A$217:$I$237,7,0))</f>
        <v>0</v>
      </c>
      <c r="FQ150" s="129" t="e">
        <f aca="false">EXP(-LN(2)/35)*FQ149+(1-EXP(-LN(2)/35))/(LN(2)/35)*FM150*FN150*VLOOKUP('Données projet'!$B$16,Paramètres!$A$1:$I$89,3,0)*0.475*44/12</f>
        <v>#N/A</v>
      </c>
      <c r="FR150" s="129" t="e">
        <f aca="false">EXP(-LN(2)/25)*FR149+(1-EXP(-LN(2)/25))/(LN(2)/25)*Calculateur!FM150*Calculateur!FO150*VLOOKUP('Données projet'!$B$16,Paramètres!$A$1:$I$89,3,0)*0.475*44/12</f>
        <v>#N/A</v>
      </c>
      <c r="FS150" s="129" t="e">
        <f aca="false">EXP(-LN(2)/2)*FS149+(1-EXP(-LN(2)/2))/(LN(2)/2)*FM150*FP150*VLOOKUP('Données projet'!$B$16,Paramètres!$A$1:$I$89,3,0)*0.475*44/12</f>
        <v>#N/A</v>
      </c>
      <c r="FT150" s="130" t="e">
        <f aca="false">SUM(FQ150:FS150)</f>
        <v>#N/A</v>
      </c>
      <c r="FU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8" t="e">
        <f aca="false">VLOOKUP(A150,'Données projet'!$A$243:$I$263,2,0)</f>
        <v>#N/A</v>
      </c>
      <c r="FX150" s="118" t="e">
        <f aca="false">VLOOKUP(A150,'Données projet'!$A$243:$I$263,9,0)</f>
        <v>#N/A</v>
      </c>
      <c r="FY150" s="118" t="e">
        <f aca="false" t="array" ref="FY150:FY150">INDEX(FX:FX,MIN(IF(ISNUMBER(FX150:FX346),ROW(FX150:FX346),"")))</f>
        <v>#N/A</v>
      </c>
      <c r="FZ150" s="118" t="n">
        <f aca="false">IF('Données projet'!$A$244&gt;35,FZ149+FY150-GH149,IF(A150&lt;'Données projet'!$A$244,$FW$205^A150,IF(A150='Données projet'!$A$244,'Données projet'!$B$244,FZ149+FY150-GH149)))</f>
        <v>0</v>
      </c>
      <c r="GA150" s="125" t="e">
        <f aca="false">FZ150*VLOOKUP('Données projet'!$B$17,Paramètres!$A$1:$I$89,3,0)*VLOOKUP('Données projet'!$B$17,Paramètres!$A$1:$I$89,5,0)</f>
        <v>#N/A</v>
      </c>
      <c r="GB150" s="117" t="e">
        <f aca="false">EXP(-1.0587+0.8836*LN(GA150)+0.284)</f>
        <v>#N/A</v>
      </c>
      <c r="GC150" s="128" t="e">
        <f aca="false">(GA150+GB150)*0.475*44/12</f>
        <v>#N/A</v>
      </c>
      <c r="GD150" s="120" t="e">
        <f aca="false">GC150+(FU150+FV150)*44/12</f>
        <v>#N/A</v>
      </c>
      <c r="GE150" s="120" t="e">
        <f aca="true">AVERAGE(OFFSET($GD$3,0,0,'Données projet'!$E$17+1,1))-AVERAGE(OFFSET($H$3,0,0,'Données projet'!$E$17+1,1))</f>
        <v>#N/A</v>
      </c>
      <c r="GF150" s="120" t="e">
        <f aca="false">$GF$3</f>
        <v>#N/A</v>
      </c>
      <c r="GG150" s="121" t="n">
        <f aca="false">IF(ISNA(VLOOKUP(A150,'Données projet'!$A$243:$I$263,3,0)),0,VLOOKUP(A150,'Données projet'!$A$243:$I$263,3,0))</f>
        <v>0</v>
      </c>
      <c r="GH150" s="121" t="n">
        <f aca="false">IF(ISNA(VLOOKUP(A150,'Données projet'!$A$243:$I$263,4,0)),0,VLOOKUP(A150,'Données projet'!$A$243:$I$263,4,0))</f>
        <v>0</v>
      </c>
      <c r="GI150" s="122" t="n">
        <f aca="false">IF(ISNA(VLOOKUP(A150,'Données projet'!$A$243:$I$263,5,0)),0%,VLOOKUP(A150,'Données projet'!$A$243:$I$263,5,0)*VLOOKUP('Données projet'!$B$17,Paramètres!$A$1:$I$89,7,0))</f>
        <v>0</v>
      </c>
      <c r="GJ150" s="122" t="n">
        <f aca="false">IF(ISNA(VLOOKUP(A150,'Données projet'!$A$243:$I$263,6,0)),0%,VLOOKUP(A150,'Données projet'!$A$243:$I$263,6,0)*VLOOKUP('Données projet'!$B$17,Paramètres!$A$1:$I$89,7,0))</f>
        <v>0</v>
      </c>
      <c r="GK150" s="122" t="n">
        <f aca="false">IF(ISNA(VLOOKUP(A150,'Données projet'!$A$243:$I$263,7,0)),0%,VLOOKUP(A150,'Données projet'!$A$243:$I$263,7,0))</f>
        <v>0</v>
      </c>
      <c r="GL150" s="129" t="e">
        <f aca="false">EXP(-LN(2)/35)*GL149+(1-EXP(-LN(2)/35))/(LN(2)/35)*GH150*GI150*VLOOKUP('Données projet'!$B$17,Paramètres!$A$1:$I$89,3,0)*0.475*44/12</f>
        <v>#N/A</v>
      </c>
      <c r="GM150" s="129" t="e">
        <f aca="false">EXP(-LN(2)/25)*GM149+(1-EXP(-LN(2)/25))/(LN(2)/25)*Calculateur!GH150*Calculateur!GJ150*VLOOKUP('Données projet'!$B$17,Paramètres!$A$1:$I$89,3,0)*0.475*44/12</f>
        <v>#N/A</v>
      </c>
      <c r="GN150" s="129" t="e">
        <f aca="false">EXP(-LN(2)/2)*GN149+(1-EXP(-LN(2)/2))/(LN(2)/2)*GH150*GK150*VLOOKUP('Données projet'!$B$17,Paramètres!$A$1:$I$89,3,0)*0.475*44/12</f>
        <v>#N/A</v>
      </c>
      <c r="GO150" s="129" t="e">
        <f aca="false">SUM(GL150:GN150)</f>
        <v>#N/A</v>
      </c>
      <c r="GP150" s="126" t="n">
        <f aca="false"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8" t="n">
        <f aca="false"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8" t="e">
        <f aca="false">VLOOKUP(A150,'Données projet'!$A$269:$I$289,2,0)</f>
        <v>#N/A</v>
      </c>
      <c r="GS150" s="118" t="e">
        <f aca="false">VLOOKUP(A150,'Données projet'!$A$269:$I$289,9,0)</f>
        <v>#N/A</v>
      </c>
      <c r="GT150" s="118" t="e">
        <f aca="false" t="array" ref="GT150:GT150">INDEX(GS:GS,MIN(IF(ISNUMBER(GS150:GS346),ROW(GS150:GS346),"")))</f>
        <v>#N/A</v>
      </c>
      <c r="GU150" s="118" t="n">
        <f aca="false">IF('Données projet'!$A$270&gt;35,GU149+GT150-HC149,IF(A150&lt;'Données projet'!$A$270,$GR$205^A150,IF(A150='Données projet'!$A$270,'Données projet'!$B$270,GU149+GT150-HC149)))</f>
        <v>0</v>
      </c>
      <c r="GV150" s="125" t="e">
        <f aca="false">GU150*VLOOKUP('Données projet'!$B$18,Paramètres!$A$1:$I$89,3,0)*VLOOKUP('Données projet'!$B$18,Paramètres!$A$1:$I$89,5,0)</f>
        <v>#N/A</v>
      </c>
      <c r="GW150" s="117" t="e">
        <f aca="false">EXP(-1.0587+0.8836*LN(GV150)+0.284)</f>
        <v>#N/A</v>
      </c>
      <c r="GX150" s="128" t="e">
        <f aca="false">(GV150+GW150)*0.475*44/12</f>
        <v>#N/A</v>
      </c>
      <c r="GY150" s="120" t="e">
        <f aca="false">GX150+(GP150+GQ150)*44/12</f>
        <v>#N/A</v>
      </c>
      <c r="GZ150" s="120" t="e">
        <f aca="true">AVERAGE(OFFSET($GY$3,0,0,'Données projet'!$E$18+1,1))-AVERAGE(OFFSET($H$3,0,0,'Données projet'!$E$18+1,1))</f>
        <v>#N/A</v>
      </c>
      <c r="HA150" s="120" t="e">
        <f aca="false">$HA$3</f>
        <v>#N/A</v>
      </c>
      <c r="HB150" s="121" t="n">
        <f aca="false">IF(ISNA(VLOOKUP(A150,'Données projet'!$A$269:$I$289,3,0)),0,VLOOKUP(A150,'Données projet'!$A$269:$I$289,3,0))</f>
        <v>0</v>
      </c>
      <c r="HC150" s="121" t="n">
        <f aca="false">IF(ISNA(VLOOKUP(A150,'Données projet'!$A$269:$I$289,4,0)),0,VLOOKUP(A150,'Données projet'!$A$269:$I$289,4,0))</f>
        <v>0</v>
      </c>
      <c r="HD150" s="122" t="n">
        <f aca="false">IF(ISNA(VLOOKUP(A150,'Données projet'!$A$269:$I$289,5,0)),0%,VLOOKUP(A150,'Données projet'!$A$269:$I$289,5,0)*VLOOKUP('Données projet'!$B$18,Paramètres!$A$1:$I$89,7,0))</f>
        <v>0</v>
      </c>
      <c r="HE150" s="122" t="n">
        <f aca="false">IF(ISNA(VLOOKUP(A150,'Données projet'!$A$269:$I$289,6,0)),0%,VLOOKUP(A150,'Données projet'!$A$269:$I$289,6,0)*VLOOKUP('Données projet'!$B$18,Paramètres!$A$1:$I$89,7,0))</f>
        <v>0</v>
      </c>
      <c r="HF150" s="122" t="n">
        <f aca="false">IF(ISNA(VLOOKUP(A150,'Données projet'!$A$269:$I$289,7,0)),0%,VLOOKUP(A150,'Données projet'!$A$269:$I$289,7,0))</f>
        <v>0</v>
      </c>
      <c r="HG150" s="129" t="e">
        <f aca="false">EXP(-LN(2)/35)*HG149+(1-EXP(-LN(2)/35))/(LN(2)/35)*HC150*HD150*VLOOKUP('Données projet'!$B$18,Paramètres!$A$1:$I$89,3,0)*0.475*44/12</f>
        <v>#N/A</v>
      </c>
      <c r="HH150" s="129" t="e">
        <f aca="false">EXP(-LN(2)/25)*HH149+(1-EXP(-LN(2)/25))/(LN(2)/25)*Calculateur!HC150*Calculateur!HE150*VLOOKUP('Données projet'!$B$18,Paramètres!$A$1:$I$89,3,0)*0.475*44/12</f>
        <v>#N/A</v>
      </c>
      <c r="HI150" s="129" t="e">
        <f aca="false">EXP(-LN(2)/2)*HI149+(1-EXP(-LN(2)/2))/(LN(2)/2)*HC150*HF150*VLOOKUP('Données projet'!$B$18,Paramètres!$A$1:$I$89,3,0)*0.475*44/12</f>
        <v>#N/A</v>
      </c>
      <c r="HJ150" s="130" t="e">
        <f aca="false">SUM(HG150:HI150)</f>
        <v>#N/A</v>
      </c>
    </row>
    <row r="151" customFormat="false" ht="14.25" hidden="false" customHeight="false" outlineLevel="0" collapsed="false">
      <c r="A151" s="112" t="n">
        <f aca="false">A150+1</f>
        <v>148</v>
      </c>
      <c r="B151" s="113" t="n">
        <f aca="false">'Scénario référence'!$B$16*5+'Scénario référence'!$B$17*0+'Scénario référence'!$B$18*5</f>
        <v>0</v>
      </c>
      <c r="C151" s="127" t="n">
        <f aca="false"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4" t="n">
        <f aca="false">IFERROR(EXP(-1.0587+0.8836*LN(C151)+0.284),0)</f>
        <v>0</v>
      </c>
      <c r="E15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1" s="114" t="n">
        <f aca="false">IF(OR('Scénario référence'!$F$8&gt;0,'Scénario référence'!$F$9&gt;0),('Scénario référence'!$F$8+'Scénario référence'!$F$9)*10,0)</f>
        <v>0</v>
      </c>
      <c r="G151" s="114" t="n">
        <f aca="false"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15" t="n">
        <f aca="false">(B151+E151+F151)*44/12+(C151+D151)*0.475*44/12</f>
        <v>256.666666666667</v>
      </c>
      <c r="I151" s="11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7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8" t="e">
        <f aca="false">VLOOKUP(A151,'Données projet'!$A$35:$I$55,2,0)</f>
        <v>#N/A</v>
      </c>
      <c r="L151" s="118" t="e">
        <f aca="false">VLOOKUP(A151,'Données projet'!$A$35:$I$55,9,0)</f>
        <v>#N/A</v>
      </c>
      <c r="M151" s="118" t="e">
        <f aca="false" t="array" ref="M151:M151">INDEX(L:L,MIN(IF(ISNUMBER(L151:L347),ROW(L151:L347),"")))</f>
        <v>#N/A</v>
      </c>
      <c r="N151" s="117" t="n">
        <f aca="false">IF('Données projet'!$A$36&gt;35,N150+M151-V150,IF(A151&lt;'Données projet'!$A$36,$K$205^A151,IF(A151='Données projet'!$A$36,'Données projet'!$B$36,N150+M151-V150)))</f>
        <v>-1.13686837721616E-013</v>
      </c>
      <c r="O151" s="117" t="n">
        <f aca="false">N151*VLOOKUP('Données projet'!$B$9,Paramètres!$A$1:$I$89,3,0)*VLOOKUP('Données projet'!$B$9,Paramètres!$A$1:$I$89,5,0)</f>
        <v>-5.32054400537163E-014</v>
      </c>
      <c r="P151" s="117" t="e">
        <f aca="false">EXP(-1.0587+0.8836*LN(O151)+0.284)</f>
        <v>#VALUE!</v>
      </c>
      <c r="Q151" s="128" t="e">
        <f aca="false">(O151+P151)*0.475*44/12</f>
        <v>#VALUE!</v>
      </c>
      <c r="R151" s="120" t="e">
        <f aca="false">Q151+(I151+J151)*44/12</f>
        <v>#VALUE!</v>
      </c>
      <c r="S151" s="120" t="n">
        <f aca="true">AVERAGE(OFFSET($R$3,0,0,'Données projet'!$E$9+1,1))-AVERAGE(OFFSET($H$3,0,0,'Données projet'!$E$9+1,1))</f>
        <v>319.229030946746</v>
      </c>
      <c r="T151" s="120" t="n">
        <f aca="false">$T$3</f>
        <v>254.586909731428</v>
      </c>
      <c r="U151" s="121" t="n">
        <f aca="false">IF(ISNA(VLOOKUP(A151,'Données projet'!$A$35:$I$55,3,0)),0,VLOOKUP(A151,'Données projet'!$A$35:$I$55,3,0))</f>
        <v>0</v>
      </c>
      <c r="V151" s="121" t="n">
        <f aca="false">IF(ISNA(VLOOKUP(A151,'Données projet'!$A$35:$I$55,4,0)),0,VLOOKUP(A151,'Données projet'!$A$35:$I$55,4,0))</f>
        <v>0</v>
      </c>
      <c r="W151" s="122" t="n">
        <f aca="false">IF(ISNA(VLOOKUP(A151,'Données projet'!$A$35:$I$55,5,0)),0%,VLOOKUP(A151,'Données projet'!$A$35:$I$55,5,0)*VLOOKUP('Données projet'!$B$9,Paramètres!$A$1:$I$89,7,0))</f>
        <v>0</v>
      </c>
      <c r="X151" s="122" t="n">
        <f aca="false">IF(ISNA(VLOOKUP(A151,'Données projet'!$A$35:$I$55,6,0)),0%,VLOOKUP(A151,'Données projet'!$A$35:$I$55,6,0)*VLOOKUP('Données projet'!$B$9,Paramètres!$A$1:$I$89,7,0))</f>
        <v>0</v>
      </c>
      <c r="Y151" s="122" t="n">
        <f aca="false">IF(ISNA(VLOOKUP(A151,'Données projet'!$A$35:$I$55,7,0)),0%,VLOOKUP(A151,'Données projet'!$A$35:$I$55,7,0))</f>
        <v>0</v>
      </c>
      <c r="Z151" s="129" t="n">
        <f aca="false">EXP(-LN(2)/35)*Z150+(1-EXP(-LN(2)/35))/(LN(2)/35)*V151*W151*VLOOKUP('Données projet'!$B$9,Paramètres!$A$1:$I$89,3,0)*0.475*44/12</f>
        <v>0.877003560332149</v>
      </c>
      <c r="AA151" s="129" t="n">
        <f aca="false">EXP(-LN(2)/25)*AA150+(1-EXP(-LN(2)/25))/(LN(2)/25)*Calculateur!V151*Calculateur!X151*VLOOKUP('Données projet'!$B$9,Paramètres!$A$1:$I$89,3,0)*0.475*44/12</f>
        <v>0.423121123792375</v>
      </c>
      <c r="AB151" s="129" t="n">
        <f aca="false">EXP(-LN(2)/2)*AB150+(1-EXP(-LN(2)/2))/(LN(2)/2)*V151*Y151*VLOOKUP('Données projet'!$B$9,Paramètres!$A$1:$I$89,3,0)*0.475*44/12</f>
        <v>1.91567745062822E-017</v>
      </c>
      <c r="AC151" s="130" t="n">
        <f aca="false">SUM(Z151:AB151)</f>
        <v>1.30012468412452</v>
      </c>
      <c r="AD151" s="117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7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8" t="e">
        <f aca="false">VLOOKUP(A151,'Données projet'!$A$61:$I$81,2,0)</f>
        <v>#N/A</v>
      </c>
      <c r="AG151" s="118" t="e">
        <f aca="false">VLOOKUP(A151,'Données projet'!$A$61:$I$81,9,0)</f>
        <v>#N/A</v>
      </c>
      <c r="AH151" s="118" t="e">
        <f aca="false" t="array" ref="AH151:AH151">INDEX(AG:AG,MIN(IF(ISNUMBER(AG151:AG347),ROW(AG151:AG347),"")))</f>
        <v>#N/A</v>
      </c>
      <c r="AI151" s="117" t="n">
        <f aca="false">IF('Données projet'!$A$62&gt;35,AI150+AH151-AQ150,IF(A151&lt;'Données projet'!$A$62,$AF$205^A151,IF(A151='Données projet'!$A$62,'Données projet'!$B$62,AI150+AH151-AQ150)))</f>
        <v>1.13686837721616E-013</v>
      </c>
      <c r="AJ151" s="117" t="n">
        <f aca="false">AI151*VLOOKUP('Données projet'!$B$10,Paramètres!$A$1:$I$89,3,0)*VLOOKUP('Données projet'!$B$10,Paramètres!$A$1:$I$89,5,0)</f>
        <v>6.35509422863834E-014</v>
      </c>
      <c r="AK151" s="117" t="n">
        <f aca="false">EXP(-1.0587+0.8836*LN(AJ151)+0.284)</f>
        <v>1.0064464192544E-012</v>
      </c>
      <c r="AL151" s="128" t="n">
        <f aca="false">(AJ151+AK151)*0.475*44/12</f>
        <v>1.86357873801686E-012</v>
      </c>
      <c r="AM151" s="120" t="n">
        <f aca="false">AL151+(AD151+AE151)*44/12</f>
        <v>293.333333333335</v>
      </c>
      <c r="AN151" s="120" t="n">
        <f aca="true">AVERAGE(OFFSET($AM$3,0,0,'Données projet'!$E$10+1,1))-AVERAGE(OFFSET($H$3,0,0,'Données projet'!$E$10+1,1))</f>
        <v>365.705101827279</v>
      </c>
      <c r="AO151" s="120" t="n">
        <f aca="false">$AO$3</f>
        <v>436.238338449625</v>
      </c>
      <c r="AP151" s="121" t="n">
        <f aca="false">IF(ISNA(VLOOKUP(A151,'Données projet'!$A$61:$I$81,3,0)),0,VLOOKUP(A151,'Données projet'!$A$61:$I$81,3,0))</f>
        <v>0</v>
      </c>
      <c r="AQ151" s="121" t="n">
        <f aca="false">IF(ISNA(VLOOKUP(A151,'Données projet'!$A$61:$I$81,4,0)),0,VLOOKUP(A151,'Données projet'!$A$61:$I$81,4,0))</f>
        <v>0</v>
      </c>
      <c r="AR151" s="122" t="n">
        <f aca="false">IF(ISNA(VLOOKUP(A151,'Données projet'!$A$61:$I$81,5,0)),0%,VLOOKUP(A151,'Données projet'!$A$61:$I$81,5,0)*VLOOKUP('Données projet'!$B$10,Paramètres!$A$1:$I$89,7,0))</f>
        <v>0</v>
      </c>
      <c r="AS151" s="122" t="n">
        <f aca="false">IF(ISNA(VLOOKUP(A151,'Données projet'!$A$61:$I$81,6,0)),0%,VLOOKUP(A151,'Données projet'!$A$61:$I$81,6,0)*VLOOKUP('Données projet'!$B$10,Paramètres!$A$1:$I$89,7,0))</f>
        <v>0</v>
      </c>
      <c r="AT151" s="122" t="n">
        <f aca="false">IF(ISNA(VLOOKUP(A151,'Données projet'!$A$61:$I$81,7,0)),0%,VLOOKUP(A151,'Données projet'!$A$61:$I$81,7,0))</f>
        <v>0</v>
      </c>
      <c r="AU151" s="129" t="n">
        <f aca="false">EXP(-LN(2)/35)*AU150+(1-EXP(-LN(2)/35))/(LN(2)/35)*AQ151*AR151*VLOOKUP('Données projet'!$B$10,Paramètres!$A$1:$I$89,3,0)*0.475*44/12</f>
        <v>0.331040410333682</v>
      </c>
      <c r="AV151" s="129" t="n">
        <f aca="false">EXP(-LN(2)/25)*AV150+(1-EXP(-LN(2)/25))/(LN(2)/25)*Calculateur!AQ151*Calculateur!AS151*VLOOKUP('Données projet'!$B$10,Paramètres!$A$1:$I$89,3,0)*0.475*44/12</f>
        <v>0.501164093024985</v>
      </c>
      <c r="AW151" s="129" t="n">
        <f aca="false">EXP(-LN(2)/2)*AW150+(1-EXP(-LN(2)/2))/(LN(2)/2)*AQ151*AT151*VLOOKUP('Données projet'!$B$10,Paramètres!$A$1:$I$89,3,0)*0.475*44/12</f>
        <v>1.03095772989375E-017</v>
      </c>
      <c r="AX151" s="129" t="n">
        <f aca="false">SUM(AU151:AW151)</f>
        <v>0.832204503358667</v>
      </c>
      <c r="AY151" s="124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8" t="e">
        <f aca="false">VLOOKUP(A151,'Données projet'!$A$87:$I$107,2,0)</f>
        <v>#N/A</v>
      </c>
      <c r="BB151" s="118" t="e">
        <f aca="false">VLOOKUP(A151,'Données projet'!$A$87:$I$107,9,0)</f>
        <v>#N/A</v>
      </c>
      <c r="BC151" s="118" t="e">
        <f aca="false" t="array" ref="BC151:BC151">INDEX(BB:BB,MIN(IF(ISNUMBER(BB151:BB347),ROW(BB151:BB347),"")))</f>
        <v>#N/A</v>
      </c>
      <c r="BD151" s="118" t="n">
        <f aca="false">IF('Données projet'!$A$88&gt;35,BD150+BC151-BL150,IF(A151&lt;'Données projet'!$A$88,$BA$205^A151,IF(A151='Données projet'!$A$88,'Données projet'!$B$88,BD150+BC151-BL150)))</f>
        <v>1.98951966012828E-013</v>
      </c>
      <c r="BE151" s="117" t="n">
        <f aca="false">BD151*VLOOKUP('Données projet'!$B$11,Paramètres!$A$1:$I$89,3,0)*VLOOKUP('Données projet'!$B$11,Paramètres!$A$1:$I$89,5,0)</f>
        <v>1.73804437508807E-013</v>
      </c>
      <c r="BF151" s="117" t="n">
        <f aca="false">EXP(-1.0587+0.8836*LN(BE151)+0.284)</f>
        <v>2.44832936339505E-012</v>
      </c>
      <c r="BG151" s="128" t="n">
        <f aca="false">(BE151+BF151)*0.475*44/12</f>
        <v>4.56688303657421E-012</v>
      </c>
      <c r="BH151" s="120" t="n">
        <f aca="false">BG151+(AY151+AZ151)*44/12</f>
        <v>293.333333333338</v>
      </c>
      <c r="BI151" s="120" t="n">
        <f aca="true">AVERAGE(OFFSET($BH$3,0,0,'Données projet'!$E$11+1,1))-AVERAGE(OFFSET($H$3,0,0,'Données projet'!$E$11+1,1))</f>
        <v>321.235999689929</v>
      </c>
      <c r="BJ151" s="120" t="n">
        <f aca="false">$BJ$3</f>
        <v>388.051958478005</v>
      </c>
      <c r="BK151" s="121" t="n">
        <f aca="false">IF(ISNA(VLOOKUP(A151,'Données projet'!$A$87:$I$107,3,0)),0,VLOOKUP(A151,'Données projet'!$A$87:$I$107,3,0))</f>
        <v>0</v>
      </c>
      <c r="BL151" s="121" t="n">
        <f aca="false">IF(ISNA(VLOOKUP(A151,'Données projet'!$A$87:$I$107,4,0)),0,VLOOKUP(A151,'Données projet'!$A$87:$I$107,4,0))</f>
        <v>0</v>
      </c>
      <c r="BM151" s="122" t="n">
        <f aca="false">IF(ISNA(VLOOKUP(A151,'Données projet'!$A$87:$I$107,5,0)),0%,VLOOKUP(A151,'Données projet'!$A$87:$I$107,5,0)*VLOOKUP('Données projet'!$B$11,Paramètres!$A$1:$I$89,7,0))</f>
        <v>0</v>
      </c>
      <c r="BN151" s="122" t="n">
        <f aca="false">IF(ISNA(VLOOKUP(A151,'Données projet'!$A$87:$I$107,6,0)),0%,VLOOKUP(A151,'Données projet'!$A$87:$I$107,6,0)*VLOOKUP('Données projet'!$B$11,Paramètres!$A$1:$I$89,7,0))</f>
        <v>0</v>
      </c>
      <c r="BO151" s="122" t="n">
        <f aca="false">IF(ISNA(VLOOKUP(A151,'Données projet'!$A$87:$I$107,7,0)),0%,VLOOKUP(A151,'Données projet'!$A$87:$I$107,7,0))</f>
        <v>0</v>
      </c>
      <c r="BP151" s="129" t="n">
        <f aca="false">EXP(-LN(2)/35)*BP150+(1-EXP(-LN(2)/35))/(LN(2)/35)*BL151*BM151*VLOOKUP('Données projet'!$B$11,Paramètres!$A$1:$I$89,3,0)*0.475*44/12</f>
        <v>0.831117122542292</v>
      </c>
      <c r="BQ151" s="129" t="n">
        <f aca="false">EXP(-LN(2)/25)*BQ150+(1-EXP(-LN(2)/25))/(LN(2)/25)*Calculateur!BL151*Calculateur!BN151*VLOOKUP('Données projet'!$B$11,Paramètres!$A$1:$I$89,3,0)*0.475*44/12</f>
        <v>0.511558538853204</v>
      </c>
      <c r="BR151" s="129" t="n">
        <f aca="false">EXP(-LN(2)/2)*BR150+(1-EXP(-LN(2)/2))/(LN(2)/2)*BL151*BO151*VLOOKUP('Données projet'!$B$11,Paramètres!$A$1:$I$89,3,0)*0.475*44/12</f>
        <v>1.04794710362433E-017</v>
      </c>
      <c r="BS151" s="130" t="n">
        <f aca="false">SUM(BP151:BR151)</f>
        <v>1.3426756613955</v>
      </c>
      <c r="BT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8" t="e">
        <f aca="false">VLOOKUP(A151,'Données projet'!$A$113:$I$133,2,0)</f>
        <v>#N/A</v>
      </c>
      <c r="BW151" s="118" t="e">
        <f aca="false">VLOOKUP(A151,'Données projet'!$A$113:$I$133,9,0)</f>
        <v>#N/A</v>
      </c>
      <c r="BX151" s="118" t="e">
        <f aca="false" t="array" ref="BX151:BX151">INDEX(BW:BW,MIN(IF(ISNUMBER(BW151:BW347),ROW(BW151:BW347),"")))</f>
        <v>#N/A</v>
      </c>
      <c r="BY151" s="118" t="n">
        <f aca="false">IF('Données projet'!$A$114&gt;35,BY150+BX151-CG150,IF(A151&lt;'Données projet'!$A$114,$BV$205^A151,IF(A151='Données projet'!$A$114,'Données projet'!$B$114,BY150+BX151-CG150)))</f>
        <v>0</v>
      </c>
      <c r="BZ151" s="117" t="n">
        <f aca="false">BY151*VLOOKUP('Données projet'!$B$12,Paramètres!$A$1:$I$89,3,0)*VLOOKUP('Données projet'!$B$12,Paramètres!$A$1:$I$89,5,0)</f>
        <v>0</v>
      </c>
      <c r="CA151" s="117" t="e">
        <f aca="false">EXP(-1.0587+0.8836*LN(BZ151)+0.284)</f>
        <v>#VALUE!</v>
      </c>
      <c r="CB151" s="128" t="e">
        <f aca="false">(BZ151+CA151)*0.475*44/12</f>
        <v>#VALUE!</v>
      </c>
      <c r="CC151" s="120" t="e">
        <f aca="false">CB151+(BT151+BU151)*44/12</f>
        <v>#VALUE!</v>
      </c>
      <c r="CD151" s="120" t="n">
        <f aca="true">AVERAGE(OFFSET($CC$3,0,0,'Données projet'!$E$12+1,1))-AVERAGE(OFFSET($H$3,0,0,'Données projet'!$E$12+1,1))</f>
        <v>240.228848647662</v>
      </c>
      <c r="CE151" s="120" t="n">
        <f aca="false">$CE$3</f>
        <v>343.237768841432</v>
      </c>
      <c r="CF151" s="121" t="n">
        <f aca="false">IF(ISNA(VLOOKUP(A151,'Données projet'!$A$113:$I$133,3,0)),0,VLOOKUP(A151,'Données projet'!$A$113:$I$133,3,0))</f>
        <v>0</v>
      </c>
      <c r="CG151" s="121" t="n">
        <f aca="false">IF(ISNA(VLOOKUP(A151,'Données projet'!$A$113:$I$133,4,0)),0,VLOOKUP(A151,'Données projet'!$A$113:$I$133,4,0))</f>
        <v>0</v>
      </c>
      <c r="CH151" s="122" t="n">
        <f aca="false">IF(ISNA(VLOOKUP(A151,'Données projet'!$A$113:$I$133,5,0)),0%,VLOOKUP(A151,'Données projet'!$A$113:$I$133,5,0)*VLOOKUP('Données projet'!$B$12,Paramètres!$A$1:$I$89,7,0))</f>
        <v>0</v>
      </c>
      <c r="CI151" s="122" t="n">
        <f aca="false">IF(ISNA(VLOOKUP(A151,'Données projet'!$A$113:$I$133,6,0)),0%,VLOOKUP(A151,'Données projet'!$A$113:$I$133,6,0)*VLOOKUP('Données projet'!$B$12,Paramètres!$A$1:$I$89,7,0))</f>
        <v>0</v>
      </c>
      <c r="CJ151" s="122" t="n">
        <f aca="false">IF(ISNA(VLOOKUP(A151,'Données projet'!$A$113:$I$133,7,0)),0%,VLOOKUP(A151,'Données projet'!$A$113:$I$133,7,0))</f>
        <v>0</v>
      </c>
      <c r="CK151" s="129" t="n">
        <f aca="false">EXP(-LN(2)/35)*CK150+(1-EXP(-LN(2)/35))/(LN(2)/35)*CG151*CH151*VLOOKUP('Données projet'!$B$12,Paramètres!$A$1:$I$89,3,0)*0.475*44/12</f>
        <v>0.508708428806334</v>
      </c>
      <c r="CL151" s="129" t="n">
        <f aca="false">EXP(-LN(2)/25)*CL150+(1-EXP(-LN(2)/25))/(LN(2)/25)*Calculateur!CG151*Calculateur!CI151*VLOOKUP('Données projet'!$B$12,Paramètres!$A$1:$I$89,3,0)*0.475*44/12</f>
        <v>0.903441993680603</v>
      </c>
      <c r="CM151" s="129" t="n">
        <f aca="false">EXP(-LN(2)/2)*CM150+(1-EXP(-LN(2)/2))/(LN(2)/2)*CG151*CJ151*VLOOKUP('Données projet'!$B$12,Paramètres!$A$1:$I$89,3,0)*0.475*44/12</f>
        <v>1.67224419484673E-017</v>
      </c>
      <c r="CN151" s="130" t="n">
        <f aca="false">SUM(CK151:CM151)</f>
        <v>1.41215042248694</v>
      </c>
      <c r="CO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8" t="e">
        <f aca="false">VLOOKUP(A151,'Données projet'!$A$139:$I$159,2,0)</f>
        <v>#N/A</v>
      </c>
      <c r="CR151" s="118" t="e">
        <f aca="false">VLOOKUP(A151,'Données projet'!$A$139:$I$159,9,0)</f>
        <v>#N/A</v>
      </c>
      <c r="CS151" s="118" t="e">
        <f aca="false" t="array" ref="CS151:CS151">INDEX(CR:CR,MIN(IF(ISNUMBER(CR151:CR347),ROW(CR151:CR347),"")))</f>
        <v>#N/A</v>
      </c>
      <c r="CT151" s="118" t="n">
        <f aca="false">IF('Données projet'!$A$140&gt;35,CT150+CS151-DB150,IF(A151&lt;'Données projet'!$A$140,$CQ$205^A151,IF(A151='Données projet'!$A$140,'Données projet'!$B$140,CT150+CS151-DB150)))</f>
        <v>-5.6843418860808E-014</v>
      </c>
      <c r="CU151" s="125" t="n">
        <f aca="false">CT151*VLOOKUP('Données projet'!$B$13,Paramètres!$A$1:$I$89,3,0)*VLOOKUP('Données projet'!$B$13,Paramètres!$A$1:$I$89,5,0)</f>
        <v>-3.10365066980012E-014</v>
      </c>
      <c r="CV151" s="117" t="e">
        <f aca="false">EXP(-1.0587+0.8836*LN(CU151)+0.284)</f>
        <v>#VALUE!</v>
      </c>
      <c r="CW151" s="128" t="e">
        <f aca="false">(CU151+CV151)*0.475*44/12</f>
        <v>#VALUE!</v>
      </c>
      <c r="CX151" s="120" t="e">
        <f aca="false">CW151+(CO151+CP151)*44/12</f>
        <v>#VALUE!</v>
      </c>
      <c r="CY151" s="120" t="n">
        <f aca="true">AVERAGE(OFFSET($CX$3,0,0,'Données projet'!$E$13+1,1))-AVERAGE(OFFSET($H$3,0,0,'Données projet'!$E$13+1,1))</f>
        <v>207.023069645676</v>
      </c>
      <c r="CZ151" s="120" t="n">
        <f aca="false">$CZ$3</f>
        <v>342.068879333518</v>
      </c>
      <c r="DA151" s="121" t="n">
        <f aca="false">IF(ISNA(VLOOKUP(A151,'Données projet'!$A$139:$I$159,3,0)),0,VLOOKUP(A151,'Données projet'!$A$139:$I$159,3,0))</f>
        <v>0</v>
      </c>
      <c r="DB151" s="121" t="n">
        <f aca="false">IF(ISNA(VLOOKUP(A151,'Données projet'!$A$139:$I$159,4,0)),0,VLOOKUP(A151,'Données projet'!$A$139:$I$159,4,0))</f>
        <v>0</v>
      </c>
      <c r="DC151" s="122" t="n">
        <f aca="false">IF(ISNA(VLOOKUP(A151,'Données projet'!$A$139:$I$159,5,0)),0%,VLOOKUP(A151,'Données projet'!$A$139:$I$159,5,0)*VLOOKUP('Données projet'!$B$13,Paramètres!$A$1:$I$89,7,0))</f>
        <v>0</v>
      </c>
      <c r="DD151" s="122" t="n">
        <f aca="false">IF(ISNA(VLOOKUP(A151,'Données projet'!$A$139:$I$159,6,0)),0%,VLOOKUP(A151,'Données projet'!$A$139:$I$159,6,0)*VLOOKUP('Données projet'!$B$13,Paramètres!$A$1:$I$89,7,0))</f>
        <v>0</v>
      </c>
      <c r="DE151" s="122" t="n">
        <f aca="false">IF(ISNA(VLOOKUP(A151,'Données projet'!$A$139:$I$159,7,0)),0%,VLOOKUP(A151,'Données projet'!$A$139:$I$159,7,0))</f>
        <v>0</v>
      </c>
      <c r="DF151" s="129" t="n">
        <f aca="false">EXP(-LN(2)/35)*DF150+(1-EXP(-LN(2)/35))/(LN(2)/35)*DB151*DC151*VLOOKUP('Données projet'!$B$13,Paramètres!$A$1:$I$89,3,0)*0.475*44/12</f>
        <v>0.638285104068325</v>
      </c>
      <c r="DG151" s="129" t="n">
        <f aca="false">EXP(-LN(2)/25)*DG150+(1-EXP(-LN(2)/25))/(LN(2)/25)*Calculateur!DB151*Calculateur!DD151*VLOOKUP('Données projet'!$B$13,Paramètres!$A$1:$I$89,3,0)*0.475*44/12</f>
        <v>1.47675138617201</v>
      </c>
      <c r="DH151" s="129" t="n">
        <f aca="false">EXP(-LN(2)/2)*DH150+(1-EXP(-LN(2)/2))/(LN(2)/2)*DB151*DE151*VLOOKUP('Données projet'!$B$13,Paramètres!$A$1:$I$89,3,0)*0.475*44/12</f>
        <v>2.30268103159848E-017</v>
      </c>
      <c r="DI151" s="130" t="n">
        <f aca="false">SUM(DF151:DH151)</f>
        <v>2.11503649024033</v>
      </c>
      <c r="DJ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8" t="e">
        <f aca="false">VLOOKUP(A151,'Données projet'!$A$165:$I$185,2,0)</f>
        <v>#N/A</v>
      </c>
      <c r="DM151" s="118" t="e">
        <f aca="false">VLOOKUP(A151,'Données projet'!$A$165:$I$185,9,0)</f>
        <v>#N/A</v>
      </c>
      <c r="DN151" s="118" t="e">
        <f aca="false" t="array" ref="DN151:DN151">INDEX(DM:DM,MIN(IF(ISNUMBER(DM151:DM347),ROW(DM151:DM347),"")))</f>
        <v>#N/A</v>
      </c>
      <c r="DO151" s="118" t="n">
        <f aca="false">IF('Données projet'!$A$166&gt;35,DO150+DN151-DW150,IF(A151&lt;'Données projet'!$A$166,$DL$205^A151,IF(A151='Données projet'!$A$166,'Données projet'!$B$166,DO150+DN151-DW150)))</f>
        <v>0</v>
      </c>
      <c r="DP151" s="125" t="n">
        <f aca="false">DO151*VLOOKUP('Données projet'!$B$14,Paramètres!$A$1:$I$89,3,0)*VLOOKUP('Données projet'!$B$14,Paramètres!$A$1:$I$89,5,0)</f>
        <v>0</v>
      </c>
      <c r="DQ151" s="117" t="e">
        <f aca="false">EXP(-1.0587+0.8836*LN(DP151)+0.284)</f>
        <v>#VALUE!</v>
      </c>
      <c r="DR151" s="128" t="e">
        <f aca="false">(DP151+DQ151)*0.475*44/12</f>
        <v>#VALUE!</v>
      </c>
      <c r="DS151" s="120" t="e">
        <f aca="false">DR151+(DJ151+DK151)*44/12</f>
        <v>#VALUE!</v>
      </c>
      <c r="DT151" s="120" t="n">
        <f aca="true">AVERAGE(OFFSET($DS$3,0,0,'Données projet'!$E$14+1,1))-AVERAGE(OFFSET($H$3,0,0,'Données projet'!$E$14+1,1))</f>
        <v>549.432320957297</v>
      </c>
      <c r="DU151" s="120" t="n">
        <f aca="false">$DU$3</f>
        <v>280.26155987301</v>
      </c>
      <c r="DV151" s="121" t="n">
        <f aca="false">IF(ISNA(VLOOKUP(A151,'Données projet'!$A$165:$I$185,3,0)),0,VLOOKUP(A151,'Données projet'!$A$165:$I$185,3,0))</f>
        <v>0</v>
      </c>
      <c r="DW151" s="121" t="n">
        <f aca="false">IF(ISNA(VLOOKUP(A151,'Données projet'!$A$165:$I$185,4,0)),0,VLOOKUP(A151,'Données projet'!$A$165:$I$185,4,0))</f>
        <v>0</v>
      </c>
      <c r="DX151" s="122" t="n">
        <f aca="false">IF(ISNA(VLOOKUP(A151,'Données projet'!$A$165:$I$185,5,0)),0%,VLOOKUP(A151,'Données projet'!$A$165:$I$185,5,0)*VLOOKUP('Données projet'!$B$14,Paramètres!$A$1:$I$89,7,0))</f>
        <v>0</v>
      </c>
      <c r="DY151" s="122" t="n">
        <f aca="false">IF(ISNA(VLOOKUP(A151,'Données projet'!$A$165:$I$185,6,0)),0%,VLOOKUP(A151,'Données projet'!$A$165:$I$185,6,0)*VLOOKUP('Données projet'!$B$14,Paramètres!$A$1:$I$89,7,0))</f>
        <v>0</v>
      </c>
      <c r="DZ151" s="122" t="n">
        <f aca="false">IF(ISNA(VLOOKUP(A151,'Données projet'!$A$165:$I$185,7,0)),0%,VLOOKUP(A151,'Données projet'!$A$165:$I$185,7,0))</f>
        <v>0</v>
      </c>
      <c r="EA151" s="129" t="n">
        <f aca="false">EXP(-LN(2)/35)*EA150+(1-EXP(-LN(2)/35))/(LN(2)/35)*DW151*DX151*VLOOKUP('Données projet'!$B$14,Paramètres!$A$1:$I$89,3,0)*0.475*44/12</f>
        <v>0.232079752123383</v>
      </c>
      <c r="EB151" s="129" t="n">
        <f aca="false">EXP(-LN(2)/25)*EB150+(1-EXP(-LN(2)/25))/(LN(2)/25)*Calculateur!DW151*Calculateur!DY151*VLOOKUP('Données projet'!$B$14,Paramètres!$A$1:$I$89,3,0)*0.475*44/12</f>
        <v>0.294198011918214</v>
      </c>
      <c r="EC151" s="129" t="n">
        <f aca="false">EXP(-LN(2)/2)*EC150+(1-EXP(-LN(2)/2))/(LN(2)/2)*DW151*DZ151*VLOOKUP('Données projet'!$B$14,Paramètres!$A$1:$I$89,3,0)*0.475*44/12</f>
        <v>1.06148848991174E-017</v>
      </c>
      <c r="ED151" s="130" t="n">
        <f aca="false">SUM(EA151:EC151)</f>
        <v>0.526277764041597</v>
      </c>
      <c r="EE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8" t="e">
        <f aca="false">VLOOKUP(A151,'Données projet'!$A$191:$I$211,2,0)</f>
        <v>#N/A</v>
      </c>
      <c r="EH151" s="118" t="e">
        <f aca="false">VLOOKUP(A151,'Données projet'!$A$191:$I$211,9,0)</f>
        <v>#N/A</v>
      </c>
      <c r="EI151" s="118" t="e">
        <f aca="false" t="array" ref="EI151:EI151">INDEX(EH:EH,MIN(IF(ISNUMBER(EH151:EH347),ROW(EH151:EH347),"")))</f>
        <v>#N/A</v>
      </c>
      <c r="EJ151" s="118" t="n">
        <f aca="false">IF('Données projet'!$A$192&gt;35,EJ150+EI151-ER150,IF(A151&lt;'Données projet'!$A$192,$EG$205^A151,IF(A151='Données projet'!$A$192,'Données projet'!$B$192,EJ150+EI151-ER150)))</f>
        <v>0</v>
      </c>
      <c r="EK151" s="125" t="e">
        <f aca="false">EJ151*VLOOKUP('Données projet'!$B$15,Paramètres!$A$1:$I$89,3,0)*VLOOKUP('Données projet'!$B$15,Paramètres!$A$1:$I$89,5,0)</f>
        <v>#N/A</v>
      </c>
      <c r="EL151" s="117" t="e">
        <f aca="false">EXP(-1.0587+0.8836*LN(EK151)+0.284)</f>
        <v>#N/A</v>
      </c>
      <c r="EM151" s="128" t="e">
        <f aca="false">(EK151+EL151)*0.475*44/12</f>
        <v>#N/A</v>
      </c>
      <c r="EN151" s="120" t="e">
        <f aca="false">EM151+(EE151+EF151)*44/12</f>
        <v>#N/A</v>
      </c>
      <c r="EO151" s="120" t="e">
        <f aca="true">AVERAGE(OFFSET($EN$3,0,0,'Données projet'!$E$15+1,1))-AVERAGE(OFFSET($H$3,0,0,'Données projet'!$E$15+1,1))</f>
        <v>#N/A</v>
      </c>
      <c r="EP151" s="120" t="e">
        <f aca="false">$EP$3</f>
        <v>#N/A</v>
      </c>
      <c r="EQ151" s="121" t="n">
        <f aca="false">IF(ISNA(VLOOKUP(A151,'Données projet'!$A$191:$I$211,3,0)),0,VLOOKUP(A151,'Données projet'!$A$191:$I$211,3,0))</f>
        <v>0</v>
      </c>
      <c r="ER151" s="121" t="n">
        <f aca="false">IF(ISNA(VLOOKUP(A151,'Données projet'!$A$191:$I$211,4,0)),0,VLOOKUP(A151,'Données projet'!$A$191:$I$211,4,0))</f>
        <v>0</v>
      </c>
      <c r="ES151" s="122" t="n">
        <f aca="false">IF(ISNA(VLOOKUP(A151,'Données projet'!$A$191:$I$211,5,0)),0%,VLOOKUP(A151,'Données projet'!$A$191:$I$211,5,0)*VLOOKUP('Données projet'!$B$15,Paramètres!$A$1:$I$89,7,0))</f>
        <v>0</v>
      </c>
      <c r="ET151" s="122" t="n">
        <f aca="false">IF(ISNA(VLOOKUP(A151,'Données projet'!$A$191:$I$211,6,0)),0%,VLOOKUP(A151,'Données projet'!$A$191:$I$211,6,0)*VLOOKUP('Données projet'!$B$15,Paramètres!$A$1:$I$89,7,0))</f>
        <v>0</v>
      </c>
      <c r="EU151" s="122" t="n">
        <f aca="false">IF(ISNA(VLOOKUP(A151,'Données projet'!$A$191:$I$211,7,0)),0%,VLOOKUP(A151,'Données projet'!$A$191:$I$211,7,0))</f>
        <v>0</v>
      </c>
      <c r="EV151" s="129" t="e">
        <f aca="false">EXP(-LN(2)/35)*EV150+(1-EXP(-LN(2)/35))/(LN(2)/35)*ER151*ES151*VLOOKUP('Données projet'!$B$15,Paramètres!$A$1:$I$89,3,0)*0.475*44/12</f>
        <v>#N/A</v>
      </c>
      <c r="EW151" s="129" t="e">
        <f aca="false">EXP(-LN(2)/25)*EW150+(1-EXP(-LN(2)/25))/(LN(2)/25)*Calculateur!ER151*Calculateur!ET151*VLOOKUP('Données projet'!$B$15,Paramètres!$A$1:$I$89,3,0)*0.475*44/12</f>
        <v>#N/A</v>
      </c>
      <c r="EX151" s="129" t="e">
        <f aca="false">EXP(-LN(2)/2)*EX150+(1-EXP(-LN(2)/2))/(LN(2)/2)*ER151*EU151*VLOOKUP('Données projet'!$B$15,Paramètres!$A$1:$I$89,3,0)*0.475*44/12</f>
        <v>#N/A</v>
      </c>
      <c r="EY151" s="130" t="e">
        <f aca="false">SUM(EV151:EX151)</f>
        <v>#N/A</v>
      </c>
      <c r="EZ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8" t="e">
        <f aca="false">VLOOKUP(A151,'Données projet'!$A$217:$I$237,2,0)</f>
        <v>#N/A</v>
      </c>
      <c r="FC151" s="118" t="e">
        <f aca="false">VLOOKUP(A151,'Données projet'!$A$217:$I$237,9,0)</f>
        <v>#N/A</v>
      </c>
      <c r="FD151" s="118" t="e">
        <f aca="false" t="array" ref="FD151:FD151">INDEX(FC:FC,MIN(IF(ISNUMBER(FC151:FC347),ROW(FC151:FC347),"")))</f>
        <v>#N/A</v>
      </c>
      <c r="FE151" s="118" t="n">
        <f aca="false">IF('Données projet'!$A$218&gt;35,FE150+FD151-FM150,IF(A151&lt;'Données projet'!$A$218,$FB$205^A151,IF(A151='Données projet'!$A$218,'Données projet'!$B$218,FE150+FD151-FM150)))</f>
        <v>0</v>
      </c>
      <c r="FF151" s="125" t="e">
        <f aca="false">FE151*VLOOKUP('Données projet'!$B$16,Paramètres!$A$1:$I$89,3,0)*VLOOKUP('Données projet'!$B$16,Paramètres!$A$1:$I$89,5,0)</f>
        <v>#N/A</v>
      </c>
      <c r="FG151" s="117" t="e">
        <f aca="false">EXP(-1.0587+0.8836*LN(FF151)+0.284)</f>
        <v>#N/A</v>
      </c>
      <c r="FH151" s="128" t="e">
        <f aca="false">(FF151+FG151)*0.475*44/12</f>
        <v>#N/A</v>
      </c>
      <c r="FI151" s="120" t="e">
        <f aca="false">FH151+(EZ151+FA151)*44/12</f>
        <v>#N/A</v>
      </c>
      <c r="FJ151" s="120" t="e">
        <f aca="true">AVERAGE(OFFSET($FI$3,0,0,'Données projet'!$E$16+1,1))-AVERAGE(OFFSET($H$3,0,0,'Données projet'!$E$16+1,1))</f>
        <v>#N/A</v>
      </c>
      <c r="FK151" s="120" t="e">
        <f aca="false">$FK$3</f>
        <v>#N/A</v>
      </c>
      <c r="FL151" s="121" t="n">
        <f aca="false">IF(ISNA(VLOOKUP(A151,'Données projet'!$A$217:$I$237,3,0)),0,VLOOKUP(A151,'Données projet'!$A$217:$I$237,3,0))</f>
        <v>0</v>
      </c>
      <c r="FM151" s="121" t="n">
        <f aca="false">IF(ISNA(VLOOKUP(A151,'Données projet'!$A$217:$I$237,4,0)),0,VLOOKUP(A151,'Données projet'!$A$217:$I$237,4,0))</f>
        <v>0</v>
      </c>
      <c r="FN151" s="122" t="n">
        <f aca="false">IF(ISNA(VLOOKUP(A151,'Données projet'!$A$217:$I$237,5,0)),0%,VLOOKUP(A151,'Données projet'!$A$217:$I$237,5,0)*VLOOKUP('Données projet'!$B$16,Paramètres!$A$1:$I$89,7,0))</f>
        <v>0</v>
      </c>
      <c r="FO151" s="122" t="n">
        <f aca="false">IF(ISNA(VLOOKUP(A151,'Données projet'!$A$217:$I$237,6,0)),0%,VLOOKUP(A151,'Données projet'!$A$217:$I$237,6,0)*VLOOKUP('Données projet'!$B$16,Paramètres!$A$1:$I$89,7,0))</f>
        <v>0</v>
      </c>
      <c r="FP151" s="122" t="n">
        <f aca="false">IF(ISNA(VLOOKUP(A151,'Données projet'!$A$217:$I$237,7,0)),0%,VLOOKUP(A151,'Données projet'!$A$217:$I$237,7,0))</f>
        <v>0</v>
      </c>
      <c r="FQ151" s="129" t="e">
        <f aca="false">EXP(-LN(2)/35)*FQ150+(1-EXP(-LN(2)/35))/(LN(2)/35)*FM151*FN151*VLOOKUP('Données projet'!$B$16,Paramètres!$A$1:$I$89,3,0)*0.475*44/12</f>
        <v>#N/A</v>
      </c>
      <c r="FR151" s="129" t="e">
        <f aca="false">EXP(-LN(2)/25)*FR150+(1-EXP(-LN(2)/25))/(LN(2)/25)*Calculateur!FM151*Calculateur!FO151*VLOOKUP('Données projet'!$B$16,Paramètres!$A$1:$I$89,3,0)*0.475*44/12</f>
        <v>#N/A</v>
      </c>
      <c r="FS151" s="129" t="e">
        <f aca="false">EXP(-LN(2)/2)*FS150+(1-EXP(-LN(2)/2))/(LN(2)/2)*FM151*FP151*VLOOKUP('Données projet'!$B$16,Paramètres!$A$1:$I$89,3,0)*0.475*44/12</f>
        <v>#N/A</v>
      </c>
      <c r="FT151" s="130" t="e">
        <f aca="false">SUM(FQ151:FS151)</f>
        <v>#N/A</v>
      </c>
      <c r="FU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8" t="e">
        <f aca="false">VLOOKUP(A151,'Données projet'!$A$243:$I$263,2,0)</f>
        <v>#N/A</v>
      </c>
      <c r="FX151" s="118" t="e">
        <f aca="false">VLOOKUP(A151,'Données projet'!$A$243:$I$263,9,0)</f>
        <v>#N/A</v>
      </c>
      <c r="FY151" s="118" t="e">
        <f aca="false" t="array" ref="FY151:FY151">INDEX(FX:FX,MIN(IF(ISNUMBER(FX151:FX347),ROW(FX151:FX347),"")))</f>
        <v>#N/A</v>
      </c>
      <c r="FZ151" s="118" t="n">
        <f aca="false">IF('Données projet'!$A$244&gt;35,FZ150+FY151-GH150,IF(A151&lt;'Données projet'!$A$244,$FW$205^A151,IF(A151='Données projet'!$A$244,'Données projet'!$B$244,FZ150+FY151-GH150)))</f>
        <v>0</v>
      </c>
      <c r="GA151" s="125" t="e">
        <f aca="false">FZ151*VLOOKUP('Données projet'!$B$17,Paramètres!$A$1:$I$89,3,0)*VLOOKUP('Données projet'!$B$17,Paramètres!$A$1:$I$89,5,0)</f>
        <v>#N/A</v>
      </c>
      <c r="GB151" s="117" t="e">
        <f aca="false">EXP(-1.0587+0.8836*LN(GA151)+0.284)</f>
        <v>#N/A</v>
      </c>
      <c r="GC151" s="128" t="e">
        <f aca="false">(GA151+GB151)*0.475*44/12</f>
        <v>#N/A</v>
      </c>
      <c r="GD151" s="120" t="e">
        <f aca="false">GC151+(FU151+FV151)*44/12</f>
        <v>#N/A</v>
      </c>
      <c r="GE151" s="120" t="e">
        <f aca="true">AVERAGE(OFFSET($GD$3,0,0,'Données projet'!$E$17+1,1))-AVERAGE(OFFSET($H$3,0,0,'Données projet'!$E$17+1,1))</f>
        <v>#N/A</v>
      </c>
      <c r="GF151" s="120" t="e">
        <f aca="false">$GF$3</f>
        <v>#N/A</v>
      </c>
      <c r="GG151" s="121" t="n">
        <f aca="false">IF(ISNA(VLOOKUP(A151,'Données projet'!$A$243:$I$263,3,0)),0,VLOOKUP(A151,'Données projet'!$A$243:$I$263,3,0))</f>
        <v>0</v>
      </c>
      <c r="GH151" s="121" t="n">
        <f aca="false">IF(ISNA(VLOOKUP(A151,'Données projet'!$A$243:$I$263,4,0)),0,VLOOKUP(A151,'Données projet'!$A$243:$I$263,4,0))</f>
        <v>0</v>
      </c>
      <c r="GI151" s="122" t="n">
        <f aca="false">IF(ISNA(VLOOKUP(A151,'Données projet'!$A$243:$I$263,5,0)),0%,VLOOKUP(A151,'Données projet'!$A$243:$I$263,5,0)*VLOOKUP('Données projet'!$B$17,Paramètres!$A$1:$I$89,7,0))</f>
        <v>0</v>
      </c>
      <c r="GJ151" s="122" t="n">
        <f aca="false">IF(ISNA(VLOOKUP(A151,'Données projet'!$A$243:$I$263,6,0)),0%,VLOOKUP(A151,'Données projet'!$A$243:$I$263,6,0)*VLOOKUP('Données projet'!$B$17,Paramètres!$A$1:$I$89,7,0))</f>
        <v>0</v>
      </c>
      <c r="GK151" s="122" t="n">
        <f aca="false">IF(ISNA(VLOOKUP(A151,'Données projet'!$A$243:$I$263,7,0)),0%,VLOOKUP(A151,'Données projet'!$A$243:$I$263,7,0))</f>
        <v>0</v>
      </c>
      <c r="GL151" s="129" t="e">
        <f aca="false">EXP(-LN(2)/35)*GL150+(1-EXP(-LN(2)/35))/(LN(2)/35)*GH151*GI151*VLOOKUP('Données projet'!$B$17,Paramètres!$A$1:$I$89,3,0)*0.475*44/12</f>
        <v>#N/A</v>
      </c>
      <c r="GM151" s="129" t="e">
        <f aca="false">EXP(-LN(2)/25)*GM150+(1-EXP(-LN(2)/25))/(LN(2)/25)*Calculateur!GH151*Calculateur!GJ151*VLOOKUP('Données projet'!$B$17,Paramètres!$A$1:$I$89,3,0)*0.475*44/12</f>
        <v>#N/A</v>
      </c>
      <c r="GN151" s="129" t="e">
        <f aca="false">EXP(-LN(2)/2)*GN150+(1-EXP(-LN(2)/2))/(LN(2)/2)*GH151*GK151*VLOOKUP('Données projet'!$B$17,Paramètres!$A$1:$I$89,3,0)*0.475*44/12</f>
        <v>#N/A</v>
      </c>
      <c r="GO151" s="129" t="e">
        <f aca="false">SUM(GL151:GN151)</f>
        <v>#N/A</v>
      </c>
      <c r="GP151" s="126" t="n">
        <f aca="false"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8" t="n">
        <f aca="false"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8" t="e">
        <f aca="false">VLOOKUP(A151,'Données projet'!$A$269:$I$289,2,0)</f>
        <v>#N/A</v>
      </c>
      <c r="GS151" s="118" t="e">
        <f aca="false">VLOOKUP(A151,'Données projet'!$A$269:$I$289,9,0)</f>
        <v>#N/A</v>
      </c>
      <c r="GT151" s="118" t="e">
        <f aca="false" t="array" ref="GT151:GT151">INDEX(GS:GS,MIN(IF(ISNUMBER(GS151:GS347),ROW(GS151:GS347),"")))</f>
        <v>#N/A</v>
      </c>
      <c r="GU151" s="118" t="n">
        <f aca="false">IF('Données projet'!$A$270&gt;35,GU150+GT151-HC150,IF(A151&lt;'Données projet'!$A$270,$GR$205^A151,IF(A151='Données projet'!$A$270,'Données projet'!$B$270,GU150+GT151-HC150)))</f>
        <v>0</v>
      </c>
      <c r="GV151" s="125" t="e">
        <f aca="false">GU151*VLOOKUP('Données projet'!$B$18,Paramètres!$A$1:$I$89,3,0)*VLOOKUP('Données projet'!$B$18,Paramètres!$A$1:$I$89,5,0)</f>
        <v>#N/A</v>
      </c>
      <c r="GW151" s="117" t="e">
        <f aca="false">EXP(-1.0587+0.8836*LN(GV151)+0.284)</f>
        <v>#N/A</v>
      </c>
      <c r="GX151" s="128" t="e">
        <f aca="false">(GV151+GW151)*0.475*44/12</f>
        <v>#N/A</v>
      </c>
      <c r="GY151" s="120" t="e">
        <f aca="false">GX151+(GP151+GQ151)*44/12</f>
        <v>#N/A</v>
      </c>
      <c r="GZ151" s="120" t="e">
        <f aca="true">AVERAGE(OFFSET($GY$3,0,0,'Données projet'!$E$18+1,1))-AVERAGE(OFFSET($H$3,0,0,'Données projet'!$E$18+1,1))</f>
        <v>#N/A</v>
      </c>
      <c r="HA151" s="120" t="e">
        <f aca="false">$HA$3</f>
        <v>#N/A</v>
      </c>
      <c r="HB151" s="121" t="n">
        <f aca="false">IF(ISNA(VLOOKUP(A151,'Données projet'!$A$269:$I$289,3,0)),0,VLOOKUP(A151,'Données projet'!$A$269:$I$289,3,0))</f>
        <v>0</v>
      </c>
      <c r="HC151" s="121" t="n">
        <f aca="false">IF(ISNA(VLOOKUP(A151,'Données projet'!$A$269:$I$289,4,0)),0,VLOOKUP(A151,'Données projet'!$A$269:$I$289,4,0))</f>
        <v>0</v>
      </c>
      <c r="HD151" s="122" t="n">
        <f aca="false">IF(ISNA(VLOOKUP(A151,'Données projet'!$A$269:$I$289,5,0)),0%,VLOOKUP(A151,'Données projet'!$A$269:$I$289,5,0)*VLOOKUP('Données projet'!$B$18,Paramètres!$A$1:$I$89,7,0))</f>
        <v>0</v>
      </c>
      <c r="HE151" s="122" t="n">
        <f aca="false">IF(ISNA(VLOOKUP(A151,'Données projet'!$A$269:$I$289,6,0)),0%,VLOOKUP(A151,'Données projet'!$A$269:$I$289,6,0)*VLOOKUP('Données projet'!$B$18,Paramètres!$A$1:$I$89,7,0))</f>
        <v>0</v>
      </c>
      <c r="HF151" s="122" t="n">
        <f aca="false">IF(ISNA(VLOOKUP(A151,'Données projet'!$A$269:$I$289,7,0)),0%,VLOOKUP(A151,'Données projet'!$A$269:$I$289,7,0))</f>
        <v>0</v>
      </c>
      <c r="HG151" s="129" t="e">
        <f aca="false">EXP(-LN(2)/35)*HG150+(1-EXP(-LN(2)/35))/(LN(2)/35)*HC151*HD151*VLOOKUP('Données projet'!$B$18,Paramètres!$A$1:$I$89,3,0)*0.475*44/12</f>
        <v>#N/A</v>
      </c>
      <c r="HH151" s="129" t="e">
        <f aca="false">EXP(-LN(2)/25)*HH150+(1-EXP(-LN(2)/25))/(LN(2)/25)*Calculateur!HC151*Calculateur!HE151*VLOOKUP('Données projet'!$B$18,Paramètres!$A$1:$I$89,3,0)*0.475*44/12</f>
        <v>#N/A</v>
      </c>
      <c r="HI151" s="129" t="e">
        <f aca="false">EXP(-LN(2)/2)*HI150+(1-EXP(-LN(2)/2))/(LN(2)/2)*HC151*HF151*VLOOKUP('Données projet'!$B$18,Paramètres!$A$1:$I$89,3,0)*0.475*44/12</f>
        <v>#N/A</v>
      </c>
      <c r="HJ151" s="130" t="e">
        <f aca="false">SUM(HG151:HI151)</f>
        <v>#N/A</v>
      </c>
    </row>
    <row r="152" customFormat="false" ht="14.25" hidden="false" customHeight="false" outlineLevel="0" collapsed="false">
      <c r="A152" s="112" t="n">
        <f aca="false">A151+1</f>
        <v>149</v>
      </c>
      <c r="B152" s="113" t="n">
        <f aca="false">'Scénario référence'!$B$16*5+'Scénario référence'!$B$17*0+'Scénario référence'!$B$18*5</f>
        <v>0</v>
      </c>
      <c r="C152" s="127" t="n">
        <f aca="false"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4" t="n">
        <f aca="false">IFERROR(EXP(-1.0587+0.8836*LN(C152)+0.284),0)</f>
        <v>0</v>
      </c>
      <c r="E15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2" s="114" t="n">
        <f aca="false">IF(OR('Scénario référence'!$F$8&gt;0,'Scénario référence'!$F$9&gt;0),('Scénario référence'!$F$8+'Scénario référence'!$F$9)*10,0)</f>
        <v>0</v>
      </c>
      <c r="G152" s="114" t="n">
        <f aca="false"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15" t="n">
        <f aca="false">(B152+E152+F152)*44/12+(C152+D152)*0.475*44/12</f>
        <v>256.666666666667</v>
      </c>
      <c r="I152" s="11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7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8" t="e">
        <f aca="false">VLOOKUP(A152,'Données projet'!$A$35:$I$55,2,0)</f>
        <v>#N/A</v>
      </c>
      <c r="L152" s="118" t="e">
        <f aca="false">VLOOKUP(A152,'Données projet'!$A$35:$I$55,9,0)</f>
        <v>#N/A</v>
      </c>
      <c r="M152" s="118" t="e">
        <f aca="false" t="array" ref="M152:M152">INDEX(L:L,MIN(IF(ISNUMBER(L152:L348),ROW(L152:L348),"")))</f>
        <v>#N/A</v>
      </c>
      <c r="N152" s="117" t="n">
        <f aca="false">IF('Données projet'!$A$36&gt;35,N151+M152-V151,IF(A152&lt;'Données projet'!$A$36,$K$205^A152,IF(A152='Données projet'!$A$36,'Données projet'!$B$36,N151+M152-V151)))</f>
        <v>-1.13686837721616E-013</v>
      </c>
      <c r="O152" s="117" t="n">
        <f aca="false">N152*VLOOKUP('Données projet'!$B$9,Paramètres!$A$1:$I$89,3,0)*VLOOKUP('Données projet'!$B$9,Paramètres!$A$1:$I$89,5,0)</f>
        <v>-5.32054400537163E-014</v>
      </c>
      <c r="P152" s="117" t="e">
        <f aca="false">EXP(-1.0587+0.8836*LN(O152)+0.284)</f>
        <v>#VALUE!</v>
      </c>
      <c r="Q152" s="128" t="e">
        <f aca="false">(O152+P152)*0.475*44/12</f>
        <v>#VALUE!</v>
      </c>
      <c r="R152" s="120" t="e">
        <f aca="false">Q152+(I152+J152)*44/12</f>
        <v>#VALUE!</v>
      </c>
      <c r="S152" s="120" t="n">
        <f aca="true">AVERAGE(OFFSET($R$3,0,0,'Données projet'!$E$9+1,1))-AVERAGE(OFFSET($H$3,0,0,'Données projet'!$E$9+1,1))</f>
        <v>319.229030946746</v>
      </c>
      <c r="T152" s="120" t="n">
        <f aca="false">$T$3</f>
        <v>254.586909731428</v>
      </c>
      <c r="U152" s="121" t="n">
        <f aca="false">IF(ISNA(VLOOKUP(A152,'Données projet'!$A$35:$I$55,3,0)),0,VLOOKUP(A152,'Données projet'!$A$35:$I$55,3,0))</f>
        <v>0</v>
      </c>
      <c r="V152" s="121" t="n">
        <f aca="false">IF(ISNA(VLOOKUP(A152,'Données projet'!$A$35:$I$55,4,0)),0,VLOOKUP(A152,'Données projet'!$A$35:$I$55,4,0))</f>
        <v>0</v>
      </c>
      <c r="W152" s="122" t="n">
        <f aca="false">IF(ISNA(VLOOKUP(A152,'Données projet'!$A$35:$I$55,5,0)),0%,VLOOKUP(A152,'Données projet'!$A$35:$I$55,5,0)*VLOOKUP('Données projet'!$B$9,Paramètres!$A$1:$I$89,7,0))</f>
        <v>0</v>
      </c>
      <c r="X152" s="122" t="n">
        <f aca="false">IF(ISNA(VLOOKUP(A152,'Données projet'!$A$35:$I$55,6,0)),0%,VLOOKUP(A152,'Données projet'!$A$35:$I$55,6,0)*VLOOKUP('Données projet'!$B$9,Paramètres!$A$1:$I$89,7,0))</f>
        <v>0</v>
      </c>
      <c r="Y152" s="122" t="n">
        <f aca="false">IF(ISNA(VLOOKUP(A152,'Données projet'!$A$35:$I$55,7,0)),0%,VLOOKUP(A152,'Données projet'!$A$35:$I$55,7,0))</f>
        <v>0</v>
      </c>
      <c r="Z152" s="129" t="n">
        <f aca="false">EXP(-LN(2)/35)*Z151+(1-EXP(-LN(2)/35))/(LN(2)/35)*V152*W152*VLOOKUP('Données projet'!$B$9,Paramètres!$A$1:$I$89,3,0)*0.475*44/12</f>
        <v>0.859806055433389</v>
      </c>
      <c r="AA152" s="129" t="n">
        <f aca="false">EXP(-LN(2)/25)*AA151+(1-EXP(-LN(2)/25))/(LN(2)/25)*Calculateur!V152*Calculateur!X152*VLOOKUP('Données projet'!$B$9,Paramètres!$A$1:$I$89,3,0)*0.475*44/12</f>
        <v>0.411550854411299</v>
      </c>
      <c r="AB152" s="129" t="n">
        <f aca="false">EXP(-LN(2)/2)*AB151+(1-EXP(-LN(2)/2))/(LN(2)/2)*V152*Y152*VLOOKUP('Données projet'!$B$9,Paramètres!$A$1:$I$89,3,0)*0.475*44/12</f>
        <v>1.35458851590537E-017</v>
      </c>
      <c r="AC152" s="130" t="n">
        <f aca="false">SUM(Z152:AB152)</f>
        <v>1.27135690984469</v>
      </c>
      <c r="AD152" s="117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7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8" t="e">
        <f aca="false">VLOOKUP(A152,'Données projet'!$A$61:$I$81,2,0)</f>
        <v>#N/A</v>
      </c>
      <c r="AG152" s="118" t="e">
        <f aca="false">VLOOKUP(A152,'Données projet'!$A$61:$I$81,9,0)</f>
        <v>#N/A</v>
      </c>
      <c r="AH152" s="118" t="e">
        <f aca="false" t="array" ref="AH152:AH152">INDEX(AG:AG,MIN(IF(ISNUMBER(AG152:AG348),ROW(AG152:AG348),"")))</f>
        <v>#N/A</v>
      </c>
      <c r="AI152" s="117" t="n">
        <f aca="false">IF('Données projet'!$A$62&gt;35,AI151+AH152-AQ151,IF(A152&lt;'Données projet'!$A$62,$AF$205^A152,IF(A152='Données projet'!$A$62,'Données projet'!$B$62,AI151+AH152-AQ151)))</f>
        <v>1.13686837721616E-013</v>
      </c>
      <c r="AJ152" s="117" t="n">
        <f aca="false">AI152*VLOOKUP('Données projet'!$B$10,Paramètres!$A$1:$I$89,3,0)*VLOOKUP('Données projet'!$B$10,Paramètres!$A$1:$I$89,5,0)</f>
        <v>6.35509422863834E-014</v>
      </c>
      <c r="AK152" s="117" t="n">
        <f aca="false">EXP(-1.0587+0.8836*LN(AJ152)+0.284)</f>
        <v>1.0064464192544E-012</v>
      </c>
      <c r="AL152" s="128" t="n">
        <f aca="false">(AJ152+AK152)*0.475*44/12</f>
        <v>1.86357873801686E-012</v>
      </c>
      <c r="AM152" s="120" t="n">
        <f aca="false">AL152+(AD152+AE152)*44/12</f>
        <v>293.333333333335</v>
      </c>
      <c r="AN152" s="120" t="n">
        <f aca="true">AVERAGE(OFFSET($AM$3,0,0,'Données projet'!$E$10+1,1))-AVERAGE(OFFSET($H$3,0,0,'Données projet'!$E$10+1,1))</f>
        <v>365.705101827279</v>
      </c>
      <c r="AO152" s="120" t="n">
        <f aca="false">$AO$3</f>
        <v>436.238338449625</v>
      </c>
      <c r="AP152" s="121" t="n">
        <f aca="false">IF(ISNA(VLOOKUP(A152,'Données projet'!$A$61:$I$81,3,0)),0,VLOOKUP(A152,'Données projet'!$A$61:$I$81,3,0))</f>
        <v>0</v>
      </c>
      <c r="AQ152" s="121" t="n">
        <f aca="false">IF(ISNA(VLOOKUP(A152,'Données projet'!$A$61:$I$81,4,0)),0,VLOOKUP(A152,'Données projet'!$A$61:$I$81,4,0))</f>
        <v>0</v>
      </c>
      <c r="AR152" s="122" t="n">
        <f aca="false">IF(ISNA(VLOOKUP(A152,'Données projet'!$A$61:$I$81,5,0)),0%,VLOOKUP(A152,'Données projet'!$A$61:$I$81,5,0)*VLOOKUP('Données projet'!$B$10,Paramètres!$A$1:$I$89,7,0))</f>
        <v>0</v>
      </c>
      <c r="AS152" s="122" t="n">
        <f aca="false">IF(ISNA(VLOOKUP(A152,'Données projet'!$A$61:$I$81,6,0)),0%,VLOOKUP(A152,'Données projet'!$A$61:$I$81,6,0)*VLOOKUP('Données projet'!$B$10,Paramètres!$A$1:$I$89,7,0))</f>
        <v>0</v>
      </c>
      <c r="AT152" s="122" t="n">
        <f aca="false">IF(ISNA(VLOOKUP(A152,'Données projet'!$A$61:$I$81,7,0)),0%,VLOOKUP(A152,'Données projet'!$A$61:$I$81,7,0))</f>
        <v>0</v>
      </c>
      <c r="AU152" s="129" t="n">
        <f aca="false">EXP(-LN(2)/35)*AU151+(1-EXP(-LN(2)/35))/(LN(2)/35)*AQ152*AR152*VLOOKUP('Données projet'!$B$10,Paramètres!$A$1:$I$89,3,0)*0.475*44/12</f>
        <v>0.324548909801751</v>
      </c>
      <c r="AV152" s="129" t="n">
        <f aca="false">EXP(-LN(2)/25)*AV151+(1-EXP(-LN(2)/25))/(LN(2)/25)*Calculateur!AQ152*Calculateur!AS152*VLOOKUP('Données projet'!$B$10,Paramètres!$A$1:$I$89,3,0)*0.475*44/12</f>
        <v>0.487459734546143</v>
      </c>
      <c r="AW152" s="129" t="n">
        <f aca="false">EXP(-LN(2)/2)*AW151+(1-EXP(-LN(2)/2))/(LN(2)/2)*AQ152*AT152*VLOOKUP('Données projet'!$B$10,Paramètres!$A$1:$I$89,3,0)*0.475*44/12</f>
        <v>7.28997201924558E-018</v>
      </c>
      <c r="AX152" s="129" t="n">
        <f aca="false">SUM(AU152:AW152)</f>
        <v>0.812008644347893</v>
      </c>
      <c r="AY152" s="124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8" t="e">
        <f aca="false">VLOOKUP(A152,'Données projet'!$A$87:$I$107,2,0)</f>
        <v>#N/A</v>
      </c>
      <c r="BB152" s="118" t="e">
        <f aca="false">VLOOKUP(A152,'Données projet'!$A$87:$I$107,9,0)</f>
        <v>#N/A</v>
      </c>
      <c r="BC152" s="118" t="e">
        <f aca="false" t="array" ref="BC152:BC152">INDEX(BB:BB,MIN(IF(ISNUMBER(BB152:BB348),ROW(BB152:BB348),"")))</f>
        <v>#N/A</v>
      </c>
      <c r="BD152" s="118" t="n">
        <f aca="false">IF('Données projet'!$A$88&gt;35,BD151+BC152-BL151,IF(A152&lt;'Données projet'!$A$88,$BA$205^A152,IF(A152='Données projet'!$A$88,'Données projet'!$B$88,BD151+BC152-BL151)))</f>
        <v>1.98951966012828E-013</v>
      </c>
      <c r="BE152" s="117" t="n">
        <f aca="false">BD152*VLOOKUP('Données projet'!$B$11,Paramètres!$A$1:$I$89,3,0)*VLOOKUP('Données projet'!$B$11,Paramètres!$A$1:$I$89,5,0)</f>
        <v>1.73804437508807E-013</v>
      </c>
      <c r="BF152" s="117" t="n">
        <f aca="false">EXP(-1.0587+0.8836*LN(BE152)+0.284)</f>
        <v>2.44832936339505E-012</v>
      </c>
      <c r="BG152" s="128" t="n">
        <f aca="false">(BE152+BF152)*0.475*44/12</f>
        <v>4.56688303657421E-012</v>
      </c>
      <c r="BH152" s="120" t="n">
        <f aca="false">BG152+(AY152+AZ152)*44/12</f>
        <v>293.333333333338</v>
      </c>
      <c r="BI152" s="120" t="n">
        <f aca="true">AVERAGE(OFFSET($BH$3,0,0,'Données projet'!$E$11+1,1))-AVERAGE(OFFSET($H$3,0,0,'Données projet'!$E$11+1,1))</f>
        <v>321.235999689929</v>
      </c>
      <c r="BJ152" s="120" t="n">
        <f aca="false">$BJ$3</f>
        <v>388.051958478005</v>
      </c>
      <c r="BK152" s="121" t="n">
        <f aca="false">IF(ISNA(VLOOKUP(A152,'Données projet'!$A$87:$I$107,3,0)),0,VLOOKUP(A152,'Données projet'!$A$87:$I$107,3,0))</f>
        <v>0</v>
      </c>
      <c r="BL152" s="121" t="n">
        <f aca="false">IF(ISNA(VLOOKUP(A152,'Données projet'!$A$87:$I$107,4,0)),0,VLOOKUP(A152,'Données projet'!$A$87:$I$107,4,0))</f>
        <v>0</v>
      </c>
      <c r="BM152" s="122" t="n">
        <f aca="false">IF(ISNA(VLOOKUP(A152,'Données projet'!$A$87:$I$107,5,0)),0%,VLOOKUP(A152,'Données projet'!$A$87:$I$107,5,0)*VLOOKUP('Données projet'!$B$11,Paramètres!$A$1:$I$89,7,0))</f>
        <v>0</v>
      </c>
      <c r="BN152" s="122" t="n">
        <f aca="false">IF(ISNA(VLOOKUP(A152,'Données projet'!$A$87:$I$107,6,0)),0%,VLOOKUP(A152,'Données projet'!$A$87:$I$107,6,0)*VLOOKUP('Données projet'!$B$11,Paramètres!$A$1:$I$89,7,0))</f>
        <v>0</v>
      </c>
      <c r="BO152" s="122" t="n">
        <f aca="false">IF(ISNA(VLOOKUP(A152,'Données projet'!$A$87:$I$107,7,0)),0%,VLOOKUP(A152,'Données projet'!$A$87:$I$107,7,0))</f>
        <v>0</v>
      </c>
      <c r="BP152" s="129" t="n">
        <f aca="false">EXP(-LN(2)/35)*BP151+(1-EXP(-LN(2)/35))/(LN(2)/35)*BL152*BM152*VLOOKUP('Données projet'!$B$11,Paramètres!$A$1:$I$89,3,0)*0.475*44/12</f>
        <v>0.814819422700627</v>
      </c>
      <c r="BQ152" s="129" t="n">
        <f aca="false">EXP(-LN(2)/25)*BQ151+(1-EXP(-LN(2)/25))/(LN(2)/25)*Calculateur!BL152*Calculateur!BN152*VLOOKUP('Données projet'!$B$11,Paramètres!$A$1:$I$89,3,0)*0.475*44/12</f>
        <v>0.497569943706569</v>
      </c>
      <c r="BR152" s="129" t="n">
        <f aca="false">EXP(-LN(2)/2)*BR151+(1-EXP(-LN(2)/2))/(LN(2)/2)*BL152*BO152*VLOOKUP('Données projet'!$B$11,Paramètres!$A$1:$I$89,3,0)*0.475*44/12</f>
        <v>7.41010503297563E-018</v>
      </c>
      <c r="BS152" s="130" t="n">
        <f aca="false">SUM(BP152:BR152)</f>
        <v>1.3123893664072</v>
      </c>
      <c r="BT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8" t="e">
        <f aca="false">VLOOKUP(A152,'Données projet'!$A$113:$I$133,2,0)</f>
        <v>#N/A</v>
      </c>
      <c r="BW152" s="118" t="e">
        <f aca="false">VLOOKUP(A152,'Données projet'!$A$113:$I$133,9,0)</f>
        <v>#N/A</v>
      </c>
      <c r="BX152" s="118" t="e">
        <f aca="false" t="array" ref="BX152:BX152">INDEX(BW:BW,MIN(IF(ISNUMBER(BW152:BW348),ROW(BW152:BW348),"")))</f>
        <v>#N/A</v>
      </c>
      <c r="BY152" s="118" t="n">
        <f aca="false">IF('Données projet'!$A$114&gt;35,BY151+BX152-CG151,IF(A152&lt;'Données projet'!$A$114,$BV$205^A152,IF(A152='Données projet'!$A$114,'Données projet'!$B$114,BY151+BX152-CG151)))</f>
        <v>0</v>
      </c>
      <c r="BZ152" s="117" t="n">
        <f aca="false">BY152*VLOOKUP('Données projet'!$B$12,Paramètres!$A$1:$I$89,3,0)*VLOOKUP('Données projet'!$B$12,Paramètres!$A$1:$I$89,5,0)</f>
        <v>0</v>
      </c>
      <c r="CA152" s="117" t="e">
        <f aca="false">EXP(-1.0587+0.8836*LN(BZ152)+0.284)</f>
        <v>#VALUE!</v>
      </c>
      <c r="CB152" s="128" t="e">
        <f aca="false">(BZ152+CA152)*0.475*44/12</f>
        <v>#VALUE!</v>
      </c>
      <c r="CC152" s="120" t="e">
        <f aca="false">CB152+(BT152+BU152)*44/12</f>
        <v>#VALUE!</v>
      </c>
      <c r="CD152" s="120" t="n">
        <f aca="true">AVERAGE(OFFSET($CC$3,0,0,'Données projet'!$E$12+1,1))-AVERAGE(OFFSET($H$3,0,0,'Données projet'!$E$12+1,1))</f>
        <v>240.228848647662</v>
      </c>
      <c r="CE152" s="120" t="n">
        <f aca="false">$CE$3</f>
        <v>343.237768841432</v>
      </c>
      <c r="CF152" s="121" t="n">
        <f aca="false">IF(ISNA(VLOOKUP(A152,'Données projet'!$A$113:$I$133,3,0)),0,VLOOKUP(A152,'Données projet'!$A$113:$I$133,3,0))</f>
        <v>0</v>
      </c>
      <c r="CG152" s="121" t="n">
        <f aca="false">IF(ISNA(VLOOKUP(A152,'Données projet'!$A$113:$I$133,4,0)),0,VLOOKUP(A152,'Données projet'!$A$113:$I$133,4,0))</f>
        <v>0</v>
      </c>
      <c r="CH152" s="122" t="n">
        <f aca="false">IF(ISNA(VLOOKUP(A152,'Données projet'!$A$113:$I$133,5,0)),0%,VLOOKUP(A152,'Données projet'!$A$113:$I$133,5,0)*VLOOKUP('Données projet'!$B$12,Paramètres!$A$1:$I$89,7,0))</f>
        <v>0</v>
      </c>
      <c r="CI152" s="122" t="n">
        <f aca="false">IF(ISNA(VLOOKUP(A152,'Données projet'!$A$113:$I$133,6,0)),0%,VLOOKUP(A152,'Données projet'!$A$113:$I$133,6,0)*VLOOKUP('Données projet'!$B$12,Paramètres!$A$1:$I$89,7,0))</f>
        <v>0</v>
      </c>
      <c r="CJ152" s="122" t="n">
        <f aca="false">IF(ISNA(VLOOKUP(A152,'Données projet'!$A$113:$I$133,7,0)),0%,VLOOKUP(A152,'Données projet'!$A$113:$I$133,7,0))</f>
        <v>0</v>
      </c>
      <c r="CK152" s="129" t="n">
        <f aca="false">EXP(-LN(2)/35)*CK151+(1-EXP(-LN(2)/35))/(LN(2)/35)*CG152*CH152*VLOOKUP('Données projet'!$B$12,Paramètres!$A$1:$I$89,3,0)*0.475*44/12</f>
        <v>0.498732966798946</v>
      </c>
      <c r="CL152" s="129" t="n">
        <f aca="false">EXP(-LN(2)/25)*CL151+(1-EXP(-LN(2)/25))/(LN(2)/25)*Calculateur!CG152*Calculateur!CI152*VLOOKUP('Données projet'!$B$12,Paramètres!$A$1:$I$89,3,0)*0.475*44/12</f>
        <v>0.878737324853457</v>
      </c>
      <c r="CM152" s="129" t="n">
        <f aca="false">EXP(-LN(2)/2)*CM151+(1-EXP(-LN(2)/2))/(LN(2)/2)*CG152*CJ152*VLOOKUP('Données projet'!$B$12,Paramètres!$A$1:$I$89,3,0)*0.475*44/12</f>
        <v>1.18245520997596E-017</v>
      </c>
      <c r="CN152" s="130" t="n">
        <f aca="false">SUM(CK152:CM152)</f>
        <v>1.3774702916524</v>
      </c>
      <c r="CO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8" t="e">
        <f aca="false">VLOOKUP(A152,'Données projet'!$A$139:$I$159,2,0)</f>
        <v>#N/A</v>
      </c>
      <c r="CR152" s="118" t="e">
        <f aca="false">VLOOKUP(A152,'Données projet'!$A$139:$I$159,9,0)</f>
        <v>#N/A</v>
      </c>
      <c r="CS152" s="118" t="e">
        <f aca="false" t="array" ref="CS152:CS152">INDEX(CR:CR,MIN(IF(ISNUMBER(CR152:CR348),ROW(CR152:CR348),"")))</f>
        <v>#N/A</v>
      </c>
      <c r="CT152" s="118" t="n">
        <f aca="false">IF('Données projet'!$A$140&gt;35,CT151+CS152-DB151,IF(A152&lt;'Données projet'!$A$140,$CQ$205^A152,IF(A152='Données projet'!$A$140,'Données projet'!$B$140,CT151+CS152-DB151)))</f>
        <v>-5.6843418860808E-014</v>
      </c>
      <c r="CU152" s="125" t="n">
        <f aca="false">CT152*VLOOKUP('Données projet'!$B$13,Paramètres!$A$1:$I$89,3,0)*VLOOKUP('Données projet'!$B$13,Paramètres!$A$1:$I$89,5,0)</f>
        <v>-3.10365066980012E-014</v>
      </c>
      <c r="CV152" s="117" t="e">
        <f aca="false">EXP(-1.0587+0.8836*LN(CU152)+0.284)</f>
        <v>#VALUE!</v>
      </c>
      <c r="CW152" s="128" t="e">
        <f aca="false">(CU152+CV152)*0.475*44/12</f>
        <v>#VALUE!</v>
      </c>
      <c r="CX152" s="120" t="e">
        <f aca="false">CW152+(CO152+CP152)*44/12</f>
        <v>#VALUE!</v>
      </c>
      <c r="CY152" s="120" t="n">
        <f aca="true">AVERAGE(OFFSET($CX$3,0,0,'Données projet'!$E$13+1,1))-AVERAGE(OFFSET($H$3,0,0,'Données projet'!$E$13+1,1))</f>
        <v>207.023069645676</v>
      </c>
      <c r="CZ152" s="120" t="n">
        <f aca="false">$CZ$3</f>
        <v>342.068879333518</v>
      </c>
      <c r="DA152" s="121" t="n">
        <f aca="false">IF(ISNA(VLOOKUP(A152,'Données projet'!$A$139:$I$159,3,0)),0,VLOOKUP(A152,'Données projet'!$A$139:$I$159,3,0))</f>
        <v>0</v>
      </c>
      <c r="DB152" s="121" t="n">
        <f aca="false">IF(ISNA(VLOOKUP(A152,'Données projet'!$A$139:$I$159,4,0)),0,VLOOKUP(A152,'Données projet'!$A$139:$I$159,4,0))</f>
        <v>0</v>
      </c>
      <c r="DC152" s="122" t="n">
        <f aca="false">IF(ISNA(VLOOKUP(A152,'Données projet'!$A$139:$I$159,5,0)),0%,VLOOKUP(A152,'Données projet'!$A$139:$I$159,5,0)*VLOOKUP('Données projet'!$B$13,Paramètres!$A$1:$I$89,7,0))</f>
        <v>0</v>
      </c>
      <c r="DD152" s="122" t="n">
        <f aca="false">IF(ISNA(VLOOKUP(A152,'Données projet'!$A$139:$I$159,6,0)),0%,VLOOKUP(A152,'Données projet'!$A$139:$I$159,6,0)*VLOOKUP('Données projet'!$B$13,Paramètres!$A$1:$I$89,7,0))</f>
        <v>0</v>
      </c>
      <c r="DE152" s="122" t="n">
        <f aca="false">IF(ISNA(VLOOKUP(A152,'Données projet'!$A$139:$I$159,7,0)),0%,VLOOKUP(A152,'Données projet'!$A$139:$I$159,7,0))</f>
        <v>0</v>
      </c>
      <c r="DF152" s="129" t="n">
        <f aca="false">EXP(-LN(2)/35)*DF151+(1-EXP(-LN(2)/35))/(LN(2)/35)*DB152*DC152*VLOOKUP('Données projet'!$B$13,Paramètres!$A$1:$I$89,3,0)*0.475*44/12</f>
        <v>0.625768722493017</v>
      </c>
      <c r="DG152" s="129" t="n">
        <f aca="false">EXP(-LN(2)/25)*DG151+(1-EXP(-LN(2)/25))/(LN(2)/25)*Calculateur!DB152*Calculateur!DD152*VLOOKUP('Données projet'!$B$13,Paramètres!$A$1:$I$89,3,0)*0.475*44/12</f>
        <v>1.43636954185815</v>
      </c>
      <c r="DH152" s="129" t="n">
        <f aca="false">EXP(-LN(2)/2)*DH151+(1-EXP(-LN(2)/2))/(LN(2)/2)*DB152*DE152*VLOOKUP('Données projet'!$B$13,Paramètres!$A$1:$I$89,3,0)*0.475*44/12</f>
        <v>1.62824137235292E-017</v>
      </c>
      <c r="DI152" s="130" t="n">
        <f aca="false">SUM(DF152:DH152)</f>
        <v>2.06213826435117</v>
      </c>
      <c r="DJ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8" t="e">
        <f aca="false">VLOOKUP(A152,'Données projet'!$A$165:$I$185,2,0)</f>
        <v>#N/A</v>
      </c>
      <c r="DM152" s="118" t="e">
        <f aca="false">VLOOKUP(A152,'Données projet'!$A$165:$I$185,9,0)</f>
        <v>#N/A</v>
      </c>
      <c r="DN152" s="118" t="e">
        <f aca="false" t="array" ref="DN152:DN152">INDEX(DM:DM,MIN(IF(ISNUMBER(DM152:DM348),ROW(DM152:DM348),"")))</f>
        <v>#N/A</v>
      </c>
      <c r="DO152" s="118" t="n">
        <f aca="false">IF('Données projet'!$A$166&gt;35,DO151+DN152-DW151,IF(A152&lt;'Données projet'!$A$166,$DL$205^A152,IF(A152='Données projet'!$A$166,'Données projet'!$B$166,DO151+DN152-DW151)))</f>
        <v>0</v>
      </c>
      <c r="DP152" s="125" t="n">
        <f aca="false">DO152*VLOOKUP('Données projet'!$B$14,Paramètres!$A$1:$I$89,3,0)*VLOOKUP('Données projet'!$B$14,Paramètres!$A$1:$I$89,5,0)</f>
        <v>0</v>
      </c>
      <c r="DQ152" s="117" t="e">
        <f aca="false">EXP(-1.0587+0.8836*LN(DP152)+0.284)</f>
        <v>#VALUE!</v>
      </c>
      <c r="DR152" s="128" t="e">
        <f aca="false">(DP152+DQ152)*0.475*44/12</f>
        <v>#VALUE!</v>
      </c>
      <c r="DS152" s="120" t="e">
        <f aca="false">DR152+(DJ152+DK152)*44/12</f>
        <v>#VALUE!</v>
      </c>
      <c r="DT152" s="120" t="n">
        <f aca="true">AVERAGE(OFFSET($DS$3,0,0,'Données projet'!$E$14+1,1))-AVERAGE(OFFSET($H$3,0,0,'Données projet'!$E$14+1,1))</f>
        <v>549.432320957297</v>
      </c>
      <c r="DU152" s="120" t="n">
        <f aca="false">$DU$3</f>
        <v>280.26155987301</v>
      </c>
      <c r="DV152" s="121" t="n">
        <f aca="false">IF(ISNA(VLOOKUP(A152,'Données projet'!$A$165:$I$185,3,0)),0,VLOOKUP(A152,'Données projet'!$A$165:$I$185,3,0))</f>
        <v>0</v>
      </c>
      <c r="DW152" s="121" t="n">
        <f aca="false">IF(ISNA(VLOOKUP(A152,'Données projet'!$A$165:$I$185,4,0)),0,VLOOKUP(A152,'Données projet'!$A$165:$I$185,4,0))</f>
        <v>0</v>
      </c>
      <c r="DX152" s="122" t="n">
        <f aca="false">IF(ISNA(VLOOKUP(A152,'Données projet'!$A$165:$I$185,5,0)),0%,VLOOKUP(A152,'Données projet'!$A$165:$I$185,5,0)*VLOOKUP('Données projet'!$B$14,Paramètres!$A$1:$I$89,7,0))</f>
        <v>0</v>
      </c>
      <c r="DY152" s="122" t="n">
        <f aca="false">IF(ISNA(VLOOKUP(A152,'Données projet'!$A$165:$I$185,6,0)),0%,VLOOKUP(A152,'Données projet'!$A$165:$I$185,6,0)*VLOOKUP('Données projet'!$B$14,Paramètres!$A$1:$I$89,7,0))</f>
        <v>0</v>
      </c>
      <c r="DZ152" s="122" t="n">
        <f aca="false">IF(ISNA(VLOOKUP(A152,'Données projet'!$A$165:$I$185,7,0)),0%,VLOOKUP(A152,'Données projet'!$A$165:$I$185,7,0))</f>
        <v>0</v>
      </c>
      <c r="EA152" s="129" t="n">
        <f aca="false">EXP(-LN(2)/35)*EA151+(1-EXP(-LN(2)/35))/(LN(2)/35)*DW152*DX152*VLOOKUP('Données projet'!$B$14,Paramètres!$A$1:$I$89,3,0)*0.475*44/12</f>
        <v>0.227528809738915</v>
      </c>
      <c r="EB152" s="129" t="n">
        <f aca="false">EXP(-LN(2)/25)*EB151+(1-EXP(-LN(2)/25))/(LN(2)/25)*Calculateur!DW152*Calculateur!DY152*VLOOKUP('Données projet'!$B$14,Paramètres!$A$1:$I$89,3,0)*0.475*44/12</f>
        <v>0.286153151811109</v>
      </c>
      <c r="EC152" s="129" t="n">
        <f aca="false">EXP(-LN(2)/2)*EC151+(1-EXP(-LN(2)/2))/(LN(2)/2)*DW152*DZ152*VLOOKUP('Données projet'!$B$14,Paramètres!$A$1:$I$89,3,0)*0.475*44/12</f>
        <v>7.50585709368061E-018</v>
      </c>
      <c r="ED152" s="130" t="n">
        <f aca="false">SUM(EA152:EC152)</f>
        <v>0.513681961550025</v>
      </c>
      <c r="EE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8" t="e">
        <f aca="false">VLOOKUP(A152,'Données projet'!$A$191:$I$211,2,0)</f>
        <v>#N/A</v>
      </c>
      <c r="EH152" s="118" t="e">
        <f aca="false">VLOOKUP(A152,'Données projet'!$A$191:$I$211,9,0)</f>
        <v>#N/A</v>
      </c>
      <c r="EI152" s="118" t="e">
        <f aca="false" t="array" ref="EI152:EI152">INDEX(EH:EH,MIN(IF(ISNUMBER(EH152:EH348),ROW(EH152:EH348),"")))</f>
        <v>#N/A</v>
      </c>
      <c r="EJ152" s="118" t="n">
        <f aca="false">IF('Données projet'!$A$192&gt;35,EJ151+EI152-ER151,IF(A152&lt;'Données projet'!$A$192,$EG$205^A152,IF(A152='Données projet'!$A$192,'Données projet'!$B$192,EJ151+EI152-ER151)))</f>
        <v>0</v>
      </c>
      <c r="EK152" s="125" t="e">
        <f aca="false">EJ152*VLOOKUP('Données projet'!$B$15,Paramètres!$A$1:$I$89,3,0)*VLOOKUP('Données projet'!$B$15,Paramètres!$A$1:$I$89,5,0)</f>
        <v>#N/A</v>
      </c>
      <c r="EL152" s="117" t="e">
        <f aca="false">EXP(-1.0587+0.8836*LN(EK152)+0.284)</f>
        <v>#N/A</v>
      </c>
      <c r="EM152" s="128" t="e">
        <f aca="false">(EK152+EL152)*0.475*44/12</f>
        <v>#N/A</v>
      </c>
      <c r="EN152" s="120" t="e">
        <f aca="false">EM152+(EE152+EF152)*44/12</f>
        <v>#N/A</v>
      </c>
      <c r="EO152" s="120" t="e">
        <f aca="true">AVERAGE(OFFSET($EN$3,0,0,'Données projet'!$E$15+1,1))-AVERAGE(OFFSET($H$3,0,0,'Données projet'!$E$15+1,1))</f>
        <v>#N/A</v>
      </c>
      <c r="EP152" s="120" t="e">
        <f aca="false">$EP$3</f>
        <v>#N/A</v>
      </c>
      <c r="EQ152" s="121" t="n">
        <f aca="false">IF(ISNA(VLOOKUP(A152,'Données projet'!$A$191:$I$211,3,0)),0,VLOOKUP(A152,'Données projet'!$A$191:$I$211,3,0))</f>
        <v>0</v>
      </c>
      <c r="ER152" s="121" t="n">
        <f aca="false">IF(ISNA(VLOOKUP(A152,'Données projet'!$A$191:$I$211,4,0)),0,VLOOKUP(A152,'Données projet'!$A$191:$I$211,4,0))</f>
        <v>0</v>
      </c>
      <c r="ES152" s="122" t="n">
        <f aca="false">IF(ISNA(VLOOKUP(A152,'Données projet'!$A$191:$I$211,5,0)),0%,VLOOKUP(A152,'Données projet'!$A$191:$I$211,5,0)*VLOOKUP('Données projet'!$B$15,Paramètres!$A$1:$I$89,7,0))</f>
        <v>0</v>
      </c>
      <c r="ET152" s="122" t="n">
        <f aca="false">IF(ISNA(VLOOKUP(A152,'Données projet'!$A$191:$I$211,6,0)),0%,VLOOKUP(A152,'Données projet'!$A$191:$I$211,6,0)*VLOOKUP('Données projet'!$B$15,Paramètres!$A$1:$I$89,7,0))</f>
        <v>0</v>
      </c>
      <c r="EU152" s="122" t="n">
        <f aca="false">IF(ISNA(VLOOKUP(A152,'Données projet'!$A$191:$I$211,7,0)),0%,VLOOKUP(A152,'Données projet'!$A$191:$I$211,7,0))</f>
        <v>0</v>
      </c>
      <c r="EV152" s="129" t="e">
        <f aca="false">EXP(-LN(2)/35)*EV151+(1-EXP(-LN(2)/35))/(LN(2)/35)*ER152*ES152*VLOOKUP('Données projet'!$B$15,Paramètres!$A$1:$I$89,3,0)*0.475*44/12</f>
        <v>#N/A</v>
      </c>
      <c r="EW152" s="129" t="e">
        <f aca="false">EXP(-LN(2)/25)*EW151+(1-EXP(-LN(2)/25))/(LN(2)/25)*Calculateur!ER152*Calculateur!ET152*VLOOKUP('Données projet'!$B$15,Paramètres!$A$1:$I$89,3,0)*0.475*44/12</f>
        <v>#N/A</v>
      </c>
      <c r="EX152" s="129" t="e">
        <f aca="false">EXP(-LN(2)/2)*EX151+(1-EXP(-LN(2)/2))/(LN(2)/2)*ER152*EU152*VLOOKUP('Données projet'!$B$15,Paramètres!$A$1:$I$89,3,0)*0.475*44/12</f>
        <v>#N/A</v>
      </c>
      <c r="EY152" s="130" t="e">
        <f aca="false">SUM(EV152:EX152)</f>
        <v>#N/A</v>
      </c>
      <c r="EZ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8" t="e">
        <f aca="false">VLOOKUP(A152,'Données projet'!$A$217:$I$237,2,0)</f>
        <v>#N/A</v>
      </c>
      <c r="FC152" s="118" t="e">
        <f aca="false">VLOOKUP(A152,'Données projet'!$A$217:$I$237,9,0)</f>
        <v>#N/A</v>
      </c>
      <c r="FD152" s="118" t="e">
        <f aca="false" t="array" ref="FD152:FD152">INDEX(FC:FC,MIN(IF(ISNUMBER(FC152:FC348),ROW(FC152:FC348),"")))</f>
        <v>#N/A</v>
      </c>
      <c r="FE152" s="118" t="n">
        <f aca="false">IF('Données projet'!$A$218&gt;35,FE151+FD152-FM151,IF(A152&lt;'Données projet'!$A$218,$FB$205^A152,IF(A152='Données projet'!$A$218,'Données projet'!$B$218,FE151+FD152-FM151)))</f>
        <v>0</v>
      </c>
      <c r="FF152" s="125" t="e">
        <f aca="false">FE152*VLOOKUP('Données projet'!$B$16,Paramètres!$A$1:$I$89,3,0)*VLOOKUP('Données projet'!$B$16,Paramètres!$A$1:$I$89,5,0)</f>
        <v>#N/A</v>
      </c>
      <c r="FG152" s="117" t="e">
        <f aca="false">EXP(-1.0587+0.8836*LN(FF152)+0.284)</f>
        <v>#N/A</v>
      </c>
      <c r="FH152" s="128" t="e">
        <f aca="false">(FF152+FG152)*0.475*44/12</f>
        <v>#N/A</v>
      </c>
      <c r="FI152" s="120" t="e">
        <f aca="false">FH152+(EZ152+FA152)*44/12</f>
        <v>#N/A</v>
      </c>
      <c r="FJ152" s="120" t="e">
        <f aca="true">AVERAGE(OFFSET($FI$3,0,0,'Données projet'!$E$16+1,1))-AVERAGE(OFFSET($H$3,0,0,'Données projet'!$E$16+1,1))</f>
        <v>#N/A</v>
      </c>
      <c r="FK152" s="120" t="e">
        <f aca="false">$FK$3</f>
        <v>#N/A</v>
      </c>
      <c r="FL152" s="121" t="n">
        <f aca="false">IF(ISNA(VLOOKUP(A152,'Données projet'!$A$217:$I$237,3,0)),0,VLOOKUP(A152,'Données projet'!$A$217:$I$237,3,0))</f>
        <v>0</v>
      </c>
      <c r="FM152" s="121" t="n">
        <f aca="false">IF(ISNA(VLOOKUP(A152,'Données projet'!$A$217:$I$237,4,0)),0,VLOOKUP(A152,'Données projet'!$A$217:$I$237,4,0))</f>
        <v>0</v>
      </c>
      <c r="FN152" s="122" t="n">
        <f aca="false">IF(ISNA(VLOOKUP(A152,'Données projet'!$A$217:$I$237,5,0)),0%,VLOOKUP(A152,'Données projet'!$A$217:$I$237,5,0)*VLOOKUP('Données projet'!$B$16,Paramètres!$A$1:$I$89,7,0))</f>
        <v>0</v>
      </c>
      <c r="FO152" s="122" t="n">
        <f aca="false">IF(ISNA(VLOOKUP(A152,'Données projet'!$A$217:$I$237,6,0)),0%,VLOOKUP(A152,'Données projet'!$A$217:$I$237,6,0)*VLOOKUP('Données projet'!$B$16,Paramètres!$A$1:$I$89,7,0))</f>
        <v>0</v>
      </c>
      <c r="FP152" s="122" t="n">
        <f aca="false">IF(ISNA(VLOOKUP(A152,'Données projet'!$A$217:$I$237,7,0)),0%,VLOOKUP(A152,'Données projet'!$A$217:$I$237,7,0))</f>
        <v>0</v>
      </c>
      <c r="FQ152" s="129" t="e">
        <f aca="false">EXP(-LN(2)/35)*FQ151+(1-EXP(-LN(2)/35))/(LN(2)/35)*FM152*FN152*VLOOKUP('Données projet'!$B$16,Paramètres!$A$1:$I$89,3,0)*0.475*44/12</f>
        <v>#N/A</v>
      </c>
      <c r="FR152" s="129" t="e">
        <f aca="false">EXP(-LN(2)/25)*FR151+(1-EXP(-LN(2)/25))/(LN(2)/25)*Calculateur!FM152*Calculateur!FO152*VLOOKUP('Données projet'!$B$16,Paramètres!$A$1:$I$89,3,0)*0.475*44/12</f>
        <v>#N/A</v>
      </c>
      <c r="FS152" s="129" t="e">
        <f aca="false">EXP(-LN(2)/2)*FS151+(1-EXP(-LN(2)/2))/(LN(2)/2)*FM152*FP152*VLOOKUP('Données projet'!$B$16,Paramètres!$A$1:$I$89,3,0)*0.475*44/12</f>
        <v>#N/A</v>
      </c>
      <c r="FT152" s="130" t="e">
        <f aca="false">SUM(FQ152:FS152)</f>
        <v>#N/A</v>
      </c>
      <c r="FU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8" t="e">
        <f aca="false">VLOOKUP(A152,'Données projet'!$A$243:$I$263,2,0)</f>
        <v>#N/A</v>
      </c>
      <c r="FX152" s="118" t="e">
        <f aca="false">VLOOKUP(A152,'Données projet'!$A$243:$I$263,9,0)</f>
        <v>#N/A</v>
      </c>
      <c r="FY152" s="118" t="e">
        <f aca="false" t="array" ref="FY152:FY152">INDEX(FX:FX,MIN(IF(ISNUMBER(FX152:FX348),ROW(FX152:FX348),"")))</f>
        <v>#N/A</v>
      </c>
      <c r="FZ152" s="118" t="n">
        <f aca="false">IF('Données projet'!$A$244&gt;35,FZ151+FY152-GH151,IF(A152&lt;'Données projet'!$A$244,$FW$205^A152,IF(A152='Données projet'!$A$244,'Données projet'!$B$244,FZ151+FY152-GH151)))</f>
        <v>0</v>
      </c>
      <c r="GA152" s="125" t="e">
        <f aca="false">FZ152*VLOOKUP('Données projet'!$B$17,Paramètres!$A$1:$I$89,3,0)*VLOOKUP('Données projet'!$B$17,Paramètres!$A$1:$I$89,5,0)</f>
        <v>#N/A</v>
      </c>
      <c r="GB152" s="117" t="e">
        <f aca="false">EXP(-1.0587+0.8836*LN(GA152)+0.284)</f>
        <v>#N/A</v>
      </c>
      <c r="GC152" s="128" t="e">
        <f aca="false">(GA152+GB152)*0.475*44/12</f>
        <v>#N/A</v>
      </c>
      <c r="GD152" s="120" t="e">
        <f aca="false">GC152+(FU152+FV152)*44/12</f>
        <v>#N/A</v>
      </c>
      <c r="GE152" s="120" t="e">
        <f aca="true">AVERAGE(OFFSET($GD$3,0,0,'Données projet'!$E$17+1,1))-AVERAGE(OFFSET($H$3,0,0,'Données projet'!$E$17+1,1))</f>
        <v>#N/A</v>
      </c>
      <c r="GF152" s="120" t="e">
        <f aca="false">$GF$3</f>
        <v>#N/A</v>
      </c>
      <c r="GG152" s="121" t="n">
        <f aca="false">IF(ISNA(VLOOKUP(A152,'Données projet'!$A$243:$I$263,3,0)),0,VLOOKUP(A152,'Données projet'!$A$243:$I$263,3,0))</f>
        <v>0</v>
      </c>
      <c r="GH152" s="121" t="n">
        <f aca="false">IF(ISNA(VLOOKUP(A152,'Données projet'!$A$243:$I$263,4,0)),0,VLOOKUP(A152,'Données projet'!$A$243:$I$263,4,0))</f>
        <v>0</v>
      </c>
      <c r="GI152" s="122" t="n">
        <f aca="false">IF(ISNA(VLOOKUP(A152,'Données projet'!$A$243:$I$263,5,0)),0%,VLOOKUP(A152,'Données projet'!$A$243:$I$263,5,0)*VLOOKUP('Données projet'!$B$17,Paramètres!$A$1:$I$89,7,0))</f>
        <v>0</v>
      </c>
      <c r="GJ152" s="122" t="n">
        <f aca="false">IF(ISNA(VLOOKUP(A152,'Données projet'!$A$243:$I$263,6,0)),0%,VLOOKUP(A152,'Données projet'!$A$243:$I$263,6,0)*VLOOKUP('Données projet'!$B$17,Paramètres!$A$1:$I$89,7,0))</f>
        <v>0</v>
      </c>
      <c r="GK152" s="122" t="n">
        <f aca="false">IF(ISNA(VLOOKUP(A152,'Données projet'!$A$243:$I$263,7,0)),0%,VLOOKUP(A152,'Données projet'!$A$243:$I$263,7,0))</f>
        <v>0</v>
      </c>
      <c r="GL152" s="129" t="e">
        <f aca="false">EXP(-LN(2)/35)*GL151+(1-EXP(-LN(2)/35))/(LN(2)/35)*GH152*GI152*VLOOKUP('Données projet'!$B$17,Paramètres!$A$1:$I$89,3,0)*0.475*44/12</f>
        <v>#N/A</v>
      </c>
      <c r="GM152" s="129" t="e">
        <f aca="false">EXP(-LN(2)/25)*GM151+(1-EXP(-LN(2)/25))/(LN(2)/25)*Calculateur!GH152*Calculateur!GJ152*VLOOKUP('Données projet'!$B$17,Paramètres!$A$1:$I$89,3,0)*0.475*44/12</f>
        <v>#N/A</v>
      </c>
      <c r="GN152" s="129" t="e">
        <f aca="false">EXP(-LN(2)/2)*GN151+(1-EXP(-LN(2)/2))/(LN(2)/2)*GH152*GK152*VLOOKUP('Données projet'!$B$17,Paramètres!$A$1:$I$89,3,0)*0.475*44/12</f>
        <v>#N/A</v>
      </c>
      <c r="GO152" s="129" t="e">
        <f aca="false">SUM(GL152:GN152)</f>
        <v>#N/A</v>
      </c>
      <c r="GP152" s="126" t="n">
        <f aca="false"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8" t="n">
        <f aca="false"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8" t="e">
        <f aca="false">VLOOKUP(A152,'Données projet'!$A$269:$I$289,2,0)</f>
        <v>#N/A</v>
      </c>
      <c r="GS152" s="118" t="e">
        <f aca="false">VLOOKUP(A152,'Données projet'!$A$269:$I$289,9,0)</f>
        <v>#N/A</v>
      </c>
      <c r="GT152" s="118" t="e">
        <f aca="false" t="array" ref="GT152:GT152">INDEX(GS:GS,MIN(IF(ISNUMBER(GS152:GS348),ROW(GS152:GS348),"")))</f>
        <v>#N/A</v>
      </c>
      <c r="GU152" s="118" t="n">
        <f aca="false">IF('Données projet'!$A$270&gt;35,GU151+GT152-HC151,IF(A152&lt;'Données projet'!$A$270,$GR$205^A152,IF(A152='Données projet'!$A$270,'Données projet'!$B$270,GU151+GT152-HC151)))</f>
        <v>0</v>
      </c>
      <c r="GV152" s="125" t="e">
        <f aca="false">GU152*VLOOKUP('Données projet'!$B$18,Paramètres!$A$1:$I$89,3,0)*VLOOKUP('Données projet'!$B$18,Paramètres!$A$1:$I$89,5,0)</f>
        <v>#N/A</v>
      </c>
      <c r="GW152" s="117" t="e">
        <f aca="false">EXP(-1.0587+0.8836*LN(GV152)+0.284)</f>
        <v>#N/A</v>
      </c>
      <c r="GX152" s="128" t="e">
        <f aca="false">(GV152+GW152)*0.475*44/12</f>
        <v>#N/A</v>
      </c>
      <c r="GY152" s="120" t="e">
        <f aca="false">GX152+(GP152+GQ152)*44/12</f>
        <v>#N/A</v>
      </c>
      <c r="GZ152" s="120" t="e">
        <f aca="true">AVERAGE(OFFSET($GY$3,0,0,'Données projet'!$E$18+1,1))-AVERAGE(OFFSET($H$3,0,0,'Données projet'!$E$18+1,1))</f>
        <v>#N/A</v>
      </c>
      <c r="HA152" s="120" t="e">
        <f aca="false">$HA$3</f>
        <v>#N/A</v>
      </c>
      <c r="HB152" s="121" t="n">
        <f aca="false">IF(ISNA(VLOOKUP(A152,'Données projet'!$A$269:$I$289,3,0)),0,VLOOKUP(A152,'Données projet'!$A$269:$I$289,3,0))</f>
        <v>0</v>
      </c>
      <c r="HC152" s="121" t="n">
        <f aca="false">IF(ISNA(VLOOKUP(A152,'Données projet'!$A$269:$I$289,4,0)),0,VLOOKUP(A152,'Données projet'!$A$269:$I$289,4,0))</f>
        <v>0</v>
      </c>
      <c r="HD152" s="122" t="n">
        <f aca="false">IF(ISNA(VLOOKUP(A152,'Données projet'!$A$269:$I$289,5,0)),0%,VLOOKUP(A152,'Données projet'!$A$269:$I$289,5,0)*VLOOKUP('Données projet'!$B$18,Paramètres!$A$1:$I$89,7,0))</f>
        <v>0</v>
      </c>
      <c r="HE152" s="122" t="n">
        <f aca="false">IF(ISNA(VLOOKUP(A152,'Données projet'!$A$269:$I$289,6,0)),0%,VLOOKUP(A152,'Données projet'!$A$269:$I$289,6,0)*VLOOKUP('Données projet'!$B$18,Paramètres!$A$1:$I$89,7,0))</f>
        <v>0</v>
      </c>
      <c r="HF152" s="122" t="n">
        <f aca="false">IF(ISNA(VLOOKUP(A152,'Données projet'!$A$269:$I$289,7,0)),0%,VLOOKUP(A152,'Données projet'!$A$269:$I$289,7,0))</f>
        <v>0</v>
      </c>
      <c r="HG152" s="129" t="e">
        <f aca="false">EXP(-LN(2)/35)*HG151+(1-EXP(-LN(2)/35))/(LN(2)/35)*HC152*HD152*VLOOKUP('Données projet'!$B$18,Paramètres!$A$1:$I$89,3,0)*0.475*44/12</f>
        <v>#N/A</v>
      </c>
      <c r="HH152" s="129" t="e">
        <f aca="false">EXP(-LN(2)/25)*HH151+(1-EXP(-LN(2)/25))/(LN(2)/25)*Calculateur!HC152*Calculateur!HE152*VLOOKUP('Données projet'!$B$18,Paramètres!$A$1:$I$89,3,0)*0.475*44/12</f>
        <v>#N/A</v>
      </c>
      <c r="HI152" s="129" t="e">
        <f aca="false">EXP(-LN(2)/2)*HI151+(1-EXP(-LN(2)/2))/(LN(2)/2)*HC152*HF152*VLOOKUP('Données projet'!$B$18,Paramètres!$A$1:$I$89,3,0)*0.475*44/12</f>
        <v>#N/A</v>
      </c>
      <c r="HJ152" s="130" t="e">
        <f aca="false">SUM(HG152:HI152)</f>
        <v>#N/A</v>
      </c>
    </row>
    <row r="153" customFormat="false" ht="14.25" hidden="false" customHeight="false" outlineLevel="0" collapsed="false">
      <c r="A153" s="112" t="n">
        <f aca="false">A152+1</f>
        <v>150</v>
      </c>
      <c r="B153" s="113" t="n">
        <f aca="false">'Scénario référence'!$B$16*5+'Scénario référence'!$B$17*0+'Scénario référence'!$B$18*5</f>
        <v>0</v>
      </c>
      <c r="C153" s="127" t="n">
        <f aca="false"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4" t="n">
        <f aca="false">IFERROR(EXP(-1.0587+0.8836*LN(C153)+0.284),0)</f>
        <v>0</v>
      </c>
      <c r="E15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3" s="114" t="n">
        <f aca="false">IF(OR('Scénario référence'!$F$8&gt;0,'Scénario référence'!$F$9&gt;0),('Scénario référence'!$F$8+'Scénario référence'!$F$9)*10,0)</f>
        <v>0</v>
      </c>
      <c r="G153" s="114" t="n">
        <f aca="false"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15" t="n">
        <f aca="false">(B153+E153+F153)*44/12+(C153+D153)*0.475*44/12</f>
        <v>256.666666666667</v>
      </c>
      <c r="I153" s="11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7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8" t="e">
        <f aca="false">VLOOKUP(A153,'Données projet'!$A$35:$I$55,2,0)</f>
        <v>#N/A</v>
      </c>
      <c r="L153" s="118" t="e">
        <f aca="false">VLOOKUP(A153,'Données projet'!$A$35:$I$55,9,0)</f>
        <v>#N/A</v>
      </c>
      <c r="M153" s="118" t="e">
        <f aca="false" t="array" ref="M153:M153">INDEX(L:L,MIN(IF(ISNUMBER(L153:L349),ROW(L153:L349),"")))</f>
        <v>#N/A</v>
      </c>
      <c r="N153" s="117" t="n">
        <f aca="false">IF('Données projet'!$A$36&gt;35,N152+M153-V152,IF(A153&lt;'Données projet'!$A$36,$K$205^A153,IF(A153='Données projet'!$A$36,'Données projet'!$B$36,N152+M153-V152)))</f>
        <v>-1.13686837721616E-013</v>
      </c>
      <c r="O153" s="117" t="n">
        <f aca="false">N153*VLOOKUP('Données projet'!$B$9,Paramètres!$A$1:$I$89,3,0)*VLOOKUP('Données projet'!$B$9,Paramètres!$A$1:$I$89,5,0)</f>
        <v>-5.32054400537163E-014</v>
      </c>
      <c r="P153" s="117" t="e">
        <f aca="false">EXP(-1.0587+0.8836*LN(O153)+0.284)</f>
        <v>#VALUE!</v>
      </c>
      <c r="Q153" s="128" t="e">
        <f aca="false">(O153+P153)*0.475*44/12</f>
        <v>#VALUE!</v>
      </c>
      <c r="R153" s="120" t="e">
        <f aca="false">Q153+(I153+J153)*44/12</f>
        <v>#VALUE!</v>
      </c>
      <c r="S153" s="120" t="n">
        <f aca="true">AVERAGE(OFFSET($R$3,0,0,'Données projet'!$E$9+1,1))-AVERAGE(OFFSET($H$3,0,0,'Données projet'!$E$9+1,1))</f>
        <v>319.229030946746</v>
      </c>
      <c r="T153" s="120" t="n">
        <f aca="false">$T$3</f>
        <v>254.586909731428</v>
      </c>
      <c r="U153" s="121" t="n">
        <f aca="false">IF(ISNA(VLOOKUP(A153,'Données projet'!$A$35:$I$55,3,0)),0,VLOOKUP(A153,'Données projet'!$A$35:$I$55,3,0))</f>
        <v>0</v>
      </c>
      <c r="V153" s="121" t="n">
        <f aca="false">IF(ISNA(VLOOKUP(A153,'Données projet'!$A$35:$I$55,4,0)),0,VLOOKUP(A153,'Données projet'!$A$35:$I$55,4,0))</f>
        <v>0</v>
      </c>
      <c r="W153" s="122" t="n">
        <f aca="false">IF(ISNA(VLOOKUP(A153,'Données projet'!$A$35:$I$55,5,0)),0%,VLOOKUP(A153,'Données projet'!$A$35:$I$55,5,0)*VLOOKUP('Données projet'!$B$9,Paramètres!$A$1:$I$89,7,0))</f>
        <v>0</v>
      </c>
      <c r="X153" s="122" t="n">
        <f aca="false">IF(ISNA(VLOOKUP(A153,'Données projet'!$A$35:$I$55,6,0)),0%,VLOOKUP(A153,'Données projet'!$A$35:$I$55,6,0)*VLOOKUP('Données projet'!$B$9,Paramètres!$A$1:$I$89,7,0))</f>
        <v>0</v>
      </c>
      <c r="Y153" s="122" t="n">
        <f aca="false">IF(ISNA(VLOOKUP(A153,'Données projet'!$A$35:$I$55,7,0)),0%,VLOOKUP(A153,'Données projet'!$A$35:$I$55,7,0))</f>
        <v>0</v>
      </c>
      <c r="Z153" s="129" t="n">
        <f aca="false">EXP(-LN(2)/35)*Z152+(1-EXP(-LN(2)/35))/(LN(2)/35)*V153*W153*VLOOKUP('Données projet'!$B$9,Paramètres!$A$1:$I$89,3,0)*0.475*44/12</f>
        <v>0.842945783116251</v>
      </c>
      <c r="AA153" s="129" t="n">
        <f aca="false">EXP(-LN(2)/25)*AA152+(1-EXP(-LN(2)/25))/(LN(2)/25)*Calculateur!V153*Calculateur!X153*VLOOKUP('Données projet'!$B$9,Paramètres!$A$1:$I$89,3,0)*0.475*44/12</f>
        <v>0.400296974654903</v>
      </c>
      <c r="AB153" s="129" t="n">
        <f aca="false">EXP(-LN(2)/2)*AB152+(1-EXP(-LN(2)/2))/(LN(2)/2)*V153*Y153*VLOOKUP('Données projet'!$B$9,Paramètres!$A$1:$I$89,3,0)*0.475*44/12</f>
        <v>9.57838725314108E-018</v>
      </c>
      <c r="AC153" s="130" t="n">
        <f aca="false">SUM(Z153:AB153)</f>
        <v>1.24324275777115</v>
      </c>
      <c r="AD153" s="117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7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8" t="e">
        <f aca="false">VLOOKUP(A153,'Données projet'!$A$61:$I$81,2,0)</f>
        <v>#N/A</v>
      </c>
      <c r="AG153" s="118" t="e">
        <f aca="false">VLOOKUP(A153,'Données projet'!$A$61:$I$81,9,0)</f>
        <v>#N/A</v>
      </c>
      <c r="AH153" s="118" t="e">
        <f aca="false" t="array" ref="AH153:AH153">INDEX(AG:AG,MIN(IF(ISNUMBER(AG153:AG349),ROW(AG153:AG349),"")))</f>
        <v>#N/A</v>
      </c>
      <c r="AI153" s="117" t="n">
        <f aca="false">IF('Données projet'!$A$62&gt;35,AI152+AH153-AQ152,IF(A153&lt;'Données projet'!$A$62,$AF$205^A153,IF(A153='Données projet'!$A$62,'Données projet'!$B$62,AI152+AH153-AQ152)))</f>
        <v>1.13686837721616E-013</v>
      </c>
      <c r="AJ153" s="117" t="n">
        <f aca="false">AI153*VLOOKUP('Données projet'!$B$10,Paramètres!$A$1:$I$89,3,0)*VLOOKUP('Données projet'!$B$10,Paramètres!$A$1:$I$89,5,0)</f>
        <v>6.35509422863834E-014</v>
      </c>
      <c r="AK153" s="117" t="n">
        <f aca="false">EXP(-1.0587+0.8836*LN(AJ153)+0.284)</f>
        <v>1.0064464192544E-012</v>
      </c>
      <c r="AL153" s="128" t="n">
        <f aca="false">(AJ153+AK153)*0.475*44/12</f>
        <v>1.86357873801686E-012</v>
      </c>
      <c r="AM153" s="120" t="n">
        <f aca="false">AL153+(AD153+AE153)*44/12</f>
        <v>293.333333333335</v>
      </c>
      <c r="AN153" s="120" t="n">
        <f aca="true">AVERAGE(OFFSET($AM$3,0,0,'Données projet'!$E$10+1,1))-AVERAGE(OFFSET($H$3,0,0,'Données projet'!$E$10+1,1))</f>
        <v>365.705101827279</v>
      </c>
      <c r="AO153" s="120" t="n">
        <f aca="false">$AO$3</f>
        <v>436.238338449625</v>
      </c>
      <c r="AP153" s="121" t="n">
        <f aca="false">IF(ISNA(VLOOKUP(A153,'Données projet'!$A$61:$I$81,3,0)),0,VLOOKUP(A153,'Données projet'!$A$61:$I$81,3,0))</f>
        <v>0</v>
      </c>
      <c r="AQ153" s="121" t="n">
        <f aca="false">IF(ISNA(VLOOKUP(A153,'Données projet'!$A$61:$I$81,4,0)),0,VLOOKUP(A153,'Données projet'!$A$61:$I$81,4,0))</f>
        <v>0</v>
      </c>
      <c r="AR153" s="122" t="n">
        <f aca="false">IF(ISNA(VLOOKUP(A153,'Données projet'!$A$61:$I$81,5,0)),0%,VLOOKUP(A153,'Données projet'!$A$61:$I$81,5,0)*VLOOKUP('Données projet'!$B$10,Paramètres!$A$1:$I$89,7,0))</f>
        <v>0</v>
      </c>
      <c r="AS153" s="122" t="n">
        <f aca="false">IF(ISNA(VLOOKUP(A153,'Données projet'!$A$61:$I$81,6,0)),0%,VLOOKUP(A153,'Données projet'!$A$61:$I$81,6,0)*VLOOKUP('Données projet'!$B$10,Paramètres!$A$1:$I$89,7,0))</f>
        <v>0</v>
      </c>
      <c r="AT153" s="122" t="n">
        <f aca="false">IF(ISNA(VLOOKUP(A153,'Données projet'!$A$61:$I$81,7,0)),0%,VLOOKUP(A153,'Données projet'!$A$61:$I$81,7,0))</f>
        <v>0</v>
      </c>
      <c r="AU153" s="129" t="n">
        <f aca="false">EXP(-LN(2)/35)*AU152+(1-EXP(-LN(2)/35))/(LN(2)/35)*AQ153*AR153*VLOOKUP('Données projet'!$B$10,Paramètres!$A$1:$I$89,3,0)*0.475*44/12</f>
        <v>0.318184703635827</v>
      </c>
      <c r="AV153" s="129" t="n">
        <f aca="false">EXP(-LN(2)/25)*AV152+(1-EXP(-LN(2)/25))/(LN(2)/25)*Calculateur!AQ153*Calculateur!AS153*VLOOKUP('Données projet'!$B$10,Paramètres!$A$1:$I$89,3,0)*0.475*44/12</f>
        <v>0.474130122470585</v>
      </c>
      <c r="AW153" s="129" t="n">
        <f aca="false">EXP(-LN(2)/2)*AW152+(1-EXP(-LN(2)/2))/(LN(2)/2)*AQ153*AT153*VLOOKUP('Données projet'!$B$10,Paramètres!$A$1:$I$89,3,0)*0.475*44/12</f>
        <v>5.15478864946874E-018</v>
      </c>
      <c r="AX153" s="129" t="n">
        <f aca="false">SUM(AU153:AW153)</f>
        <v>0.792314826106412</v>
      </c>
      <c r="AY153" s="124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8" t="e">
        <f aca="false">VLOOKUP(A153,'Données projet'!$A$87:$I$107,2,0)</f>
        <v>#N/A</v>
      </c>
      <c r="BB153" s="118" t="e">
        <f aca="false">VLOOKUP(A153,'Données projet'!$A$87:$I$107,9,0)</f>
        <v>#N/A</v>
      </c>
      <c r="BC153" s="118" t="e">
        <f aca="false" t="array" ref="BC153:BC153">INDEX(BB:BB,MIN(IF(ISNUMBER(BB153:BB349),ROW(BB153:BB349),"")))</f>
        <v>#N/A</v>
      </c>
      <c r="BD153" s="118" t="n">
        <f aca="false">IF('Données projet'!$A$88&gt;35,BD152+BC153-BL152,IF(A153&lt;'Données projet'!$A$88,$BA$205^A153,IF(A153='Données projet'!$A$88,'Données projet'!$B$88,BD152+BC153-BL152)))</f>
        <v>1.98951966012828E-013</v>
      </c>
      <c r="BE153" s="117" t="n">
        <f aca="false">BD153*VLOOKUP('Données projet'!$B$11,Paramètres!$A$1:$I$89,3,0)*VLOOKUP('Données projet'!$B$11,Paramètres!$A$1:$I$89,5,0)</f>
        <v>1.73804437508807E-013</v>
      </c>
      <c r="BF153" s="117" t="n">
        <f aca="false">EXP(-1.0587+0.8836*LN(BE153)+0.284)</f>
        <v>2.44832936339505E-012</v>
      </c>
      <c r="BG153" s="128" t="n">
        <f aca="false">(BE153+BF153)*0.475*44/12</f>
        <v>4.56688303657421E-012</v>
      </c>
      <c r="BH153" s="120" t="n">
        <f aca="false">BG153+(AY153+AZ153)*44/12</f>
        <v>293.333333333338</v>
      </c>
      <c r="BI153" s="120" t="n">
        <f aca="true">AVERAGE(OFFSET($BH$3,0,0,'Données projet'!$E$11+1,1))-AVERAGE(OFFSET($H$3,0,0,'Données projet'!$E$11+1,1))</f>
        <v>321.235999689929</v>
      </c>
      <c r="BJ153" s="120" t="n">
        <f aca="false">$BJ$3</f>
        <v>388.051958478005</v>
      </c>
      <c r="BK153" s="121" t="n">
        <f aca="false">IF(ISNA(VLOOKUP(A153,'Données projet'!$A$87:$I$107,3,0)),0,VLOOKUP(A153,'Données projet'!$A$87:$I$107,3,0))</f>
        <v>0</v>
      </c>
      <c r="BL153" s="121" t="n">
        <f aca="false">IF(ISNA(VLOOKUP(A153,'Données projet'!$A$87:$I$107,4,0)),0,VLOOKUP(A153,'Données projet'!$A$87:$I$107,4,0))</f>
        <v>0</v>
      </c>
      <c r="BM153" s="122" t="n">
        <f aca="false">IF(ISNA(VLOOKUP(A153,'Données projet'!$A$87:$I$107,5,0)),0%,VLOOKUP(A153,'Données projet'!$A$87:$I$107,5,0)*VLOOKUP('Données projet'!$B$11,Paramètres!$A$1:$I$89,7,0))</f>
        <v>0</v>
      </c>
      <c r="BN153" s="122" t="n">
        <f aca="false">IF(ISNA(VLOOKUP(A153,'Données projet'!$A$87:$I$107,6,0)),0%,VLOOKUP(A153,'Données projet'!$A$87:$I$107,6,0)*VLOOKUP('Données projet'!$B$11,Paramètres!$A$1:$I$89,7,0))</f>
        <v>0</v>
      </c>
      <c r="BO153" s="122" t="n">
        <f aca="false">IF(ISNA(VLOOKUP(A153,'Données projet'!$A$87:$I$107,7,0)),0%,VLOOKUP(A153,'Données projet'!$A$87:$I$107,7,0))</f>
        <v>0</v>
      </c>
      <c r="BP153" s="129" t="n">
        <f aca="false">EXP(-LN(2)/35)*BP152+(1-EXP(-LN(2)/35))/(LN(2)/35)*BL153*BM153*VLOOKUP('Données projet'!$B$11,Paramètres!$A$1:$I$89,3,0)*0.475*44/12</f>
        <v>0.798841310812242</v>
      </c>
      <c r="BQ153" s="129" t="n">
        <f aca="false">EXP(-LN(2)/25)*BQ152+(1-EXP(-LN(2)/25))/(LN(2)/25)*Calculateur!BL153*Calculateur!BN153*VLOOKUP('Données projet'!$B$11,Paramètres!$A$1:$I$89,3,0)*0.475*44/12</f>
        <v>0.483963867429847</v>
      </c>
      <c r="BR153" s="129" t="n">
        <f aca="false">EXP(-LN(2)/2)*BR152+(1-EXP(-LN(2)/2))/(LN(2)/2)*BL153*BO153*VLOOKUP('Données projet'!$B$11,Paramètres!$A$1:$I$89,3,0)*0.475*44/12</f>
        <v>5.23973551812164E-018</v>
      </c>
      <c r="BS153" s="130" t="n">
        <f aca="false">SUM(BP153:BR153)</f>
        <v>1.28280517824209</v>
      </c>
      <c r="BT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8" t="e">
        <f aca="false">VLOOKUP(A153,'Données projet'!$A$113:$I$133,2,0)</f>
        <v>#N/A</v>
      </c>
      <c r="BW153" s="118" t="e">
        <f aca="false">VLOOKUP(A153,'Données projet'!$A$113:$I$133,9,0)</f>
        <v>#N/A</v>
      </c>
      <c r="BX153" s="118" t="e">
        <f aca="false" t="array" ref="BX153:BX153">INDEX(BW:BW,MIN(IF(ISNUMBER(BW153:BW349),ROW(BW153:BW349),"")))</f>
        <v>#N/A</v>
      </c>
      <c r="BY153" s="118" t="n">
        <f aca="false">IF('Données projet'!$A$114&gt;35,BY152+BX153-CG152,IF(A153&lt;'Données projet'!$A$114,$BV$205^A153,IF(A153='Données projet'!$A$114,'Données projet'!$B$114,BY152+BX153-CG152)))</f>
        <v>0</v>
      </c>
      <c r="BZ153" s="117" t="n">
        <f aca="false">BY153*VLOOKUP('Données projet'!$B$12,Paramètres!$A$1:$I$89,3,0)*VLOOKUP('Données projet'!$B$12,Paramètres!$A$1:$I$89,5,0)</f>
        <v>0</v>
      </c>
      <c r="CA153" s="117" t="e">
        <f aca="false">EXP(-1.0587+0.8836*LN(BZ153)+0.284)</f>
        <v>#VALUE!</v>
      </c>
      <c r="CB153" s="128" t="e">
        <f aca="false">(BZ153+CA153)*0.475*44/12</f>
        <v>#VALUE!</v>
      </c>
      <c r="CC153" s="120" t="e">
        <f aca="false">CB153+(BT153+BU153)*44/12</f>
        <v>#VALUE!</v>
      </c>
      <c r="CD153" s="120" t="n">
        <f aca="true">AVERAGE(OFFSET($CC$3,0,0,'Données projet'!$E$12+1,1))-AVERAGE(OFFSET($H$3,0,0,'Données projet'!$E$12+1,1))</f>
        <v>240.228848647662</v>
      </c>
      <c r="CE153" s="120" t="n">
        <f aca="false">$CE$3</f>
        <v>343.237768841432</v>
      </c>
      <c r="CF153" s="121" t="n">
        <f aca="false">IF(ISNA(VLOOKUP(A153,'Données projet'!$A$113:$I$133,3,0)),0,VLOOKUP(A153,'Données projet'!$A$113:$I$133,3,0))</f>
        <v>0</v>
      </c>
      <c r="CG153" s="121" t="n">
        <f aca="false">IF(ISNA(VLOOKUP(A153,'Données projet'!$A$113:$I$133,4,0)),0,VLOOKUP(A153,'Données projet'!$A$113:$I$133,4,0))</f>
        <v>0</v>
      </c>
      <c r="CH153" s="122" t="n">
        <f aca="false">IF(ISNA(VLOOKUP(A153,'Données projet'!$A$113:$I$133,5,0)),0%,VLOOKUP(A153,'Données projet'!$A$113:$I$133,5,0)*VLOOKUP('Données projet'!$B$12,Paramètres!$A$1:$I$89,7,0))</f>
        <v>0</v>
      </c>
      <c r="CI153" s="122" t="n">
        <f aca="false">IF(ISNA(VLOOKUP(A153,'Données projet'!$A$113:$I$133,6,0)),0%,VLOOKUP(A153,'Données projet'!$A$113:$I$133,6,0)*VLOOKUP('Données projet'!$B$12,Paramètres!$A$1:$I$89,7,0))</f>
        <v>0</v>
      </c>
      <c r="CJ153" s="122" t="n">
        <f aca="false">IF(ISNA(VLOOKUP(A153,'Données projet'!$A$113:$I$133,7,0)),0%,VLOOKUP(A153,'Données projet'!$A$113:$I$133,7,0))</f>
        <v>0</v>
      </c>
      <c r="CK153" s="129" t="n">
        <f aca="false">EXP(-LN(2)/35)*CK152+(1-EXP(-LN(2)/35))/(LN(2)/35)*CG153*CH153*VLOOKUP('Données projet'!$B$12,Paramètres!$A$1:$I$89,3,0)*0.475*44/12</f>
        <v>0.488953117517091</v>
      </c>
      <c r="CL153" s="129" t="n">
        <f aca="false">EXP(-LN(2)/25)*CL152+(1-EXP(-LN(2)/25))/(LN(2)/25)*Calculateur!CG153*Calculateur!CI153*VLOOKUP('Données projet'!$B$12,Paramètres!$A$1:$I$89,3,0)*0.475*44/12</f>
        <v>0.854708206494552</v>
      </c>
      <c r="CM153" s="129" t="n">
        <f aca="false">EXP(-LN(2)/2)*CM152+(1-EXP(-LN(2)/2))/(LN(2)/2)*CG153*CJ153*VLOOKUP('Données projet'!$B$12,Paramètres!$A$1:$I$89,3,0)*0.475*44/12</f>
        <v>8.36122097423367E-018</v>
      </c>
      <c r="CN153" s="130" t="n">
        <f aca="false">SUM(CK153:CM153)</f>
        <v>1.34366132401164</v>
      </c>
      <c r="CO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8" t="e">
        <f aca="false">VLOOKUP(A153,'Données projet'!$A$139:$I$159,2,0)</f>
        <v>#N/A</v>
      </c>
      <c r="CR153" s="118" t="e">
        <f aca="false">VLOOKUP(A153,'Données projet'!$A$139:$I$159,9,0)</f>
        <v>#N/A</v>
      </c>
      <c r="CS153" s="118" t="e">
        <f aca="false" t="array" ref="CS153:CS153">INDEX(CR:CR,MIN(IF(ISNUMBER(CR153:CR349),ROW(CR153:CR349),"")))</f>
        <v>#N/A</v>
      </c>
      <c r="CT153" s="118" t="n">
        <f aca="false">IF('Données projet'!$A$140&gt;35,CT152+CS153-DB152,IF(A153&lt;'Données projet'!$A$140,$CQ$205^A153,IF(A153='Données projet'!$A$140,'Données projet'!$B$140,CT152+CS153-DB152)))</f>
        <v>-5.6843418860808E-014</v>
      </c>
      <c r="CU153" s="125" t="n">
        <f aca="false">CT153*VLOOKUP('Données projet'!$B$13,Paramètres!$A$1:$I$89,3,0)*VLOOKUP('Données projet'!$B$13,Paramètres!$A$1:$I$89,5,0)</f>
        <v>-3.10365066980012E-014</v>
      </c>
      <c r="CV153" s="117" t="e">
        <f aca="false">EXP(-1.0587+0.8836*LN(CU153)+0.284)</f>
        <v>#VALUE!</v>
      </c>
      <c r="CW153" s="128" t="e">
        <f aca="false">(CU153+CV153)*0.475*44/12</f>
        <v>#VALUE!</v>
      </c>
      <c r="CX153" s="120" t="e">
        <f aca="false">CW153+(CO153+CP153)*44/12</f>
        <v>#VALUE!</v>
      </c>
      <c r="CY153" s="120" t="n">
        <f aca="true">AVERAGE(OFFSET($CX$3,0,0,'Données projet'!$E$13+1,1))-AVERAGE(OFFSET($H$3,0,0,'Données projet'!$E$13+1,1))</f>
        <v>207.023069645676</v>
      </c>
      <c r="CZ153" s="120" t="n">
        <f aca="false">$CZ$3</f>
        <v>342.068879333518</v>
      </c>
      <c r="DA153" s="121" t="n">
        <f aca="false">IF(ISNA(VLOOKUP(A153,'Données projet'!$A$139:$I$159,3,0)),0,VLOOKUP(A153,'Données projet'!$A$139:$I$159,3,0))</f>
        <v>0</v>
      </c>
      <c r="DB153" s="121" t="n">
        <f aca="false">IF(ISNA(VLOOKUP(A153,'Données projet'!$A$139:$I$159,4,0)),0,VLOOKUP(A153,'Données projet'!$A$139:$I$159,4,0))</f>
        <v>0</v>
      </c>
      <c r="DC153" s="122" t="n">
        <f aca="false">IF(ISNA(VLOOKUP(A153,'Données projet'!$A$139:$I$159,5,0)),0%,VLOOKUP(A153,'Données projet'!$A$139:$I$159,5,0)*VLOOKUP('Données projet'!$B$13,Paramètres!$A$1:$I$89,7,0))</f>
        <v>0</v>
      </c>
      <c r="DD153" s="122" t="n">
        <f aca="false">IF(ISNA(VLOOKUP(A153,'Données projet'!$A$139:$I$159,6,0)),0%,VLOOKUP(A153,'Données projet'!$A$139:$I$159,6,0)*VLOOKUP('Données projet'!$B$13,Paramètres!$A$1:$I$89,7,0))</f>
        <v>0</v>
      </c>
      <c r="DE153" s="122" t="n">
        <f aca="false">IF(ISNA(VLOOKUP(A153,'Données projet'!$A$139:$I$159,7,0)),0%,VLOOKUP(A153,'Données projet'!$A$139:$I$159,7,0))</f>
        <v>0</v>
      </c>
      <c r="DF153" s="129" t="n">
        <f aca="false">EXP(-LN(2)/35)*DF152+(1-EXP(-LN(2)/35))/(LN(2)/35)*DB153*DC153*VLOOKUP('Données projet'!$B$13,Paramètres!$A$1:$I$89,3,0)*0.475*44/12</f>
        <v>0.613497779526161</v>
      </c>
      <c r="DG153" s="129" t="n">
        <f aca="false">EXP(-LN(2)/25)*DG152+(1-EXP(-LN(2)/25))/(LN(2)/25)*Calculateur!DB153*Calculateur!DD153*VLOOKUP('Données projet'!$B$13,Paramètres!$A$1:$I$89,3,0)*0.475*44/12</f>
        <v>1.39709194120065</v>
      </c>
      <c r="DH153" s="129" t="n">
        <f aca="false">EXP(-LN(2)/2)*DH152+(1-EXP(-LN(2)/2))/(LN(2)/2)*DB153*DE153*VLOOKUP('Données projet'!$B$13,Paramètres!$A$1:$I$89,3,0)*0.475*44/12</f>
        <v>1.15134051579924E-017</v>
      </c>
      <c r="DI153" s="130" t="n">
        <f aca="false">SUM(DF153:DH153)</f>
        <v>2.01058972072681</v>
      </c>
      <c r="DJ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8" t="e">
        <f aca="false">VLOOKUP(A153,'Données projet'!$A$165:$I$185,2,0)</f>
        <v>#N/A</v>
      </c>
      <c r="DM153" s="118" t="e">
        <f aca="false">VLOOKUP(A153,'Données projet'!$A$165:$I$185,9,0)</f>
        <v>#N/A</v>
      </c>
      <c r="DN153" s="118" t="e">
        <f aca="false" t="array" ref="DN153:DN153">INDEX(DM:DM,MIN(IF(ISNUMBER(DM153:DM349),ROW(DM153:DM349),"")))</f>
        <v>#N/A</v>
      </c>
      <c r="DO153" s="118" t="n">
        <f aca="false">IF('Données projet'!$A$166&gt;35,DO152+DN153-DW152,IF(A153&lt;'Données projet'!$A$166,$DL$205^A153,IF(A153='Données projet'!$A$166,'Données projet'!$B$166,DO152+DN153-DW152)))</f>
        <v>0</v>
      </c>
      <c r="DP153" s="125" t="n">
        <f aca="false">DO153*VLOOKUP('Données projet'!$B$14,Paramètres!$A$1:$I$89,3,0)*VLOOKUP('Données projet'!$B$14,Paramètres!$A$1:$I$89,5,0)</f>
        <v>0</v>
      </c>
      <c r="DQ153" s="117" t="e">
        <f aca="false">EXP(-1.0587+0.8836*LN(DP153)+0.284)</f>
        <v>#VALUE!</v>
      </c>
      <c r="DR153" s="128" t="e">
        <f aca="false">(DP153+DQ153)*0.475*44/12</f>
        <v>#VALUE!</v>
      </c>
      <c r="DS153" s="120" t="e">
        <f aca="false">DR153+(DJ153+DK153)*44/12</f>
        <v>#VALUE!</v>
      </c>
      <c r="DT153" s="120" t="n">
        <f aca="true">AVERAGE(OFFSET($DS$3,0,0,'Données projet'!$E$14+1,1))-AVERAGE(OFFSET($H$3,0,0,'Données projet'!$E$14+1,1))</f>
        <v>549.432320957297</v>
      </c>
      <c r="DU153" s="120" t="n">
        <f aca="false">$DU$3</f>
        <v>280.26155987301</v>
      </c>
      <c r="DV153" s="121" t="n">
        <f aca="false">IF(ISNA(VLOOKUP(A153,'Données projet'!$A$165:$I$185,3,0)),0,VLOOKUP(A153,'Données projet'!$A$165:$I$185,3,0))</f>
        <v>0</v>
      </c>
      <c r="DW153" s="121" t="n">
        <f aca="false">IF(ISNA(VLOOKUP(A153,'Données projet'!$A$165:$I$185,4,0)),0,VLOOKUP(A153,'Données projet'!$A$165:$I$185,4,0))</f>
        <v>0</v>
      </c>
      <c r="DX153" s="122" t="n">
        <f aca="false">IF(ISNA(VLOOKUP(A153,'Données projet'!$A$165:$I$185,5,0)),0%,VLOOKUP(A153,'Données projet'!$A$165:$I$185,5,0)*VLOOKUP('Données projet'!$B$14,Paramètres!$A$1:$I$89,7,0))</f>
        <v>0</v>
      </c>
      <c r="DY153" s="122" t="n">
        <f aca="false">IF(ISNA(VLOOKUP(A153,'Données projet'!$A$165:$I$185,6,0)),0%,VLOOKUP(A153,'Données projet'!$A$165:$I$185,6,0)*VLOOKUP('Données projet'!$B$14,Paramètres!$A$1:$I$89,7,0))</f>
        <v>0</v>
      </c>
      <c r="DZ153" s="122" t="n">
        <f aca="false">IF(ISNA(VLOOKUP(A153,'Données projet'!$A$165:$I$185,7,0)),0%,VLOOKUP(A153,'Données projet'!$A$165:$I$185,7,0))</f>
        <v>0</v>
      </c>
      <c r="EA153" s="129" t="n">
        <f aca="false">EXP(-LN(2)/35)*EA152+(1-EXP(-LN(2)/35))/(LN(2)/35)*DW153*DX153*VLOOKUP('Données projet'!$B$14,Paramètres!$A$1:$I$89,3,0)*0.475*44/12</f>
        <v>0.223067108558806</v>
      </c>
      <c r="EB153" s="129" t="n">
        <f aca="false">EXP(-LN(2)/25)*EB152+(1-EXP(-LN(2)/25))/(LN(2)/25)*Calculateur!DW153*Calculateur!DY153*VLOOKUP('Données projet'!$B$14,Paramètres!$A$1:$I$89,3,0)*0.475*44/12</f>
        <v>0.278328278826694</v>
      </c>
      <c r="EC153" s="129" t="n">
        <f aca="false">EXP(-LN(2)/2)*EC152+(1-EXP(-LN(2)/2))/(LN(2)/2)*DW153*DZ153*VLOOKUP('Données projet'!$B$14,Paramètres!$A$1:$I$89,3,0)*0.475*44/12</f>
        <v>5.30744244955871E-018</v>
      </c>
      <c r="ED153" s="130" t="n">
        <f aca="false">SUM(EA153:EC153)</f>
        <v>0.5013953873855</v>
      </c>
      <c r="EE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8" t="e">
        <f aca="false">VLOOKUP(A153,'Données projet'!$A$191:$I$211,2,0)</f>
        <v>#N/A</v>
      </c>
      <c r="EH153" s="118" t="e">
        <f aca="false">VLOOKUP(A153,'Données projet'!$A$191:$I$211,9,0)</f>
        <v>#N/A</v>
      </c>
      <c r="EI153" s="118" t="e">
        <f aca="false" t="array" ref="EI153:EI153">INDEX(EH:EH,MIN(IF(ISNUMBER(EH153:EH349),ROW(EH153:EH349),"")))</f>
        <v>#N/A</v>
      </c>
      <c r="EJ153" s="118" t="n">
        <f aca="false">IF('Données projet'!$A$192&gt;35,EJ152+EI153-ER152,IF(A153&lt;'Données projet'!$A$192,$EG$205^A153,IF(A153='Données projet'!$A$192,'Données projet'!$B$192,EJ152+EI153-ER152)))</f>
        <v>0</v>
      </c>
      <c r="EK153" s="125" t="e">
        <f aca="false">EJ153*VLOOKUP('Données projet'!$B$15,Paramètres!$A$1:$I$89,3,0)*VLOOKUP('Données projet'!$B$15,Paramètres!$A$1:$I$89,5,0)</f>
        <v>#N/A</v>
      </c>
      <c r="EL153" s="117" t="e">
        <f aca="false">EXP(-1.0587+0.8836*LN(EK153)+0.284)</f>
        <v>#N/A</v>
      </c>
      <c r="EM153" s="128" t="e">
        <f aca="false">(EK153+EL153)*0.475*44/12</f>
        <v>#N/A</v>
      </c>
      <c r="EN153" s="120" t="e">
        <f aca="false">EM153+(EE153+EF153)*44/12</f>
        <v>#N/A</v>
      </c>
      <c r="EO153" s="120" t="e">
        <f aca="true">AVERAGE(OFFSET($EN$3,0,0,'Données projet'!$E$15+1,1))-AVERAGE(OFFSET($H$3,0,0,'Données projet'!$E$15+1,1))</f>
        <v>#N/A</v>
      </c>
      <c r="EP153" s="120" t="e">
        <f aca="false">$EP$3</f>
        <v>#N/A</v>
      </c>
      <c r="EQ153" s="121" t="n">
        <f aca="false">IF(ISNA(VLOOKUP(A153,'Données projet'!$A$191:$I$211,3,0)),0,VLOOKUP(A153,'Données projet'!$A$191:$I$211,3,0))</f>
        <v>0</v>
      </c>
      <c r="ER153" s="121" t="n">
        <f aca="false">IF(ISNA(VLOOKUP(A153,'Données projet'!$A$191:$I$211,4,0)),0,VLOOKUP(A153,'Données projet'!$A$191:$I$211,4,0))</f>
        <v>0</v>
      </c>
      <c r="ES153" s="122" t="n">
        <f aca="false">IF(ISNA(VLOOKUP(A153,'Données projet'!$A$191:$I$211,5,0)),0%,VLOOKUP(A153,'Données projet'!$A$191:$I$211,5,0)*VLOOKUP('Données projet'!$B$15,Paramètres!$A$1:$I$89,7,0))</f>
        <v>0</v>
      </c>
      <c r="ET153" s="122" t="n">
        <f aca="false">IF(ISNA(VLOOKUP(A153,'Données projet'!$A$191:$I$211,6,0)),0%,VLOOKUP(A153,'Données projet'!$A$191:$I$211,6,0)*VLOOKUP('Données projet'!$B$15,Paramètres!$A$1:$I$89,7,0))</f>
        <v>0</v>
      </c>
      <c r="EU153" s="122" t="n">
        <f aca="false">IF(ISNA(VLOOKUP(A153,'Données projet'!$A$191:$I$211,7,0)),0%,VLOOKUP(A153,'Données projet'!$A$191:$I$211,7,0))</f>
        <v>0</v>
      </c>
      <c r="EV153" s="129" t="e">
        <f aca="false">EXP(-LN(2)/35)*EV152+(1-EXP(-LN(2)/35))/(LN(2)/35)*ER153*ES153*VLOOKUP('Données projet'!$B$15,Paramètres!$A$1:$I$89,3,0)*0.475*44/12</f>
        <v>#N/A</v>
      </c>
      <c r="EW153" s="129" t="e">
        <f aca="false">EXP(-LN(2)/25)*EW152+(1-EXP(-LN(2)/25))/(LN(2)/25)*Calculateur!ER153*Calculateur!ET153*VLOOKUP('Données projet'!$B$15,Paramètres!$A$1:$I$89,3,0)*0.475*44/12</f>
        <v>#N/A</v>
      </c>
      <c r="EX153" s="129" t="e">
        <f aca="false">EXP(-LN(2)/2)*EX152+(1-EXP(-LN(2)/2))/(LN(2)/2)*ER153*EU153*VLOOKUP('Données projet'!$B$15,Paramètres!$A$1:$I$89,3,0)*0.475*44/12</f>
        <v>#N/A</v>
      </c>
      <c r="EY153" s="130" t="e">
        <f aca="false">SUM(EV153:EX153)</f>
        <v>#N/A</v>
      </c>
      <c r="EZ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8" t="e">
        <f aca="false">VLOOKUP(A153,'Données projet'!$A$217:$I$237,2,0)</f>
        <v>#N/A</v>
      </c>
      <c r="FC153" s="118" t="e">
        <f aca="false">VLOOKUP(A153,'Données projet'!$A$217:$I$237,9,0)</f>
        <v>#N/A</v>
      </c>
      <c r="FD153" s="118" t="e">
        <f aca="false" t="array" ref="FD153:FD153">INDEX(FC:FC,MIN(IF(ISNUMBER(FC153:FC349),ROW(FC153:FC349),"")))</f>
        <v>#N/A</v>
      </c>
      <c r="FE153" s="118" t="n">
        <f aca="false">IF('Données projet'!$A$218&gt;35,FE152+FD153-FM152,IF(A153&lt;'Données projet'!$A$218,$FB$205^A153,IF(A153='Données projet'!$A$218,'Données projet'!$B$218,FE152+FD153-FM152)))</f>
        <v>0</v>
      </c>
      <c r="FF153" s="125" t="e">
        <f aca="false">FE153*VLOOKUP('Données projet'!$B$16,Paramètres!$A$1:$I$89,3,0)*VLOOKUP('Données projet'!$B$16,Paramètres!$A$1:$I$89,5,0)</f>
        <v>#N/A</v>
      </c>
      <c r="FG153" s="117" t="e">
        <f aca="false">EXP(-1.0587+0.8836*LN(FF153)+0.284)</f>
        <v>#N/A</v>
      </c>
      <c r="FH153" s="128" t="e">
        <f aca="false">(FF153+FG153)*0.475*44/12</f>
        <v>#N/A</v>
      </c>
      <c r="FI153" s="120" t="e">
        <f aca="false">FH153+(EZ153+FA153)*44/12</f>
        <v>#N/A</v>
      </c>
      <c r="FJ153" s="120" t="e">
        <f aca="true">AVERAGE(OFFSET($FI$3,0,0,'Données projet'!$E$16+1,1))-AVERAGE(OFFSET($H$3,0,0,'Données projet'!$E$16+1,1))</f>
        <v>#N/A</v>
      </c>
      <c r="FK153" s="120" t="e">
        <f aca="false">$FK$3</f>
        <v>#N/A</v>
      </c>
      <c r="FL153" s="121" t="n">
        <f aca="false">IF(ISNA(VLOOKUP(A153,'Données projet'!$A$217:$I$237,3,0)),0,VLOOKUP(A153,'Données projet'!$A$217:$I$237,3,0))</f>
        <v>0</v>
      </c>
      <c r="FM153" s="121" t="n">
        <f aca="false">IF(ISNA(VLOOKUP(A153,'Données projet'!$A$217:$I$237,4,0)),0,VLOOKUP(A153,'Données projet'!$A$217:$I$237,4,0))</f>
        <v>0</v>
      </c>
      <c r="FN153" s="122" t="n">
        <f aca="false">IF(ISNA(VLOOKUP(A153,'Données projet'!$A$217:$I$237,5,0)),0%,VLOOKUP(A153,'Données projet'!$A$217:$I$237,5,0)*VLOOKUP('Données projet'!$B$16,Paramètres!$A$1:$I$89,7,0))</f>
        <v>0</v>
      </c>
      <c r="FO153" s="122" t="n">
        <f aca="false">IF(ISNA(VLOOKUP(A153,'Données projet'!$A$217:$I$237,6,0)),0%,VLOOKUP(A153,'Données projet'!$A$217:$I$237,6,0)*VLOOKUP('Données projet'!$B$16,Paramètres!$A$1:$I$89,7,0))</f>
        <v>0</v>
      </c>
      <c r="FP153" s="122" t="n">
        <f aca="false">IF(ISNA(VLOOKUP(A153,'Données projet'!$A$217:$I$237,7,0)),0%,VLOOKUP(A153,'Données projet'!$A$217:$I$237,7,0))</f>
        <v>0</v>
      </c>
      <c r="FQ153" s="129" t="e">
        <f aca="false">EXP(-LN(2)/35)*FQ152+(1-EXP(-LN(2)/35))/(LN(2)/35)*FM153*FN153*VLOOKUP('Données projet'!$B$16,Paramètres!$A$1:$I$89,3,0)*0.475*44/12</f>
        <v>#N/A</v>
      </c>
      <c r="FR153" s="129" t="e">
        <f aca="false">EXP(-LN(2)/25)*FR152+(1-EXP(-LN(2)/25))/(LN(2)/25)*Calculateur!FM153*Calculateur!FO153*VLOOKUP('Données projet'!$B$16,Paramètres!$A$1:$I$89,3,0)*0.475*44/12</f>
        <v>#N/A</v>
      </c>
      <c r="FS153" s="129" t="e">
        <f aca="false">EXP(-LN(2)/2)*FS152+(1-EXP(-LN(2)/2))/(LN(2)/2)*FM153*FP153*VLOOKUP('Données projet'!$B$16,Paramètres!$A$1:$I$89,3,0)*0.475*44/12</f>
        <v>#N/A</v>
      </c>
      <c r="FT153" s="130" t="e">
        <f aca="false">SUM(FQ153:FS153)</f>
        <v>#N/A</v>
      </c>
      <c r="FU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8" t="e">
        <f aca="false">VLOOKUP(A153,'Données projet'!$A$243:$I$263,2,0)</f>
        <v>#N/A</v>
      </c>
      <c r="FX153" s="118" t="e">
        <f aca="false">VLOOKUP(A153,'Données projet'!$A$243:$I$263,9,0)</f>
        <v>#N/A</v>
      </c>
      <c r="FY153" s="118" t="e">
        <f aca="false" t="array" ref="FY153:FY153">INDEX(FX:FX,MIN(IF(ISNUMBER(FX153:FX349),ROW(FX153:FX349),"")))</f>
        <v>#N/A</v>
      </c>
      <c r="FZ153" s="118" t="n">
        <f aca="false">IF('Données projet'!$A$244&gt;35,FZ152+FY153-GH152,IF(A153&lt;'Données projet'!$A$244,$FW$205^A153,IF(A153='Données projet'!$A$244,'Données projet'!$B$244,FZ152+FY153-GH152)))</f>
        <v>0</v>
      </c>
      <c r="GA153" s="125" t="e">
        <f aca="false">FZ153*VLOOKUP('Données projet'!$B$17,Paramètres!$A$1:$I$89,3,0)*VLOOKUP('Données projet'!$B$17,Paramètres!$A$1:$I$89,5,0)</f>
        <v>#N/A</v>
      </c>
      <c r="GB153" s="117" t="e">
        <f aca="false">EXP(-1.0587+0.8836*LN(GA153)+0.284)</f>
        <v>#N/A</v>
      </c>
      <c r="GC153" s="128" t="e">
        <f aca="false">(GA153+GB153)*0.475*44/12</f>
        <v>#N/A</v>
      </c>
      <c r="GD153" s="120" t="e">
        <f aca="false">GC153+(FU153+FV153)*44/12</f>
        <v>#N/A</v>
      </c>
      <c r="GE153" s="120" t="e">
        <f aca="true">AVERAGE(OFFSET($GD$3,0,0,'Données projet'!$E$17+1,1))-AVERAGE(OFFSET($H$3,0,0,'Données projet'!$E$17+1,1))</f>
        <v>#N/A</v>
      </c>
      <c r="GF153" s="120" t="e">
        <f aca="false">$GF$3</f>
        <v>#N/A</v>
      </c>
      <c r="GG153" s="121" t="n">
        <f aca="false">IF(ISNA(VLOOKUP(A153,'Données projet'!$A$243:$I$263,3,0)),0,VLOOKUP(A153,'Données projet'!$A$243:$I$263,3,0))</f>
        <v>0</v>
      </c>
      <c r="GH153" s="121" t="n">
        <f aca="false">IF(ISNA(VLOOKUP(A153,'Données projet'!$A$243:$I$263,4,0)),0,VLOOKUP(A153,'Données projet'!$A$243:$I$263,4,0))</f>
        <v>0</v>
      </c>
      <c r="GI153" s="122" t="n">
        <f aca="false">IF(ISNA(VLOOKUP(A153,'Données projet'!$A$243:$I$263,5,0)),0%,VLOOKUP(A153,'Données projet'!$A$243:$I$263,5,0)*VLOOKUP('Données projet'!$B$17,Paramètres!$A$1:$I$89,7,0))</f>
        <v>0</v>
      </c>
      <c r="GJ153" s="122" t="n">
        <f aca="false">IF(ISNA(VLOOKUP(A153,'Données projet'!$A$243:$I$263,6,0)),0%,VLOOKUP(A153,'Données projet'!$A$243:$I$263,6,0)*VLOOKUP('Données projet'!$B$17,Paramètres!$A$1:$I$89,7,0))</f>
        <v>0</v>
      </c>
      <c r="GK153" s="122" t="n">
        <f aca="false">IF(ISNA(VLOOKUP(A153,'Données projet'!$A$243:$I$263,7,0)),0%,VLOOKUP(A153,'Données projet'!$A$243:$I$263,7,0))</f>
        <v>0</v>
      </c>
      <c r="GL153" s="129" t="e">
        <f aca="false">EXP(-LN(2)/35)*GL152+(1-EXP(-LN(2)/35))/(LN(2)/35)*GH153*GI153*VLOOKUP('Données projet'!$B$17,Paramètres!$A$1:$I$89,3,0)*0.475*44/12</f>
        <v>#N/A</v>
      </c>
      <c r="GM153" s="129" t="e">
        <f aca="false">EXP(-LN(2)/25)*GM152+(1-EXP(-LN(2)/25))/(LN(2)/25)*Calculateur!GH153*Calculateur!GJ153*VLOOKUP('Données projet'!$B$17,Paramètres!$A$1:$I$89,3,0)*0.475*44/12</f>
        <v>#N/A</v>
      </c>
      <c r="GN153" s="129" t="e">
        <f aca="false">EXP(-LN(2)/2)*GN152+(1-EXP(-LN(2)/2))/(LN(2)/2)*GH153*GK153*VLOOKUP('Données projet'!$B$17,Paramètres!$A$1:$I$89,3,0)*0.475*44/12</f>
        <v>#N/A</v>
      </c>
      <c r="GO153" s="129" t="e">
        <f aca="false">SUM(GL153:GN153)</f>
        <v>#N/A</v>
      </c>
      <c r="GP153" s="126" t="n">
        <f aca="false"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8" t="n">
        <f aca="false"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8" t="e">
        <f aca="false">VLOOKUP(A153,'Données projet'!$A$269:$I$289,2,0)</f>
        <v>#N/A</v>
      </c>
      <c r="GS153" s="118" t="e">
        <f aca="false">VLOOKUP(A153,'Données projet'!$A$269:$I$289,9,0)</f>
        <v>#N/A</v>
      </c>
      <c r="GT153" s="118" t="e">
        <f aca="false" t="array" ref="GT153:GT153">INDEX(GS:GS,MIN(IF(ISNUMBER(GS153:GS349),ROW(GS153:GS349),"")))</f>
        <v>#N/A</v>
      </c>
      <c r="GU153" s="118" t="n">
        <f aca="false">IF('Données projet'!$A$270&gt;35,GU152+GT153-HC152,IF(A153&lt;'Données projet'!$A$270,$GR$205^A153,IF(A153='Données projet'!$A$270,'Données projet'!$B$270,GU152+GT153-HC152)))</f>
        <v>0</v>
      </c>
      <c r="GV153" s="125" t="e">
        <f aca="false">GU153*VLOOKUP('Données projet'!$B$18,Paramètres!$A$1:$I$89,3,0)*VLOOKUP('Données projet'!$B$18,Paramètres!$A$1:$I$89,5,0)</f>
        <v>#N/A</v>
      </c>
      <c r="GW153" s="117" t="e">
        <f aca="false">EXP(-1.0587+0.8836*LN(GV153)+0.284)</f>
        <v>#N/A</v>
      </c>
      <c r="GX153" s="128" t="e">
        <f aca="false">(GV153+GW153)*0.475*44/12</f>
        <v>#N/A</v>
      </c>
      <c r="GY153" s="120" t="e">
        <f aca="false">GX153+(GP153+GQ153)*44/12</f>
        <v>#N/A</v>
      </c>
      <c r="GZ153" s="120" t="e">
        <f aca="true">AVERAGE(OFFSET($GY$3,0,0,'Données projet'!$E$18+1,1))-AVERAGE(OFFSET($H$3,0,0,'Données projet'!$E$18+1,1))</f>
        <v>#N/A</v>
      </c>
      <c r="HA153" s="120" t="e">
        <f aca="false">$HA$3</f>
        <v>#N/A</v>
      </c>
      <c r="HB153" s="121" t="n">
        <f aca="false">IF(ISNA(VLOOKUP(A153,'Données projet'!$A$269:$I$289,3,0)),0,VLOOKUP(A153,'Données projet'!$A$269:$I$289,3,0))</f>
        <v>0</v>
      </c>
      <c r="HC153" s="121" t="n">
        <f aca="false">IF(ISNA(VLOOKUP(A153,'Données projet'!$A$269:$I$289,4,0)),0,VLOOKUP(A153,'Données projet'!$A$269:$I$289,4,0))</f>
        <v>0</v>
      </c>
      <c r="HD153" s="122" t="n">
        <f aca="false">IF(ISNA(VLOOKUP(A153,'Données projet'!$A$269:$I$289,5,0)),0%,VLOOKUP(A153,'Données projet'!$A$269:$I$289,5,0)*VLOOKUP('Données projet'!$B$18,Paramètres!$A$1:$I$89,7,0))</f>
        <v>0</v>
      </c>
      <c r="HE153" s="122" t="n">
        <f aca="false">IF(ISNA(VLOOKUP(A153,'Données projet'!$A$269:$I$289,6,0)),0%,VLOOKUP(A153,'Données projet'!$A$269:$I$289,6,0)*VLOOKUP('Données projet'!$B$18,Paramètres!$A$1:$I$89,7,0))</f>
        <v>0</v>
      </c>
      <c r="HF153" s="122" t="n">
        <f aca="false">IF(ISNA(VLOOKUP(A153,'Données projet'!$A$269:$I$289,7,0)),0%,VLOOKUP(A153,'Données projet'!$A$269:$I$289,7,0))</f>
        <v>0</v>
      </c>
      <c r="HG153" s="129" t="e">
        <f aca="false">EXP(-LN(2)/35)*HG152+(1-EXP(-LN(2)/35))/(LN(2)/35)*HC153*HD153*VLOOKUP('Données projet'!$B$18,Paramètres!$A$1:$I$89,3,0)*0.475*44/12</f>
        <v>#N/A</v>
      </c>
      <c r="HH153" s="129" t="e">
        <f aca="false">EXP(-LN(2)/25)*HH152+(1-EXP(-LN(2)/25))/(LN(2)/25)*Calculateur!HC153*Calculateur!HE153*VLOOKUP('Données projet'!$B$18,Paramètres!$A$1:$I$89,3,0)*0.475*44/12</f>
        <v>#N/A</v>
      </c>
      <c r="HI153" s="129" t="e">
        <f aca="false">EXP(-LN(2)/2)*HI152+(1-EXP(-LN(2)/2))/(LN(2)/2)*HC153*HF153*VLOOKUP('Données projet'!$B$18,Paramètres!$A$1:$I$89,3,0)*0.475*44/12</f>
        <v>#N/A</v>
      </c>
      <c r="HJ153" s="130" t="e">
        <f aca="false">SUM(HG153:HI153)</f>
        <v>#N/A</v>
      </c>
    </row>
    <row r="154" customFormat="false" ht="14.25" hidden="false" customHeight="false" outlineLevel="0" collapsed="false">
      <c r="A154" s="112" t="n">
        <f aca="false">A153+1</f>
        <v>151</v>
      </c>
      <c r="B154" s="113" t="n">
        <f aca="false">'Scénario référence'!$B$16*5+'Scénario référence'!$B$17*0+'Scénario référence'!$B$18*5</f>
        <v>0</v>
      </c>
      <c r="C154" s="127" t="n">
        <f aca="false"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4" t="n">
        <f aca="false">IFERROR(EXP(-1.0587+0.8836*LN(C154)+0.284),0)</f>
        <v>0</v>
      </c>
      <c r="E15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4" s="114" t="n">
        <f aca="false">IF(OR('Scénario référence'!$F$8&gt;0,'Scénario référence'!$F$9&gt;0),('Scénario référence'!$F$8+'Scénario référence'!$F$9)*10,0)</f>
        <v>0</v>
      </c>
      <c r="G154" s="114" t="n">
        <f aca="false"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15" t="n">
        <f aca="false">(B154+E154+F154)*44/12+(C154+D154)*0.475*44/12</f>
        <v>256.666666666667</v>
      </c>
      <c r="I154" s="11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7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8" t="e">
        <f aca="false">VLOOKUP(A154,'Données projet'!$A$35:$I$55,2,0)</f>
        <v>#N/A</v>
      </c>
      <c r="L154" s="118" t="e">
        <f aca="false">VLOOKUP(A154,'Données projet'!$A$35:$I$55,9,0)</f>
        <v>#N/A</v>
      </c>
      <c r="M154" s="118" t="e">
        <f aca="false" t="array" ref="M154:M154">INDEX(L:L,MIN(IF(ISNUMBER(L154:L350),ROW(L154:L350),"")))</f>
        <v>#N/A</v>
      </c>
      <c r="N154" s="117" t="n">
        <f aca="false">IF('Données projet'!$A$36&gt;35,N153+M154-V153,IF(A154&lt;'Données projet'!$A$36,$K$205^A154,IF(A154='Données projet'!$A$36,'Données projet'!$B$36,N153+M154-V153)))</f>
        <v>-1.13686837721616E-013</v>
      </c>
      <c r="O154" s="117" t="n">
        <f aca="false">N154*VLOOKUP('Données projet'!$B$9,Paramètres!$A$1:$I$89,3,0)*VLOOKUP('Données projet'!$B$9,Paramètres!$A$1:$I$89,5,0)</f>
        <v>-5.32054400537163E-014</v>
      </c>
      <c r="P154" s="117" t="e">
        <f aca="false">EXP(-1.0587+0.8836*LN(O154)+0.284)</f>
        <v>#VALUE!</v>
      </c>
      <c r="Q154" s="128" t="e">
        <f aca="false">(O154+P154)*0.475*44/12</f>
        <v>#VALUE!</v>
      </c>
      <c r="R154" s="120" t="e">
        <f aca="false">Q154+(I154+J154)*44/12</f>
        <v>#VALUE!</v>
      </c>
      <c r="S154" s="120" t="n">
        <f aca="true">AVERAGE(OFFSET($R$3,0,0,'Données projet'!$E$9+1,1))-AVERAGE(OFFSET($H$3,0,0,'Données projet'!$E$9+1,1))</f>
        <v>319.229030946746</v>
      </c>
      <c r="T154" s="120" t="n">
        <f aca="false">$T$3</f>
        <v>254.586909731428</v>
      </c>
      <c r="U154" s="121" t="n">
        <f aca="false">IF(ISNA(VLOOKUP(A154,'Données projet'!$A$35:$I$55,3,0)),0,VLOOKUP(A154,'Données projet'!$A$35:$I$55,3,0))</f>
        <v>0</v>
      </c>
      <c r="V154" s="121" t="n">
        <f aca="false">IF(ISNA(VLOOKUP(A154,'Données projet'!$A$35:$I$55,4,0)),0,VLOOKUP(A154,'Données projet'!$A$35:$I$55,4,0))</f>
        <v>0</v>
      </c>
      <c r="W154" s="122" t="n">
        <f aca="false">IF(ISNA(VLOOKUP(A154,'Données projet'!$A$35:$I$55,5,0)),0%,VLOOKUP(A154,'Données projet'!$A$35:$I$55,5,0)*VLOOKUP('Données projet'!$B$9,Paramètres!$A$1:$I$89,7,0))</f>
        <v>0</v>
      </c>
      <c r="X154" s="122" t="n">
        <f aca="false">IF(ISNA(VLOOKUP(A154,'Données projet'!$A$35:$I$55,6,0)),0%,VLOOKUP(A154,'Données projet'!$A$35:$I$55,6,0)*VLOOKUP('Données projet'!$B$9,Paramètres!$A$1:$I$89,7,0))</f>
        <v>0</v>
      </c>
      <c r="Y154" s="122" t="n">
        <f aca="false">IF(ISNA(VLOOKUP(A154,'Données projet'!$A$35:$I$55,7,0)),0%,VLOOKUP(A154,'Données projet'!$A$35:$I$55,7,0))</f>
        <v>0</v>
      </c>
      <c r="Z154" s="129" t="n">
        <f aca="false">EXP(-LN(2)/35)*Z153+(1-EXP(-LN(2)/35))/(LN(2)/35)*V154*W154*VLOOKUP('Données projet'!$B$9,Paramètres!$A$1:$I$89,3,0)*0.475*44/12</f>
        <v>0.826416130455501</v>
      </c>
      <c r="AA154" s="129" t="n">
        <f aca="false">EXP(-LN(2)/25)*AA153+(1-EXP(-LN(2)/25))/(LN(2)/25)*Calculateur!V154*Calculateur!X154*VLOOKUP('Données projet'!$B$9,Paramètres!$A$1:$I$89,3,0)*0.475*44/12</f>
        <v>0.389350832832262</v>
      </c>
      <c r="AB154" s="129" t="n">
        <f aca="false">EXP(-LN(2)/2)*AB153+(1-EXP(-LN(2)/2))/(LN(2)/2)*V154*Y154*VLOOKUP('Données projet'!$B$9,Paramètres!$A$1:$I$89,3,0)*0.475*44/12</f>
        <v>6.77294257952684E-018</v>
      </c>
      <c r="AC154" s="130" t="n">
        <f aca="false">SUM(Z154:AB154)</f>
        <v>1.21576696328776</v>
      </c>
      <c r="AD154" s="117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7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8" t="e">
        <f aca="false">VLOOKUP(A154,'Données projet'!$A$61:$I$81,2,0)</f>
        <v>#N/A</v>
      </c>
      <c r="AG154" s="118" t="e">
        <f aca="false">VLOOKUP(A154,'Données projet'!$A$61:$I$81,9,0)</f>
        <v>#N/A</v>
      </c>
      <c r="AH154" s="118" t="e">
        <f aca="false" t="array" ref="AH154:AH154">INDEX(AG:AG,MIN(IF(ISNUMBER(AG154:AG350),ROW(AG154:AG350),"")))</f>
        <v>#N/A</v>
      </c>
      <c r="AI154" s="117" t="n">
        <f aca="false">IF('Données projet'!$A$62&gt;35,AI153+AH154-AQ153,IF(A154&lt;'Données projet'!$A$62,$AF$205^A154,IF(A154='Données projet'!$A$62,'Données projet'!$B$62,AI153+AH154-AQ153)))</f>
        <v>1.13686837721616E-013</v>
      </c>
      <c r="AJ154" s="117" t="n">
        <f aca="false">AI154*VLOOKUP('Données projet'!$B$10,Paramètres!$A$1:$I$89,3,0)*VLOOKUP('Données projet'!$B$10,Paramètres!$A$1:$I$89,5,0)</f>
        <v>6.35509422863834E-014</v>
      </c>
      <c r="AK154" s="117" t="n">
        <f aca="false">EXP(-1.0587+0.8836*LN(AJ154)+0.284)</f>
        <v>1.0064464192544E-012</v>
      </c>
      <c r="AL154" s="128" t="n">
        <f aca="false">(AJ154+AK154)*0.475*44/12</f>
        <v>1.86357873801686E-012</v>
      </c>
      <c r="AM154" s="120" t="n">
        <f aca="false">AL154+(AD154+AE154)*44/12</f>
        <v>293.333333333335</v>
      </c>
      <c r="AN154" s="120" t="n">
        <f aca="true">AVERAGE(OFFSET($AM$3,0,0,'Données projet'!$E$10+1,1))-AVERAGE(OFFSET($H$3,0,0,'Données projet'!$E$10+1,1))</f>
        <v>365.705101827279</v>
      </c>
      <c r="AO154" s="120" t="n">
        <f aca="false">$AO$3</f>
        <v>436.238338449625</v>
      </c>
      <c r="AP154" s="121" t="n">
        <f aca="false">IF(ISNA(VLOOKUP(A154,'Données projet'!$A$61:$I$81,3,0)),0,VLOOKUP(A154,'Données projet'!$A$61:$I$81,3,0))</f>
        <v>0</v>
      </c>
      <c r="AQ154" s="121" t="n">
        <f aca="false">IF(ISNA(VLOOKUP(A154,'Données projet'!$A$61:$I$81,4,0)),0,VLOOKUP(A154,'Données projet'!$A$61:$I$81,4,0))</f>
        <v>0</v>
      </c>
      <c r="AR154" s="122" t="n">
        <f aca="false">IF(ISNA(VLOOKUP(A154,'Données projet'!$A$61:$I$81,5,0)),0%,VLOOKUP(A154,'Données projet'!$A$61:$I$81,5,0)*VLOOKUP('Données projet'!$B$10,Paramètres!$A$1:$I$89,7,0))</f>
        <v>0</v>
      </c>
      <c r="AS154" s="122" t="n">
        <f aca="false">IF(ISNA(VLOOKUP(A154,'Données projet'!$A$61:$I$81,6,0)),0%,VLOOKUP(A154,'Données projet'!$A$61:$I$81,6,0)*VLOOKUP('Données projet'!$B$10,Paramètres!$A$1:$I$89,7,0))</f>
        <v>0</v>
      </c>
      <c r="AT154" s="122" t="n">
        <f aca="false">IF(ISNA(VLOOKUP(A154,'Données projet'!$A$61:$I$81,7,0)),0%,VLOOKUP(A154,'Données projet'!$A$61:$I$81,7,0))</f>
        <v>0</v>
      </c>
      <c r="AU154" s="129" t="n">
        <f aca="false">EXP(-LN(2)/35)*AU153+(1-EXP(-LN(2)/35))/(LN(2)/35)*AQ154*AR154*VLOOKUP('Données projet'!$B$10,Paramètres!$A$1:$I$89,3,0)*0.475*44/12</f>
        <v>0.311945295671035</v>
      </c>
      <c r="AV154" s="129" t="n">
        <f aca="false">EXP(-LN(2)/25)*AV153+(1-EXP(-LN(2)/25))/(LN(2)/25)*Calculateur!AQ154*Calculateur!AS154*VLOOKUP('Données projet'!$B$10,Paramètres!$A$1:$I$89,3,0)*0.475*44/12</f>
        <v>0.461165009338207</v>
      </c>
      <c r="AW154" s="129" t="n">
        <f aca="false">EXP(-LN(2)/2)*AW153+(1-EXP(-LN(2)/2))/(LN(2)/2)*AQ154*AT154*VLOOKUP('Données projet'!$B$10,Paramètres!$A$1:$I$89,3,0)*0.475*44/12</f>
        <v>3.64498600962279E-018</v>
      </c>
      <c r="AX154" s="129" t="n">
        <f aca="false">SUM(AU154:AW154)</f>
        <v>0.773110305009242</v>
      </c>
      <c r="AY154" s="124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8" t="e">
        <f aca="false">VLOOKUP(A154,'Données projet'!$A$87:$I$107,2,0)</f>
        <v>#N/A</v>
      </c>
      <c r="BB154" s="118" t="e">
        <f aca="false">VLOOKUP(A154,'Données projet'!$A$87:$I$107,9,0)</f>
        <v>#N/A</v>
      </c>
      <c r="BC154" s="118" t="e">
        <f aca="false" t="array" ref="BC154:BC154">INDEX(BB:BB,MIN(IF(ISNUMBER(BB154:BB350),ROW(BB154:BB350),"")))</f>
        <v>#N/A</v>
      </c>
      <c r="BD154" s="118" t="n">
        <f aca="false">IF('Données projet'!$A$88&gt;35,BD153+BC154-BL153,IF(A154&lt;'Données projet'!$A$88,$BA$205^A154,IF(A154='Données projet'!$A$88,'Données projet'!$B$88,BD153+BC154-BL153)))</f>
        <v>1.98951966012828E-013</v>
      </c>
      <c r="BE154" s="117" t="n">
        <f aca="false">BD154*VLOOKUP('Données projet'!$B$11,Paramètres!$A$1:$I$89,3,0)*VLOOKUP('Données projet'!$B$11,Paramètres!$A$1:$I$89,5,0)</f>
        <v>1.73804437508807E-013</v>
      </c>
      <c r="BF154" s="117" t="n">
        <f aca="false">EXP(-1.0587+0.8836*LN(BE154)+0.284)</f>
        <v>2.44832936339505E-012</v>
      </c>
      <c r="BG154" s="128" t="n">
        <f aca="false">(BE154+BF154)*0.475*44/12</f>
        <v>4.56688303657421E-012</v>
      </c>
      <c r="BH154" s="120" t="n">
        <f aca="false">BG154+(AY154+AZ154)*44/12</f>
        <v>293.333333333338</v>
      </c>
      <c r="BI154" s="120" t="n">
        <f aca="true">AVERAGE(OFFSET($BH$3,0,0,'Données projet'!$E$11+1,1))-AVERAGE(OFFSET($H$3,0,0,'Données projet'!$E$11+1,1))</f>
        <v>321.235999689929</v>
      </c>
      <c r="BJ154" s="120" t="n">
        <f aca="false">$BJ$3</f>
        <v>388.051958478005</v>
      </c>
      <c r="BK154" s="121" t="n">
        <f aca="false">IF(ISNA(VLOOKUP(A154,'Données projet'!$A$87:$I$107,3,0)),0,VLOOKUP(A154,'Données projet'!$A$87:$I$107,3,0))</f>
        <v>0</v>
      </c>
      <c r="BL154" s="121" t="n">
        <f aca="false">IF(ISNA(VLOOKUP(A154,'Données projet'!$A$87:$I$107,4,0)),0,VLOOKUP(A154,'Données projet'!$A$87:$I$107,4,0))</f>
        <v>0</v>
      </c>
      <c r="BM154" s="122" t="n">
        <f aca="false">IF(ISNA(VLOOKUP(A154,'Données projet'!$A$87:$I$107,5,0)),0%,VLOOKUP(A154,'Données projet'!$A$87:$I$107,5,0)*VLOOKUP('Données projet'!$B$11,Paramètres!$A$1:$I$89,7,0))</f>
        <v>0</v>
      </c>
      <c r="BN154" s="122" t="n">
        <f aca="false">IF(ISNA(VLOOKUP(A154,'Données projet'!$A$87:$I$107,6,0)),0%,VLOOKUP(A154,'Données projet'!$A$87:$I$107,6,0)*VLOOKUP('Données projet'!$B$11,Paramètres!$A$1:$I$89,7,0))</f>
        <v>0</v>
      </c>
      <c r="BO154" s="122" t="n">
        <f aca="false">IF(ISNA(VLOOKUP(A154,'Données projet'!$A$87:$I$107,7,0)),0%,VLOOKUP(A154,'Données projet'!$A$87:$I$107,7,0))</f>
        <v>0</v>
      </c>
      <c r="BP154" s="129" t="n">
        <f aca="false">EXP(-LN(2)/35)*BP153+(1-EXP(-LN(2)/35))/(LN(2)/35)*BL154*BM154*VLOOKUP('Données projet'!$B$11,Paramètres!$A$1:$I$89,3,0)*0.475*44/12</f>
        <v>0.783176519952302</v>
      </c>
      <c r="BQ154" s="129" t="n">
        <f aca="false">EXP(-LN(2)/25)*BQ153+(1-EXP(-LN(2)/25))/(LN(2)/25)*Calculateur!BL154*Calculateur!BN154*VLOOKUP('Données projet'!$B$11,Paramètres!$A$1:$I$89,3,0)*0.475*44/12</f>
        <v>0.470729850024424</v>
      </c>
      <c r="BR154" s="129" t="n">
        <f aca="false">EXP(-LN(2)/2)*BR153+(1-EXP(-LN(2)/2))/(LN(2)/2)*BL154*BO154*VLOOKUP('Données projet'!$B$11,Paramètres!$A$1:$I$89,3,0)*0.475*44/12</f>
        <v>3.70505251648782E-018</v>
      </c>
      <c r="BS154" s="130" t="n">
        <f aca="false">SUM(BP154:BR154)</f>
        <v>1.25390636997673</v>
      </c>
      <c r="BT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8" t="e">
        <f aca="false">VLOOKUP(A154,'Données projet'!$A$113:$I$133,2,0)</f>
        <v>#N/A</v>
      </c>
      <c r="BW154" s="118" t="e">
        <f aca="false">VLOOKUP(A154,'Données projet'!$A$113:$I$133,9,0)</f>
        <v>#N/A</v>
      </c>
      <c r="BX154" s="118" t="e">
        <f aca="false" t="array" ref="BX154:BX154">INDEX(BW:BW,MIN(IF(ISNUMBER(BW154:BW350),ROW(BW154:BW350),"")))</f>
        <v>#N/A</v>
      </c>
      <c r="BY154" s="118" t="n">
        <f aca="false">IF('Données projet'!$A$114&gt;35,BY153+BX154-CG153,IF(A154&lt;'Données projet'!$A$114,$BV$205^A154,IF(A154='Données projet'!$A$114,'Données projet'!$B$114,BY153+BX154-CG153)))</f>
        <v>0</v>
      </c>
      <c r="BZ154" s="117" t="n">
        <f aca="false">BY154*VLOOKUP('Données projet'!$B$12,Paramètres!$A$1:$I$89,3,0)*VLOOKUP('Données projet'!$B$12,Paramètres!$A$1:$I$89,5,0)</f>
        <v>0</v>
      </c>
      <c r="CA154" s="117" t="e">
        <f aca="false">EXP(-1.0587+0.8836*LN(BZ154)+0.284)</f>
        <v>#VALUE!</v>
      </c>
      <c r="CB154" s="128" t="e">
        <f aca="false">(BZ154+CA154)*0.475*44/12</f>
        <v>#VALUE!</v>
      </c>
      <c r="CC154" s="120" t="e">
        <f aca="false">CB154+(BT154+BU154)*44/12</f>
        <v>#VALUE!</v>
      </c>
      <c r="CD154" s="120" t="n">
        <f aca="true">AVERAGE(OFFSET($CC$3,0,0,'Données projet'!$E$12+1,1))-AVERAGE(OFFSET($H$3,0,0,'Données projet'!$E$12+1,1))</f>
        <v>240.228848647662</v>
      </c>
      <c r="CE154" s="120" t="n">
        <f aca="false">$CE$3</f>
        <v>343.237768841432</v>
      </c>
      <c r="CF154" s="121" t="n">
        <f aca="false">IF(ISNA(VLOOKUP(A154,'Données projet'!$A$113:$I$133,3,0)),0,VLOOKUP(A154,'Données projet'!$A$113:$I$133,3,0))</f>
        <v>0</v>
      </c>
      <c r="CG154" s="121" t="n">
        <f aca="false">IF(ISNA(VLOOKUP(A154,'Données projet'!$A$113:$I$133,4,0)),0,VLOOKUP(A154,'Données projet'!$A$113:$I$133,4,0))</f>
        <v>0</v>
      </c>
      <c r="CH154" s="122" t="n">
        <f aca="false">IF(ISNA(VLOOKUP(A154,'Données projet'!$A$113:$I$133,5,0)),0%,VLOOKUP(A154,'Données projet'!$A$113:$I$133,5,0)*VLOOKUP('Données projet'!$B$12,Paramètres!$A$1:$I$89,7,0))</f>
        <v>0</v>
      </c>
      <c r="CI154" s="122" t="n">
        <f aca="false">IF(ISNA(VLOOKUP(A154,'Données projet'!$A$113:$I$133,6,0)),0%,VLOOKUP(A154,'Données projet'!$A$113:$I$133,6,0)*VLOOKUP('Données projet'!$B$12,Paramètres!$A$1:$I$89,7,0))</f>
        <v>0</v>
      </c>
      <c r="CJ154" s="122" t="n">
        <f aca="false">IF(ISNA(VLOOKUP(A154,'Données projet'!$A$113:$I$133,7,0)),0%,VLOOKUP(A154,'Données projet'!$A$113:$I$133,7,0))</f>
        <v>0</v>
      </c>
      <c r="CK154" s="129" t="n">
        <f aca="false">EXP(-LN(2)/35)*CK153+(1-EXP(-LN(2)/35))/(LN(2)/35)*CG154*CH154*VLOOKUP('Données projet'!$B$12,Paramètres!$A$1:$I$89,3,0)*0.475*44/12</f>
        <v>0.479365045114535</v>
      </c>
      <c r="CL154" s="129" t="n">
        <f aca="false">EXP(-LN(2)/25)*CL153+(1-EXP(-LN(2)/25))/(LN(2)/25)*Calculateur!CG154*Calculateur!CI154*VLOOKUP('Données projet'!$B$12,Paramètres!$A$1:$I$89,3,0)*0.475*44/12</f>
        <v>0.831336165640807</v>
      </c>
      <c r="CM154" s="129" t="n">
        <f aca="false">EXP(-LN(2)/2)*CM153+(1-EXP(-LN(2)/2))/(LN(2)/2)*CG154*CJ154*VLOOKUP('Données projet'!$B$12,Paramètres!$A$1:$I$89,3,0)*0.475*44/12</f>
        <v>5.91227604987982E-018</v>
      </c>
      <c r="CN154" s="130" t="n">
        <f aca="false">SUM(CK154:CM154)</f>
        <v>1.31070121075534</v>
      </c>
      <c r="CO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8" t="e">
        <f aca="false">VLOOKUP(A154,'Données projet'!$A$139:$I$159,2,0)</f>
        <v>#N/A</v>
      </c>
      <c r="CR154" s="118" t="e">
        <f aca="false">VLOOKUP(A154,'Données projet'!$A$139:$I$159,9,0)</f>
        <v>#N/A</v>
      </c>
      <c r="CS154" s="118" t="e">
        <f aca="false" t="array" ref="CS154:CS154">INDEX(CR:CR,MIN(IF(ISNUMBER(CR154:CR350),ROW(CR154:CR350),"")))</f>
        <v>#N/A</v>
      </c>
      <c r="CT154" s="118" t="n">
        <f aca="false">IF('Données projet'!$A$140&gt;35,CT153+CS154-DB153,IF(A154&lt;'Données projet'!$A$140,$CQ$205^A154,IF(A154='Données projet'!$A$140,'Données projet'!$B$140,CT153+CS154-DB153)))</f>
        <v>-5.6843418860808E-014</v>
      </c>
      <c r="CU154" s="125" t="n">
        <f aca="false">CT154*VLOOKUP('Données projet'!$B$13,Paramètres!$A$1:$I$89,3,0)*VLOOKUP('Données projet'!$B$13,Paramètres!$A$1:$I$89,5,0)</f>
        <v>-3.10365066980012E-014</v>
      </c>
      <c r="CV154" s="117" t="e">
        <f aca="false">EXP(-1.0587+0.8836*LN(CU154)+0.284)</f>
        <v>#VALUE!</v>
      </c>
      <c r="CW154" s="128" t="e">
        <f aca="false">(CU154+CV154)*0.475*44/12</f>
        <v>#VALUE!</v>
      </c>
      <c r="CX154" s="120" t="e">
        <f aca="false">CW154+(CO154+CP154)*44/12</f>
        <v>#VALUE!</v>
      </c>
      <c r="CY154" s="120" t="n">
        <f aca="true">AVERAGE(OFFSET($CX$3,0,0,'Données projet'!$E$13+1,1))-AVERAGE(OFFSET($H$3,0,0,'Données projet'!$E$13+1,1))</f>
        <v>207.023069645676</v>
      </c>
      <c r="CZ154" s="120" t="n">
        <f aca="false">$CZ$3</f>
        <v>342.068879333518</v>
      </c>
      <c r="DA154" s="121" t="n">
        <f aca="false">IF(ISNA(VLOOKUP(A154,'Données projet'!$A$139:$I$159,3,0)),0,VLOOKUP(A154,'Données projet'!$A$139:$I$159,3,0))</f>
        <v>0</v>
      </c>
      <c r="DB154" s="121" t="n">
        <f aca="false">IF(ISNA(VLOOKUP(A154,'Données projet'!$A$139:$I$159,4,0)),0,VLOOKUP(A154,'Données projet'!$A$139:$I$159,4,0))</f>
        <v>0</v>
      </c>
      <c r="DC154" s="122" t="n">
        <f aca="false">IF(ISNA(VLOOKUP(A154,'Données projet'!$A$139:$I$159,5,0)),0%,VLOOKUP(A154,'Données projet'!$A$139:$I$159,5,0)*VLOOKUP('Données projet'!$B$13,Paramètres!$A$1:$I$89,7,0))</f>
        <v>0</v>
      </c>
      <c r="DD154" s="122" t="n">
        <f aca="false">IF(ISNA(VLOOKUP(A154,'Données projet'!$A$139:$I$159,6,0)),0%,VLOOKUP(A154,'Données projet'!$A$139:$I$159,6,0)*VLOOKUP('Données projet'!$B$13,Paramètres!$A$1:$I$89,7,0))</f>
        <v>0</v>
      </c>
      <c r="DE154" s="122" t="n">
        <f aca="false">IF(ISNA(VLOOKUP(A154,'Données projet'!$A$139:$I$159,7,0)),0%,VLOOKUP(A154,'Données projet'!$A$139:$I$159,7,0))</f>
        <v>0</v>
      </c>
      <c r="DF154" s="129" t="n">
        <f aca="false">EXP(-LN(2)/35)*DF153+(1-EXP(-LN(2)/35))/(LN(2)/35)*DB154*DC154*VLOOKUP('Données projet'!$B$13,Paramètres!$A$1:$I$89,3,0)*0.475*44/12</f>
        <v>0.60146746226635</v>
      </c>
      <c r="DG154" s="129" t="n">
        <f aca="false">EXP(-LN(2)/25)*DG153+(1-EXP(-LN(2)/25))/(LN(2)/25)*Calculateur!DB154*Calculateur!DD154*VLOOKUP('Données projet'!$B$13,Paramètres!$A$1:$I$89,3,0)*0.475*44/12</f>
        <v>1.35888838859865</v>
      </c>
      <c r="DH154" s="129" t="n">
        <f aca="false">EXP(-LN(2)/2)*DH153+(1-EXP(-LN(2)/2))/(LN(2)/2)*DB154*DE154*VLOOKUP('Données projet'!$B$13,Paramètres!$A$1:$I$89,3,0)*0.475*44/12</f>
        <v>8.14120686176461E-018</v>
      </c>
      <c r="DI154" s="130" t="n">
        <f aca="false">SUM(DF154:DH154)</f>
        <v>1.960355850865</v>
      </c>
      <c r="DJ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8" t="e">
        <f aca="false">VLOOKUP(A154,'Données projet'!$A$165:$I$185,2,0)</f>
        <v>#N/A</v>
      </c>
      <c r="DM154" s="118" t="e">
        <f aca="false">VLOOKUP(A154,'Données projet'!$A$165:$I$185,9,0)</f>
        <v>#N/A</v>
      </c>
      <c r="DN154" s="118" t="e">
        <f aca="false" t="array" ref="DN154:DN154">INDEX(DM:DM,MIN(IF(ISNUMBER(DM154:DM350),ROW(DM154:DM350),"")))</f>
        <v>#N/A</v>
      </c>
      <c r="DO154" s="118" t="n">
        <f aca="false">IF('Données projet'!$A$166&gt;35,DO153+DN154-DW153,IF(A154&lt;'Données projet'!$A$166,$DL$205^A154,IF(A154='Données projet'!$A$166,'Données projet'!$B$166,DO153+DN154-DW153)))</f>
        <v>0</v>
      </c>
      <c r="DP154" s="125" t="n">
        <f aca="false">DO154*VLOOKUP('Données projet'!$B$14,Paramètres!$A$1:$I$89,3,0)*VLOOKUP('Données projet'!$B$14,Paramètres!$A$1:$I$89,5,0)</f>
        <v>0</v>
      </c>
      <c r="DQ154" s="117" t="e">
        <f aca="false">EXP(-1.0587+0.8836*LN(DP154)+0.284)</f>
        <v>#VALUE!</v>
      </c>
      <c r="DR154" s="128" t="e">
        <f aca="false">(DP154+DQ154)*0.475*44/12</f>
        <v>#VALUE!</v>
      </c>
      <c r="DS154" s="120" t="e">
        <f aca="false">DR154+(DJ154+DK154)*44/12</f>
        <v>#VALUE!</v>
      </c>
      <c r="DT154" s="120" t="n">
        <f aca="true">AVERAGE(OFFSET($DS$3,0,0,'Données projet'!$E$14+1,1))-AVERAGE(OFFSET($H$3,0,0,'Données projet'!$E$14+1,1))</f>
        <v>549.432320957297</v>
      </c>
      <c r="DU154" s="120" t="n">
        <f aca="false">$DU$3</f>
        <v>280.26155987301</v>
      </c>
      <c r="DV154" s="121" t="n">
        <f aca="false">IF(ISNA(VLOOKUP(A154,'Données projet'!$A$165:$I$185,3,0)),0,VLOOKUP(A154,'Données projet'!$A$165:$I$185,3,0))</f>
        <v>0</v>
      </c>
      <c r="DW154" s="121" t="n">
        <f aca="false">IF(ISNA(VLOOKUP(A154,'Données projet'!$A$165:$I$185,4,0)),0,VLOOKUP(A154,'Données projet'!$A$165:$I$185,4,0))</f>
        <v>0</v>
      </c>
      <c r="DX154" s="122" t="n">
        <f aca="false">IF(ISNA(VLOOKUP(A154,'Données projet'!$A$165:$I$185,5,0)),0%,VLOOKUP(A154,'Données projet'!$A$165:$I$185,5,0)*VLOOKUP('Données projet'!$B$14,Paramètres!$A$1:$I$89,7,0))</f>
        <v>0</v>
      </c>
      <c r="DY154" s="122" t="n">
        <f aca="false">IF(ISNA(VLOOKUP(A154,'Données projet'!$A$165:$I$185,6,0)),0%,VLOOKUP(A154,'Données projet'!$A$165:$I$185,6,0)*VLOOKUP('Données projet'!$B$14,Paramètres!$A$1:$I$89,7,0))</f>
        <v>0</v>
      </c>
      <c r="DZ154" s="122" t="n">
        <f aca="false">IF(ISNA(VLOOKUP(A154,'Données projet'!$A$165:$I$185,7,0)),0%,VLOOKUP(A154,'Données projet'!$A$165:$I$185,7,0))</f>
        <v>0</v>
      </c>
      <c r="EA154" s="129" t="n">
        <f aca="false">EXP(-LN(2)/35)*EA153+(1-EXP(-LN(2)/35))/(LN(2)/35)*DW154*DX154*VLOOKUP('Données projet'!$B$14,Paramètres!$A$1:$I$89,3,0)*0.475*44/12</f>
        <v>0.218692898617469</v>
      </c>
      <c r="EB154" s="129" t="n">
        <f aca="false">EXP(-LN(2)/25)*EB153+(1-EXP(-LN(2)/25))/(LN(2)/25)*Calculateur!DW154*Calculateur!DY154*VLOOKUP('Données projet'!$B$14,Paramètres!$A$1:$I$89,3,0)*0.475*44/12</f>
        <v>0.27071737740553</v>
      </c>
      <c r="EC154" s="129" t="n">
        <f aca="false">EXP(-LN(2)/2)*EC153+(1-EXP(-LN(2)/2))/(LN(2)/2)*DW154*DZ154*VLOOKUP('Données projet'!$B$14,Paramètres!$A$1:$I$89,3,0)*0.475*44/12</f>
        <v>3.7529285468403E-018</v>
      </c>
      <c r="ED154" s="130" t="n">
        <f aca="false">SUM(EA154:EC154)</f>
        <v>0.489410276023</v>
      </c>
      <c r="EE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8" t="e">
        <f aca="false">VLOOKUP(A154,'Données projet'!$A$191:$I$211,2,0)</f>
        <v>#N/A</v>
      </c>
      <c r="EH154" s="118" t="e">
        <f aca="false">VLOOKUP(A154,'Données projet'!$A$191:$I$211,9,0)</f>
        <v>#N/A</v>
      </c>
      <c r="EI154" s="118" t="e">
        <f aca="false" t="array" ref="EI154:EI154">INDEX(EH:EH,MIN(IF(ISNUMBER(EH154:EH350),ROW(EH154:EH350),"")))</f>
        <v>#N/A</v>
      </c>
      <c r="EJ154" s="118" t="n">
        <f aca="false">IF('Données projet'!$A$192&gt;35,EJ153+EI154-ER153,IF(A154&lt;'Données projet'!$A$192,$EG$205^A154,IF(A154='Données projet'!$A$192,'Données projet'!$B$192,EJ153+EI154-ER153)))</f>
        <v>0</v>
      </c>
      <c r="EK154" s="125" t="e">
        <f aca="false">EJ154*VLOOKUP('Données projet'!$B$15,Paramètres!$A$1:$I$89,3,0)*VLOOKUP('Données projet'!$B$15,Paramètres!$A$1:$I$89,5,0)</f>
        <v>#N/A</v>
      </c>
      <c r="EL154" s="117" t="e">
        <f aca="false">EXP(-1.0587+0.8836*LN(EK154)+0.284)</f>
        <v>#N/A</v>
      </c>
      <c r="EM154" s="128" t="e">
        <f aca="false">(EK154+EL154)*0.475*44/12</f>
        <v>#N/A</v>
      </c>
      <c r="EN154" s="120" t="e">
        <f aca="false">EM154+(EE154+EF154)*44/12</f>
        <v>#N/A</v>
      </c>
      <c r="EO154" s="120" t="e">
        <f aca="true">AVERAGE(OFFSET($EN$3,0,0,'Données projet'!$E$15+1,1))-AVERAGE(OFFSET($H$3,0,0,'Données projet'!$E$15+1,1))</f>
        <v>#N/A</v>
      </c>
      <c r="EP154" s="120" t="e">
        <f aca="false">$EP$3</f>
        <v>#N/A</v>
      </c>
      <c r="EQ154" s="121" t="n">
        <f aca="false">IF(ISNA(VLOOKUP(A154,'Données projet'!$A$191:$I$211,3,0)),0,VLOOKUP(A154,'Données projet'!$A$191:$I$211,3,0))</f>
        <v>0</v>
      </c>
      <c r="ER154" s="121" t="n">
        <f aca="false">IF(ISNA(VLOOKUP(A154,'Données projet'!$A$191:$I$211,4,0)),0,VLOOKUP(A154,'Données projet'!$A$191:$I$211,4,0))</f>
        <v>0</v>
      </c>
      <c r="ES154" s="122" t="n">
        <f aca="false">IF(ISNA(VLOOKUP(A154,'Données projet'!$A$191:$I$211,5,0)),0%,VLOOKUP(A154,'Données projet'!$A$191:$I$211,5,0)*VLOOKUP('Données projet'!$B$15,Paramètres!$A$1:$I$89,7,0))</f>
        <v>0</v>
      </c>
      <c r="ET154" s="122" t="n">
        <f aca="false">IF(ISNA(VLOOKUP(A154,'Données projet'!$A$191:$I$211,6,0)),0%,VLOOKUP(A154,'Données projet'!$A$191:$I$211,6,0)*VLOOKUP('Données projet'!$B$15,Paramètres!$A$1:$I$89,7,0))</f>
        <v>0</v>
      </c>
      <c r="EU154" s="122" t="n">
        <f aca="false">IF(ISNA(VLOOKUP(A154,'Données projet'!$A$191:$I$211,7,0)),0%,VLOOKUP(A154,'Données projet'!$A$191:$I$211,7,0))</f>
        <v>0</v>
      </c>
      <c r="EV154" s="129" t="e">
        <f aca="false">EXP(-LN(2)/35)*EV153+(1-EXP(-LN(2)/35))/(LN(2)/35)*ER154*ES154*VLOOKUP('Données projet'!$B$15,Paramètres!$A$1:$I$89,3,0)*0.475*44/12</f>
        <v>#N/A</v>
      </c>
      <c r="EW154" s="129" t="e">
        <f aca="false">EXP(-LN(2)/25)*EW153+(1-EXP(-LN(2)/25))/(LN(2)/25)*Calculateur!ER154*Calculateur!ET154*VLOOKUP('Données projet'!$B$15,Paramètres!$A$1:$I$89,3,0)*0.475*44/12</f>
        <v>#N/A</v>
      </c>
      <c r="EX154" s="129" t="e">
        <f aca="false">EXP(-LN(2)/2)*EX153+(1-EXP(-LN(2)/2))/(LN(2)/2)*ER154*EU154*VLOOKUP('Données projet'!$B$15,Paramètres!$A$1:$I$89,3,0)*0.475*44/12</f>
        <v>#N/A</v>
      </c>
      <c r="EY154" s="130" t="e">
        <f aca="false">SUM(EV154:EX154)</f>
        <v>#N/A</v>
      </c>
      <c r="EZ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8" t="e">
        <f aca="false">VLOOKUP(A154,'Données projet'!$A$217:$I$237,2,0)</f>
        <v>#N/A</v>
      </c>
      <c r="FC154" s="118" t="e">
        <f aca="false">VLOOKUP(A154,'Données projet'!$A$217:$I$237,9,0)</f>
        <v>#N/A</v>
      </c>
      <c r="FD154" s="118" t="e">
        <f aca="false" t="array" ref="FD154:FD154">INDEX(FC:FC,MIN(IF(ISNUMBER(FC154:FC350),ROW(FC154:FC350),"")))</f>
        <v>#N/A</v>
      </c>
      <c r="FE154" s="118" t="n">
        <f aca="false">IF('Données projet'!$A$218&gt;35,FE153+FD154-FM153,IF(A154&lt;'Données projet'!$A$218,$FB$205^A154,IF(A154='Données projet'!$A$218,'Données projet'!$B$218,FE153+FD154-FM153)))</f>
        <v>0</v>
      </c>
      <c r="FF154" s="125" t="e">
        <f aca="false">FE154*VLOOKUP('Données projet'!$B$16,Paramètres!$A$1:$I$89,3,0)*VLOOKUP('Données projet'!$B$16,Paramètres!$A$1:$I$89,5,0)</f>
        <v>#N/A</v>
      </c>
      <c r="FG154" s="117" t="e">
        <f aca="false">EXP(-1.0587+0.8836*LN(FF154)+0.284)</f>
        <v>#N/A</v>
      </c>
      <c r="FH154" s="128" t="e">
        <f aca="false">(FF154+FG154)*0.475*44/12</f>
        <v>#N/A</v>
      </c>
      <c r="FI154" s="120" t="e">
        <f aca="false">FH154+(EZ154+FA154)*44/12</f>
        <v>#N/A</v>
      </c>
      <c r="FJ154" s="120" t="e">
        <f aca="true">AVERAGE(OFFSET($FI$3,0,0,'Données projet'!$E$16+1,1))-AVERAGE(OFFSET($H$3,0,0,'Données projet'!$E$16+1,1))</f>
        <v>#N/A</v>
      </c>
      <c r="FK154" s="120" t="e">
        <f aca="false">$FK$3</f>
        <v>#N/A</v>
      </c>
      <c r="FL154" s="121" t="n">
        <f aca="false">IF(ISNA(VLOOKUP(A154,'Données projet'!$A$217:$I$237,3,0)),0,VLOOKUP(A154,'Données projet'!$A$217:$I$237,3,0))</f>
        <v>0</v>
      </c>
      <c r="FM154" s="121" t="n">
        <f aca="false">IF(ISNA(VLOOKUP(A154,'Données projet'!$A$217:$I$237,4,0)),0,VLOOKUP(A154,'Données projet'!$A$217:$I$237,4,0))</f>
        <v>0</v>
      </c>
      <c r="FN154" s="122" t="n">
        <f aca="false">IF(ISNA(VLOOKUP(A154,'Données projet'!$A$217:$I$237,5,0)),0%,VLOOKUP(A154,'Données projet'!$A$217:$I$237,5,0)*VLOOKUP('Données projet'!$B$16,Paramètres!$A$1:$I$89,7,0))</f>
        <v>0</v>
      </c>
      <c r="FO154" s="122" t="n">
        <f aca="false">IF(ISNA(VLOOKUP(A154,'Données projet'!$A$217:$I$237,6,0)),0%,VLOOKUP(A154,'Données projet'!$A$217:$I$237,6,0)*VLOOKUP('Données projet'!$B$16,Paramètres!$A$1:$I$89,7,0))</f>
        <v>0</v>
      </c>
      <c r="FP154" s="122" t="n">
        <f aca="false">IF(ISNA(VLOOKUP(A154,'Données projet'!$A$217:$I$237,7,0)),0%,VLOOKUP(A154,'Données projet'!$A$217:$I$237,7,0))</f>
        <v>0</v>
      </c>
      <c r="FQ154" s="129" t="e">
        <f aca="false">EXP(-LN(2)/35)*FQ153+(1-EXP(-LN(2)/35))/(LN(2)/35)*FM154*FN154*VLOOKUP('Données projet'!$B$16,Paramètres!$A$1:$I$89,3,0)*0.475*44/12</f>
        <v>#N/A</v>
      </c>
      <c r="FR154" s="129" t="e">
        <f aca="false">EXP(-LN(2)/25)*FR153+(1-EXP(-LN(2)/25))/(LN(2)/25)*Calculateur!FM154*Calculateur!FO154*VLOOKUP('Données projet'!$B$16,Paramètres!$A$1:$I$89,3,0)*0.475*44/12</f>
        <v>#N/A</v>
      </c>
      <c r="FS154" s="129" t="e">
        <f aca="false">EXP(-LN(2)/2)*FS153+(1-EXP(-LN(2)/2))/(LN(2)/2)*FM154*FP154*VLOOKUP('Données projet'!$B$16,Paramètres!$A$1:$I$89,3,0)*0.475*44/12</f>
        <v>#N/A</v>
      </c>
      <c r="FT154" s="130" t="e">
        <f aca="false">SUM(FQ154:FS154)</f>
        <v>#N/A</v>
      </c>
      <c r="FU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8" t="e">
        <f aca="false">VLOOKUP(A154,'Données projet'!$A$243:$I$263,2,0)</f>
        <v>#N/A</v>
      </c>
      <c r="FX154" s="118" t="e">
        <f aca="false">VLOOKUP(A154,'Données projet'!$A$243:$I$263,9,0)</f>
        <v>#N/A</v>
      </c>
      <c r="FY154" s="118" t="e">
        <f aca="false" t="array" ref="FY154:FY154">INDEX(FX:FX,MIN(IF(ISNUMBER(FX154:FX350),ROW(FX154:FX350),"")))</f>
        <v>#N/A</v>
      </c>
      <c r="FZ154" s="118" t="n">
        <f aca="false">IF('Données projet'!$A$244&gt;35,FZ153+FY154-GH153,IF(A154&lt;'Données projet'!$A$244,$FW$205^A154,IF(A154='Données projet'!$A$244,'Données projet'!$B$244,FZ153+FY154-GH153)))</f>
        <v>0</v>
      </c>
      <c r="GA154" s="125" t="e">
        <f aca="false">FZ154*VLOOKUP('Données projet'!$B$17,Paramètres!$A$1:$I$89,3,0)*VLOOKUP('Données projet'!$B$17,Paramètres!$A$1:$I$89,5,0)</f>
        <v>#N/A</v>
      </c>
      <c r="GB154" s="117" t="e">
        <f aca="false">EXP(-1.0587+0.8836*LN(GA154)+0.284)</f>
        <v>#N/A</v>
      </c>
      <c r="GC154" s="128" t="e">
        <f aca="false">(GA154+GB154)*0.475*44/12</f>
        <v>#N/A</v>
      </c>
      <c r="GD154" s="120" t="e">
        <f aca="false">GC154+(FU154+FV154)*44/12</f>
        <v>#N/A</v>
      </c>
      <c r="GE154" s="120" t="e">
        <f aca="true">AVERAGE(OFFSET($GD$3,0,0,'Données projet'!$E$17+1,1))-AVERAGE(OFFSET($H$3,0,0,'Données projet'!$E$17+1,1))</f>
        <v>#N/A</v>
      </c>
      <c r="GF154" s="120" t="e">
        <f aca="false">$GF$3</f>
        <v>#N/A</v>
      </c>
      <c r="GG154" s="121" t="n">
        <f aca="false">IF(ISNA(VLOOKUP(A154,'Données projet'!$A$243:$I$263,3,0)),0,VLOOKUP(A154,'Données projet'!$A$243:$I$263,3,0))</f>
        <v>0</v>
      </c>
      <c r="GH154" s="121" t="n">
        <f aca="false">IF(ISNA(VLOOKUP(A154,'Données projet'!$A$243:$I$263,4,0)),0,VLOOKUP(A154,'Données projet'!$A$243:$I$263,4,0))</f>
        <v>0</v>
      </c>
      <c r="GI154" s="122" t="n">
        <f aca="false">IF(ISNA(VLOOKUP(A154,'Données projet'!$A$243:$I$263,5,0)),0%,VLOOKUP(A154,'Données projet'!$A$243:$I$263,5,0)*VLOOKUP('Données projet'!$B$17,Paramètres!$A$1:$I$89,7,0))</f>
        <v>0</v>
      </c>
      <c r="GJ154" s="122" t="n">
        <f aca="false">IF(ISNA(VLOOKUP(A154,'Données projet'!$A$243:$I$263,6,0)),0%,VLOOKUP(A154,'Données projet'!$A$243:$I$263,6,0)*VLOOKUP('Données projet'!$B$17,Paramètres!$A$1:$I$89,7,0))</f>
        <v>0</v>
      </c>
      <c r="GK154" s="122" t="n">
        <f aca="false">IF(ISNA(VLOOKUP(A154,'Données projet'!$A$243:$I$263,7,0)),0%,VLOOKUP(A154,'Données projet'!$A$243:$I$263,7,0))</f>
        <v>0</v>
      </c>
      <c r="GL154" s="129" t="e">
        <f aca="false">EXP(-LN(2)/35)*GL153+(1-EXP(-LN(2)/35))/(LN(2)/35)*GH154*GI154*VLOOKUP('Données projet'!$B$17,Paramètres!$A$1:$I$89,3,0)*0.475*44/12</f>
        <v>#N/A</v>
      </c>
      <c r="GM154" s="129" t="e">
        <f aca="false">EXP(-LN(2)/25)*GM153+(1-EXP(-LN(2)/25))/(LN(2)/25)*Calculateur!GH154*Calculateur!GJ154*VLOOKUP('Données projet'!$B$17,Paramètres!$A$1:$I$89,3,0)*0.475*44/12</f>
        <v>#N/A</v>
      </c>
      <c r="GN154" s="129" t="e">
        <f aca="false">EXP(-LN(2)/2)*GN153+(1-EXP(-LN(2)/2))/(LN(2)/2)*GH154*GK154*VLOOKUP('Données projet'!$B$17,Paramètres!$A$1:$I$89,3,0)*0.475*44/12</f>
        <v>#N/A</v>
      </c>
      <c r="GO154" s="129" t="e">
        <f aca="false">SUM(GL154:GN154)</f>
        <v>#N/A</v>
      </c>
      <c r="GP154" s="126" t="n">
        <f aca="false"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8" t="n">
        <f aca="false"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8" t="e">
        <f aca="false">VLOOKUP(A154,'Données projet'!$A$269:$I$289,2,0)</f>
        <v>#N/A</v>
      </c>
      <c r="GS154" s="118" t="e">
        <f aca="false">VLOOKUP(A154,'Données projet'!$A$269:$I$289,9,0)</f>
        <v>#N/A</v>
      </c>
      <c r="GT154" s="118" t="e">
        <f aca="false" t="array" ref="GT154:GT154">INDEX(GS:GS,MIN(IF(ISNUMBER(GS154:GS350),ROW(GS154:GS350),"")))</f>
        <v>#N/A</v>
      </c>
      <c r="GU154" s="118" t="n">
        <f aca="false">IF('Données projet'!$A$270&gt;35,GU153+GT154-HC153,IF(A154&lt;'Données projet'!$A$270,$GR$205^A154,IF(A154='Données projet'!$A$270,'Données projet'!$B$270,GU153+GT154-HC153)))</f>
        <v>0</v>
      </c>
      <c r="GV154" s="125" t="e">
        <f aca="false">GU154*VLOOKUP('Données projet'!$B$18,Paramètres!$A$1:$I$89,3,0)*VLOOKUP('Données projet'!$B$18,Paramètres!$A$1:$I$89,5,0)</f>
        <v>#N/A</v>
      </c>
      <c r="GW154" s="117" t="e">
        <f aca="false">EXP(-1.0587+0.8836*LN(GV154)+0.284)</f>
        <v>#N/A</v>
      </c>
      <c r="GX154" s="128" t="e">
        <f aca="false">(GV154+GW154)*0.475*44/12</f>
        <v>#N/A</v>
      </c>
      <c r="GY154" s="120" t="e">
        <f aca="false">GX154+(GP154+GQ154)*44/12</f>
        <v>#N/A</v>
      </c>
      <c r="GZ154" s="120" t="e">
        <f aca="true">AVERAGE(OFFSET($GY$3,0,0,'Données projet'!$E$18+1,1))-AVERAGE(OFFSET($H$3,0,0,'Données projet'!$E$18+1,1))</f>
        <v>#N/A</v>
      </c>
      <c r="HA154" s="120" t="e">
        <f aca="false">$HA$3</f>
        <v>#N/A</v>
      </c>
      <c r="HB154" s="121" t="n">
        <f aca="false">IF(ISNA(VLOOKUP(A154,'Données projet'!$A$269:$I$289,3,0)),0,VLOOKUP(A154,'Données projet'!$A$269:$I$289,3,0))</f>
        <v>0</v>
      </c>
      <c r="HC154" s="121" t="n">
        <f aca="false">IF(ISNA(VLOOKUP(A154,'Données projet'!$A$269:$I$289,4,0)),0,VLOOKUP(A154,'Données projet'!$A$269:$I$289,4,0))</f>
        <v>0</v>
      </c>
      <c r="HD154" s="122" t="n">
        <f aca="false">IF(ISNA(VLOOKUP(A154,'Données projet'!$A$269:$I$289,5,0)),0%,VLOOKUP(A154,'Données projet'!$A$269:$I$289,5,0)*VLOOKUP('Données projet'!$B$18,Paramètres!$A$1:$I$89,7,0))</f>
        <v>0</v>
      </c>
      <c r="HE154" s="122" t="n">
        <f aca="false">IF(ISNA(VLOOKUP(A154,'Données projet'!$A$269:$I$289,6,0)),0%,VLOOKUP(A154,'Données projet'!$A$269:$I$289,6,0)*VLOOKUP('Données projet'!$B$18,Paramètres!$A$1:$I$89,7,0))</f>
        <v>0</v>
      </c>
      <c r="HF154" s="122" t="n">
        <f aca="false">IF(ISNA(VLOOKUP(A154,'Données projet'!$A$269:$I$289,7,0)),0%,VLOOKUP(A154,'Données projet'!$A$269:$I$289,7,0))</f>
        <v>0</v>
      </c>
      <c r="HG154" s="129" t="e">
        <f aca="false">EXP(-LN(2)/35)*HG153+(1-EXP(-LN(2)/35))/(LN(2)/35)*HC154*HD154*VLOOKUP('Données projet'!$B$18,Paramètres!$A$1:$I$89,3,0)*0.475*44/12</f>
        <v>#N/A</v>
      </c>
      <c r="HH154" s="129" t="e">
        <f aca="false">EXP(-LN(2)/25)*HH153+(1-EXP(-LN(2)/25))/(LN(2)/25)*Calculateur!HC154*Calculateur!HE154*VLOOKUP('Données projet'!$B$18,Paramètres!$A$1:$I$89,3,0)*0.475*44/12</f>
        <v>#N/A</v>
      </c>
      <c r="HI154" s="129" t="e">
        <f aca="false">EXP(-LN(2)/2)*HI153+(1-EXP(-LN(2)/2))/(LN(2)/2)*HC154*HF154*VLOOKUP('Données projet'!$B$18,Paramètres!$A$1:$I$89,3,0)*0.475*44/12</f>
        <v>#N/A</v>
      </c>
      <c r="HJ154" s="130" t="e">
        <f aca="false">SUM(HG154:HI154)</f>
        <v>#N/A</v>
      </c>
    </row>
    <row r="155" customFormat="false" ht="14.25" hidden="false" customHeight="false" outlineLevel="0" collapsed="false">
      <c r="A155" s="112" t="n">
        <f aca="false">A154+1</f>
        <v>152</v>
      </c>
      <c r="B155" s="113" t="n">
        <f aca="false">'Scénario référence'!$B$16*5+'Scénario référence'!$B$17*0+'Scénario référence'!$B$18*5</f>
        <v>0</v>
      </c>
      <c r="C155" s="127" t="n">
        <f aca="false"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4" t="n">
        <f aca="false">IFERROR(EXP(-1.0587+0.8836*LN(C155)+0.284),0)</f>
        <v>0</v>
      </c>
      <c r="E15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5" s="114" t="n">
        <f aca="false">IF(OR('Scénario référence'!$F$8&gt;0,'Scénario référence'!$F$9&gt;0),('Scénario référence'!$F$8+'Scénario référence'!$F$9)*10,0)</f>
        <v>0</v>
      </c>
      <c r="G155" s="114" t="n">
        <f aca="false"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15" t="n">
        <f aca="false">(B155+E155+F155)*44/12+(C155+D155)*0.475*44/12</f>
        <v>256.666666666667</v>
      </c>
      <c r="I155" s="11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7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8" t="e">
        <f aca="false">VLOOKUP(A155,'Données projet'!$A$35:$I$55,2,0)</f>
        <v>#N/A</v>
      </c>
      <c r="L155" s="118" t="e">
        <f aca="false">VLOOKUP(A155,'Données projet'!$A$35:$I$55,9,0)</f>
        <v>#N/A</v>
      </c>
      <c r="M155" s="118" t="e">
        <f aca="false" t="array" ref="M155:M155">INDEX(L:L,MIN(IF(ISNUMBER(L155:L351),ROW(L155:L351),"")))</f>
        <v>#N/A</v>
      </c>
      <c r="N155" s="117" t="n">
        <f aca="false">IF('Données projet'!$A$36&gt;35,N154+M155-V154,IF(A155&lt;'Données projet'!$A$36,$K$205^A155,IF(A155='Données projet'!$A$36,'Données projet'!$B$36,N154+M155-V154)))</f>
        <v>-1.13686837721616E-013</v>
      </c>
      <c r="O155" s="117" t="n">
        <f aca="false">N155*VLOOKUP('Données projet'!$B$9,Paramètres!$A$1:$I$89,3,0)*VLOOKUP('Données projet'!$B$9,Paramètres!$A$1:$I$89,5,0)</f>
        <v>-5.32054400537163E-014</v>
      </c>
      <c r="P155" s="117" t="e">
        <f aca="false">EXP(-1.0587+0.8836*LN(O155)+0.284)</f>
        <v>#VALUE!</v>
      </c>
      <c r="Q155" s="128" t="e">
        <f aca="false">(O155+P155)*0.475*44/12</f>
        <v>#VALUE!</v>
      </c>
      <c r="R155" s="120" t="e">
        <f aca="false">Q155+(I155+J155)*44/12</f>
        <v>#VALUE!</v>
      </c>
      <c r="S155" s="120" t="n">
        <f aca="true">AVERAGE(OFFSET($R$3,0,0,'Données projet'!$E$9+1,1))-AVERAGE(OFFSET($H$3,0,0,'Données projet'!$E$9+1,1))</f>
        <v>319.229030946746</v>
      </c>
      <c r="T155" s="120" t="n">
        <f aca="false">$T$3</f>
        <v>254.586909731428</v>
      </c>
      <c r="U155" s="121" t="n">
        <f aca="false">IF(ISNA(VLOOKUP(A155,'Données projet'!$A$35:$I$55,3,0)),0,VLOOKUP(A155,'Données projet'!$A$35:$I$55,3,0))</f>
        <v>0</v>
      </c>
      <c r="V155" s="121" t="n">
        <f aca="false">IF(ISNA(VLOOKUP(A155,'Données projet'!$A$35:$I$55,4,0)),0,VLOOKUP(A155,'Données projet'!$A$35:$I$55,4,0))</f>
        <v>0</v>
      </c>
      <c r="W155" s="122" t="n">
        <f aca="false">IF(ISNA(VLOOKUP(A155,'Données projet'!$A$35:$I$55,5,0)),0%,VLOOKUP(A155,'Données projet'!$A$35:$I$55,5,0)*VLOOKUP('Données projet'!$B$9,Paramètres!$A$1:$I$89,7,0))</f>
        <v>0</v>
      </c>
      <c r="X155" s="122" t="n">
        <f aca="false">IF(ISNA(VLOOKUP(A155,'Données projet'!$A$35:$I$55,6,0)),0%,VLOOKUP(A155,'Données projet'!$A$35:$I$55,6,0)*VLOOKUP('Données projet'!$B$9,Paramètres!$A$1:$I$89,7,0))</f>
        <v>0</v>
      </c>
      <c r="Y155" s="122" t="n">
        <f aca="false">IF(ISNA(VLOOKUP(A155,'Données projet'!$A$35:$I$55,7,0)),0%,VLOOKUP(A155,'Données projet'!$A$35:$I$55,7,0))</f>
        <v>0</v>
      </c>
      <c r="Z155" s="129" t="n">
        <f aca="false">EXP(-LN(2)/35)*Z154+(1-EXP(-LN(2)/35))/(LN(2)/35)*V155*W155*VLOOKUP('Données projet'!$B$9,Paramètres!$A$1:$I$89,3,0)*0.475*44/12</f>
        <v>0.810210614201336</v>
      </c>
      <c r="AA155" s="129" t="n">
        <f aca="false">EXP(-LN(2)/25)*AA154+(1-EXP(-LN(2)/25))/(LN(2)/25)*Calculateur!V155*Calculateur!X155*VLOOKUP('Données projet'!$B$9,Paramètres!$A$1:$I$89,3,0)*0.475*44/12</f>
        <v>0.378704013833393</v>
      </c>
      <c r="AB155" s="129" t="n">
        <f aca="false">EXP(-LN(2)/2)*AB154+(1-EXP(-LN(2)/2))/(LN(2)/2)*V155*Y155*VLOOKUP('Données projet'!$B$9,Paramètres!$A$1:$I$89,3,0)*0.475*44/12</f>
        <v>4.78919362657054E-018</v>
      </c>
      <c r="AC155" s="130" t="n">
        <f aca="false">SUM(Z155:AB155)</f>
        <v>1.18891462803473</v>
      </c>
      <c r="AD155" s="117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7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8" t="e">
        <f aca="false">VLOOKUP(A155,'Données projet'!$A$61:$I$81,2,0)</f>
        <v>#N/A</v>
      </c>
      <c r="AG155" s="118" t="e">
        <f aca="false">VLOOKUP(A155,'Données projet'!$A$61:$I$81,9,0)</f>
        <v>#N/A</v>
      </c>
      <c r="AH155" s="118" t="e">
        <f aca="false" t="array" ref="AH155:AH155">INDEX(AG:AG,MIN(IF(ISNUMBER(AG155:AG351),ROW(AG155:AG351),"")))</f>
        <v>#N/A</v>
      </c>
      <c r="AI155" s="117" t="n">
        <f aca="false">IF('Données projet'!$A$62&gt;35,AI154+AH155-AQ154,IF(A155&lt;'Données projet'!$A$62,$AF$205^A155,IF(A155='Données projet'!$A$62,'Données projet'!$B$62,AI154+AH155-AQ154)))</f>
        <v>1.13686837721616E-013</v>
      </c>
      <c r="AJ155" s="117" t="n">
        <f aca="false">AI155*VLOOKUP('Données projet'!$B$10,Paramètres!$A$1:$I$89,3,0)*VLOOKUP('Données projet'!$B$10,Paramètres!$A$1:$I$89,5,0)</f>
        <v>6.35509422863834E-014</v>
      </c>
      <c r="AK155" s="117" t="n">
        <f aca="false">EXP(-1.0587+0.8836*LN(AJ155)+0.284)</f>
        <v>1.0064464192544E-012</v>
      </c>
      <c r="AL155" s="128" t="n">
        <f aca="false">(AJ155+AK155)*0.475*44/12</f>
        <v>1.86357873801686E-012</v>
      </c>
      <c r="AM155" s="120" t="n">
        <f aca="false">AL155+(AD155+AE155)*44/12</f>
        <v>293.333333333335</v>
      </c>
      <c r="AN155" s="120" t="n">
        <f aca="true">AVERAGE(OFFSET($AM$3,0,0,'Données projet'!$E$10+1,1))-AVERAGE(OFFSET($H$3,0,0,'Données projet'!$E$10+1,1))</f>
        <v>365.705101827279</v>
      </c>
      <c r="AO155" s="120" t="n">
        <f aca="false">$AO$3</f>
        <v>436.238338449625</v>
      </c>
      <c r="AP155" s="121" t="n">
        <f aca="false">IF(ISNA(VLOOKUP(A155,'Données projet'!$A$61:$I$81,3,0)),0,VLOOKUP(A155,'Données projet'!$A$61:$I$81,3,0))</f>
        <v>0</v>
      </c>
      <c r="AQ155" s="121" t="n">
        <f aca="false">IF(ISNA(VLOOKUP(A155,'Données projet'!$A$61:$I$81,4,0)),0,VLOOKUP(A155,'Données projet'!$A$61:$I$81,4,0))</f>
        <v>0</v>
      </c>
      <c r="AR155" s="122" t="n">
        <f aca="false">IF(ISNA(VLOOKUP(A155,'Données projet'!$A$61:$I$81,5,0)),0%,VLOOKUP(A155,'Données projet'!$A$61:$I$81,5,0)*VLOOKUP('Données projet'!$B$10,Paramètres!$A$1:$I$89,7,0))</f>
        <v>0</v>
      </c>
      <c r="AS155" s="122" t="n">
        <f aca="false">IF(ISNA(VLOOKUP(A155,'Données projet'!$A$61:$I$81,6,0)),0%,VLOOKUP(A155,'Données projet'!$A$61:$I$81,6,0)*VLOOKUP('Données projet'!$B$10,Paramètres!$A$1:$I$89,7,0))</f>
        <v>0</v>
      </c>
      <c r="AT155" s="122" t="n">
        <f aca="false">IF(ISNA(VLOOKUP(A155,'Données projet'!$A$61:$I$81,7,0)),0%,VLOOKUP(A155,'Données projet'!$A$61:$I$81,7,0))</f>
        <v>0</v>
      </c>
      <c r="AU155" s="129" t="n">
        <f aca="false">EXP(-LN(2)/35)*AU154+(1-EXP(-LN(2)/35))/(LN(2)/35)*AQ155*AR155*VLOOKUP('Données projet'!$B$10,Paramètres!$A$1:$I$89,3,0)*0.475*44/12</f>
        <v>0.305828238690769</v>
      </c>
      <c r="AV155" s="129" t="n">
        <f aca="false">EXP(-LN(2)/25)*AV154+(1-EXP(-LN(2)/25))/(LN(2)/25)*Calculateur!AQ155*Calculateur!AS155*VLOOKUP('Données projet'!$B$10,Paramètres!$A$1:$I$89,3,0)*0.475*44/12</f>
        <v>0.44855442790624</v>
      </c>
      <c r="AW155" s="129" t="n">
        <f aca="false">EXP(-LN(2)/2)*AW154+(1-EXP(-LN(2)/2))/(LN(2)/2)*AQ155*AT155*VLOOKUP('Données projet'!$B$10,Paramètres!$A$1:$I$89,3,0)*0.475*44/12</f>
        <v>2.57739432473437E-018</v>
      </c>
      <c r="AX155" s="129" t="n">
        <f aca="false">SUM(AU155:AW155)</f>
        <v>0.754382666597009</v>
      </c>
      <c r="AY155" s="124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8" t="e">
        <f aca="false">VLOOKUP(A155,'Données projet'!$A$87:$I$107,2,0)</f>
        <v>#N/A</v>
      </c>
      <c r="BB155" s="118" t="e">
        <f aca="false">VLOOKUP(A155,'Données projet'!$A$87:$I$107,9,0)</f>
        <v>#N/A</v>
      </c>
      <c r="BC155" s="118" t="e">
        <f aca="false" t="array" ref="BC155:BC155">INDEX(BB:BB,MIN(IF(ISNUMBER(BB155:BB351),ROW(BB155:BB351),"")))</f>
        <v>#N/A</v>
      </c>
      <c r="BD155" s="118" t="n">
        <f aca="false">IF('Données projet'!$A$88&gt;35,BD154+BC155-BL154,IF(A155&lt;'Données projet'!$A$88,$BA$205^A155,IF(A155='Données projet'!$A$88,'Données projet'!$B$88,BD154+BC155-BL154)))</f>
        <v>1.98951966012828E-013</v>
      </c>
      <c r="BE155" s="117" t="n">
        <f aca="false">BD155*VLOOKUP('Données projet'!$B$11,Paramètres!$A$1:$I$89,3,0)*VLOOKUP('Données projet'!$B$11,Paramètres!$A$1:$I$89,5,0)</f>
        <v>1.73804437508807E-013</v>
      </c>
      <c r="BF155" s="117" t="n">
        <f aca="false">EXP(-1.0587+0.8836*LN(BE155)+0.284)</f>
        <v>2.44832936339505E-012</v>
      </c>
      <c r="BG155" s="128" t="n">
        <f aca="false">(BE155+BF155)*0.475*44/12</f>
        <v>4.56688303657421E-012</v>
      </c>
      <c r="BH155" s="120" t="n">
        <f aca="false">BG155+(AY155+AZ155)*44/12</f>
        <v>293.333333333338</v>
      </c>
      <c r="BI155" s="120" t="n">
        <f aca="true">AVERAGE(OFFSET($BH$3,0,0,'Données projet'!$E$11+1,1))-AVERAGE(OFFSET($H$3,0,0,'Données projet'!$E$11+1,1))</f>
        <v>321.235999689929</v>
      </c>
      <c r="BJ155" s="120" t="n">
        <f aca="false">$BJ$3</f>
        <v>388.051958478005</v>
      </c>
      <c r="BK155" s="121" t="n">
        <f aca="false">IF(ISNA(VLOOKUP(A155,'Données projet'!$A$87:$I$107,3,0)),0,VLOOKUP(A155,'Données projet'!$A$87:$I$107,3,0))</f>
        <v>0</v>
      </c>
      <c r="BL155" s="121" t="n">
        <f aca="false">IF(ISNA(VLOOKUP(A155,'Données projet'!$A$87:$I$107,4,0)),0,VLOOKUP(A155,'Données projet'!$A$87:$I$107,4,0))</f>
        <v>0</v>
      </c>
      <c r="BM155" s="122" t="n">
        <f aca="false">IF(ISNA(VLOOKUP(A155,'Données projet'!$A$87:$I$107,5,0)),0%,VLOOKUP(A155,'Données projet'!$A$87:$I$107,5,0)*VLOOKUP('Données projet'!$B$11,Paramètres!$A$1:$I$89,7,0))</f>
        <v>0</v>
      </c>
      <c r="BN155" s="122" t="n">
        <f aca="false">IF(ISNA(VLOOKUP(A155,'Données projet'!$A$87:$I$107,6,0)),0%,VLOOKUP(A155,'Données projet'!$A$87:$I$107,6,0)*VLOOKUP('Données projet'!$B$11,Paramètres!$A$1:$I$89,7,0))</f>
        <v>0</v>
      </c>
      <c r="BO155" s="122" t="n">
        <f aca="false">IF(ISNA(VLOOKUP(A155,'Données projet'!$A$87:$I$107,7,0)),0%,VLOOKUP(A155,'Données projet'!$A$87:$I$107,7,0))</f>
        <v>0</v>
      </c>
      <c r="BP155" s="129" t="n">
        <f aca="false">EXP(-LN(2)/35)*BP154+(1-EXP(-LN(2)/35))/(LN(2)/35)*BL155*BM155*VLOOKUP('Données projet'!$B$11,Paramètres!$A$1:$I$89,3,0)*0.475*44/12</f>
        <v>0.767818906086547</v>
      </c>
      <c r="BQ155" s="129" t="n">
        <f aca="false">EXP(-LN(2)/25)*BQ154+(1-EXP(-LN(2)/25))/(LN(2)/25)*Calculateur!BL155*Calculateur!BN155*VLOOKUP('Données projet'!$B$11,Paramètres!$A$1:$I$89,3,0)*0.475*44/12</f>
        <v>0.457857717520899</v>
      </c>
      <c r="BR155" s="129" t="n">
        <f aca="false">EXP(-LN(2)/2)*BR154+(1-EXP(-LN(2)/2))/(LN(2)/2)*BL155*BO155*VLOOKUP('Données projet'!$B$11,Paramètres!$A$1:$I$89,3,0)*0.475*44/12</f>
        <v>2.61986775906082E-018</v>
      </c>
      <c r="BS155" s="130" t="n">
        <f aca="false">SUM(BP155:BR155)</f>
        <v>1.22567662360745</v>
      </c>
      <c r="BT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8" t="e">
        <f aca="false">VLOOKUP(A155,'Données projet'!$A$113:$I$133,2,0)</f>
        <v>#N/A</v>
      </c>
      <c r="BW155" s="118" t="e">
        <f aca="false">VLOOKUP(A155,'Données projet'!$A$113:$I$133,9,0)</f>
        <v>#N/A</v>
      </c>
      <c r="BX155" s="118" t="e">
        <f aca="false" t="array" ref="BX155:BX155">INDEX(BW:BW,MIN(IF(ISNUMBER(BW155:BW351),ROW(BW155:BW351),"")))</f>
        <v>#N/A</v>
      </c>
      <c r="BY155" s="118" t="n">
        <f aca="false">IF('Données projet'!$A$114&gt;35,BY154+BX155-CG154,IF(A155&lt;'Données projet'!$A$114,$BV$205^A155,IF(A155='Données projet'!$A$114,'Données projet'!$B$114,BY154+BX155-CG154)))</f>
        <v>0</v>
      </c>
      <c r="BZ155" s="117" t="n">
        <f aca="false">BY155*VLOOKUP('Données projet'!$B$12,Paramètres!$A$1:$I$89,3,0)*VLOOKUP('Données projet'!$B$12,Paramètres!$A$1:$I$89,5,0)</f>
        <v>0</v>
      </c>
      <c r="CA155" s="117" t="e">
        <f aca="false">EXP(-1.0587+0.8836*LN(BZ155)+0.284)</f>
        <v>#VALUE!</v>
      </c>
      <c r="CB155" s="128" t="e">
        <f aca="false">(BZ155+CA155)*0.475*44/12</f>
        <v>#VALUE!</v>
      </c>
      <c r="CC155" s="120" t="e">
        <f aca="false">CB155+(BT155+BU155)*44/12</f>
        <v>#VALUE!</v>
      </c>
      <c r="CD155" s="120" t="n">
        <f aca="true">AVERAGE(OFFSET($CC$3,0,0,'Données projet'!$E$12+1,1))-AVERAGE(OFFSET($H$3,0,0,'Données projet'!$E$12+1,1))</f>
        <v>240.228848647662</v>
      </c>
      <c r="CE155" s="120" t="n">
        <f aca="false">$CE$3</f>
        <v>343.237768841432</v>
      </c>
      <c r="CF155" s="121" t="n">
        <f aca="false">IF(ISNA(VLOOKUP(A155,'Données projet'!$A$113:$I$133,3,0)),0,VLOOKUP(A155,'Données projet'!$A$113:$I$133,3,0))</f>
        <v>0</v>
      </c>
      <c r="CG155" s="121" t="n">
        <f aca="false">IF(ISNA(VLOOKUP(A155,'Données projet'!$A$113:$I$133,4,0)),0,VLOOKUP(A155,'Données projet'!$A$113:$I$133,4,0))</f>
        <v>0</v>
      </c>
      <c r="CH155" s="122" t="n">
        <f aca="false">IF(ISNA(VLOOKUP(A155,'Données projet'!$A$113:$I$133,5,0)),0%,VLOOKUP(A155,'Données projet'!$A$113:$I$133,5,0)*VLOOKUP('Données projet'!$B$12,Paramètres!$A$1:$I$89,7,0))</f>
        <v>0</v>
      </c>
      <c r="CI155" s="122" t="n">
        <f aca="false">IF(ISNA(VLOOKUP(A155,'Données projet'!$A$113:$I$133,6,0)),0%,VLOOKUP(A155,'Données projet'!$A$113:$I$133,6,0)*VLOOKUP('Données projet'!$B$12,Paramètres!$A$1:$I$89,7,0))</f>
        <v>0</v>
      </c>
      <c r="CJ155" s="122" t="n">
        <f aca="false">IF(ISNA(VLOOKUP(A155,'Données projet'!$A$113:$I$133,7,0)),0%,VLOOKUP(A155,'Données projet'!$A$113:$I$133,7,0))</f>
        <v>0</v>
      </c>
      <c r="CK155" s="129" t="n">
        <f aca="false">EXP(-LN(2)/35)*CK154+(1-EXP(-LN(2)/35))/(LN(2)/35)*CG155*CH155*VLOOKUP('Données projet'!$B$12,Paramètres!$A$1:$I$89,3,0)*0.475*44/12</f>
        <v>0.469964988963646</v>
      </c>
      <c r="CL155" s="129" t="n">
        <f aca="false">EXP(-LN(2)/25)*CL154+(1-EXP(-LN(2)/25))/(LN(2)/25)*Calculateur!CG155*Calculateur!CI155*VLOOKUP('Données projet'!$B$12,Paramètres!$A$1:$I$89,3,0)*0.475*44/12</f>
        <v>0.808603234473291</v>
      </c>
      <c r="CM155" s="129" t="n">
        <f aca="false">EXP(-LN(2)/2)*CM154+(1-EXP(-LN(2)/2))/(LN(2)/2)*CG155*CJ155*VLOOKUP('Données projet'!$B$12,Paramètres!$A$1:$I$89,3,0)*0.475*44/12</f>
        <v>4.18061048711683E-018</v>
      </c>
      <c r="CN155" s="130" t="n">
        <f aca="false">SUM(CK155:CM155)</f>
        <v>1.27856822343694</v>
      </c>
      <c r="CO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8" t="e">
        <f aca="false">VLOOKUP(A155,'Données projet'!$A$139:$I$159,2,0)</f>
        <v>#N/A</v>
      </c>
      <c r="CR155" s="118" t="e">
        <f aca="false">VLOOKUP(A155,'Données projet'!$A$139:$I$159,9,0)</f>
        <v>#N/A</v>
      </c>
      <c r="CS155" s="118" t="e">
        <f aca="false" t="array" ref="CS155:CS155">INDEX(CR:CR,MIN(IF(ISNUMBER(CR155:CR351),ROW(CR155:CR351),"")))</f>
        <v>#N/A</v>
      </c>
      <c r="CT155" s="118" t="n">
        <f aca="false">IF('Données projet'!$A$140&gt;35,CT154+CS155-DB154,IF(A155&lt;'Données projet'!$A$140,$CQ$205^A155,IF(A155='Données projet'!$A$140,'Données projet'!$B$140,CT154+CS155-DB154)))</f>
        <v>-5.6843418860808E-014</v>
      </c>
      <c r="CU155" s="125" t="n">
        <f aca="false">CT155*VLOOKUP('Données projet'!$B$13,Paramètres!$A$1:$I$89,3,0)*VLOOKUP('Données projet'!$B$13,Paramètres!$A$1:$I$89,5,0)</f>
        <v>-3.10365066980012E-014</v>
      </c>
      <c r="CV155" s="117" t="e">
        <f aca="false">EXP(-1.0587+0.8836*LN(CU155)+0.284)</f>
        <v>#VALUE!</v>
      </c>
      <c r="CW155" s="128" t="e">
        <f aca="false">(CU155+CV155)*0.475*44/12</f>
        <v>#VALUE!</v>
      </c>
      <c r="CX155" s="120" t="e">
        <f aca="false">CW155+(CO155+CP155)*44/12</f>
        <v>#VALUE!</v>
      </c>
      <c r="CY155" s="120" t="n">
        <f aca="true">AVERAGE(OFFSET($CX$3,0,0,'Données projet'!$E$13+1,1))-AVERAGE(OFFSET($H$3,0,0,'Données projet'!$E$13+1,1))</f>
        <v>207.023069645676</v>
      </c>
      <c r="CZ155" s="120" t="n">
        <f aca="false">$CZ$3</f>
        <v>342.068879333518</v>
      </c>
      <c r="DA155" s="121" t="n">
        <f aca="false">IF(ISNA(VLOOKUP(A155,'Données projet'!$A$139:$I$159,3,0)),0,VLOOKUP(A155,'Données projet'!$A$139:$I$159,3,0))</f>
        <v>0</v>
      </c>
      <c r="DB155" s="121" t="n">
        <f aca="false">IF(ISNA(VLOOKUP(A155,'Données projet'!$A$139:$I$159,4,0)),0,VLOOKUP(A155,'Données projet'!$A$139:$I$159,4,0))</f>
        <v>0</v>
      </c>
      <c r="DC155" s="122" t="n">
        <f aca="false">IF(ISNA(VLOOKUP(A155,'Données projet'!$A$139:$I$159,5,0)),0%,VLOOKUP(A155,'Données projet'!$A$139:$I$159,5,0)*VLOOKUP('Données projet'!$B$13,Paramètres!$A$1:$I$89,7,0))</f>
        <v>0</v>
      </c>
      <c r="DD155" s="122" t="n">
        <f aca="false">IF(ISNA(VLOOKUP(A155,'Données projet'!$A$139:$I$159,6,0)),0%,VLOOKUP(A155,'Données projet'!$A$139:$I$159,6,0)*VLOOKUP('Données projet'!$B$13,Paramètres!$A$1:$I$89,7,0))</f>
        <v>0</v>
      </c>
      <c r="DE155" s="122" t="n">
        <f aca="false">IF(ISNA(VLOOKUP(A155,'Données projet'!$A$139:$I$159,7,0)),0%,VLOOKUP(A155,'Données projet'!$A$139:$I$159,7,0))</f>
        <v>0</v>
      </c>
      <c r="DF155" s="129" t="n">
        <f aca="false">EXP(-LN(2)/35)*DF154+(1-EXP(-LN(2)/35))/(LN(2)/35)*DB155*DC155*VLOOKUP('Données projet'!$B$13,Paramètres!$A$1:$I$89,3,0)*0.475*44/12</f>
        <v>0.589673052190235</v>
      </c>
      <c r="DG155" s="129" t="n">
        <f aca="false">EXP(-LN(2)/25)*DG154+(1-EXP(-LN(2)/25))/(LN(2)/25)*Calculateur!DB155*Calculateur!DD155*VLOOKUP('Données projet'!$B$13,Paramètres!$A$1:$I$89,3,0)*0.475*44/12</f>
        <v>1.32172951415158</v>
      </c>
      <c r="DH155" s="129" t="n">
        <f aca="false">EXP(-LN(2)/2)*DH154+(1-EXP(-LN(2)/2))/(LN(2)/2)*DB155*DE155*VLOOKUP('Données projet'!$B$13,Paramètres!$A$1:$I$89,3,0)*0.475*44/12</f>
        <v>5.7567025789962E-018</v>
      </c>
      <c r="DI155" s="130" t="n">
        <f aca="false">SUM(DF155:DH155)</f>
        <v>1.91140256634182</v>
      </c>
      <c r="DJ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8" t="e">
        <f aca="false">VLOOKUP(A155,'Données projet'!$A$165:$I$185,2,0)</f>
        <v>#N/A</v>
      </c>
      <c r="DM155" s="118" t="e">
        <f aca="false">VLOOKUP(A155,'Données projet'!$A$165:$I$185,9,0)</f>
        <v>#N/A</v>
      </c>
      <c r="DN155" s="118" t="e">
        <f aca="false" t="array" ref="DN155:DN155">INDEX(DM:DM,MIN(IF(ISNUMBER(DM155:DM351),ROW(DM155:DM351),"")))</f>
        <v>#N/A</v>
      </c>
      <c r="DO155" s="118" t="n">
        <f aca="false">IF('Données projet'!$A$166&gt;35,DO154+DN155-DW154,IF(A155&lt;'Données projet'!$A$166,$DL$205^A155,IF(A155='Données projet'!$A$166,'Données projet'!$B$166,DO154+DN155-DW154)))</f>
        <v>0</v>
      </c>
      <c r="DP155" s="125" t="n">
        <f aca="false">DO155*VLOOKUP('Données projet'!$B$14,Paramètres!$A$1:$I$89,3,0)*VLOOKUP('Données projet'!$B$14,Paramètres!$A$1:$I$89,5,0)</f>
        <v>0</v>
      </c>
      <c r="DQ155" s="117" t="e">
        <f aca="false">EXP(-1.0587+0.8836*LN(DP155)+0.284)</f>
        <v>#VALUE!</v>
      </c>
      <c r="DR155" s="128" t="e">
        <f aca="false">(DP155+DQ155)*0.475*44/12</f>
        <v>#VALUE!</v>
      </c>
      <c r="DS155" s="120" t="e">
        <f aca="false">DR155+(DJ155+DK155)*44/12</f>
        <v>#VALUE!</v>
      </c>
      <c r="DT155" s="120" t="n">
        <f aca="true">AVERAGE(OFFSET($DS$3,0,0,'Données projet'!$E$14+1,1))-AVERAGE(OFFSET($H$3,0,0,'Données projet'!$E$14+1,1))</f>
        <v>549.432320957297</v>
      </c>
      <c r="DU155" s="120" t="n">
        <f aca="false">$DU$3</f>
        <v>280.26155987301</v>
      </c>
      <c r="DV155" s="121" t="n">
        <f aca="false">IF(ISNA(VLOOKUP(A155,'Données projet'!$A$165:$I$185,3,0)),0,VLOOKUP(A155,'Données projet'!$A$165:$I$185,3,0))</f>
        <v>0</v>
      </c>
      <c r="DW155" s="121" t="n">
        <f aca="false">IF(ISNA(VLOOKUP(A155,'Données projet'!$A$165:$I$185,4,0)),0,VLOOKUP(A155,'Données projet'!$A$165:$I$185,4,0))</f>
        <v>0</v>
      </c>
      <c r="DX155" s="122" t="n">
        <f aca="false">IF(ISNA(VLOOKUP(A155,'Données projet'!$A$165:$I$185,5,0)),0%,VLOOKUP(A155,'Données projet'!$A$165:$I$185,5,0)*VLOOKUP('Données projet'!$B$14,Paramètres!$A$1:$I$89,7,0))</f>
        <v>0</v>
      </c>
      <c r="DY155" s="122" t="n">
        <f aca="false">IF(ISNA(VLOOKUP(A155,'Données projet'!$A$165:$I$185,6,0)),0%,VLOOKUP(A155,'Données projet'!$A$165:$I$185,6,0)*VLOOKUP('Données projet'!$B$14,Paramètres!$A$1:$I$89,7,0))</f>
        <v>0</v>
      </c>
      <c r="DZ155" s="122" t="n">
        <f aca="false">IF(ISNA(VLOOKUP(A155,'Données projet'!$A$165:$I$185,7,0)),0%,VLOOKUP(A155,'Données projet'!$A$165:$I$185,7,0))</f>
        <v>0</v>
      </c>
      <c r="EA155" s="129" t="n">
        <f aca="false">EXP(-LN(2)/35)*EA154+(1-EXP(-LN(2)/35))/(LN(2)/35)*DW155*DX155*VLOOKUP('Données projet'!$B$14,Paramètres!$A$1:$I$89,3,0)*0.475*44/12</f>
        <v>0.214404464265078</v>
      </c>
      <c r="EB155" s="129" t="n">
        <f aca="false">EXP(-LN(2)/25)*EB154+(1-EXP(-LN(2)/25))/(LN(2)/25)*Calculateur!DW155*Calculateur!DY155*VLOOKUP('Données projet'!$B$14,Paramètres!$A$1:$I$89,3,0)*0.475*44/12</f>
        <v>0.263314596483968</v>
      </c>
      <c r="EC155" s="129" t="n">
        <f aca="false">EXP(-LN(2)/2)*EC154+(1-EXP(-LN(2)/2))/(LN(2)/2)*DW155*DZ155*VLOOKUP('Données projet'!$B$14,Paramètres!$A$1:$I$89,3,0)*0.475*44/12</f>
        <v>2.65372122477935E-018</v>
      </c>
      <c r="ED155" s="130" t="n">
        <f aca="false">SUM(EA155:EC155)</f>
        <v>0.477719060749046</v>
      </c>
      <c r="EE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8" t="e">
        <f aca="false">VLOOKUP(A155,'Données projet'!$A$191:$I$211,2,0)</f>
        <v>#N/A</v>
      </c>
      <c r="EH155" s="118" t="e">
        <f aca="false">VLOOKUP(A155,'Données projet'!$A$191:$I$211,9,0)</f>
        <v>#N/A</v>
      </c>
      <c r="EI155" s="118" t="e">
        <f aca="false" t="array" ref="EI155:EI155">INDEX(EH:EH,MIN(IF(ISNUMBER(EH155:EH351),ROW(EH155:EH351),"")))</f>
        <v>#N/A</v>
      </c>
      <c r="EJ155" s="118" t="n">
        <f aca="false">IF('Données projet'!$A$192&gt;35,EJ154+EI155-ER154,IF(A155&lt;'Données projet'!$A$192,$EG$205^A155,IF(A155='Données projet'!$A$192,'Données projet'!$B$192,EJ154+EI155-ER154)))</f>
        <v>0</v>
      </c>
      <c r="EK155" s="125" t="e">
        <f aca="false">EJ155*VLOOKUP('Données projet'!$B$15,Paramètres!$A$1:$I$89,3,0)*VLOOKUP('Données projet'!$B$15,Paramètres!$A$1:$I$89,5,0)</f>
        <v>#N/A</v>
      </c>
      <c r="EL155" s="117" t="e">
        <f aca="false">EXP(-1.0587+0.8836*LN(EK155)+0.284)</f>
        <v>#N/A</v>
      </c>
      <c r="EM155" s="128" t="e">
        <f aca="false">(EK155+EL155)*0.475*44/12</f>
        <v>#N/A</v>
      </c>
      <c r="EN155" s="120" t="e">
        <f aca="false">EM155+(EE155+EF155)*44/12</f>
        <v>#N/A</v>
      </c>
      <c r="EO155" s="120" t="e">
        <f aca="true">AVERAGE(OFFSET($EN$3,0,0,'Données projet'!$E$15+1,1))-AVERAGE(OFFSET($H$3,0,0,'Données projet'!$E$15+1,1))</f>
        <v>#N/A</v>
      </c>
      <c r="EP155" s="120" t="e">
        <f aca="false">$EP$3</f>
        <v>#N/A</v>
      </c>
      <c r="EQ155" s="121" t="n">
        <f aca="false">IF(ISNA(VLOOKUP(A155,'Données projet'!$A$191:$I$211,3,0)),0,VLOOKUP(A155,'Données projet'!$A$191:$I$211,3,0))</f>
        <v>0</v>
      </c>
      <c r="ER155" s="121" t="n">
        <f aca="false">IF(ISNA(VLOOKUP(A155,'Données projet'!$A$191:$I$211,4,0)),0,VLOOKUP(A155,'Données projet'!$A$191:$I$211,4,0))</f>
        <v>0</v>
      </c>
      <c r="ES155" s="122" t="n">
        <f aca="false">IF(ISNA(VLOOKUP(A155,'Données projet'!$A$191:$I$211,5,0)),0%,VLOOKUP(A155,'Données projet'!$A$191:$I$211,5,0)*VLOOKUP('Données projet'!$B$15,Paramètres!$A$1:$I$89,7,0))</f>
        <v>0</v>
      </c>
      <c r="ET155" s="122" t="n">
        <f aca="false">IF(ISNA(VLOOKUP(A155,'Données projet'!$A$191:$I$211,6,0)),0%,VLOOKUP(A155,'Données projet'!$A$191:$I$211,6,0)*VLOOKUP('Données projet'!$B$15,Paramètres!$A$1:$I$89,7,0))</f>
        <v>0</v>
      </c>
      <c r="EU155" s="122" t="n">
        <f aca="false">IF(ISNA(VLOOKUP(A155,'Données projet'!$A$191:$I$211,7,0)),0%,VLOOKUP(A155,'Données projet'!$A$191:$I$211,7,0))</f>
        <v>0</v>
      </c>
      <c r="EV155" s="129" t="e">
        <f aca="false">EXP(-LN(2)/35)*EV154+(1-EXP(-LN(2)/35))/(LN(2)/35)*ER155*ES155*VLOOKUP('Données projet'!$B$15,Paramètres!$A$1:$I$89,3,0)*0.475*44/12</f>
        <v>#N/A</v>
      </c>
      <c r="EW155" s="129" t="e">
        <f aca="false">EXP(-LN(2)/25)*EW154+(1-EXP(-LN(2)/25))/(LN(2)/25)*Calculateur!ER155*Calculateur!ET155*VLOOKUP('Données projet'!$B$15,Paramètres!$A$1:$I$89,3,0)*0.475*44/12</f>
        <v>#N/A</v>
      </c>
      <c r="EX155" s="129" t="e">
        <f aca="false">EXP(-LN(2)/2)*EX154+(1-EXP(-LN(2)/2))/(LN(2)/2)*ER155*EU155*VLOOKUP('Données projet'!$B$15,Paramètres!$A$1:$I$89,3,0)*0.475*44/12</f>
        <v>#N/A</v>
      </c>
      <c r="EY155" s="130" t="e">
        <f aca="false">SUM(EV155:EX155)</f>
        <v>#N/A</v>
      </c>
      <c r="EZ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8" t="e">
        <f aca="false">VLOOKUP(A155,'Données projet'!$A$217:$I$237,2,0)</f>
        <v>#N/A</v>
      </c>
      <c r="FC155" s="118" t="e">
        <f aca="false">VLOOKUP(A155,'Données projet'!$A$217:$I$237,9,0)</f>
        <v>#N/A</v>
      </c>
      <c r="FD155" s="118" t="e">
        <f aca="false" t="array" ref="FD155:FD155">INDEX(FC:FC,MIN(IF(ISNUMBER(FC155:FC351),ROW(FC155:FC351),"")))</f>
        <v>#N/A</v>
      </c>
      <c r="FE155" s="118" t="n">
        <f aca="false">IF('Données projet'!$A$218&gt;35,FE154+FD155-FM154,IF(A155&lt;'Données projet'!$A$218,$FB$205^A155,IF(A155='Données projet'!$A$218,'Données projet'!$B$218,FE154+FD155-FM154)))</f>
        <v>0</v>
      </c>
      <c r="FF155" s="125" t="e">
        <f aca="false">FE155*VLOOKUP('Données projet'!$B$16,Paramètres!$A$1:$I$89,3,0)*VLOOKUP('Données projet'!$B$16,Paramètres!$A$1:$I$89,5,0)</f>
        <v>#N/A</v>
      </c>
      <c r="FG155" s="117" t="e">
        <f aca="false">EXP(-1.0587+0.8836*LN(FF155)+0.284)</f>
        <v>#N/A</v>
      </c>
      <c r="FH155" s="128" t="e">
        <f aca="false">(FF155+FG155)*0.475*44/12</f>
        <v>#N/A</v>
      </c>
      <c r="FI155" s="120" t="e">
        <f aca="false">FH155+(EZ155+FA155)*44/12</f>
        <v>#N/A</v>
      </c>
      <c r="FJ155" s="120" t="e">
        <f aca="true">AVERAGE(OFFSET($FI$3,0,0,'Données projet'!$E$16+1,1))-AVERAGE(OFFSET($H$3,0,0,'Données projet'!$E$16+1,1))</f>
        <v>#N/A</v>
      </c>
      <c r="FK155" s="120" t="e">
        <f aca="false">$FK$3</f>
        <v>#N/A</v>
      </c>
      <c r="FL155" s="121" t="n">
        <f aca="false">IF(ISNA(VLOOKUP(A155,'Données projet'!$A$217:$I$237,3,0)),0,VLOOKUP(A155,'Données projet'!$A$217:$I$237,3,0))</f>
        <v>0</v>
      </c>
      <c r="FM155" s="121" t="n">
        <f aca="false">IF(ISNA(VLOOKUP(A155,'Données projet'!$A$217:$I$237,4,0)),0,VLOOKUP(A155,'Données projet'!$A$217:$I$237,4,0))</f>
        <v>0</v>
      </c>
      <c r="FN155" s="122" t="n">
        <f aca="false">IF(ISNA(VLOOKUP(A155,'Données projet'!$A$217:$I$237,5,0)),0%,VLOOKUP(A155,'Données projet'!$A$217:$I$237,5,0)*VLOOKUP('Données projet'!$B$16,Paramètres!$A$1:$I$89,7,0))</f>
        <v>0</v>
      </c>
      <c r="FO155" s="122" t="n">
        <f aca="false">IF(ISNA(VLOOKUP(A155,'Données projet'!$A$217:$I$237,6,0)),0%,VLOOKUP(A155,'Données projet'!$A$217:$I$237,6,0)*VLOOKUP('Données projet'!$B$16,Paramètres!$A$1:$I$89,7,0))</f>
        <v>0</v>
      </c>
      <c r="FP155" s="122" t="n">
        <f aca="false">IF(ISNA(VLOOKUP(A155,'Données projet'!$A$217:$I$237,7,0)),0%,VLOOKUP(A155,'Données projet'!$A$217:$I$237,7,0))</f>
        <v>0</v>
      </c>
      <c r="FQ155" s="129" t="e">
        <f aca="false">EXP(-LN(2)/35)*FQ154+(1-EXP(-LN(2)/35))/(LN(2)/35)*FM155*FN155*VLOOKUP('Données projet'!$B$16,Paramètres!$A$1:$I$89,3,0)*0.475*44/12</f>
        <v>#N/A</v>
      </c>
      <c r="FR155" s="129" t="e">
        <f aca="false">EXP(-LN(2)/25)*FR154+(1-EXP(-LN(2)/25))/(LN(2)/25)*Calculateur!FM155*Calculateur!FO155*VLOOKUP('Données projet'!$B$16,Paramètres!$A$1:$I$89,3,0)*0.475*44/12</f>
        <v>#N/A</v>
      </c>
      <c r="FS155" s="129" t="e">
        <f aca="false">EXP(-LN(2)/2)*FS154+(1-EXP(-LN(2)/2))/(LN(2)/2)*FM155*FP155*VLOOKUP('Données projet'!$B$16,Paramètres!$A$1:$I$89,3,0)*0.475*44/12</f>
        <v>#N/A</v>
      </c>
      <c r="FT155" s="130" t="e">
        <f aca="false">SUM(FQ155:FS155)</f>
        <v>#N/A</v>
      </c>
      <c r="FU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8" t="e">
        <f aca="false">VLOOKUP(A155,'Données projet'!$A$243:$I$263,2,0)</f>
        <v>#N/A</v>
      </c>
      <c r="FX155" s="118" t="e">
        <f aca="false">VLOOKUP(A155,'Données projet'!$A$243:$I$263,9,0)</f>
        <v>#N/A</v>
      </c>
      <c r="FY155" s="118" t="e">
        <f aca="false" t="array" ref="FY155:FY155">INDEX(FX:FX,MIN(IF(ISNUMBER(FX155:FX351),ROW(FX155:FX351),"")))</f>
        <v>#N/A</v>
      </c>
      <c r="FZ155" s="118" t="n">
        <f aca="false">IF('Données projet'!$A$244&gt;35,FZ154+FY155-GH154,IF(A155&lt;'Données projet'!$A$244,$FW$205^A155,IF(A155='Données projet'!$A$244,'Données projet'!$B$244,FZ154+FY155-GH154)))</f>
        <v>0</v>
      </c>
      <c r="GA155" s="125" t="e">
        <f aca="false">FZ155*VLOOKUP('Données projet'!$B$17,Paramètres!$A$1:$I$89,3,0)*VLOOKUP('Données projet'!$B$17,Paramètres!$A$1:$I$89,5,0)</f>
        <v>#N/A</v>
      </c>
      <c r="GB155" s="117" t="e">
        <f aca="false">EXP(-1.0587+0.8836*LN(GA155)+0.284)</f>
        <v>#N/A</v>
      </c>
      <c r="GC155" s="128" t="e">
        <f aca="false">(GA155+GB155)*0.475*44/12</f>
        <v>#N/A</v>
      </c>
      <c r="GD155" s="120" t="e">
        <f aca="false">GC155+(FU155+FV155)*44/12</f>
        <v>#N/A</v>
      </c>
      <c r="GE155" s="120" t="e">
        <f aca="true">AVERAGE(OFFSET($GD$3,0,0,'Données projet'!$E$17+1,1))-AVERAGE(OFFSET($H$3,0,0,'Données projet'!$E$17+1,1))</f>
        <v>#N/A</v>
      </c>
      <c r="GF155" s="120" t="e">
        <f aca="false">$GF$3</f>
        <v>#N/A</v>
      </c>
      <c r="GG155" s="121" t="n">
        <f aca="false">IF(ISNA(VLOOKUP(A155,'Données projet'!$A$243:$I$263,3,0)),0,VLOOKUP(A155,'Données projet'!$A$243:$I$263,3,0))</f>
        <v>0</v>
      </c>
      <c r="GH155" s="121" t="n">
        <f aca="false">IF(ISNA(VLOOKUP(A155,'Données projet'!$A$243:$I$263,4,0)),0,VLOOKUP(A155,'Données projet'!$A$243:$I$263,4,0))</f>
        <v>0</v>
      </c>
      <c r="GI155" s="122" t="n">
        <f aca="false">IF(ISNA(VLOOKUP(A155,'Données projet'!$A$243:$I$263,5,0)),0%,VLOOKUP(A155,'Données projet'!$A$243:$I$263,5,0)*VLOOKUP('Données projet'!$B$17,Paramètres!$A$1:$I$89,7,0))</f>
        <v>0</v>
      </c>
      <c r="GJ155" s="122" t="n">
        <f aca="false">IF(ISNA(VLOOKUP(A155,'Données projet'!$A$243:$I$263,6,0)),0%,VLOOKUP(A155,'Données projet'!$A$243:$I$263,6,0)*VLOOKUP('Données projet'!$B$17,Paramètres!$A$1:$I$89,7,0))</f>
        <v>0</v>
      </c>
      <c r="GK155" s="122" t="n">
        <f aca="false">IF(ISNA(VLOOKUP(A155,'Données projet'!$A$243:$I$263,7,0)),0%,VLOOKUP(A155,'Données projet'!$A$243:$I$263,7,0))</f>
        <v>0</v>
      </c>
      <c r="GL155" s="129" t="e">
        <f aca="false">EXP(-LN(2)/35)*GL154+(1-EXP(-LN(2)/35))/(LN(2)/35)*GH155*GI155*VLOOKUP('Données projet'!$B$17,Paramètres!$A$1:$I$89,3,0)*0.475*44/12</f>
        <v>#N/A</v>
      </c>
      <c r="GM155" s="129" t="e">
        <f aca="false">EXP(-LN(2)/25)*GM154+(1-EXP(-LN(2)/25))/(LN(2)/25)*Calculateur!GH155*Calculateur!GJ155*VLOOKUP('Données projet'!$B$17,Paramètres!$A$1:$I$89,3,0)*0.475*44/12</f>
        <v>#N/A</v>
      </c>
      <c r="GN155" s="129" t="e">
        <f aca="false">EXP(-LN(2)/2)*GN154+(1-EXP(-LN(2)/2))/(LN(2)/2)*GH155*GK155*VLOOKUP('Données projet'!$B$17,Paramètres!$A$1:$I$89,3,0)*0.475*44/12</f>
        <v>#N/A</v>
      </c>
      <c r="GO155" s="129" t="e">
        <f aca="false">SUM(GL155:GN155)</f>
        <v>#N/A</v>
      </c>
      <c r="GP155" s="126" t="n">
        <f aca="false"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8" t="n">
        <f aca="false"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8" t="e">
        <f aca="false">VLOOKUP(A155,'Données projet'!$A$269:$I$289,2,0)</f>
        <v>#N/A</v>
      </c>
      <c r="GS155" s="118" t="e">
        <f aca="false">VLOOKUP(A155,'Données projet'!$A$269:$I$289,9,0)</f>
        <v>#N/A</v>
      </c>
      <c r="GT155" s="118" t="e">
        <f aca="false" t="array" ref="GT155:GT155">INDEX(GS:GS,MIN(IF(ISNUMBER(GS155:GS351),ROW(GS155:GS351),"")))</f>
        <v>#N/A</v>
      </c>
      <c r="GU155" s="118" t="n">
        <f aca="false">IF('Données projet'!$A$270&gt;35,GU154+GT155-HC154,IF(A155&lt;'Données projet'!$A$270,$GR$205^A155,IF(A155='Données projet'!$A$270,'Données projet'!$B$270,GU154+GT155-HC154)))</f>
        <v>0</v>
      </c>
      <c r="GV155" s="125" t="e">
        <f aca="false">GU155*VLOOKUP('Données projet'!$B$18,Paramètres!$A$1:$I$89,3,0)*VLOOKUP('Données projet'!$B$18,Paramètres!$A$1:$I$89,5,0)</f>
        <v>#N/A</v>
      </c>
      <c r="GW155" s="117" t="e">
        <f aca="false">EXP(-1.0587+0.8836*LN(GV155)+0.284)</f>
        <v>#N/A</v>
      </c>
      <c r="GX155" s="128" t="e">
        <f aca="false">(GV155+GW155)*0.475*44/12</f>
        <v>#N/A</v>
      </c>
      <c r="GY155" s="120" t="e">
        <f aca="false">GX155+(GP155+GQ155)*44/12</f>
        <v>#N/A</v>
      </c>
      <c r="GZ155" s="120" t="e">
        <f aca="true">AVERAGE(OFFSET($GY$3,0,0,'Données projet'!$E$18+1,1))-AVERAGE(OFFSET($H$3,0,0,'Données projet'!$E$18+1,1))</f>
        <v>#N/A</v>
      </c>
      <c r="HA155" s="120" t="e">
        <f aca="false">$HA$3</f>
        <v>#N/A</v>
      </c>
      <c r="HB155" s="121" t="n">
        <f aca="false">IF(ISNA(VLOOKUP(A155,'Données projet'!$A$269:$I$289,3,0)),0,VLOOKUP(A155,'Données projet'!$A$269:$I$289,3,0))</f>
        <v>0</v>
      </c>
      <c r="HC155" s="121" t="n">
        <f aca="false">IF(ISNA(VLOOKUP(A155,'Données projet'!$A$269:$I$289,4,0)),0,VLOOKUP(A155,'Données projet'!$A$269:$I$289,4,0))</f>
        <v>0</v>
      </c>
      <c r="HD155" s="122" t="n">
        <f aca="false">IF(ISNA(VLOOKUP(A155,'Données projet'!$A$269:$I$289,5,0)),0%,VLOOKUP(A155,'Données projet'!$A$269:$I$289,5,0)*VLOOKUP('Données projet'!$B$18,Paramètres!$A$1:$I$89,7,0))</f>
        <v>0</v>
      </c>
      <c r="HE155" s="122" t="n">
        <f aca="false">IF(ISNA(VLOOKUP(A155,'Données projet'!$A$269:$I$289,6,0)),0%,VLOOKUP(A155,'Données projet'!$A$269:$I$289,6,0)*VLOOKUP('Données projet'!$B$18,Paramètres!$A$1:$I$89,7,0))</f>
        <v>0</v>
      </c>
      <c r="HF155" s="122" t="n">
        <f aca="false">IF(ISNA(VLOOKUP(A155,'Données projet'!$A$269:$I$289,7,0)),0%,VLOOKUP(A155,'Données projet'!$A$269:$I$289,7,0))</f>
        <v>0</v>
      </c>
      <c r="HG155" s="129" t="e">
        <f aca="false">EXP(-LN(2)/35)*HG154+(1-EXP(-LN(2)/35))/(LN(2)/35)*HC155*HD155*VLOOKUP('Données projet'!$B$18,Paramètres!$A$1:$I$89,3,0)*0.475*44/12</f>
        <v>#N/A</v>
      </c>
      <c r="HH155" s="129" t="e">
        <f aca="false">EXP(-LN(2)/25)*HH154+(1-EXP(-LN(2)/25))/(LN(2)/25)*Calculateur!HC155*Calculateur!HE155*VLOOKUP('Données projet'!$B$18,Paramètres!$A$1:$I$89,3,0)*0.475*44/12</f>
        <v>#N/A</v>
      </c>
      <c r="HI155" s="129" t="e">
        <f aca="false">EXP(-LN(2)/2)*HI154+(1-EXP(-LN(2)/2))/(LN(2)/2)*HC155*HF155*VLOOKUP('Données projet'!$B$18,Paramètres!$A$1:$I$89,3,0)*0.475*44/12</f>
        <v>#N/A</v>
      </c>
      <c r="HJ155" s="130" t="e">
        <f aca="false">SUM(HG155:HI155)</f>
        <v>#N/A</v>
      </c>
    </row>
    <row r="156" customFormat="false" ht="14.25" hidden="false" customHeight="false" outlineLevel="0" collapsed="false">
      <c r="A156" s="112" t="n">
        <f aca="false">A155+1</f>
        <v>153</v>
      </c>
      <c r="B156" s="113" t="n">
        <f aca="false">'Scénario référence'!$B$16*5+'Scénario référence'!$B$17*0+'Scénario référence'!$B$18*5</f>
        <v>0</v>
      </c>
      <c r="C156" s="127" t="n">
        <f aca="false"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4" t="n">
        <f aca="false">IFERROR(EXP(-1.0587+0.8836*LN(C156)+0.284),0)</f>
        <v>0</v>
      </c>
      <c r="E15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6" s="114" t="n">
        <f aca="false">IF(OR('Scénario référence'!$F$8&gt;0,'Scénario référence'!$F$9&gt;0),('Scénario référence'!$F$8+'Scénario référence'!$F$9)*10,0)</f>
        <v>0</v>
      </c>
      <c r="G156" s="114" t="n">
        <f aca="false"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15" t="n">
        <f aca="false">(B156+E156+F156)*44/12+(C156+D156)*0.475*44/12</f>
        <v>256.666666666667</v>
      </c>
      <c r="I156" s="11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7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8" t="e">
        <f aca="false">VLOOKUP(A156,'Données projet'!$A$35:$I$55,2,0)</f>
        <v>#N/A</v>
      </c>
      <c r="L156" s="118" t="e">
        <f aca="false">VLOOKUP(A156,'Données projet'!$A$35:$I$55,9,0)</f>
        <v>#N/A</v>
      </c>
      <c r="M156" s="118" t="e">
        <f aca="false" t="array" ref="M156:M156">INDEX(L:L,MIN(IF(ISNUMBER(L156:L352),ROW(L156:L352),"")))</f>
        <v>#N/A</v>
      </c>
      <c r="N156" s="117" t="n">
        <f aca="false">IF('Données projet'!$A$36&gt;35,N155+M156-V155,IF(A156&lt;'Données projet'!$A$36,$K$205^A156,IF(A156='Données projet'!$A$36,'Données projet'!$B$36,N155+M156-V155)))</f>
        <v>-1.13686837721616E-013</v>
      </c>
      <c r="O156" s="117" t="n">
        <f aca="false">N156*VLOOKUP('Données projet'!$B$9,Paramètres!$A$1:$I$89,3,0)*VLOOKUP('Données projet'!$B$9,Paramètres!$A$1:$I$89,5,0)</f>
        <v>-5.32054400537163E-014</v>
      </c>
      <c r="P156" s="117" t="e">
        <f aca="false">EXP(-1.0587+0.8836*LN(O156)+0.284)</f>
        <v>#VALUE!</v>
      </c>
      <c r="Q156" s="128" t="e">
        <f aca="false">(O156+P156)*0.475*44/12</f>
        <v>#VALUE!</v>
      </c>
      <c r="R156" s="120" t="e">
        <f aca="false">Q156+(I156+J156)*44/12</f>
        <v>#VALUE!</v>
      </c>
      <c r="S156" s="120" t="n">
        <f aca="true">AVERAGE(OFFSET($R$3,0,0,'Données projet'!$E$9+1,1))-AVERAGE(OFFSET($H$3,0,0,'Données projet'!$E$9+1,1))</f>
        <v>319.229030946746</v>
      </c>
      <c r="T156" s="120" t="n">
        <f aca="false">$T$3</f>
        <v>254.586909731428</v>
      </c>
      <c r="U156" s="121" t="n">
        <f aca="false">IF(ISNA(VLOOKUP(A156,'Données projet'!$A$35:$I$55,3,0)),0,VLOOKUP(A156,'Données projet'!$A$35:$I$55,3,0))</f>
        <v>0</v>
      </c>
      <c r="V156" s="121" t="n">
        <f aca="false">IF(ISNA(VLOOKUP(A156,'Données projet'!$A$35:$I$55,4,0)),0,VLOOKUP(A156,'Données projet'!$A$35:$I$55,4,0))</f>
        <v>0</v>
      </c>
      <c r="W156" s="122" t="n">
        <f aca="false">IF(ISNA(VLOOKUP(A156,'Données projet'!$A$35:$I$55,5,0)),0%,VLOOKUP(A156,'Données projet'!$A$35:$I$55,5,0)*VLOOKUP('Données projet'!$B$9,Paramètres!$A$1:$I$89,7,0))</f>
        <v>0</v>
      </c>
      <c r="X156" s="122" t="n">
        <f aca="false">IF(ISNA(VLOOKUP(A156,'Données projet'!$A$35:$I$55,6,0)),0%,VLOOKUP(A156,'Données projet'!$A$35:$I$55,6,0)*VLOOKUP('Données projet'!$B$9,Paramètres!$A$1:$I$89,7,0))</f>
        <v>0</v>
      </c>
      <c r="Y156" s="122" t="n">
        <f aca="false">IF(ISNA(VLOOKUP(A156,'Données projet'!$A$35:$I$55,7,0)),0%,VLOOKUP(A156,'Données projet'!$A$35:$I$55,7,0))</f>
        <v>0</v>
      </c>
      <c r="Z156" s="129" t="n">
        <f aca="false">EXP(-LN(2)/35)*Z155+(1-EXP(-LN(2)/35))/(LN(2)/35)*V156*W156*VLOOKUP('Données projet'!$B$9,Paramètres!$A$1:$I$89,3,0)*0.475*44/12</f>
        <v>0.794322878236526</v>
      </c>
      <c r="AA156" s="129" t="n">
        <f aca="false">EXP(-LN(2)/25)*AA155+(1-EXP(-LN(2)/25))/(LN(2)/25)*Calculateur!V156*Calculateur!X156*VLOOKUP('Données projet'!$B$9,Paramètres!$A$1:$I$89,3,0)*0.475*44/12</f>
        <v>0.368348332659941</v>
      </c>
      <c r="AB156" s="129" t="n">
        <f aca="false">EXP(-LN(2)/2)*AB155+(1-EXP(-LN(2)/2))/(LN(2)/2)*V156*Y156*VLOOKUP('Données projet'!$B$9,Paramètres!$A$1:$I$89,3,0)*0.475*44/12</f>
        <v>3.38647128976342E-018</v>
      </c>
      <c r="AC156" s="130" t="n">
        <f aca="false">SUM(Z156:AB156)</f>
        <v>1.16267121089647</v>
      </c>
      <c r="AD156" s="117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7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8" t="e">
        <f aca="false">VLOOKUP(A156,'Données projet'!$A$61:$I$81,2,0)</f>
        <v>#N/A</v>
      </c>
      <c r="AG156" s="118" t="e">
        <f aca="false">VLOOKUP(A156,'Données projet'!$A$61:$I$81,9,0)</f>
        <v>#N/A</v>
      </c>
      <c r="AH156" s="118" t="e">
        <f aca="false" t="array" ref="AH156:AH156">INDEX(AG:AG,MIN(IF(ISNUMBER(AG156:AG352),ROW(AG156:AG352),"")))</f>
        <v>#N/A</v>
      </c>
      <c r="AI156" s="117" t="n">
        <f aca="false">IF('Données projet'!$A$62&gt;35,AI155+AH156-AQ155,IF(A156&lt;'Données projet'!$A$62,$AF$205^A156,IF(A156='Données projet'!$A$62,'Données projet'!$B$62,AI155+AH156-AQ155)))</f>
        <v>1.13686837721616E-013</v>
      </c>
      <c r="AJ156" s="117" t="n">
        <f aca="false">AI156*VLOOKUP('Données projet'!$B$10,Paramètres!$A$1:$I$89,3,0)*VLOOKUP('Données projet'!$B$10,Paramètres!$A$1:$I$89,5,0)</f>
        <v>6.35509422863834E-014</v>
      </c>
      <c r="AK156" s="117" t="n">
        <f aca="false">EXP(-1.0587+0.8836*LN(AJ156)+0.284)</f>
        <v>1.0064464192544E-012</v>
      </c>
      <c r="AL156" s="128" t="n">
        <f aca="false">(AJ156+AK156)*0.475*44/12</f>
        <v>1.86357873801686E-012</v>
      </c>
      <c r="AM156" s="120" t="n">
        <f aca="false">AL156+(AD156+AE156)*44/12</f>
        <v>293.333333333335</v>
      </c>
      <c r="AN156" s="120" t="n">
        <f aca="true">AVERAGE(OFFSET($AM$3,0,0,'Données projet'!$E$10+1,1))-AVERAGE(OFFSET($H$3,0,0,'Données projet'!$E$10+1,1))</f>
        <v>365.705101827279</v>
      </c>
      <c r="AO156" s="120" t="n">
        <f aca="false">$AO$3</f>
        <v>436.238338449625</v>
      </c>
      <c r="AP156" s="121" t="n">
        <f aca="false">IF(ISNA(VLOOKUP(A156,'Données projet'!$A$61:$I$81,3,0)),0,VLOOKUP(A156,'Données projet'!$A$61:$I$81,3,0))</f>
        <v>0</v>
      </c>
      <c r="AQ156" s="121" t="n">
        <f aca="false">IF(ISNA(VLOOKUP(A156,'Données projet'!$A$61:$I$81,4,0)),0,VLOOKUP(A156,'Données projet'!$A$61:$I$81,4,0))</f>
        <v>0</v>
      </c>
      <c r="AR156" s="122" t="n">
        <f aca="false">IF(ISNA(VLOOKUP(A156,'Données projet'!$A$61:$I$81,5,0)),0%,VLOOKUP(A156,'Données projet'!$A$61:$I$81,5,0)*VLOOKUP('Données projet'!$B$10,Paramètres!$A$1:$I$89,7,0))</f>
        <v>0</v>
      </c>
      <c r="AS156" s="122" t="n">
        <f aca="false">IF(ISNA(VLOOKUP(A156,'Données projet'!$A$61:$I$81,6,0)),0%,VLOOKUP(A156,'Données projet'!$A$61:$I$81,6,0)*VLOOKUP('Données projet'!$B$10,Paramètres!$A$1:$I$89,7,0))</f>
        <v>0</v>
      </c>
      <c r="AT156" s="122" t="n">
        <f aca="false">IF(ISNA(VLOOKUP(A156,'Données projet'!$A$61:$I$81,7,0)),0%,VLOOKUP(A156,'Données projet'!$A$61:$I$81,7,0))</f>
        <v>0</v>
      </c>
      <c r="AU156" s="129" t="n">
        <f aca="false">EXP(-LN(2)/35)*AU155+(1-EXP(-LN(2)/35))/(LN(2)/35)*AQ156*AR156*VLOOKUP('Données projet'!$B$10,Paramètres!$A$1:$I$89,3,0)*0.475*44/12</f>
        <v>0.299831133466849</v>
      </c>
      <c r="AV156" s="129" t="n">
        <f aca="false">EXP(-LN(2)/25)*AV155+(1-EXP(-LN(2)/25))/(LN(2)/25)*Calculateur!AQ156*Calculateur!AS156*VLOOKUP('Données projet'!$B$10,Paramètres!$A$1:$I$89,3,0)*0.475*44/12</f>
        <v>0.436288683486692</v>
      </c>
      <c r="AW156" s="129" t="n">
        <f aca="false">EXP(-LN(2)/2)*AW155+(1-EXP(-LN(2)/2))/(LN(2)/2)*AQ156*AT156*VLOOKUP('Données projet'!$B$10,Paramètres!$A$1:$I$89,3,0)*0.475*44/12</f>
        <v>1.82249300481139E-018</v>
      </c>
      <c r="AX156" s="129" t="n">
        <f aca="false">SUM(AU156:AW156)</f>
        <v>0.736119816953541</v>
      </c>
      <c r="AY156" s="124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8" t="e">
        <f aca="false">VLOOKUP(A156,'Données projet'!$A$87:$I$107,2,0)</f>
        <v>#N/A</v>
      </c>
      <c r="BB156" s="118" t="e">
        <f aca="false">VLOOKUP(A156,'Données projet'!$A$87:$I$107,9,0)</f>
        <v>#N/A</v>
      </c>
      <c r="BC156" s="118" t="e">
        <f aca="false" t="array" ref="BC156:BC156">INDEX(BB:BB,MIN(IF(ISNUMBER(BB156:BB352),ROW(BB156:BB352),"")))</f>
        <v>#N/A</v>
      </c>
      <c r="BD156" s="118" t="n">
        <f aca="false">IF('Données projet'!$A$88&gt;35,BD155+BC156-BL155,IF(A156&lt;'Données projet'!$A$88,$BA$205^A156,IF(A156='Données projet'!$A$88,'Données projet'!$B$88,BD155+BC156-BL155)))</f>
        <v>1.98951966012828E-013</v>
      </c>
      <c r="BE156" s="117" t="n">
        <f aca="false">BD156*VLOOKUP('Données projet'!$B$11,Paramètres!$A$1:$I$89,3,0)*VLOOKUP('Données projet'!$B$11,Paramètres!$A$1:$I$89,5,0)</f>
        <v>1.73804437508807E-013</v>
      </c>
      <c r="BF156" s="117" t="n">
        <f aca="false">EXP(-1.0587+0.8836*LN(BE156)+0.284)</f>
        <v>2.44832936339505E-012</v>
      </c>
      <c r="BG156" s="128" t="n">
        <f aca="false">(BE156+BF156)*0.475*44/12</f>
        <v>4.56688303657421E-012</v>
      </c>
      <c r="BH156" s="120" t="n">
        <f aca="false">BG156+(AY156+AZ156)*44/12</f>
        <v>293.333333333338</v>
      </c>
      <c r="BI156" s="120" t="n">
        <f aca="true">AVERAGE(OFFSET($BH$3,0,0,'Données projet'!$E$11+1,1))-AVERAGE(OFFSET($H$3,0,0,'Données projet'!$E$11+1,1))</f>
        <v>321.235999689929</v>
      </c>
      <c r="BJ156" s="120" t="n">
        <f aca="false">$BJ$3</f>
        <v>388.051958478005</v>
      </c>
      <c r="BK156" s="121" t="n">
        <f aca="false">IF(ISNA(VLOOKUP(A156,'Données projet'!$A$87:$I$107,3,0)),0,VLOOKUP(A156,'Données projet'!$A$87:$I$107,3,0))</f>
        <v>0</v>
      </c>
      <c r="BL156" s="121" t="n">
        <f aca="false">IF(ISNA(VLOOKUP(A156,'Données projet'!$A$87:$I$107,4,0)),0,VLOOKUP(A156,'Données projet'!$A$87:$I$107,4,0))</f>
        <v>0</v>
      </c>
      <c r="BM156" s="122" t="n">
        <f aca="false">IF(ISNA(VLOOKUP(A156,'Données projet'!$A$87:$I$107,5,0)),0%,VLOOKUP(A156,'Données projet'!$A$87:$I$107,5,0)*VLOOKUP('Données projet'!$B$11,Paramètres!$A$1:$I$89,7,0))</f>
        <v>0</v>
      </c>
      <c r="BN156" s="122" t="n">
        <f aca="false">IF(ISNA(VLOOKUP(A156,'Données projet'!$A$87:$I$107,6,0)),0%,VLOOKUP(A156,'Données projet'!$A$87:$I$107,6,0)*VLOOKUP('Données projet'!$B$11,Paramètres!$A$1:$I$89,7,0))</f>
        <v>0</v>
      </c>
      <c r="BO156" s="122" t="n">
        <f aca="false">IF(ISNA(VLOOKUP(A156,'Données projet'!$A$87:$I$107,7,0)),0%,VLOOKUP(A156,'Données projet'!$A$87:$I$107,7,0))</f>
        <v>0</v>
      </c>
      <c r="BP156" s="129" t="n">
        <f aca="false">EXP(-LN(2)/35)*BP155+(1-EXP(-LN(2)/35))/(LN(2)/35)*BL156*BM156*VLOOKUP('Données projet'!$B$11,Paramètres!$A$1:$I$89,3,0)*0.475*44/12</f>
        <v>0.752762445661479</v>
      </c>
      <c r="BQ156" s="129" t="n">
        <f aca="false">EXP(-LN(2)/25)*BQ155+(1-EXP(-LN(2)/25))/(LN(2)/25)*Calculateur!BL156*Calculateur!BN156*VLOOKUP('Données projet'!$B$11,Paramètres!$A$1:$I$89,3,0)*0.475*44/12</f>
        <v>0.445337574157599</v>
      </c>
      <c r="BR156" s="129" t="n">
        <f aca="false">EXP(-LN(2)/2)*BR155+(1-EXP(-LN(2)/2))/(LN(2)/2)*BL156*BO156*VLOOKUP('Données projet'!$B$11,Paramètres!$A$1:$I$89,3,0)*0.475*44/12</f>
        <v>1.85252625824391E-018</v>
      </c>
      <c r="BS156" s="130" t="n">
        <f aca="false">SUM(BP156:BR156)</f>
        <v>1.19810001981908</v>
      </c>
      <c r="BT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8" t="e">
        <f aca="false">VLOOKUP(A156,'Données projet'!$A$113:$I$133,2,0)</f>
        <v>#N/A</v>
      </c>
      <c r="BW156" s="118" t="e">
        <f aca="false">VLOOKUP(A156,'Données projet'!$A$113:$I$133,9,0)</f>
        <v>#N/A</v>
      </c>
      <c r="BX156" s="118" t="e">
        <f aca="false" t="array" ref="BX156:BX156">INDEX(BW:BW,MIN(IF(ISNUMBER(BW156:BW352),ROW(BW156:BW352),"")))</f>
        <v>#N/A</v>
      </c>
      <c r="BY156" s="118" t="n">
        <f aca="false">IF('Données projet'!$A$114&gt;35,BY155+BX156-CG155,IF(A156&lt;'Données projet'!$A$114,$BV$205^A156,IF(A156='Données projet'!$A$114,'Données projet'!$B$114,BY155+BX156-CG155)))</f>
        <v>0</v>
      </c>
      <c r="BZ156" s="117" t="n">
        <f aca="false">BY156*VLOOKUP('Données projet'!$B$12,Paramètres!$A$1:$I$89,3,0)*VLOOKUP('Données projet'!$B$12,Paramètres!$A$1:$I$89,5,0)</f>
        <v>0</v>
      </c>
      <c r="CA156" s="117" t="e">
        <f aca="false">EXP(-1.0587+0.8836*LN(BZ156)+0.284)</f>
        <v>#VALUE!</v>
      </c>
      <c r="CB156" s="128" t="e">
        <f aca="false">(BZ156+CA156)*0.475*44/12</f>
        <v>#VALUE!</v>
      </c>
      <c r="CC156" s="120" t="e">
        <f aca="false">CB156+(BT156+BU156)*44/12</f>
        <v>#VALUE!</v>
      </c>
      <c r="CD156" s="120" t="n">
        <f aca="true">AVERAGE(OFFSET($CC$3,0,0,'Données projet'!$E$12+1,1))-AVERAGE(OFFSET($H$3,0,0,'Données projet'!$E$12+1,1))</f>
        <v>240.228848647662</v>
      </c>
      <c r="CE156" s="120" t="n">
        <f aca="false">$CE$3</f>
        <v>343.237768841432</v>
      </c>
      <c r="CF156" s="121" t="n">
        <f aca="false">IF(ISNA(VLOOKUP(A156,'Données projet'!$A$113:$I$133,3,0)),0,VLOOKUP(A156,'Données projet'!$A$113:$I$133,3,0))</f>
        <v>0</v>
      </c>
      <c r="CG156" s="121" t="n">
        <f aca="false">IF(ISNA(VLOOKUP(A156,'Données projet'!$A$113:$I$133,4,0)),0,VLOOKUP(A156,'Données projet'!$A$113:$I$133,4,0))</f>
        <v>0</v>
      </c>
      <c r="CH156" s="122" t="n">
        <f aca="false">IF(ISNA(VLOOKUP(A156,'Données projet'!$A$113:$I$133,5,0)),0%,VLOOKUP(A156,'Données projet'!$A$113:$I$133,5,0)*VLOOKUP('Données projet'!$B$12,Paramètres!$A$1:$I$89,7,0))</f>
        <v>0</v>
      </c>
      <c r="CI156" s="122" t="n">
        <f aca="false">IF(ISNA(VLOOKUP(A156,'Données projet'!$A$113:$I$133,6,0)),0%,VLOOKUP(A156,'Données projet'!$A$113:$I$133,6,0)*VLOOKUP('Données projet'!$B$12,Paramètres!$A$1:$I$89,7,0))</f>
        <v>0</v>
      </c>
      <c r="CJ156" s="122" t="n">
        <f aca="false">IF(ISNA(VLOOKUP(A156,'Données projet'!$A$113:$I$133,7,0)),0%,VLOOKUP(A156,'Données projet'!$A$113:$I$133,7,0))</f>
        <v>0</v>
      </c>
      <c r="CK156" s="129" t="n">
        <f aca="false">EXP(-LN(2)/35)*CK155+(1-EXP(-LN(2)/35))/(LN(2)/35)*CG156*CH156*VLOOKUP('Données projet'!$B$12,Paramètres!$A$1:$I$89,3,0)*0.475*44/12</f>
        <v>0.460749262180408</v>
      </c>
      <c r="CL156" s="129" t="n">
        <f aca="false">EXP(-LN(2)/25)*CL155+(1-EXP(-LN(2)/25))/(LN(2)/25)*Calculateur!CG156*Calculateur!CI156*VLOOKUP('Données projet'!$B$12,Paramètres!$A$1:$I$89,3,0)*0.475*44/12</f>
        <v>0.786491936504022</v>
      </c>
      <c r="CM156" s="129" t="n">
        <f aca="false">EXP(-LN(2)/2)*CM155+(1-EXP(-LN(2)/2))/(LN(2)/2)*CG156*CJ156*VLOOKUP('Données projet'!$B$12,Paramètres!$A$1:$I$89,3,0)*0.475*44/12</f>
        <v>2.95613802493991E-018</v>
      </c>
      <c r="CN156" s="130" t="n">
        <f aca="false">SUM(CK156:CM156)</f>
        <v>1.24724119868443</v>
      </c>
      <c r="CO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8" t="e">
        <f aca="false">VLOOKUP(A156,'Données projet'!$A$139:$I$159,2,0)</f>
        <v>#N/A</v>
      </c>
      <c r="CR156" s="118" t="e">
        <f aca="false">VLOOKUP(A156,'Données projet'!$A$139:$I$159,9,0)</f>
        <v>#N/A</v>
      </c>
      <c r="CS156" s="118" t="e">
        <f aca="false" t="array" ref="CS156:CS156">INDEX(CR:CR,MIN(IF(ISNUMBER(CR156:CR352),ROW(CR156:CR352),"")))</f>
        <v>#N/A</v>
      </c>
      <c r="CT156" s="118" t="n">
        <f aca="false">IF('Données projet'!$A$140&gt;35,CT155+CS156-DB155,IF(A156&lt;'Données projet'!$A$140,$CQ$205^A156,IF(A156='Données projet'!$A$140,'Données projet'!$B$140,CT155+CS156-DB155)))</f>
        <v>-5.6843418860808E-014</v>
      </c>
      <c r="CU156" s="125" t="n">
        <f aca="false">CT156*VLOOKUP('Données projet'!$B$13,Paramètres!$A$1:$I$89,3,0)*VLOOKUP('Données projet'!$B$13,Paramètres!$A$1:$I$89,5,0)</f>
        <v>-3.10365066980012E-014</v>
      </c>
      <c r="CV156" s="117" t="e">
        <f aca="false">EXP(-1.0587+0.8836*LN(CU156)+0.284)</f>
        <v>#VALUE!</v>
      </c>
      <c r="CW156" s="128" t="e">
        <f aca="false">(CU156+CV156)*0.475*44/12</f>
        <v>#VALUE!</v>
      </c>
      <c r="CX156" s="120" t="e">
        <f aca="false">CW156+(CO156+CP156)*44/12</f>
        <v>#VALUE!</v>
      </c>
      <c r="CY156" s="120" t="n">
        <f aca="true">AVERAGE(OFFSET($CX$3,0,0,'Données projet'!$E$13+1,1))-AVERAGE(OFFSET($H$3,0,0,'Données projet'!$E$13+1,1))</f>
        <v>207.023069645676</v>
      </c>
      <c r="CZ156" s="120" t="n">
        <f aca="false">$CZ$3</f>
        <v>342.068879333518</v>
      </c>
      <c r="DA156" s="121" t="n">
        <f aca="false">IF(ISNA(VLOOKUP(A156,'Données projet'!$A$139:$I$159,3,0)),0,VLOOKUP(A156,'Données projet'!$A$139:$I$159,3,0))</f>
        <v>0</v>
      </c>
      <c r="DB156" s="121" t="n">
        <f aca="false">IF(ISNA(VLOOKUP(A156,'Données projet'!$A$139:$I$159,4,0)),0,VLOOKUP(A156,'Données projet'!$A$139:$I$159,4,0))</f>
        <v>0</v>
      </c>
      <c r="DC156" s="122" t="n">
        <f aca="false">IF(ISNA(VLOOKUP(A156,'Données projet'!$A$139:$I$159,5,0)),0%,VLOOKUP(A156,'Données projet'!$A$139:$I$159,5,0)*VLOOKUP('Données projet'!$B$13,Paramètres!$A$1:$I$89,7,0))</f>
        <v>0</v>
      </c>
      <c r="DD156" s="122" t="n">
        <f aca="false">IF(ISNA(VLOOKUP(A156,'Données projet'!$A$139:$I$159,6,0)),0%,VLOOKUP(A156,'Données projet'!$A$139:$I$159,6,0)*VLOOKUP('Données projet'!$B$13,Paramètres!$A$1:$I$89,7,0))</f>
        <v>0</v>
      </c>
      <c r="DE156" s="122" t="n">
        <f aca="false">IF(ISNA(VLOOKUP(A156,'Données projet'!$A$139:$I$159,7,0)),0%,VLOOKUP(A156,'Données projet'!$A$139:$I$159,7,0))</f>
        <v>0</v>
      </c>
      <c r="DF156" s="129" t="n">
        <f aca="false">EXP(-LN(2)/35)*DF155+(1-EXP(-LN(2)/35))/(LN(2)/35)*DB156*DC156*VLOOKUP('Données projet'!$B$13,Paramètres!$A$1:$I$89,3,0)*0.475*44/12</f>
        <v>0.578109923301832</v>
      </c>
      <c r="DG156" s="129" t="n">
        <f aca="false">EXP(-LN(2)/25)*DG155+(1-EXP(-LN(2)/25))/(LN(2)/25)*Calculateur!DB156*Calculateur!DD156*VLOOKUP('Données projet'!$B$13,Paramètres!$A$1:$I$89,3,0)*0.475*44/12</f>
        <v>1.28558675108037</v>
      </c>
      <c r="DH156" s="129" t="n">
        <f aca="false">EXP(-LN(2)/2)*DH155+(1-EXP(-LN(2)/2))/(LN(2)/2)*DB156*DE156*VLOOKUP('Données projet'!$B$13,Paramètres!$A$1:$I$89,3,0)*0.475*44/12</f>
        <v>4.0706034308823E-018</v>
      </c>
      <c r="DI156" s="130" t="n">
        <f aca="false">SUM(DF156:DH156)</f>
        <v>1.86369667438221</v>
      </c>
      <c r="DJ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8" t="e">
        <f aca="false">VLOOKUP(A156,'Données projet'!$A$165:$I$185,2,0)</f>
        <v>#N/A</v>
      </c>
      <c r="DM156" s="118" t="e">
        <f aca="false">VLOOKUP(A156,'Données projet'!$A$165:$I$185,9,0)</f>
        <v>#N/A</v>
      </c>
      <c r="DN156" s="118" t="e">
        <f aca="false" t="array" ref="DN156:DN156">INDEX(DM:DM,MIN(IF(ISNUMBER(DM156:DM352),ROW(DM156:DM352),"")))</f>
        <v>#N/A</v>
      </c>
      <c r="DO156" s="118" t="n">
        <f aca="false">IF('Données projet'!$A$166&gt;35,DO155+DN156-DW155,IF(A156&lt;'Données projet'!$A$166,$DL$205^A156,IF(A156='Données projet'!$A$166,'Données projet'!$B$166,DO155+DN156-DW155)))</f>
        <v>0</v>
      </c>
      <c r="DP156" s="125" t="n">
        <f aca="false">DO156*VLOOKUP('Données projet'!$B$14,Paramètres!$A$1:$I$89,3,0)*VLOOKUP('Données projet'!$B$14,Paramètres!$A$1:$I$89,5,0)</f>
        <v>0</v>
      </c>
      <c r="DQ156" s="117" t="e">
        <f aca="false">EXP(-1.0587+0.8836*LN(DP156)+0.284)</f>
        <v>#VALUE!</v>
      </c>
      <c r="DR156" s="128" t="e">
        <f aca="false">(DP156+DQ156)*0.475*44/12</f>
        <v>#VALUE!</v>
      </c>
      <c r="DS156" s="120" t="e">
        <f aca="false">DR156+(DJ156+DK156)*44/12</f>
        <v>#VALUE!</v>
      </c>
      <c r="DT156" s="120" t="n">
        <f aca="true">AVERAGE(OFFSET($DS$3,0,0,'Données projet'!$E$14+1,1))-AVERAGE(OFFSET($H$3,0,0,'Données projet'!$E$14+1,1))</f>
        <v>549.432320957297</v>
      </c>
      <c r="DU156" s="120" t="n">
        <f aca="false">$DU$3</f>
        <v>280.26155987301</v>
      </c>
      <c r="DV156" s="121" t="n">
        <f aca="false">IF(ISNA(VLOOKUP(A156,'Données projet'!$A$165:$I$185,3,0)),0,VLOOKUP(A156,'Données projet'!$A$165:$I$185,3,0))</f>
        <v>0</v>
      </c>
      <c r="DW156" s="121" t="n">
        <f aca="false">IF(ISNA(VLOOKUP(A156,'Données projet'!$A$165:$I$185,4,0)),0,VLOOKUP(A156,'Données projet'!$A$165:$I$185,4,0))</f>
        <v>0</v>
      </c>
      <c r="DX156" s="122" t="n">
        <f aca="false">IF(ISNA(VLOOKUP(A156,'Données projet'!$A$165:$I$185,5,0)),0%,VLOOKUP(A156,'Données projet'!$A$165:$I$185,5,0)*VLOOKUP('Données projet'!$B$14,Paramètres!$A$1:$I$89,7,0))</f>
        <v>0</v>
      </c>
      <c r="DY156" s="122" t="n">
        <f aca="false">IF(ISNA(VLOOKUP(A156,'Données projet'!$A$165:$I$185,6,0)),0%,VLOOKUP(A156,'Données projet'!$A$165:$I$185,6,0)*VLOOKUP('Données projet'!$B$14,Paramètres!$A$1:$I$89,7,0))</f>
        <v>0</v>
      </c>
      <c r="DZ156" s="122" t="n">
        <f aca="false">IF(ISNA(VLOOKUP(A156,'Données projet'!$A$165:$I$185,7,0)),0%,VLOOKUP(A156,'Données projet'!$A$165:$I$185,7,0))</f>
        <v>0</v>
      </c>
      <c r="EA156" s="129" t="n">
        <f aca="false">EXP(-LN(2)/35)*EA155+(1-EXP(-LN(2)/35))/(LN(2)/35)*DW156*DX156*VLOOKUP('Données projet'!$B$14,Paramètres!$A$1:$I$89,3,0)*0.475*44/12</f>
        <v>0.21020012349465</v>
      </c>
      <c r="EB156" s="129" t="n">
        <f aca="false">EXP(-LN(2)/25)*EB155+(1-EXP(-LN(2)/25))/(LN(2)/25)*Calculateur!DW156*Calculateur!DY156*VLOOKUP('Données projet'!$B$14,Paramètres!$A$1:$I$89,3,0)*0.475*44/12</f>
        <v>0.256114244996001</v>
      </c>
      <c r="EC156" s="129" t="n">
        <f aca="false">EXP(-LN(2)/2)*EC155+(1-EXP(-LN(2)/2))/(LN(2)/2)*DW156*DZ156*VLOOKUP('Données projet'!$B$14,Paramètres!$A$1:$I$89,3,0)*0.475*44/12</f>
        <v>1.87646427342015E-018</v>
      </c>
      <c r="ED156" s="130" t="n">
        <f aca="false">SUM(EA156:EC156)</f>
        <v>0.466314368490651</v>
      </c>
      <c r="EE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8" t="e">
        <f aca="false">VLOOKUP(A156,'Données projet'!$A$191:$I$211,2,0)</f>
        <v>#N/A</v>
      </c>
      <c r="EH156" s="118" t="e">
        <f aca="false">VLOOKUP(A156,'Données projet'!$A$191:$I$211,9,0)</f>
        <v>#N/A</v>
      </c>
      <c r="EI156" s="118" t="e">
        <f aca="false" t="array" ref="EI156:EI156">INDEX(EH:EH,MIN(IF(ISNUMBER(EH156:EH352),ROW(EH156:EH352),"")))</f>
        <v>#N/A</v>
      </c>
      <c r="EJ156" s="118" t="n">
        <f aca="false">IF('Données projet'!$A$192&gt;35,EJ155+EI156-ER155,IF(A156&lt;'Données projet'!$A$192,$EG$205^A156,IF(A156='Données projet'!$A$192,'Données projet'!$B$192,EJ155+EI156-ER155)))</f>
        <v>0</v>
      </c>
      <c r="EK156" s="125" t="e">
        <f aca="false">EJ156*VLOOKUP('Données projet'!$B$15,Paramètres!$A$1:$I$89,3,0)*VLOOKUP('Données projet'!$B$15,Paramètres!$A$1:$I$89,5,0)</f>
        <v>#N/A</v>
      </c>
      <c r="EL156" s="117" t="e">
        <f aca="false">EXP(-1.0587+0.8836*LN(EK156)+0.284)</f>
        <v>#N/A</v>
      </c>
      <c r="EM156" s="128" t="e">
        <f aca="false">(EK156+EL156)*0.475*44/12</f>
        <v>#N/A</v>
      </c>
      <c r="EN156" s="120" t="e">
        <f aca="false">EM156+(EE156+EF156)*44/12</f>
        <v>#N/A</v>
      </c>
      <c r="EO156" s="120" t="e">
        <f aca="true">AVERAGE(OFFSET($EN$3,0,0,'Données projet'!$E$15+1,1))-AVERAGE(OFFSET($H$3,0,0,'Données projet'!$E$15+1,1))</f>
        <v>#N/A</v>
      </c>
      <c r="EP156" s="120" t="e">
        <f aca="false">$EP$3</f>
        <v>#N/A</v>
      </c>
      <c r="EQ156" s="121" t="n">
        <f aca="false">IF(ISNA(VLOOKUP(A156,'Données projet'!$A$191:$I$211,3,0)),0,VLOOKUP(A156,'Données projet'!$A$191:$I$211,3,0))</f>
        <v>0</v>
      </c>
      <c r="ER156" s="121" t="n">
        <f aca="false">IF(ISNA(VLOOKUP(A156,'Données projet'!$A$191:$I$211,4,0)),0,VLOOKUP(A156,'Données projet'!$A$191:$I$211,4,0))</f>
        <v>0</v>
      </c>
      <c r="ES156" s="122" t="n">
        <f aca="false">IF(ISNA(VLOOKUP(A156,'Données projet'!$A$191:$I$211,5,0)),0%,VLOOKUP(A156,'Données projet'!$A$191:$I$211,5,0)*VLOOKUP('Données projet'!$B$15,Paramètres!$A$1:$I$89,7,0))</f>
        <v>0</v>
      </c>
      <c r="ET156" s="122" t="n">
        <f aca="false">IF(ISNA(VLOOKUP(A156,'Données projet'!$A$191:$I$211,6,0)),0%,VLOOKUP(A156,'Données projet'!$A$191:$I$211,6,0)*VLOOKUP('Données projet'!$B$15,Paramètres!$A$1:$I$89,7,0))</f>
        <v>0</v>
      </c>
      <c r="EU156" s="122" t="n">
        <f aca="false">IF(ISNA(VLOOKUP(A156,'Données projet'!$A$191:$I$211,7,0)),0%,VLOOKUP(A156,'Données projet'!$A$191:$I$211,7,0))</f>
        <v>0</v>
      </c>
      <c r="EV156" s="129" t="e">
        <f aca="false">EXP(-LN(2)/35)*EV155+(1-EXP(-LN(2)/35))/(LN(2)/35)*ER156*ES156*VLOOKUP('Données projet'!$B$15,Paramètres!$A$1:$I$89,3,0)*0.475*44/12</f>
        <v>#N/A</v>
      </c>
      <c r="EW156" s="129" t="e">
        <f aca="false">EXP(-LN(2)/25)*EW155+(1-EXP(-LN(2)/25))/(LN(2)/25)*Calculateur!ER156*Calculateur!ET156*VLOOKUP('Données projet'!$B$15,Paramètres!$A$1:$I$89,3,0)*0.475*44/12</f>
        <v>#N/A</v>
      </c>
      <c r="EX156" s="129" t="e">
        <f aca="false">EXP(-LN(2)/2)*EX155+(1-EXP(-LN(2)/2))/(LN(2)/2)*ER156*EU156*VLOOKUP('Données projet'!$B$15,Paramètres!$A$1:$I$89,3,0)*0.475*44/12</f>
        <v>#N/A</v>
      </c>
      <c r="EY156" s="130" t="e">
        <f aca="false">SUM(EV156:EX156)</f>
        <v>#N/A</v>
      </c>
      <c r="EZ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8" t="e">
        <f aca="false">VLOOKUP(A156,'Données projet'!$A$217:$I$237,2,0)</f>
        <v>#N/A</v>
      </c>
      <c r="FC156" s="118" t="e">
        <f aca="false">VLOOKUP(A156,'Données projet'!$A$217:$I$237,9,0)</f>
        <v>#N/A</v>
      </c>
      <c r="FD156" s="118" t="e">
        <f aca="false" t="array" ref="FD156:FD156">INDEX(FC:FC,MIN(IF(ISNUMBER(FC156:FC352),ROW(FC156:FC352),"")))</f>
        <v>#N/A</v>
      </c>
      <c r="FE156" s="118" t="n">
        <f aca="false">IF('Données projet'!$A$218&gt;35,FE155+FD156-FM155,IF(A156&lt;'Données projet'!$A$218,$FB$205^A156,IF(A156='Données projet'!$A$218,'Données projet'!$B$218,FE155+FD156-FM155)))</f>
        <v>0</v>
      </c>
      <c r="FF156" s="125" t="e">
        <f aca="false">FE156*VLOOKUP('Données projet'!$B$16,Paramètres!$A$1:$I$89,3,0)*VLOOKUP('Données projet'!$B$16,Paramètres!$A$1:$I$89,5,0)</f>
        <v>#N/A</v>
      </c>
      <c r="FG156" s="117" t="e">
        <f aca="false">EXP(-1.0587+0.8836*LN(FF156)+0.284)</f>
        <v>#N/A</v>
      </c>
      <c r="FH156" s="128" t="e">
        <f aca="false">(FF156+FG156)*0.475*44/12</f>
        <v>#N/A</v>
      </c>
      <c r="FI156" s="120" t="e">
        <f aca="false">FH156+(EZ156+FA156)*44/12</f>
        <v>#N/A</v>
      </c>
      <c r="FJ156" s="120" t="e">
        <f aca="true">AVERAGE(OFFSET($FI$3,0,0,'Données projet'!$E$16+1,1))-AVERAGE(OFFSET($H$3,0,0,'Données projet'!$E$16+1,1))</f>
        <v>#N/A</v>
      </c>
      <c r="FK156" s="120" t="e">
        <f aca="false">$FK$3</f>
        <v>#N/A</v>
      </c>
      <c r="FL156" s="121" t="n">
        <f aca="false">IF(ISNA(VLOOKUP(A156,'Données projet'!$A$217:$I$237,3,0)),0,VLOOKUP(A156,'Données projet'!$A$217:$I$237,3,0))</f>
        <v>0</v>
      </c>
      <c r="FM156" s="121" t="n">
        <f aca="false">IF(ISNA(VLOOKUP(A156,'Données projet'!$A$217:$I$237,4,0)),0,VLOOKUP(A156,'Données projet'!$A$217:$I$237,4,0))</f>
        <v>0</v>
      </c>
      <c r="FN156" s="122" t="n">
        <f aca="false">IF(ISNA(VLOOKUP(A156,'Données projet'!$A$217:$I$237,5,0)),0%,VLOOKUP(A156,'Données projet'!$A$217:$I$237,5,0)*VLOOKUP('Données projet'!$B$16,Paramètres!$A$1:$I$89,7,0))</f>
        <v>0</v>
      </c>
      <c r="FO156" s="122" t="n">
        <f aca="false">IF(ISNA(VLOOKUP(A156,'Données projet'!$A$217:$I$237,6,0)),0%,VLOOKUP(A156,'Données projet'!$A$217:$I$237,6,0)*VLOOKUP('Données projet'!$B$16,Paramètres!$A$1:$I$89,7,0))</f>
        <v>0</v>
      </c>
      <c r="FP156" s="122" t="n">
        <f aca="false">IF(ISNA(VLOOKUP(A156,'Données projet'!$A$217:$I$237,7,0)),0%,VLOOKUP(A156,'Données projet'!$A$217:$I$237,7,0))</f>
        <v>0</v>
      </c>
      <c r="FQ156" s="129" t="e">
        <f aca="false">EXP(-LN(2)/35)*FQ155+(1-EXP(-LN(2)/35))/(LN(2)/35)*FM156*FN156*VLOOKUP('Données projet'!$B$16,Paramètres!$A$1:$I$89,3,0)*0.475*44/12</f>
        <v>#N/A</v>
      </c>
      <c r="FR156" s="129" t="e">
        <f aca="false">EXP(-LN(2)/25)*FR155+(1-EXP(-LN(2)/25))/(LN(2)/25)*Calculateur!FM156*Calculateur!FO156*VLOOKUP('Données projet'!$B$16,Paramètres!$A$1:$I$89,3,0)*0.475*44/12</f>
        <v>#N/A</v>
      </c>
      <c r="FS156" s="129" t="e">
        <f aca="false">EXP(-LN(2)/2)*FS155+(1-EXP(-LN(2)/2))/(LN(2)/2)*FM156*FP156*VLOOKUP('Données projet'!$B$16,Paramètres!$A$1:$I$89,3,0)*0.475*44/12</f>
        <v>#N/A</v>
      </c>
      <c r="FT156" s="130" t="e">
        <f aca="false">SUM(FQ156:FS156)</f>
        <v>#N/A</v>
      </c>
      <c r="FU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8" t="e">
        <f aca="false">VLOOKUP(A156,'Données projet'!$A$243:$I$263,2,0)</f>
        <v>#N/A</v>
      </c>
      <c r="FX156" s="118" t="e">
        <f aca="false">VLOOKUP(A156,'Données projet'!$A$243:$I$263,9,0)</f>
        <v>#N/A</v>
      </c>
      <c r="FY156" s="118" t="e">
        <f aca="false" t="array" ref="FY156:FY156">INDEX(FX:FX,MIN(IF(ISNUMBER(FX156:FX352),ROW(FX156:FX352),"")))</f>
        <v>#N/A</v>
      </c>
      <c r="FZ156" s="118" t="n">
        <f aca="false">IF('Données projet'!$A$244&gt;35,FZ155+FY156-GH155,IF(A156&lt;'Données projet'!$A$244,$FW$205^A156,IF(A156='Données projet'!$A$244,'Données projet'!$B$244,FZ155+FY156-GH155)))</f>
        <v>0</v>
      </c>
      <c r="GA156" s="125" t="e">
        <f aca="false">FZ156*VLOOKUP('Données projet'!$B$17,Paramètres!$A$1:$I$89,3,0)*VLOOKUP('Données projet'!$B$17,Paramètres!$A$1:$I$89,5,0)</f>
        <v>#N/A</v>
      </c>
      <c r="GB156" s="117" t="e">
        <f aca="false">EXP(-1.0587+0.8836*LN(GA156)+0.284)</f>
        <v>#N/A</v>
      </c>
      <c r="GC156" s="128" t="e">
        <f aca="false">(GA156+GB156)*0.475*44/12</f>
        <v>#N/A</v>
      </c>
      <c r="GD156" s="120" t="e">
        <f aca="false">GC156+(FU156+FV156)*44/12</f>
        <v>#N/A</v>
      </c>
      <c r="GE156" s="120" t="e">
        <f aca="true">AVERAGE(OFFSET($GD$3,0,0,'Données projet'!$E$17+1,1))-AVERAGE(OFFSET($H$3,0,0,'Données projet'!$E$17+1,1))</f>
        <v>#N/A</v>
      </c>
      <c r="GF156" s="120" t="e">
        <f aca="false">$GF$3</f>
        <v>#N/A</v>
      </c>
      <c r="GG156" s="121" t="n">
        <f aca="false">IF(ISNA(VLOOKUP(A156,'Données projet'!$A$243:$I$263,3,0)),0,VLOOKUP(A156,'Données projet'!$A$243:$I$263,3,0))</f>
        <v>0</v>
      </c>
      <c r="GH156" s="121" t="n">
        <f aca="false">IF(ISNA(VLOOKUP(A156,'Données projet'!$A$243:$I$263,4,0)),0,VLOOKUP(A156,'Données projet'!$A$243:$I$263,4,0))</f>
        <v>0</v>
      </c>
      <c r="GI156" s="122" t="n">
        <f aca="false">IF(ISNA(VLOOKUP(A156,'Données projet'!$A$243:$I$263,5,0)),0%,VLOOKUP(A156,'Données projet'!$A$243:$I$263,5,0)*VLOOKUP('Données projet'!$B$17,Paramètres!$A$1:$I$89,7,0))</f>
        <v>0</v>
      </c>
      <c r="GJ156" s="122" t="n">
        <f aca="false">IF(ISNA(VLOOKUP(A156,'Données projet'!$A$243:$I$263,6,0)),0%,VLOOKUP(A156,'Données projet'!$A$243:$I$263,6,0)*VLOOKUP('Données projet'!$B$17,Paramètres!$A$1:$I$89,7,0))</f>
        <v>0</v>
      </c>
      <c r="GK156" s="122" t="n">
        <f aca="false">IF(ISNA(VLOOKUP(A156,'Données projet'!$A$243:$I$263,7,0)),0%,VLOOKUP(A156,'Données projet'!$A$243:$I$263,7,0))</f>
        <v>0</v>
      </c>
      <c r="GL156" s="129" t="e">
        <f aca="false">EXP(-LN(2)/35)*GL155+(1-EXP(-LN(2)/35))/(LN(2)/35)*GH156*GI156*VLOOKUP('Données projet'!$B$17,Paramètres!$A$1:$I$89,3,0)*0.475*44/12</f>
        <v>#N/A</v>
      </c>
      <c r="GM156" s="129" t="e">
        <f aca="false">EXP(-LN(2)/25)*GM155+(1-EXP(-LN(2)/25))/(LN(2)/25)*Calculateur!GH156*Calculateur!GJ156*VLOOKUP('Données projet'!$B$17,Paramètres!$A$1:$I$89,3,0)*0.475*44/12</f>
        <v>#N/A</v>
      </c>
      <c r="GN156" s="129" t="e">
        <f aca="false">EXP(-LN(2)/2)*GN155+(1-EXP(-LN(2)/2))/(LN(2)/2)*GH156*GK156*VLOOKUP('Données projet'!$B$17,Paramètres!$A$1:$I$89,3,0)*0.475*44/12</f>
        <v>#N/A</v>
      </c>
      <c r="GO156" s="129" t="e">
        <f aca="false">SUM(GL156:GN156)</f>
        <v>#N/A</v>
      </c>
      <c r="GP156" s="126" t="n">
        <f aca="false"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8" t="n">
        <f aca="false"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8" t="e">
        <f aca="false">VLOOKUP(A156,'Données projet'!$A$269:$I$289,2,0)</f>
        <v>#N/A</v>
      </c>
      <c r="GS156" s="118" t="e">
        <f aca="false">VLOOKUP(A156,'Données projet'!$A$269:$I$289,9,0)</f>
        <v>#N/A</v>
      </c>
      <c r="GT156" s="118" t="e">
        <f aca="false" t="array" ref="GT156:GT156">INDEX(GS:GS,MIN(IF(ISNUMBER(GS156:GS352),ROW(GS156:GS352),"")))</f>
        <v>#N/A</v>
      </c>
      <c r="GU156" s="118" t="n">
        <f aca="false">IF('Données projet'!$A$270&gt;35,GU155+GT156-HC155,IF(A156&lt;'Données projet'!$A$270,$GR$205^A156,IF(A156='Données projet'!$A$270,'Données projet'!$B$270,GU155+GT156-HC155)))</f>
        <v>0</v>
      </c>
      <c r="GV156" s="125" t="e">
        <f aca="false">GU156*VLOOKUP('Données projet'!$B$18,Paramètres!$A$1:$I$89,3,0)*VLOOKUP('Données projet'!$B$18,Paramètres!$A$1:$I$89,5,0)</f>
        <v>#N/A</v>
      </c>
      <c r="GW156" s="117" t="e">
        <f aca="false">EXP(-1.0587+0.8836*LN(GV156)+0.284)</f>
        <v>#N/A</v>
      </c>
      <c r="GX156" s="128" t="e">
        <f aca="false">(GV156+GW156)*0.475*44/12</f>
        <v>#N/A</v>
      </c>
      <c r="GY156" s="120" t="e">
        <f aca="false">GX156+(GP156+GQ156)*44/12</f>
        <v>#N/A</v>
      </c>
      <c r="GZ156" s="120" t="e">
        <f aca="true">AVERAGE(OFFSET($GY$3,0,0,'Données projet'!$E$18+1,1))-AVERAGE(OFFSET($H$3,0,0,'Données projet'!$E$18+1,1))</f>
        <v>#N/A</v>
      </c>
      <c r="HA156" s="120" t="e">
        <f aca="false">$HA$3</f>
        <v>#N/A</v>
      </c>
      <c r="HB156" s="121" t="n">
        <f aca="false">IF(ISNA(VLOOKUP(A156,'Données projet'!$A$269:$I$289,3,0)),0,VLOOKUP(A156,'Données projet'!$A$269:$I$289,3,0))</f>
        <v>0</v>
      </c>
      <c r="HC156" s="121" t="n">
        <f aca="false">IF(ISNA(VLOOKUP(A156,'Données projet'!$A$269:$I$289,4,0)),0,VLOOKUP(A156,'Données projet'!$A$269:$I$289,4,0))</f>
        <v>0</v>
      </c>
      <c r="HD156" s="122" t="n">
        <f aca="false">IF(ISNA(VLOOKUP(A156,'Données projet'!$A$269:$I$289,5,0)),0%,VLOOKUP(A156,'Données projet'!$A$269:$I$289,5,0)*VLOOKUP('Données projet'!$B$18,Paramètres!$A$1:$I$89,7,0))</f>
        <v>0</v>
      </c>
      <c r="HE156" s="122" t="n">
        <f aca="false">IF(ISNA(VLOOKUP(A156,'Données projet'!$A$269:$I$289,6,0)),0%,VLOOKUP(A156,'Données projet'!$A$269:$I$289,6,0)*VLOOKUP('Données projet'!$B$18,Paramètres!$A$1:$I$89,7,0))</f>
        <v>0</v>
      </c>
      <c r="HF156" s="122" t="n">
        <f aca="false">IF(ISNA(VLOOKUP(A156,'Données projet'!$A$269:$I$289,7,0)),0%,VLOOKUP(A156,'Données projet'!$A$269:$I$289,7,0))</f>
        <v>0</v>
      </c>
      <c r="HG156" s="129" t="e">
        <f aca="false">EXP(-LN(2)/35)*HG155+(1-EXP(-LN(2)/35))/(LN(2)/35)*HC156*HD156*VLOOKUP('Données projet'!$B$18,Paramètres!$A$1:$I$89,3,0)*0.475*44/12</f>
        <v>#N/A</v>
      </c>
      <c r="HH156" s="129" t="e">
        <f aca="false">EXP(-LN(2)/25)*HH155+(1-EXP(-LN(2)/25))/(LN(2)/25)*Calculateur!HC156*Calculateur!HE156*VLOOKUP('Données projet'!$B$18,Paramètres!$A$1:$I$89,3,0)*0.475*44/12</f>
        <v>#N/A</v>
      </c>
      <c r="HI156" s="129" t="e">
        <f aca="false">EXP(-LN(2)/2)*HI155+(1-EXP(-LN(2)/2))/(LN(2)/2)*HC156*HF156*VLOOKUP('Données projet'!$B$18,Paramètres!$A$1:$I$89,3,0)*0.475*44/12</f>
        <v>#N/A</v>
      </c>
      <c r="HJ156" s="130" t="e">
        <f aca="false">SUM(HG156:HI156)</f>
        <v>#N/A</v>
      </c>
    </row>
    <row r="157" customFormat="false" ht="14.25" hidden="false" customHeight="false" outlineLevel="0" collapsed="false">
      <c r="A157" s="112" t="n">
        <f aca="false">A156+1</f>
        <v>154</v>
      </c>
      <c r="B157" s="113" t="n">
        <f aca="false">'Scénario référence'!$B$16*5+'Scénario référence'!$B$17*0+'Scénario référence'!$B$18*5</f>
        <v>0</v>
      </c>
      <c r="C157" s="127" t="n">
        <f aca="false"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4" t="n">
        <f aca="false">IFERROR(EXP(-1.0587+0.8836*LN(C157)+0.284),0)</f>
        <v>0</v>
      </c>
      <c r="E15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7" s="114" t="n">
        <f aca="false">IF(OR('Scénario référence'!$F$8&gt;0,'Scénario référence'!$F$9&gt;0),('Scénario référence'!$F$8+'Scénario référence'!$F$9)*10,0)</f>
        <v>0</v>
      </c>
      <c r="G157" s="114" t="n">
        <f aca="false"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15" t="n">
        <f aca="false">(B157+E157+F157)*44/12+(C157+D157)*0.475*44/12</f>
        <v>256.666666666667</v>
      </c>
      <c r="I157" s="11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7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8" t="e">
        <f aca="false">VLOOKUP(A157,'Données projet'!$A$35:$I$55,2,0)</f>
        <v>#N/A</v>
      </c>
      <c r="L157" s="118" t="e">
        <f aca="false">VLOOKUP(A157,'Données projet'!$A$35:$I$55,9,0)</f>
        <v>#N/A</v>
      </c>
      <c r="M157" s="118" t="e">
        <f aca="false" t="array" ref="M157:M157">INDEX(L:L,MIN(IF(ISNUMBER(L157:L353),ROW(L157:L353),"")))</f>
        <v>#N/A</v>
      </c>
      <c r="N157" s="117" t="n">
        <f aca="false">IF('Données projet'!$A$36&gt;35,N156+M157-V156,IF(A157&lt;'Données projet'!$A$36,$K$205^A157,IF(A157='Données projet'!$A$36,'Données projet'!$B$36,N156+M157-V156)))</f>
        <v>-1.13686837721616E-013</v>
      </c>
      <c r="O157" s="117" t="n">
        <f aca="false">N157*VLOOKUP('Données projet'!$B$9,Paramètres!$A$1:$I$89,3,0)*VLOOKUP('Données projet'!$B$9,Paramètres!$A$1:$I$89,5,0)</f>
        <v>-5.32054400537163E-014</v>
      </c>
      <c r="P157" s="117" t="e">
        <f aca="false">EXP(-1.0587+0.8836*LN(O157)+0.284)</f>
        <v>#VALUE!</v>
      </c>
      <c r="Q157" s="128" t="e">
        <f aca="false">(O157+P157)*0.475*44/12</f>
        <v>#VALUE!</v>
      </c>
      <c r="R157" s="120" t="e">
        <f aca="false">Q157+(I157+J157)*44/12</f>
        <v>#VALUE!</v>
      </c>
      <c r="S157" s="120" t="n">
        <f aca="true">AVERAGE(OFFSET($R$3,0,0,'Données projet'!$E$9+1,1))-AVERAGE(OFFSET($H$3,0,0,'Données projet'!$E$9+1,1))</f>
        <v>319.229030946746</v>
      </c>
      <c r="T157" s="120" t="n">
        <f aca="false">$T$3</f>
        <v>254.586909731428</v>
      </c>
      <c r="U157" s="121" t="n">
        <f aca="false">IF(ISNA(VLOOKUP(A157,'Données projet'!$A$35:$I$55,3,0)),0,VLOOKUP(A157,'Données projet'!$A$35:$I$55,3,0))</f>
        <v>0</v>
      </c>
      <c r="V157" s="121" t="n">
        <f aca="false">IF(ISNA(VLOOKUP(A157,'Données projet'!$A$35:$I$55,4,0)),0,VLOOKUP(A157,'Données projet'!$A$35:$I$55,4,0))</f>
        <v>0</v>
      </c>
      <c r="W157" s="122" t="n">
        <f aca="false">IF(ISNA(VLOOKUP(A157,'Données projet'!$A$35:$I$55,5,0)),0%,VLOOKUP(A157,'Données projet'!$A$35:$I$55,5,0)*VLOOKUP('Données projet'!$B$9,Paramètres!$A$1:$I$89,7,0))</f>
        <v>0</v>
      </c>
      <c r="X157" s="122" t="n">
        <f aca="false">IF(ISNA(VLOOKUP(A157,'Données projet'!$A$35:$I$55,6,0)),0%,VLOOKUP(A157,'Données projet'!$A$35:$I$55,6,0)*VLOOKUP('Données projet'!$B$9,Paramètres!$A$1:$I$89,7,0))</f>
        <v>0</v>
      </c>
      <c r="Y157" s="122" t="n">
        <f aca="false">IF(ISNA(VLOOKUP(A157,'Données projet'!$A$35:$I$55,7,0)),0%,VLOOKUP(A157,'Données projet'!$A$35:$I$55,7,0))</f>
        <v>0</v>
      </c>
      <c r="Z157" s="129" t="n">
        <f aca="false">EXP(-LN(2)/35)*Z156+(1-EXP(-LN(2)/35))/(LN(2)/35)*V157*W157*VLOOKUP('Données projet'!$B$9,Paramètres!$A$1:$I$89,3,0)*0.475*44/12</f>
        <v>0.778746691083425</v>
      </c>
      <c r="AA157" s="129" t="n">
        <f aca="false">EXP(-LN(2)/25)*AA156+(1-EXP(-LN(2)/25))/(LN(2)/25)*Calculateur!V157*Calculateur!X157*VLOOKUP('Données projet'!$B$9,Paramètres!$A$1:$I$89,3,0)*0.475*44/12</f>
        <v>0.358275828132758</v>
      </c>
      <c r="AB157" s="129" t="n">
        <f aca="false">EXP(-LN(2)/2)*AB156+(1-EXP(-LN(2)/2))/(LN(2)/2)*V157*Y157*VLOOKUP('Données projet'!$B$9,Paramètres!$A$1:$I$89,3,0)*0.475*44/12</f>
        <v>2.39459681328527E-018</v>
      </c>
      <c r="AC157" s="130" t="n">
        <f aca="false">SUM(Z157:AB157)</f>
        <v>1.13702251921618</v>
      </c>
      <c r="AD157" s="117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7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8" t="e">
        <f aca="false">VLOOKUP(A157,'Données projet'!$A$61:$I$81,2,0)</f>
        <v>#N/A</v>
      </c>
      <c r="AG157" s="118" t="e">
        <f aca="false">VLOOKUP(A157,'Données projet'!$A$61:$I$81,9,0)</f>
        <v>#N/A</v>
      </c>
      <c r="AH157" s="118" t="e">
        <f aca="false" t="array" ref="AH157:AH157">INDEX(AG:AG,MIN(IF(ISNUMBER(AG157:AG353),ROW(AG157:AG353),"")))</f>
        <v>#N/A</v>
      </c>
      <c r="AI157" s="117" t="n">
        <f aca="false">IF('Données projet'!$A$62&gt;35,AI156+AH157-AQ156,IF(A157&lt;'Données projet'!$A$62,$AF$205^A157,IF(A157='Données projet'!$A$62,'Données projet'!$B$62,AI156+AH157-AQ156)))</f>
        <v>1.13686837721616E-013</v>
      </c>
      <c r="AJ157" s="117" t="n">
        <f aca="false">AI157*VLOOKUP('Données projet'!$B$10,Paramètres!$A$1:$I$89,3,0)*VLOOKUP('Données projet'!$B$10,Paramètres!$A$1:$I$89,5,0)</f>
        <v>6.35509422863834E-014</v>
      </c>
      <c r="AK157" s="117" t="n">
        <f aca="false">EXP(-1.0587+0.8836*LN(AJ157)+0.284)</f>
        <v>1.0064464192544E-012</v>
      </c>
      <c r="AL157" s="128" t="n">
        <f aca="false">(AJ157+AK157)*0.475*44/12</f>
        <v>1.86357873801686E-012</v>
      </c>
      <c r="AM157" s="120" t="n">
        <f aca="false">AL157+(AD157+AE157)*44/12</f>
        <v>293.333333333335</v>
      </c>
      <c r="AN157" s="120" t="n">
        <f aca="true">AVERAGE(OFFSET($AM$3,0,0,'Données projet'!$E$10+1,1))-AVERAGE(OFFSET($H$3,0,0,'Données projet'!$E$10+1,1))</f>
        <v>365.705101827279</v>
      </c>
      <c r="AO157" s="120" t="n">
        <f aca="false">$AO$3</f>
        <v>436.238338449625</v>
      </c>
      <c r="AP157" s="121" t="n">
        <f aca="false">IF(ISNA(VLOOKUP(A157,'Données projet'!$A$61:$I$81,3,0)),0,VLOOKUP(A157,'Données projet'!$A$61:$I$81,3,0))</f>
        <v>0</v>
      </c>
      <c r="AQ157" s="121" t="n">
        <f aca="false">IF(ISNA(VLOOKUP(A157,'Données projet'!$A$61:$I$81,4,0)),0,VLOOKUP(A157,'Données projet'!$A$61:$I$81,4,0))</f>
        <v>0</v>
      </c>
      <c r="AR157" s="122" t="n">
        <f aca="false">IF(ISNA(VLOOKUP(A157,'Données projet'!$A$61:$I$81,5,0)),0%,VLOOKUP(A157,'Données projet'!$A$61:$I$81,5,0)*VLOOKUP('Données projet'!$B$10,Paramètres!$A$1:$I$89,7,0))</f>
        <v>0</v>
      </c>
      <c r="AS157" s="122" t="n">
        <f aca="false">IF(ISNA(VLOOKUP(A157,'Données projet'!$A$61:$I$81,6,0)),0%,VLOOKUP(A157,'Données projet'!$A$61:$I$81,6,0)*VLOOKUP('Données projet'!$B$10,Paramètres!$A$1:$I$89,7,0))</f>
        <v>0</v>
      </c>
      <c r="AT157" s="122" t="n">
        <f aca="false">IF(ISNA(VLOOKUP(A157,'Données projet'!$A$61:$I$81,7,0)),0%,VLOOKUP(A157,'Données projet'!$A$61:$I$81,7,0))</f>
        <v>0</v>
      </c>
      <c r="AU157" s="129" t="n">
        <f aca="false">EXP(-LN(2)/35)*AU156+(1-EXP(-LN(2)/35))/(LN(2)/35)*AQ157*AR157*VLOOKUP('Données projet'!$B$10,Paramètres!$A$1:$I$89,3,0)*0.475*44/12</f>
        <v>0.293951627818498</v>
      </c>
      <c r="AV157" s="129" t="n">
        <f aca="false">EXP(-LN(2)/25)*AV156+(1-EXP(-LN(2)/25))/(LN(2)/25)*Calculateur!AQ157*Calculateur!AS157*VLOOKUP('Données projet'!$B$10,Paramètres!$A$1:$I$89,3,0)*0.475*44/12</f>
        <v>0.424358346493324</v>
      </c>
      <c r="AW157" s="129" t="n">
        <f aca="false">EXP(-LN(2)/2)*AW156+(1-EXP(-LN(2)/2))/(LN(2)/2)*AQ157*AT157*VLOOKUP('Données projet'!$B$10,Paramètres!$A$1:$I$89,3,0)*0.475*44/12</f>
        <v>1.28869716236718E-018</v>
      </c>
      <c r="AX157" s="129" t="n">
        <f aca="false">SUM(AU157:AW157)</f>
        <v>0.718309974311822</v>
      </c>
      <c r="AY157" s="124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8" t="e">
        <f aca="false">VLOOKUP(A157,'Données projet'!$A$87:$I$107,2,0)</f>
        <v>#N/A</v>
      </c>
      <c r="BB157" s="118" t="e">
        <f aca="false">VLOOKUP(A157,'Données projet'!$A$87:$I$107,9,0)</f>
        <v>#N/A</v>
      </c>
      <c r="BC157" s="118" t="e">
        <f aca="false" t="array" ref="BC157:BC157">INDEX(BB:BB,MIN(IF(ISNUMBER(BB157:BB353),ROW(BB157:BB353),"")))</f>
        <v>#N/A</v>
      </c>
      <c r="BD157" s="118" t="n">
        <f aca="false">IF('Données projet'!$A$88&gt;35,BD156+BC157-BL156,IF(A157&lt;'Données projet'!$A$88,$BA$205^A157,IF(A157='Données projet'!$A$88,'Données projet'!$B$88,BD156+BC157-BL156)))</f>
        <v>1.98951966012828E-013</v>
      </c>
      <c r="BE157" s="117" t="n">
        <f aca="false">BD157*VLOOKUP('Données projet'!$B$11,Paramètres!$A$1:$I$89,3,0)*VLOOKUP('Données projet'!$B$11,Paramètres!$A$1:$I$89,5,0)</f>
        <v>1.73804437508807E-013</v>
      </c>
      <c r="BF157" s="117" t="n">
        <f aca="false">EXP(-1.0587+0.8836*LN(BE157)+0.284)</f>
        <v>2.44832936339505E-012</v>
      </c>
      <c r="BG157" s="128" t="n">
        <f aca="false">(BE157+BF157)*0.475*44/12</f>
        <v>4.56688303657421E-012</v>
      </c>
      <c r="BH157" s="120" t="n">
        <f aca="false">BG157+(AY157+AZ157)*44/12</f>
        <v>293.333333333338</v>
      </c>
      <c r="BI157" s="120" t="n">
        <f aca="true">AVERAGE(OFFSET($BH$3,0,0,'Données projet'!$E$11+1,1))-AVERAGE(OFFSET($H$3,0,0,'Données projet'!$E$11+1,1))</f>
        <v>321.235999689929</v>
      </c>
      <c r="BJ157" s="120" t="n">
        <f aca="false">$BJ$3</f>
        <v>388.051958478005</v>
      </c>
      <c r="BK157" s="121" t="n">
        <f aca="false">IF(ISNA(VLOOKUP(A157,'Données projet'!$A$87:$I$107,3,0)),0,VLOOKUP(A157,'Données projet'!$A$87:$I$107,3,0))</f>
        <v>0</v>
      </c>
      <c r="BL157" s="121" t="n">
        <f aca="false">IF(ISNA(VLOOKUP(A157,'Données projet'!$A$87:$I$107,4,0)),0,VLOOKUP(A157,'Données projet'!$A$87:$I$107,4,0))</f>
        <v>0</v>
      </c>
      <c r="BM157" s="122" t="n">
        <f aca="false">IF(ISNA(VLOOKUP(A157,'Données projet'!$A$87:$I$107,5,0)),0%,VLOOKUP(A157,'Données projet'!$A$87:$I$107,5,0)*VLOOKUP('Données projet'!$B$11,Paramètres!$A$1:$I$89,7,0))</f>
        <v>0</v>
      </c>
      <c r="BN157" s="122" t="n">
        <f aca="false">IF(ISNA(VLOOKUP(A157,'Données projet'!$A$87:$I$107,6,0)),0%,VLOOKUP(A157,'Données projet'!$A$87:$I$107,6,0)*VLOOKUP('Données projet'!$B$11,Paramètres!$A$1:$I$89,7,0))</f>
        <v>0</v>
      </c>
      <c r="BO157" s="122" t="n">
        <f aca="false">IF(ISNA(VLOOKUP(A157,'Données projet'!$A$87:$I$107,7,0)),0%,VLOOKUP(A157,'Données projet'!$A$87:$I$107,7,0))</f>
        <v>0</v>
      </c>
      <c r="BP157" s="129" t="n">
        <f aca="false">EXP(-LN(2)/35)*BP156+(1-EXP(-LN(2)/35))/(LN(2)/35)*BL157*BM157*VLOOKUP('Données projet'!$B$11,Paramètres!$A$1:$I$89,3,0)*0.475*44/12</f>
        <v>0.738001233241813</v>
      </c>
      <c r="BQ157" s="129" t="n">
        <f aca="false">EXP(-LN(2)/25)*BQ156+(1-EXP(-LN(2)/25))/(LN(2)/25)*Calculateur!BL157*Calculateur!BN157*VLOOKUP('Données projet'!$B$11,Paramètres!$A$1:$I$89,3,0)*0.475*44/12</f>
        <v>0.433159794772975</v>
      </c>
      <c r="BR157" s="129" t="n">
        <f aca="false">EXP(-LN(2)/2)*BR156+(1-EXP(-LN(2)/2))/(LN(2)/2)*BL157*BO157*VLOOKUP('Données projet'!$B$11,Paramètres!$A$1:$I$89,3,0)*0.475*44/12</f>
        <v>1.30993387953041E-018</v>
      </c>
      <c r="BS157" s="130" t="n">
        <f aca="false">SUM(BP157:BR157)</f>
        <v>1.17116102801479</v>
      </c>
      <c r="BT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8" t="e">
        <f aca="false">VLOOKUP(A157,'Données projet'!$A$113:$I$133,2,0)</f>
        <v>#N/A</v>
      </c>
      <c r="BW157" s="118" t="e">
        <f aca="false">VLOOKUP(A157,'Données projet'!$A$113:$I$133,9,0)</f>
        <v>#N/A</v>
      </c>
      <c r="BX157" s="118" t="e">
        <f aca="false" t="array" ref="BX157:BX157">INDEX(BW:BW,MIN(IF(ISNUMBER(BW157:BW353),ROW(BW157:BW353),"")))</f>
        <v>#N/A</v>
      </c>
      <c r="BY157" s="118" t="n">
        <f aca="false">IF('Données projet'!$A$114&gt;35,BY156+BX157-CG156,IF(A157&lt;'Données projet'!$A$114,$BV$205^A157,IF(A157='Données projet'!$A$114,'Données projet'!$B$114,BY156+BX157-CG156)))</f>
        <v>0</v>
      </c>
      <c r="BZ157" s="117" t="n">
        <f aca="false">BY157*VLOOKUP('Données projet'!$B$12,Paramètres!$A$1:$I$89,3,0)*VLOOKUP('Données projet'!$B$12,Paramètres!$A$1:$I$89,5,0)</f>
        <v>0</v>
      </c>
      <c r="CA157" s="117" t="e">
        <f aca="false">EXP(-1.0587+0.8836*LN(BZ157)+0.284)</f>
        <v>#VALUE!</v>
      </c>
      <c r="CB157" s="128" t="e">
        <f aca="false">(BZ157+CA157)*0.475*44/12</f>
        <v>#VALUE!</v>
      </c>
      <c r="CC157" s="120" t="e">
        <f aca="false">CB157+(BT157+BU157)*44/12</f>
        <v>#VALUE!</v>
      </c>
      <c r="CD157" s="120" t="n">
        <f aca="true">AVERAGE(OFFSET($CC$3,0,0,'Données projet'!$E$12+1,1))-AVERAGE(OFFSET($H$3,0,0,'Données projet'!$E$12+1,1))</f>
        <v>240.228848647662</v>
      </c>
      <c r="CE157" s="120" t="n">
        <f aca="false">$CE$3</f>
        <v>343.237768841432</v>
      </c>
      <c r="CF157" s="121" t="n">
        <f aca="false">IF(ISNA(VLOOKUP(A157,'Données projet'!$A$113:$I$133,3,0)),0,VLOOKUP(A157,'Données projet'!$A$113:$I$133,3,0))</f>
        <v>0</v>
      </c>
      <c r="CG157" s="121" t="n">
        <f aca="false">IF(ISNA(VLOOKUP(A157,'Données projet'!$A$113:$I$133,4,0)),0,VLOOKUP(A157,'Données projet'!$A$113:$I$133,4,0))</f>
        <v>0</v>
      </c>
      <c r="CH157" s="122" t="n">
        <f aca="false">IF(ISNA(VLOOKUP(A157,'Données projet'!$A$113:$I$133,5,0)),0%,VLOOKUP(A157,'Données projet'!$A$113:$I$133,5,0)*VLOOKUP('Données projet'!$B$12,Paramètres!$A$1:$I$89,7,0))</f>
        <v>0</v>
      </c>
      <c r="CI157" s="122" t="n">
        <f aca="false">IF(ISNA(VLOOKUP(A157,'Données projet'!$A$113:$I$133,6,0)),0%,VLOOKUP(A157,'Données projet'!$A$113:$I$133,6,0)*VLOOKUP('Données projet'!$B$12,Paramètres!$A$1:$I$89,7,0))</f>
        <v>0</v>
      </c>
      <c r="CJ157" s="122" t="n">
        <f aca="false">IF(ISNA(VLOOKUP(A157,'Données projet'!$A$113:$I$133,7,0)),0%,VLOOKUP(A157,'Données projet'!$A$113:$I$133,7,0))</f>
        <v>0</v>
      </c>
      <c r="CK157" s="129" t="n">
        <f aca="false">EXP(-LN(2)/35)*CK156+(1-EXP(-LN(2)/35))/(LN(2)/35)*CG157*CH157*VLOOKUP('Données projet'!$B$12,Paramètres!$A$1:$I$89,3,0)*0.475*44/12</f>
        <v>0.451714250178351</v>
      </c>
      <c r="CL157" s="129" t="n">
        <f aca="false">EXP(-LN(2)/25)*CL156+(1-EXP(-LN(2)/25))/(LN(2)/25)*Calculateur!CG157*Calculateur!CI157*VLOOKUP('Données projet'!$B$12,Paramètres!$A$1:$I$89,3,0)*0.475*44/12</f>
        <v>0.764985273140507</v>
      </c>
      <c r="CM157" s="129" t="n">
        <f aca="false">EXP(-LN(2)/2)*CM156+(1-EXP(-LN(2)/2))/(LN(2)/2)*CG157*CJ157*VLOOKUP('Données projet'!$B$12,Paramètres!$A$1:$I$89,3,0)*0.475*44/12</f>
        <v>2.09030524355842E-018</v>
      </c>
      <c r="CN157" s="130" t="n">
        <f aca="false">SUM(CK157:CM157)</f>
        <v>1.21669952331886</v>
      </c>
      <c r="CO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8" t="e">
        <f aca="false">VLOOKUP(A157,'Données projet'!$A$139:$I$159,2,0)</f>
        <v>#N/A</v>
      </c>
      <c r="CR157" s="118" t="e">
        <f aca="false">VLOOKUP(A157,'Données projet'!$A$139:$I$159,9,0)</f>
        <v>#N/A</v>
      </c>
      <c r="CS157" s="118" t="e">
        <f aca="false" t="array" ref="CS157:CS157">INDEX(CR:CR,MIN(IF(ISNUMBER(CR157:CR353),ROW(CR157:CR353),"")))</f>
        <v>#N/A</v>
      </c>
      <c r="CT157" s="118" t="n">
        <f aca="false">IF('Données projet'!$A$140&gt;35,CT156+CS157-DB156,IF(A157&lt;'Données projet'!$A$140,$CQ$205^A157,IF(A157='Données projet'!$A$140,'Données projet'!$B$140,CT156+CS157-DB156)))</f>
        <v>-5.6843418860808E-014</v>
      </c>
      <c r="CU157" s="125" t="n">
        <f aca="false">CT157*VLOOKUP('Données projet'!$B$13,Paramètres!$A$1:$I$89,3,0)*VLOOKUP('Données projet'!$B$13,Paramètres!$A$1:$I$89,5,0)</f>
        <v>-3.10365066980012E-014</v>
      </c>
      <c r="CV157" s="117" t="e">
        <f aca="false">EXP(-1.0587+0.8836*LN(CU157)+0.284)</f>
        <v>#VALUE!</v>
      </c>
      <c r="CW157" s="128" t="e">
        <f aca="false">(CU157+CV157)*0.475*44/12</f>
        <v>#VALUE!</v>
      </c>
      <c r="CX157" s="120" t="e">
        <f aca="false">CW157+(CO157+CP157)*44/12</f>
        <v>#VALUE!</v>
      </c>
      <c r="CY157" s="120" t="n">
        <f aca="true">AVERAGE(OFFSET($CX$3,0,0,'Données projet'!$E$13+1,1))-AVERAGE(OFFSET($H$3,0,0,'Données projet'!$E$13+1,1))</f>
        <v>207.023069645676</v>
      </c>
      <c r="CZ157" s="120" t="n">
        <f aca="false">$CZ$3</f>
        <v>342.068879333518</v>
      </c>
      <c r="DA157" s="121" t="n">
        <f aca="false">IF(ISNA(VLOOKUP(A157,'Données projet'!$A$139:$I$159,3,0)),0,VLOOKUP(A157,'Données projet'!$A$139:$I$159,3,0))</f>
        <v>0</v>
      </c>
      <c r="DB157" s="121" t="n">
        <f aca="false">IF(ISNA(VLOOKUP(A157,'Données projet'!$A$139:$I$159,4,0)),0,VLOOKUP(A157,'Données projet'!$A$139:$I$159,4,0))</f>
        <v>0</v>
      </c>
      <c r="DC157" s="122" t="n">
        <f aca="false">IF(ISNA(VLOOKUP(A157,'Données projet'!$A$139:$I$159,5,0)),0%,VLOOKUP(A157,'Données projet'!$A$139:$I$159,5,0)*VLOOKUP('Données projet'!$B$13,Paramètres!$A$1:$I$89,7,0))</f>
        <v>0</v>
      </c>
      <c r="DD157" s="122" t="n">
        <f aca="false">IF(ISNA(VLOOKUP(A157,'Données projet'!$A$139:$I$159,6,0)),0%,VLOOKUP(A157,'Données projet'!$A$139:$I$159,6,0)*VLOOKUP('Données projet'!$B$13,Paramètres!$A$1:$I$89,7,0))</f>
        <v>0</v>
      </c>
      <c r="DE157" s="122" t="n">
        <f aca="false">IF(ISNA(VLOOKUP(A157,'Données projet'!$A$139:$I$159,7,0)),0%,VLOOKUP(A157,'Données projet'!$A$139:$I$159,7,0))</f>
        <v>0</v>
      </c>
      <c r="DF157" s="129" t="n">
        <f aca="false">EXP(-LN(2)/35)*DF156+(1-EXP(-LN(2)/35))/(LN(2)/35)*DB157*DC157*VLOOKUP('Données projet'!$B$13,Paramètres!$A$1:$I$89,3,0)*0.475*44/12</f>
        <v>0.566773540318119</v>
      </c>
      <c r="DG157" s="129" t="n">
        <f aca="false">EXP(-LN(2)/25)*DG156+(1-EXP(-LN(2)/25))/(LN(2)/25)*Calculateur!DB157*Calculateur!DD157*VLOOKUP('Données projet'!$B$13,Paramètres!$A$1:$I$89,3,0)*0.475*44/12</f>
        <v>1.25043231376601</v>
      </c>
      <c r="DH157" s="129" t="n">
        <f aca="false">EXP(-LN(2)/2)*DH156+(1-EXP(-LN(2)/2))/(LN(2)/2)*DB157*DE157*VLOOKUP('Données projet'!$B$13,Paramètres!$A$1:$I$89,3,0)*0.475*44/12</f>
        <v>2.8783512894981E-018</v>
      </c>
      <c r="DI157" s="130" t="n">
        <f aca="false">SUM(DF157:DH157)</f>
        <v>1.81720585408413</v>
      </c>
      <c r="DJ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8" t="e">
        <f aca="false">VLOOKUP(A157,'Données projet'!$A$165:$I$185,2,0)</f>
        <v>#N/A</v>
      </c>
      <c r="DM157" s="118" t="e">
        <f aca="false">VLOOKUP(A157,'Données projet'!$A$165:$I$185,9,0)</f>
        <v>#N/A</v>
      </c>
      <c r="DN157" s="118" t="e">
        <f aca="false" t="array" ref="DN157:DN157">INDEX(DM:DM,MIN(IF(ISNUMBER(DM157:DM353),ROW(DM157:DM353),"")))</f>
        <v>#N/A</v>
      </c>
      <c r="DO157" s="118" t="n">
        <f aca="false">IF('Données projet'!$A$166&gt;35,DO156+DN157-DW156,IF(A157&lt;'Données projet'!$A$166,$DL$205^A157,IF(A157='Données projet'!$A$166,'Données projet'!$B$166,DO156+DN157-DW156)))</f>
        <v>0</v>
      </c>
      <c r="DP157" s="125" t="n">
        <f aca="false">DO157*VLOOKUP('Données projet'!$B$14,Paramètres!$A$1:$I$89,3,0)*VLOOKUP('Données projet'!$B$14,Paramètres!$A$1:$I$89,5,0)</f>
        <v>0</v>
      </c>
      <c r="DQ157" s="117" t="e">
        <f aca="false">EXP(-1.0587+0.8836*LN(DP157)+0.284)</f>
        <v>#VALUE!</v>
      </c>
      <c r="DR157" s="128" t="e">
        <f aca="false">(DP157+DQ157)*0.475*44/12</f>
        <v>#VALUE!</v>
      </c>
      <c r="DS157" s="120" t="e">
        <f aca="false">DR157+(DJ157+DK157)*44/12</f>
        <v>#VALUE!</v>
      </c>
      <c r="DT157" s="120" t="n">
        <f aca="true">AVERAGE(OFFSET($DS$3,0,0,'Données projet'!$E$14+1,1))-AVERAGE(OFFSET($H$3,0,0,'Données projet'!$E$14+1,1))</f>
        <v>549.432320957297</v>
      </c>
      <c r="DU157" s="120" t="n">
        <f aca="false">$DU$3</f>
        <v>280.26155987301</v>
      </c>
      <c r="DV157" s="121" t="n">
        <f aca="false">IF(ISNA(VLOOKUP(A157,'Données projet'!$A$165:$I$185,3,0)),0,VLOOKUP(A157,'Données projet'!$A$165:$I$185,3,0))</f>
        <v>0</v>
      </c>
      <c r="DW157" s="121" t="n">
        <f aca="false">IF(ISNA(VLOOKUP(A157,'Données projet'!$A$165:$I$185,4,0)),0,VLOOKUP(A157,'Données projet'!$A$165:$I$185,4,0))</f>
        <v>0</v>
      </c>
      <c r="DX157" s="122" t="n">
        <f aca="false">IF(ISNA(VLOOKUP(A157,'Données projet'!$A$165:$I$185,5,0)),0%,VLOOKUP(A157,'Données projet'!$A$165:$I$185,5,0)*VLOOKUP('Données projet'!$B$14,Paramètres!$A$1:$I$89,7,0))</f>
        <v>0</v>
      </c>
      <c r="DY157" s="122" t="n">
        <f aca="false">IF(ISNA(VLOOKUP(A157,'Données projet'!$A$165:$I$185,6,0)),0%,VLOOKUP(A157,'Données projet'!$A$165:$I$185,6,0)*VLOOKUP('Données projet'!$B$14,Paramètres!$A$1:$I$89,7,0))</f>
        <v>0</v>
      </c>
      <c r="DZ157" s="122" t="n">
        <f aca="false">IF(ISNA(VLOOKUP(A157,'Données projet'!$A$165:$I$185,7,0)),0%,VLOOKUP(A157,'Données projet'!$A$165:$I$185,7,0))</f>
        <v>0</v>
      </c>
      <c r="EA157" s="129" t="n">
        <f aca="false">EXP(-LN(2)/35)*EA156+(1-EXP(-LN(2)/35))/(LN(2)/35)*DW157*DX157*VLOOKUP('Données projet'!$B$14,Paramètres!$A$1:$I$89,3,0)*0.475*44/12</f>
        <v>0.206078227282336</v>
      </c>
      <c r="EB157" s="129" t="n">
        <f aca="false">EXP(-LN(2)/25)*EB156+(1-EXP(-LN(2)/25))/(LN(2)/25)*Calculateur!DW157*Calculateur!DY157*VLOOKUP('Données projet'!$B$14,Paramètres!$A$1:$I$89,3,0)*0.475*44/12</f>
        <v>0.249110787498123</v>
      </c>
      <c r="EC157" s="129" t="n">
        <f aca="false">EXP(-LN(2)/2)*EC156+(1-EXP(-LN(2)/2))/(LN(2)/2)*DW157*DZ157*VLOOKUP('Données projet'!$B$14,Paramètres!$A$1:$I$89,3,0)*0.475*44/12</f>
        <v>1.32686061238968E-018</v>
      </c>
      <c r="ED157" s="130" t="n">
        <f aca="false">SUM(EA157:EC157)</f>
        <v>0.455189014780458</v>
      </c>
      <c r="EE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8" t="e">
        <f aca="false">VLOOKUP(A157,'Données projet'!$A$191:$I$211,2,0)</f>
        <v>#N/A</v>
      </c>
      <c r="EH157" s="118" t="e">
        <f aca="false">VLOOKUP(A157,'Données projet'!$A$191:$I$211,9,0)</f>
        <v>#N/A</v>
      </c>
      <c r="EI157" s="118" t="e">
        <f aca="false" t="array" ref="EI157:EI157">INDEX(EH:EH,MIN(IF(ISNUMBER(EH157:EH353),ROW(EH157:EH353),"")))</f>
        <v>#N/A</v>
      </c>
      <c r="EJ157" s="118" t="n">
        <f aca="false">IF('Données projet'!$A$192&gt;35,EJ156+EI157-ER156,IF(A157&lt;'Données projet'!$A$192,$EG$205^A157,IF(A157='Données projet'!$A$192,'Données projet'!$B$192,EJ156+EI157-ER156)))</f>
        <v>0</v>
      </c>
      <c r="EK157" s="125" t="e">
        <f aca="false">EJ157*VLOOKUP('Données projet'!$B$15,Paramètres!$A$1:$I$89,3,0)*VLOOKUP('Données projet'!$B$15,Paramètres!$A$1:$I$89,5,0)</f>
        <v>#N/A</v>
      </c>
      <c r="EL157" s="117" t="e">
        <f aca="false">EXP(-1.0587+0.8836*LN(EK157)+0.284)</f>
        <v>#N/A</v>
      </c>
      <c r="EM157" s="128" t="e">
        <f aca="false">(EK157+EL157)*0.475*44/12</f>
        <v>#N/A</v>
      </c>
      <c r="EN157" s="120" t="e">
        <f aca="false">EM157+(EE157+EF157)*44/12</f>
        <v>#N/A</v>
      </c>
      <c r="EO157" s="120" t="e">
        <f aca="true">AVERAGE(OFFSET($EN$3,0,0,'Données projet'!$E$15+1,1))-AVERAGE(OFFSET($H$3,0,0,'Données projet'!$E$15+1,1))</f>
        <v>#N/A</v>
      </c>
      <c r="EP157" s="120" t="e">
        <f aca="false">$EP$3</f>
        <v>#N/A</v>
      </c>
      <c r="EQ157" s="121" t="n">
        <f aca="false">IF(ISNA(VLOOKUP(A157,'Données projet'!$A$191:$I$211,3,0)),0,VLOOKUP(A157,'Données projet'!$A$191:$I$211,3,0))</f>
        <v>0</v>
      </c>
      <c r="ER157" s="121" t="n">
        <f aca="false">IF(ISNA(VLOOKUP(A157,'Données projet'!$A$191:$I$211,4,0)),0,VLOOKUP(A157,'Données projet'!$A$191:$I$211,4,0))</f>
        <v>0</v>
      </c>
      <c r="ES157" s="122" t="n">
        <f aca="false">IF(ISNA(VLOOKUP(A157,'Données projet'!$A$191:$I$211,5,0)),0%,VLOOKUP(A157,'Données projet'!$A$191:$I$211,5,0)*VLOOKUP('Données projet'!$B$15,Paramètres!$A$1:$I$89,7,0))</f>
        <v>0</v>
      </c>
      <c r="ET157" s="122" t="n">
        <f aca="false">IF(ISNA(VLOOKUP(A157,'Données projet'!$A$191:$I$211,6,0)),0%,VLOOKUP(A157,'Données projet'!$A$191:$I$211,6,0)*VLOOKUP('Données projet'!$B$15,Paramètres!$A$1:$I$89,7,0))</f>
        <v>0</v>
      </c>
      <c r="EU157" s="122" t="n">
        <f aca="false">IF(ISNA(VLOOKUP(A157,'Données projet'!$A$191:$I$211,7,0)),0%,VLOOKUP(A157,'Données projet'!$A$191:$I$211,7,0))</f>
        <v>0</v>
      </c>
      <c r="EV157" s="129" t="e">
        <f aca="false">EXP(-LN(2)/35)*EV156+(1-EXP(-LN(2)/35))/(LN(2)/35)*ER157*ES157*VLOOKUP('Données projet'!$B$15,Paramètres!$A$1:$I$89,3,0)*0.475*44/12</f>
        <v>#N/A</v>
      </c>
      <c r="EW157" s="129" t="e">
        <f aca="false">EXP(-LN(2)/25)*EW156+(1-EXP(-LN(2)/25))/(LN(2)/25)*Calculateur!ER157*Calculateur!ET157*VLOOKUP('Données projet'!$B$15,Paramètres!$A$1:$I$89,3,0)*0.475*44/12</f>
        <v>#N/A</v>
      </c>
      <c r="EX157" s="129" t="e">
        <f aca="false">EXP(-LN(2)/2)*EX156+(1-EXP(-LN(2)/2))/(LN(2)/2)*ER157*EU157*VLOOKUP('Données projet'!$B$15,Paramètres!$A$1:$I$89,3,0)*0.475*44/12</f>
        <v>#N/A</v>
      </c>
      <c r="EY157" s="130" t="e">
        <f aca="false">SUM(EV157:EX157)</f>
        <v>#N/A</v>
      </c>
      <c r="EZ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8" t="e">
        <f aca="false">VLOOKUP(A157,'Données projet'!$A$217:$I$237,2,0)</f>
        <v>#N/A</v>
      </c>
      <c r="FC157" s="118" t="e">
        <f aca="false">VLOOKUP(A157,'Données projet'!$A$217:$I$237,9,0)</f>
        <v>#N/A</v>
      </c>
      <c r="FD157" s="118" t="e">
        <f aca="false" t="array" ref="FD157:FD157">INDEX(FC:FC,MIN(IF(ISNUMBER(FC157:FC353),ROW(FC157:FC353),"")))</f>
        <v>#N/A</v>
      </c>
      <c r="FE157" s="118" t="n">
        <f aca="false">IF('Données projet'!$A$218&gt;35,FE156+FD157-FM156,IF(A157&lt;'Données projet'!$A$218,$FB$205^A157,IF(A157='Données projet'!$A$218,'Données projet'!$B$218,FE156+FD157-FM156)))</f>
        <v>0</v>
      </c>
      <c r="FF157" s="125" t="e">
        <f aca="false">FE157*VLOOKUP('Données projet'!$B$16,Paramètres!$A$1:$I$89,3,0)*VLOOKUP('Données projet'!$B$16,Paramètres!$A$1:$I$89,5,0)</f>
        <v>#N/A</v>
      </c>
      <c r="FG157" s="117" t="e">
        <f aca="false">EXP(-1.0587+0.8836*LN(FF157)+0.284)</f>
        <v>#N/A</v>
      </c>
      <c r="FH157" s="128" t="e">
        <f aca="false">(FF157+FG157)*0.475*44/12</f>
        <v>#N/A</v>
      </c>
      <c r="FI157" s="120" t="e">
        <f aca="false">FH157+(EZ157+FA157)*44/12</f>
        <v>#N/A</v>
      </c>
      <c r="FJ157" s="120" t="e">
        <f aca="true">AVERAGE(OFFSET($FI$3,0,0,'Données projet'!$E$16+1,1))-AVERAGE(OFFSET($H$3,0,0,'Données projet'!$E$16+1,1))</f>
        <v>#N/A</v>
      </c>
      <c r="FK157" s="120" t="e">
        <f aca="false">$FK$3</f>
        <v>#N/A</v>
      </c>
      <c r="FL157" s="121" t="n">
        <f aca="false">IF(ISNA(VLOOKUP(A157,'Données projet'!$A$217:$I$237,3,0)),0,VLOOKUP(A157,'Données projet'!$A$217:$I$237,3,0))</f>
        <v>0</v>
      </c>
      <c r="FM157" s="121" t="n">
        <f aca="false">IF(ISNA(VLOOKUP(A157,'Données projet'!$A$217:$I$237,4,0)),0,VLOOKUP(A157,'Données projet'!$A$217:$I$237,4,0))</f>
        <v>0</v>
      </c>
      <c r="FN157" s="122" t="n">
        <f aca="false">IF(ISNA(VLOOKUP(A157,'Données projet'!$A$217:$I$237,5,0)),0%,VLOOKUP(A157,'Données projet'!$A$217:$I$237,5,0)*VLOOKUP('Données projet'!$B$16,Paramètres!$A$1:$I$89,7,0))</f>
        <v>0</v>
      </c>
      <c r="FO157" s="122" t="n">
        <f aca="false">IF(ISNA(VLOOKUP(A157,'Données projet'!$A$217:$I$237,6,0)),0%,VLOOKUP(A157,'Données projet'!$A$217:$I$237,6,0)*VLOOKUP('Données projet'!$B$16,Paramètres!$A$1:$I$89,7,0))</f>
        <v>0</v>
      </c>
      <c r="FP157" s="122" t="n">
        <f aca="false">IF(ISNA(VLOOKUP(A157,'Données projet'!$A$217:$I$237,7,0)),0%,VLOOKUP(A157,'Données projet'!$A$217:$I$237,7,0))</f>
        <v>0</v>
      </c>
      <c r="FQ157" s="129" t="e">
        <f aca="false">EXP(-LN(2)/35)*FQ156+(1-EXP(-LN(2)/35))/(LN(2)/35)*FM157*FN157*VLOOKUP('Données projet'!$B$16,Paramètres!$A$1:$I$89,3,0)*0.475*44/12</f>
        <v>#N/A</v>
      </c>
      <c r="FR157" s="129" t="e">
        <f aca="false">EXP(-LN(2)/25)*FR156+(1-EXP(-LN(2)/25))/(LN(2)/25)*Calculateur!FM157*Calculateur!FO157*VLOOKUP('Données projet'!$B$16,Paramètres!$A$1:$I$89,3,0)*0.475*44/12</f>
        <v>#N/A</v>
      </c>
      <c r="FS157" s="129" t="e">
        <f aca="false">EXP(-LN(2)/2)*FS156+(1-EXP(-LN(2)/2))/(LN(2)/2)*FM157*FP157*VLOOKUP('Données projet'!$B$16,Paramètres!$A$1:$I$89,3,0)*0.475*44/12</f>
        <v>#N/A</v>
      </c>
      <c r="FT157" s="130" t="e">
        <f aca="false">SUM(FQ157:FS157)</f>
        <v>#N/A</v>
      </c>
      <c r="FU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8" t="e">
        <f aca="false">VLOOKUP(A157,'Données projet'!$A$243:$I$263,2,0)</f>
        <v>#N/A</v>
      </c>
      <c r="FX157" s="118" t="e">
        <f aca="false">VLOOKUP(A157,'Données projet'!$A$243:$I$263,9,0)</f>
        <v>#N/A</v>
      </c>
      <c r="FY157" s="118" t="e">
        <f aca="false" t="array" ref="FY157:FY157">INDEX(FX:FX,MIN(IF(ISNUMBER(FX157:FX353),ROW(FX157:FX353),"")))</f>
        <v>#N/A</v>
      </c>
      <c r="FZ157" s="118" t="n">
        <f aca="false">IF('Données projet'!$A$244&gt;35,FZ156+FY157-GH156,IF(A157&lt;'Données projet'!$A$244,$FW$205^A157,IF(A157='Données projet'!$A$244,'Données projet'!$B$244,FZ156+FY157-GH156)))</f>
        <v>0</v>
      </c>
      <c r="GA157" s="125" t="e">
        <f aca="false">FZ157*VLOOKUP('Données projet'!$B$17,Paramètres!$A$1:$I$89,3,0)*VLOOKUP('Données projet'!$B$17,Paramètres!$A$1:$I$89,5,0)</f>
        <v>#N/A</v>
      </c>
      <c r="GB157" s="117" t="e">
        <f aca="false">EXP(-1.0587+0.8836*LN(GA157)+0.284)</f>
        <v>#N/A</v>
      </c>
      <c r="GC157" s="128" t="e">
        <f aca="false">(GA157+GB157)*0.475*44/12</f>
        <v>#N/A</v>
      </c>
      <c r="GD157" s="120" t="e">
        <f aca="false">GC157+(FU157+FV157)*44/12</f>
        <v>#N/A</v>
      </c>
      <c r="GE157" s="120" t="e">
        <f aca="true">AVERAGE(OFFSET($GD$3,0,0,'Données projet'!$E$17+1,1))-AVERAGE(OFFSET($H$3,0,0,'Données projet'!$E$17+1,1))</f>
        <v>#N/A</v>
      </c>
      <c r="GF157" s="120" t="e">
        <f aca="false">$GF$3</f>
        <v>#N/A</v>
      </c>
      <c r="GG157" s="121" t="n">
        <f aca="false">IF(ISNA(VLOOKUP(A157,'Données projet'!$A$243:$I$263,3,0)),0,VLOOKUP(A157,'Données projet'!$A$243:$I$263,3,0))</f>
        <v>0</v>
      </c>
      <c r="GH157" s="121" t="n">
        <f aca="false">IF(ISNA(VLOOKUP(A157,'Données projet'!$A$243:$I$263,4,0)),0,VLOOKUP(A157,'Données projet'!$A$243:$I$263,4,0))</f>
        <v>0</v>
      </c>
      <c r="GI157" s="122" t="n">
        <f aca="false">IF(ISNA(VLOOKUP(A157,'Données projet'!$A$243:$I$263,5,0)),0%,VLOOKUP(A157,'Données projet'!$A$243:$I$263,5,0)*VLOOKUP('Données projet'!$B$17,Paramètres!$A$1:$I$89,7,0))</f>
        <v>0</v>
      </c>
      <c r="GJ157" s="122" t="n">
        <f aca="false">IF(ISNA(VLOOKUP(A157,'Données projet'!$A$243:$I$263,6,0)),0%,VLOOKUP(A157,'Données projet'!$A$243:$I$263,6,0)*VLOOKUP('Données projet'!$B$17,Paramètres!$A$1:$I$89,7,0))</f>
        <v>0</v>
      </c>
      <c r="GK157" s="122" t="n">
        <f aca="false">IF(ISNA(VLOOKUP(A157,'Données projet'!$A$243:$I$263,7,0)),0%,VLOOKUP(A157,'Données projet'!$A$243:$I$263,7,0))</f>
        <v>0</v>
      </c>
      <c r="GL157" s="129" t="e">
        <f aca="false">EXP(-LN(2)/35)*GL156+(1-EXP(-LN(2)/35))/(LN(2)/35)*GH157*GI157*VLOOKUP('Données projet'!$B$17,Paramètres!$A$1:$I$89,3,0)*0.475*44/12</f>
        <v>#N/A</v>
      </c>
      <c r="GM157" s="129" t="e">
        <f aca="false">EXP(-LN(2)/25)*GM156+(1-EXP(-LN(2)/25))/(LN(2)/25)*Calculateur!GH157*Calculateur!GJ157*VLOOKUP('Données projet'!$B$17,Paramètres!$A$1:$I$89,3,0)*0.475*44/12</f>
        <v>#N/A</v>
      </c>
      <c r="GN157" s="129" t="e">
        <f aca="false">EXP(-LN(2)/2)*GN156+(1-EXP(-LN(2)/2))/(LN(2)/2)*GH157*GK157*VLOOKUP('Données projet'!$B$17,Paramètres!$A$1:$I$89,3,0)*0.475*44/12</f>
        <v>#N/A</v>
      </c>
      <c r="GO157" s="129" t="e">
        <f aca="false">SUM(GL157:GN157)</f>
        <v>#N/A</v>
      </c>
      <c r="GP157" s="126" t="n">
        <f aca="false"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8" t="n">
        <f aca="false"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8" t="e">
        <f aca="false">VLOOKUP(A157,'Données projet'!$A$269:$I$289,2,0)</f>
        <v>#N/A</v>
      </c>
      <c r="GS157" s="118" t="e">
        <f aca="false">VLOOKUP(A157,'Données projet'!$A$269:$I$289,9,0)</f>
        <v>#N/A</v>
      </c>
      <c r="GT157" s="118" t="e">
        <f aca="false" t="array" ref="GT157:GT157">INDEX(GS:GS,MIN(IF(ISNUMBER(GS157:GS353),ROW(GS157:GS353),"")))</f>
        <v>#N/A</v>
      </c>
      <c r="GU157" s="118" t="n">
        <f aca="false">IF('Données projet'!$A$270&gt;35,GU156+GT157-HC156,IF(A157&lt;'Données projet'!$A$270,$GR$205^A157,IF(A157='Données projet'!$A$270,'Données projet'!$B$270,GU156+GT157-HC156)))</f>
        <v>0</v>
      </c>
      <c r="GV157" s="125" t="e">
        <f aca="false">GU157*VLOOKUP('Données projet'!$B$18,Paramètres!$A$1:$I$89,3,0)*VLOOKUP('Données projet'!$B$18,Paramètres!$A$1:$I$89,5,0)</f>
        <v>#N/A</v>
      </c>
      <c r="GW157" s="117" t="e">
        <f aca="false">EXP(-1.0587+0.8836*LN(GV157)+0.284)</f>
        <v>#N/A</v>
      </c>
      <c r="GX157" s="128" t="e">
        <f aca="false">(GV157+GW157)*0.475*44/12</f>
        <v>#N/A</v>
      </c>
      <c r="GY157" s="120" t="e">
        <f aca="false">GX157+(GP157+GQ157)*44/12</f>
        <v>#N/A</v>
      </c>
      <c r="GZ157" s="120" t="e">
        <f aca="true">AVERAGE(OFFSET($GY$3,0,0,'Données projet'!$E$18+1,1))-AVERAGE(OFFSET($H$3,0,0,'Données projet'!$E$18+1,1))</f>
        <v>#N/A</v>
      </c>
      <c r="HA157" s="120" t="e">
        <f aca="false">$HA$3</f>
        <v>#N/A</v>
      </c>
      <c r="HB157" s="121" t="n">
        <f aca="false">IF(ISNA(VLOOKUP(A157,'Données projet'!$A$269:$I$289,3,0)),0,VLOOKUP(A157,'Données projet'!$A$269:$I$289,3,0))</f>
        <v>0</v>
      </c>
      <c r="HC157" s="121" t="n">
        <f aca="false">IF(ISNA(VLOOKUP(A157,'Données projet'!$A$269:$I$289,4,0)),0,VLOOKUP(A157,'Données projet'!$A$269:$I$289,4,0))</f>
        <v>0</v>
      </c>
      <c r="HD157" s="122" t="n">
        <f aca="false">IF(ISNA(VLOOKUP(A157,'Données projet'!$A$269:$I$289,5,0)),0%,VLOOKUP(A157,'Données projet'!$A$269:$I$289,5,0)*VLOOKUP('Données projet'!$B$18,Paramètres!$A$1:$I$89,7,0))</f>
        <v>0</v>
      </c>
      <c r="HE157" s="122" t="n">
        <f aca="false">IF(ISNA(VLOOKUP(A157,'Données projet'!$A$269:$I$289,6,0)),0%,VLOOKUP(A157,'Données projet'!$A$269:$I$289,6,0)*VLOOKUP('Données projet'!$B$18,Paramètres!$A$1:$I$89,7,0))</f>
        <v>0</v>
      </c>
      <c r="HF157" s="122" t="n">
        <f aca="false">IF(ISNA(VLOOKUP(A157,'Données projet'!$A$269:$I$289,7,0)),0%,VLOOKUP(A157,'Données projet'!$A$269:$I$289,7,0))</f>
        <v>0</v>
      </c>
      <c r="HG157" s="129" t="e">
        <f aca="false">EXP(-LN(2)/35)*HG156+(1-EXP(-LN(2)/35))/(LN(2)/35)*HC157*HD157*VLOOKUP('Données projet'!$B$18,Paramètres!$A$1:$I$89,3,0)*0.475*44/12</f>
        <v>#N/A</v>
      </c>
      <c r="HH157" s="129" t="e">
        <f aca="false">EXP(-LN(2)/25)*HH156+(1-EXP(-LN(2)/25))/(LN(2)/25)*Calculateur!HC157*Calculateur!HE157*VLOOKUP('Données projet'!$B$18,Paramètres!$A$1:$I$89,3,0)*0.475*44/12</f>
        <v>#N/A</v>
      </c>
      <c r="HI157" s="129" t="e">
        <f aca="false">EXP(-LN(2)/2)*HI156+(1-EXP(-LN(2)/2))/(LN(2)/2)*HC157*HF157*VLOOKUP('Données projet'!$B$18,Paramètres!$A$1:$I$89,3,0)*0.475*44/12</f>
        <v>#N/A</v>
      </c>
      <c r="HJ157" s="130" t="e">
        <f aca="false">SUM(HG157:HI157)</f>
        <v>#N/A</v>
      </c>
    </row>
    <row r="158" customFormat="false" ht="14.25" hidden="false" customHeight="false" outlineLevel="0" collapsed="false">
      <c r="A158" s="112" t="n">
        <f aca="false">A157+1</f>
        <v>155</v>
      </c>
      <c r="B158" s="113" t="n">
        <f aca="false">'Scénario référence'!$B$16*5+'Scénario référence'!$B$17*0+'Scénario référence'!$B$18*5</f>
        <v>0</v>
      </c>
      <c r="C158" s="127" t="n">
        <f aca="false"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4" t="n">
        <f aca="false">IFERROR(EXP(-1.0587+0.8836*LN(C158)+0.284),0)</f>
        <v>0</v>
      </c>
      <c r="E15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8" s="114" t="n">
        <f aca="false">IF(OR('Scénario référence'!$F$8&gt;0,'Scénario référence'!$F$9&gt;0),('Scénario référence'!$F$8+'Scénario référence'!$F$9)*10,0)</f>
        <v>0</v>
      </c>
      <c r="G158" s="114" t="n">
        <f aca="false"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15" t="n">
        <f aca="false">(B158+E158+F158)*44/12+(C158+D158)*0.475*44/12</f>
        <v>256.666666666667</v>
      </c>
      <c r="I158" s="11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7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8" t="e">
        <f aca="false">VLOOKUP(A158,'Données projet'!$A$35:$I$55,2,0)</f>
        <v>#N/A</v>
      </c>
      <c r="L158" s="118" t="e">
        <f aca="false">VLOOKUP(A158,'Données projet'!$A$35:$I$55,9,0)</f>
        <v>#N/A</v>
      </c>
      <c r="M158" s="118" t="e">
        <f aca="false" t="array" ref="M158:M158">INDEX(L:L,MIN(IF(ISNUMBER(L158:L354),ROW(L158:L354),"")))</f>
        <v>#N/A</v>
      </c>
      <c r="N158" s="117" t="n">
        <f aca="false">IF('Données projet'!$A$36&gt;35,N157+M158-V157,IF(A158&lt;'Données projet'!$A$36,$K$205^A158,IF(A158='Données projet'!$A$36,'Données projet'!$B$36,N157+M158-V157)))</f>
        <v>-1.13686837721616E-013</v>
      </c>
      <c r="O158" s="117" t="n">
        <f aca="false">N158*VLOOKUP('Données projet'!$B$9,Paramètres!$A$1:$I$89,3,0)*VLOOKUP('Données projet'!$B$9,Paramètres!$A$1:$I$89,5,0)</f>
        <v>-5.32054400537163E-014</v>
      </c>
      <c r="P158" s="117" t="e">
        <f aca="false">EXP(-1.0587+0.8836*LN(O158)+0.284)</f>
        <v>#VALUE!</v>
      </c>
      <c r="Q158" s="128" t="e">
        <f aca="false">(O158+P158)*0.475*44/12</f>
        <v>#VALUE!</v>
      </c>
      <c r="R158" s="120" t="e">
        <f aca="false">Q158+(I158+J158)*44/12</f>
        <v>#VALUE!</v>
      </c>
      <c r="S158" s="120" t="n">
        <f aca="true">AVERAGE(OFFSET($R$3,0,0,'Données projet'!$E$9+1,1))-AVERAGE(OFFSET($H$3,0,0,'Données projet'!$E$9+1,1))</f>
        <v>319.229030946746</v>
      </c>
      <c r="T158" s="120" t="n">
        <f aca="false">$T$3</f>
        <v>254.586909731428</v>
      </c>
      <c r="U158" s="121" t="n">
        <f aca="false">IF(ISNA(VLOOKUP(A158,'Données projet'!$A$35:$I$55,3,0)),0,VLOOKUP(A158,'Données projet'!$A$35:$I$55,3,0))</f>
        <v>0</v>
      </c>
      <c r="V158" s="121" t="n">
        <f aca="false">IF(ISNA(VLOOKUP(A158,'Données projet'!$A$35:$I$55,4,0)),0,VLOOKUP(A158,'Données projet'!$A$35:$I$55,4,0))</f>
        <v>0</v>
      </c>
      <c r="W158" s="122" t="n">
        <f aca="false">IF(ISNA(VLOOKUP(A158,'Données projet'!$A$35:$I$55,5,0)),0%,VLOOKUP(A158,'Données projet'!$A$35:$I$55,5,0)*VLOOKUP('Données projet'!$B$9,Paramètres!$A$1:$I$89,7,0))</f>
        <v>0</v>
      </c>
      <c r="X158" s="122" t="n">
        <f aca="false">IF(ISNA(VLOOKUP(A158,'Données projet'!$A$35:$I$55,6,0)),0%,VLOOKUP(A158,'Données projet'!$A$35:$I$55,6,0)*VLOOKUP('Données projet'!$B$9,Paramètres!$A$1:$I$89,7,0))</f>
        <v>0</v>
      </c>
      <c r="Y158" s="122" t="n">
        <f aca="false">IF(ISNA(VLOOKUP(A158,'Données projet'!$A$35:$I$55,7,0)),0%,VLOOKUP(A158,'Données projet'!$A$35:$I$55,7,0))</f>
        <v>0</v>
      </c>
      <c r="Z158" s="129" t="n">
        <f aca="false">EXP(-LN(2)/35)*Z157+(1-EXP(-LN(2)/35))/(LN(2)/35)*V158*W158*VLOOKUP('Données projet'!$B$9,Paramètres!$A$1:$I$89,3,0)*0.475*44/12</f>
        <v>0.763475943459859</v>
      </c>
      <c r="AA158" s="129" t="n">
        <f aca="false">EXP(-LN(2)/25)*AA157+(1-EXP(-LN(2)/25))/(LN(2)/25)*Calculateur!V158*Calculateur!X158*VLOOKUP('Données projet'!$B$9,Paramètres!$A$1:$I$89,3,0)*0.475*44/12</f>
        <v>0.34847875677156</v>
      </c>
      <c r="AB158" s="129" t="n">
        <f aca="false">EXP(-LN(2)/2)*AB157+(1-EXP(-LN(2)/2))/(LN(2)/2)*V158*Y158*VLOOKUP('Données projet'!$B$9,Paramètres!$A$1:$I$89,3,0)*0.475*44/12</f>
        <v>1.69323564488171E-018</v>
      </c>
      <c r="AC158" s="130" t="n">
        <f aca="false">SUM(Z158:AB158)</f>
        <v>1.11195470023142</v>
      </c>
      <c r="AD158" s="117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7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8" t="e">
        <f aca="false">VLOOKUP(A158,'Données projet'!$A$61:$I$81,2,0)</f>
        <v>#N/A</v>
      </c>
      <c r="AG158" s="118" t="e">
        <f aca="false">VLOOKUP(A158,'Données projet'!$A$61:$I$81,9,0)</f>
        <v>#N/A</v>
      </c>
      <c r="AH158" s="118" t="e">
        <f aca="false" t="array" ref="AH158:AH158">INDEX(AG:AG,MIN(IF(ISNUMBER(AG158:AG354),ROW(AG158:AG354),"")))</f>
        <v>#N/A</v>
      </c>
      <c r="AI158" s="117" t="n">
        <f aca="false">IF('Données projet'!$A$62&gt;35,AI157+AH158-AQ157,IF(A158&lt;'Données projet'!$A$62,$AF$205^A158,IF(A158='Données projet'!$A$62,'Données projet'!$B$62,AI157+AH158-AQ157)))</f>
        <v>1.13686837721616E-013</v>
      </c>
      <c r="AJ158" s="117" t="n">
        <f aca="false">AI158*VLOOKUP('Données projet'!$B$10,Paramètres!$A$1:$I$89,3,0)*VLOOKUP('Données projet'!$B$10,Paramètres!$A$1:$I$89,5,0)</f>
        <v>6.35509422863834E-014</v>
      </c>
      <c r="AK158" s="117" t="n">
        <f aca="false">EXP(-1.0587+0.8836*LN(AJ158)+0.284)</f>
        <v>1.0064464192544E-012</v>
      </c>
      <c r="AL158" s="128" t="n">
        <f aca="false">(AJ158+AK158)*0.475*44/12</f>
        <v>1.86357873801686E-012</v>
      </c>
      <c r="AM158" s="120" t="n">
        <f aca="false">AL158+(AD158+AE158)*44/12</f>
        <v>293.333333333335</v>
      </c>
      <c r="AN158" s="120" t="n">
        <f aca="true">AVERAGE(OFFSET($AM$3,0,0,'Données projet'!$E$10+1,1))-AVERAGE(OFFSET($H$3,0,0,'Données projet'!$E$10+1,1))</f>
        <v>365.705101827279</v>
      </c>
      <c r="AO158" s="120" t="n">
        <f aca="false">$AO$3</f>
        <v>436.238338449625</v>
      </c>
      <c r="AP158" s="121" t="n">
        <f aca="false">IF(ISNA(VLOOKUP(A158,'Données projet'!$A$61:$I$81,3,0)),0,VLOOKUP(A158,'Données projet'!$A$61:$I$81,3,0))</f>
        <v>0</v>
      </c>
      <c r="AQ158" s="121" t="n">
        <f aca="false">IF(ISNA(VLOOKUP(A158,'Données projet'!$A$61:$I$81,4,0)),0,VLOOKUP(A158,'Données projet'!$A$61:$I$81,4,0))</f>
        <v>0</v>
      </c>
      <c r="AR158" s="122" t="n">
        <f aca="false">IF(ISNA(VLOOKUP(A158,'Données projet'!$A$61:$I$81,5,0)),0%,VLOOKUP(A158,'Données projet'!$A$61:$I$81,5,0)*VLOOKUP('Données projet'!$B$10,Paramètres!$A$1:$I$89,7,0))</f>
        <v>0</v>
      </c>
      <c r="AS158" s="122" t="n">
        <f aca="false">IF(ISNA(VLOOKUP(A158,'Données projet'!$A$61:$I$81,6,0)),0%,VLOOKUP(A158,'Données projet'!$A$61:$I$81,6,0)*VLOOKUP('Données projet'!$B$10,Paramètres!$A$1:$I$89,7,0))</f>
        <v>0</v>
      </c>
      <c r="AT158" s="122" t="n">
        <f aca="false">IF(ISNA(VLOOKUP(A158,'Données projet'!$A$61:$I$81,7,0)),0%,VLOOKUP(A158,'Données projet'!$A$61:$I$81,7,0))</f>
        <v>0</v>
      </c>
      <c r="AU158" s="129" t="n">
        <f aca="false">EXP(-LN(2)/35)*AU157+(1-EXP(-LN(2)/35))/(LN(2)/35)*AQ158*AR158*VLOOKUP('Données projet'!$B$10,Paramètres!$A$1:$I$89,3,0)*0.475*44/12</f>
        <v>0.288187415689767</v>
      </c>
      <c r="AV158" s="129" t="n">
        <f aca="false">EXP(-LN(2)/25)*AV157+(1-EXP(-LN(2)/25))/(LN(2)/25)*Calculateur!AQ158*Calculateur!AS158*VLOOKUP('Données projet'!$B$10,Paramètres!$A$1:$I$89,3,0)*0.475*44/12</f>
        <v>0.412754245192428</v>
      </c>
      <c r="AW158" s="129" t="n">
        <f aca="false">EXP(-LN(2)/2)*AW157+(1-EXP(-LN(2)/2))/(LN(2)/2)*AQ158*AT158*VLOOKUP('Données projet'!$B$10,Paramètres!$A$1:$I$89,3,0)*0.475*44/12</f>
        <v>9.11246502405697E-019</v>
      </c>
      <c r="AX158" s="129" t="n">
        <f aca="false">SUM(AU158:AW158)</f>
        <v>0.700941660882195</v>
      </c>
      <c r="AY158" s="124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8" t="e">
        <f aca="false">VLOOKUP(A158,'Données projet'!$A$87:$I$107,2,0)</f>
        <v>#N/A</v>
      </c>
      <c r="BB158" s="118" t="e">
        <f aca="false">VLOOKUP(A158,'Données projet'!$A$87:$I$107,9,0)</f>
        <v>#N/A</v>
      </c>
      <c r="BC158" s="118" t="e">
        <f aca="false" t="array" ref="BC158:BC158">INDEX(BB:BB,MIN(IF(ISNUMBER(BB158:BB354),ROW(BB158:BB354),"")))</f>
        <v>#N/A</v>
      </c>
      <c r="BD158" s="118" t="n">
        <f aca="false">IF('Données projet'!$A$88&gt;35,BD157+BC158-BL157,IF(A158&lt;'Données projet'!$A$88,$BA$205^A158,IF(A158='Données projet'!$A$88,'Données projet'!$B$88,BD157+BC158-BL157)))</f>
        <v>1.98951966012828E-013</v>
      </c>
      <c r="BE158" s="117" t="n">
        <f aca="false">BD158*VLOOKUP('Données projet'!$B$11,Paramètres!$A$1:$I$89,3,0)*VLOOKUP('Données projet'!$B$11,Paramètres!$A$1:$I$89,5,0)</f>
        <v>1.73804437508807E-013</v>
      </c>
      <c r="BF158" s="117" t="n">
        <f aca="false">EXP(-1.0587+0.8836*LN(BE158)+0.284)</f>
        <v>2.44832936339505E-012</v>
      </c>
      <c r="BG158" s="128" t="n">
        <f aca="false">(BE158+BF158)*0.475*44/12</f>
        <v>4.56688303657421E-012</v>
      </c>
      <c r="BH158" s="120" t="n">
        <f aca="false">BG158+(AY158+AZ158)*44/12</f>
        <v>293.333333333338</v>
      </c>
      <c r="BI158" s="120" t="n">
        <f aca="true">AVERAGE(OFFSET($BH$3,0,0,'Données projet'!$E$11+1,1))-AVERAGE(OFFSET($H$3,0,0,'Données projet'!$E$11+1,1))</f>
        <v>321.235999689929</v>
      </c>
      <c r="BJ158" s="120" t="n">
        <f aca="false">$BJ$3</f>
        <v>388.051958478005</v>
      </c>
      <c r="BK158" s="121" t="n">
        <f aca="false">IF(ISNA(VLOOKUP(A158,'Données projet'!$A$87:$I$107,3,0)),0,VLOOKUP(A158,'Données projet'!$A$87:$I$107,3,0))</f>
        <v>0</v>
      </c>
      <c r="BL158" s="121" t="n">
        <f aca="false">IF(ISNA(VLOOKUP(A158,'Données projet'!$A$87:$I$107,4,0)),0,VLOOKUP(A158,'Données projet'!$A$87:$I$107,4,0))</f>
        <v>0</v>
      </c>
      <c r="BM158" s="122" t="n">
        <f aca="false">IF(ISNA(VLOOKUP(A158,'Données projet'!$A$87:$I$107,5,0)),0%,VLOOKUP(A158,'Données projet'!$A$87:$I$107,5,0)*VLOOKUP('Données projet'!$B$11,Paramètres!$A$1:$I$89,7,0))</f>
        <v>0</v>
      </c>
      <c r="BN158" s="122" t="n">
        <f aca="false">IF(ISNA(VLOOKUP(A158,'Données projet'!$A$87:$I$107,6,0)),0%,VLOOKUP(A158,'Données projet'!$A$87:$I$107,6,0)*VLOOKUP('Données projet'!$B$11,Paramètres!$A$1:$I$89,7,0))</f>
        <v>0</v>
      </c>
      <c r="BO158" s="122" t="n">
        <f aca="false">IF(ISNA(VLOOKUP(A158,'Données projet'!$A$87:$I$107,7,0)),0%,VLOOKUP(A158,'Données projet'!$A$87:$I$107,7,0))</f>
        <v>0</v>
      </c>
      <c r="BP158" s="129" t="n">
        <f aca="false">EXP(-LN(2)/35)*BP157+(1-EXP(-LN(2)/35))/(LN(2)/35)*BL158*BM158*VLOOKUP('Données projet'!$B$11,Paramètres!$A$1:$I$89,3,0)*0.475*44/12</f>
        <v>0.723529479194246</v>
      </c>
      <c r="BQ158" s="129" t="n">
        <f aca="false">EXP(-LN(2)/25)*BQ157+(1-EXP(-LN(2)/25))/(LN(2)/25)*Calculateur!BL158*Calculateur!BN158*VLOOKUP('Données projet'!$B$11,Paramètres!$A$1:$I$89,3,0)*0.475*44/12</f>
        <v>0.421315017406024</v>
      </c>
      <c r="BR158" s="129" t="n">
        <f aca="false">EXP(-LN(2)/2)*BR157+(1-EXP(-LN(2)/2))/(LN(2)/2)*BL158*BO158*VLOOKUP('Données projet'!$B$11,Paramètres!$A$1:$I$89,3,0)*0.475*44/12</f>
        <v>9.26263129121954E-019</v>
      </c>
      <c r="BS158" s="130" t="n">
        <f aca="false">SUM(BP158:BR158)</f>
        <v>1.14484449660027</v>
      </c>
      <c r="BT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8" t="e">
        <f aca="false">VLOOKUP(A158,'Données projet'!$A$113:$I$133,2,0)</f>
        <v>#N/A</v>
      </c>
      <c r="BW158" s="118" t="e">
        <f aca="false">VLOOKUP(A158,'Données projet'!$A$113:$I$133,9,0)</f>
        <v>#N/A</v>
      </c>
      <c r="BX158" s="118" t="e">
        <f aca="false" t="array" ref="BX158:BX158">INDEX(BW:BW,MIN(IF(ISNUMBER(BW158:BW354),ROW(BW158:BW354),"")))</f>
        <v>#N/A</v>
      </c>
      <c r="BY158" s="118" t="n">
        <f aca="false">IF('Données projet'!$A$114&gt;35,BY157+BX158-CG157,IF(A158&lt;'Données projet'!$A$114,$BV$205^A158,IF(A158='Données projet'!$A$114,'Données projet'!$B$114,BY157+BX158-CG157)))</f>
        <v>0</v>
      </c>
      <c r="BZ158" s="117" t="n">
        <f aca="false">BY158*VLOOKUP('Données projet'!$B$12,Paramètres!$A$1:$I$89,3,0)*VLOOKUP('Données projet'!$B$12,Paramètres!$A$1:$I$89,5,0)</f>
        <v>0</v>
      </c>
      <c r="CA158" s="117" t="e">
        <f aca="false">EXP(-1.0587+0.8836*LN(BZ158)+0.284)</f>
        <v>#VALUE!</v>
      </c>
      <c r="CB158" s="128" t="e">
        <f aca="false">(BZ158+CA158)*0.475*44/12</f>
        <v>#VALUE!</v>
      </c>
      <c r="CC158" s="120" t="e">
        <f aca="false">CB158+(BT158+BU158)*44/12</f>
        <v>#VALUE!</v>
      </c>
      <c r="CD158" s="120" t="n">
        <f aca="true">AVERAGE(OFFSET($CC$3,0,0,'Données projet'!$E$12+1,1))-AVERAGE(OFFSET($H$3,0,0,'Données projet'!$E$12+1,1))</f>
        <v>240.228848647662</v>
      </c>
      <c r="CE158" s="120" t="n">
        <f aca="false">$CE$3</f>
        <v>343.237768841432</v>
      </c>
      <c r="CF158" s="121" t="n">
        <f aca="false">IF(ISNA(VLOOKUP(A158,'Données projet'!$A$113:$I$133,3,0)),0,VLOOKUP(A158,'Données projet'!$A$113:$I$133,3,0))</f>
        <v>0</v>
      </c>
      <c r="CG158" s="121" t="n">
        <f aca="false">IF(ISNA(VLOOKUP(A158,'Données projet'!$A$113:$I$133,4,0)),0,VLOOKUP(A158,'Données projet'!$A$113:$I$133,4,0))</f>
        <v>0</v>
      </c>
      <c r="CH158" s="122" t="n">
        <f aca="false">IF(ISNA(VLOOKUP(A158,'Données projet'!$A$113:$I$133,5,0)),0%,VLOOKUP(A158,'Données projet'!$A$113:$I$133,5,0)*VLOOKUP('Données projet'!$B$12,Paramètres!$A$1:$I$89,7,0))</f>
        <v>0</v>
      </c>
      <c r="CI158" s="122" t="n">
        <f aca="false">IF(ISNA(VLOOKUP(A158,'Données projet'!$A$113:$I$133,6,0)),0%,VLOOKUP(A158,'Données projet'!$A$113:$I$133,6,0)*VLOOKUP('Données projet'!$B$12,Paramètres!$A$1:$I$89,7,0))</f>
        <v>0</v>
      </c>
      <c r="CJ158" s="122" t="n">
        <f aca="false">IF(ISNA(VLOOKUP(A158,'Données projet'!$A$113:$I$133,7,0)),0%,VLOOKUP(A158,'Données projet'!$A$113:$I$133,7,0))</f>
        <v>0</v>
      </c>
      <c r="CK158" s="129" t="n">
        <f aca="false">EXP(-LN(2)/35)*CK157+(1-EXP(-LN(2)/35))/(LN(2)/35)*CG158*CH158*VLOOKUP('Données projet'!$B$12,Paramètres!$A$1:$I$89,3,0)*0.475*44/12</f>
        <v>0.442856409250841</v>
      </c>
      <c r="CL158" s="129" t="n">
        <f aca="false">EXP(-LN(2)/25)*CL157+(1-EXP(-LN(2)/25))/(LN(2)/25)*Calculateur!CG158*Calculateur!CI158*VLOOKUP('Données projet'!$B$12,Paramètres!$A$1:$I$89,3,0)*0.475*44/12</f>
        <v>0.744066710617652</v>
      </c>
      <c r="CM158" s="129" t="n">
        <f aca="false">EXP(-LN(2)/2)*CM157+(1-EXP(-LN(2)/2))/(LN(2)/2)*CG158*CJ158*VLOOKUP('Données projet'!$B$12,Paramètres!$A$1:$I$89,3,0)*0.475*44/12</f>
        <v>1.47806901246995E-018</v>
      </c>
      <c r="CN158" s="130" t="n">
        <f aca="false">SUM(CK158:CM158)</f>
        <v>1.18692311986849</v>
      </c>
      <c r="CO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8" t="e">
        <f aca="false">VLOOKUP(A158,'Données projet'!$A$139:$I$159,2,0)</f>
        <v>#N/A</v>
      </c>
      <c r="CR158" s="118" t="e">
        <f aca="false">VLOOKUP(A158,'Données projet'!$A$139:$I$159,9,0)</f>
        <v>#N/A</v>
      </c>
      <c r="CS158" s="118" t="e">
        <f aca="false" t="array" ref="CS158:CS158">INDEX(CR:CR,MIN(IF(ISNUMBER(CR158:CR354),ROW(CR158:CR354),"")))</f>
        <v>#N/A</v>
      </c>
      <c r="CT158" s="118" t="n">
        <f aca="false">IF('Données projet'!$A$140&gt;35,CT157+CS158-DB157,IF(A158&lt;'Données projet'!$A$140,$CQ$205^A158,IF(A158='Données projet'!$A$140,'Données projet'!$B$140,CT157+CS158-DB157)))</f>
        <v>-5.6843418860808E-014</v>
      </c>
      <c r="CU158" s="125" t="n">
        <f aca="false">CT158*VLOOKUP('Données projet'!$B$13,Paramètres!$A$1:$I$89,3,0)*VLOOKUP('Données projet'!$B$13,Paramètres!$A$1:$I$89,5,0)</f>
        <v>-3.10365066980012E-014</v>
      </c>
      <c r="CV158" s="117" t="e">
        <f aca="false">EXP(-1.0587+0.8836*LN(CU158)+0.284)</f>
        <v>#VALUE!</v>
      </c>
      <c r="CW158" s="128" t="e">
        <f aca="false">(CU158+CV158)*0.475*44/12</f>
        <v>#VALUE!</v>
      </c>
      <c r="CX158" s="120" t="e">
        <f aca="false">CW158+(CO158+CP158)*44/12</f>
        <v>#VALUE!</v>
      </c>
      <c r="CY158" s="120" t="n">
        <f aca="true">AVERAGE(OFFSET($CX$3,0,0,'Données projet'!$E$13+1,1))-AVERAGE(OFFSET($H$3,0,0,'Données projet'!$E$13+1,1))</f>
        <v>207.023069645676</v>
      </c>
      <c r="CZ158" s="120" t="n">
        <f aca="false">$CZ$3</f>
        <v>342.068879333518</v>
      </c>
      <c r="DA158" s="121" t="n">
        <f aca="false">IF(ISNA(VLOOKUP(A158,'Données projet'!$A$139:$I$159,3,0)),0,VLOOKUP(A158,'Données projet'!$A$139:$I$159,3,0))</f>
        <v>0</v>
      </c>
      <c r="DB158" s="121" t="n">
        <f aca="false">IF(ISNA(VLOOKUP(A158,'Données projet'!$A$139:$I$159,4,0)),0,VLOOKUP(A158,'Données projet'!$A$139:$I$159,4,0))</f>
        <v>0</v>
      </c>
      <c r="DC158" s="122" t="n">
        <f aca="false">IF(ISNA(VLOOKUP(A158,'Données projet'!$A$139:$I$159,5,0)),0%,VLOOKUP(A158,'Données projet'!$A$139:$I$159,5,0)*VLOOKUP('Données projet'!$B$13,Paramètres!$A$1:$I$89,7,0))</f>
        <v>0</v>
      </c>
      <c r="DD158" s="122" t="n">
        <f aca="false">IF(ISNA(VLOOKUP(A158,'Données projet'!$A$139:$I$159,6,0)),0%,VLOOKUP(A158,'Données projet'!$A$139:$I$159,6,0)*VLOOKUP('Données projet'!$B$13,Paramètres!$A$1:$I$89,7,0))</f>
        <v>0</v>
      </c>
      <c r="DE158" s="122" t="n">
        <f aca="false">IF(ISNA(VLOOKUP(A158,'Données projet'!$A$139:$I$159,7,0)),0%,VLOOKUP(A158,'Données projet'!$A$139:$I$159,7,0))</f>
        <v>0</v>
      </c>
      <c r="DF158" s="129" t="n">
        <f aca="false">EXP(-LN(2)/35)*DF157+(1-EXP(-LN(2)/35))/(LN(2)/35)*DB158*DC158*VLOOKUP('Données projet'!$B$13,Paramètres!$A$1:$I$89,3,0)*0.475*44/12</f>
        <v>0.555659456890205</v>
      </c>
      <c r="DG158" s="129" t="n">
        <f aca="false">EXP(-LN(2)/25)*DG157+(1-EXP(-LN(2)/25))/(LN(2)/25)*Calculateur!DB158*Calculateur!DD158*VLOOKUP('Données projet'!$B$13,Paramètres!$A$1:$I$89,3,0)*0.475*44/12</f>
        <v>1.2162391763887</v>
      </c>
      <c r="DH158" s="129" t="n">
        <f aca="false">EXP(-LN(2)/2)*DH157+(1-EXP(-LN(2)/2))/(LN(2)/2)*DB158*DE158*VLOOKUP('Données projet'!$B$13,Paramètres!$A$1:$I$89,3,0)*0.475*44/12</f>
        <v>2.03530171544115E-018</v>
      </c>
      <c r="DI158" s="130" t="n">
        <f aca="false">SUM(DF158:DH158)</f>
        <v>1.77189863327891</v>
      </c>
      <c r="DJ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8" t="e">
        <f aca="false">VLOOKUP(A158,'Données projet'!$A$165:$I$185,2,0)</f>
        <v>#N/A</v>
      </c>
      <c r="DM158" s="118" t="e">
        <f aca="false">VLOOKUP(A158,'Données projet'!$A$165:$I$185,9,0)</f>
        <v>#N/A</v>
      </c>
      <c r="DN158" s="118" t="e">
        <f aca="false" t="array" ref="DN158:DN158">INDEX(DM:DM,MIN(IF(ISNUMBER(DM158:DM354),ROW(DM158:DM354),"")))</f>
        <v>#N/A</v>
      </c>
      <c r="DO158" s="118" t="n">
        <f aca="false">IF('Données projet'!$A$166&gt;35,DO157+DN158-DW157,IF(A158&lt;'Données projet'!$A$166,$DL$205^A158,IF(A158='Données projet'!$A$166,'Données projet'!$B$166,DO157+DN158-DW157)))</f>
        <v>0</v>
      </c>
      <c r="DP158" s="125" t="n">
        <f aca="false">DO158*VLOOKUP('Données projet'!$B$14,Paramètres!$A$1:$I$89,3,0)*VLOOKUP('Données projet'!$B$14,Paramètres!$A$1:$I$89,5,0)</f>
        <v>0</v>
      </c>
      <c r="DQ158" s="117" t="e">
        <f aca="false">EXP(-1.0587+0.8836*LN(DP158)+0.284)</f>
        <v>#VALUE!</v>
      </c>
      <c r="DR158" s="128" t="e">
        <f aca="false">(DP158+DQ158)*0.475*44/12</f>
        <v>#VALUE!</v>
      </c>
      <c r="DS158" s="120" t="e">
        <f aca="false">DR158+(DJ158+DK158)*44/12</f>
        <v>#VALUE!</v>
      </c>
      <c r="DT158" s="120" t="n">
        <f aca="true">AVERAGE(OFFSET($DS$3,0,0,'Données projet'!$E$14+1,1))-AVERAGE(OFFSET($H$3,0,0,'Données projet'!$E$14+1,1))</f>
        <v>549.432320957297</v>
      </c>
      <c r="DU158" s="120" t="n">
        <f aca="false">$DU$3</f>
        <v>280.26155987301</v>
      </c>
      <c r="DV158" s="121" t="n">
        <f aca="false">IF(ISNA(VLOOKUP(A158,'Données projet'!$A$165:$I$185,3,0)),0,VLOOKUP(A158,'Données projet'!$A$165:$I$185,3,0))</f>
        <v>0</v>
      </c>
      <c r="DW158" s="121" t="n">
        <f aca="false">IF(ISNA(VLOOKUP(A158,'Données projet'!$A$165:$I$185,4,0)),0,VLOOKUP(A158,'Données projet'!$A$165:$I$185,4,0))</f>
        <v>0</v>
      </c>
      <c r="DX158" s="122" t="n">
        <f aca="false">IF(ISNA(VLOOKUP(A158,'Données projet'!$A$165:$I$185,5,0)),0%,VLOOKUP(A158,'Données projet'!$A$165:$I$185,5,0)*VLOOKUP('Données projet'!$B$14,Paramètres!$A$1:$I$89,7,0))</f>
        <v>0</v>
      </c>
      <c r="DY158" s="122" t="n">
        <f aca="false">IF(ISNA(VLOOKUP(A158,'Données projet'!$A$165:$I$185,6,0)),0%,VLOOKUP(A158,'Données projet'!$A$165:$I$185,6,0)*VLOOKUP('Données projet'!$B$14,Paramètres!$A$1:$I$89,7,0))</f>
        <v>0</v>
      </c>
      <c r="DZ158" s="122" t="n">
        <f aca="false">IF(ISNA(VLOOKUP(A158,'Données projet'!$A$165:$I$185,7,0)),0%,VLOOKUP(A158,'Données projet'!$A$165:$I$185,7,0))</f>
        <v>0</v>
      </c>
      <c r="EA158" s="129" t="n">
        <f aca="false">EXP(-LN(2)/35)*EA157+(1-EXP(-LN(2)/35))/(LN(2)/35)*DW158*DX158*VLOOKUP('Données projet'!$B$14,Paramètres!$A$1:$I$89,3,0)*0.475*44/12</f>
        <v>0.202037158940636</v>
      </c>
      <c r="EB158" s="129" t="n">
        <f aca="false">EXP(-LN(2)/25)*EB157+(1-EXP(-LN(2)/25))/(LN(2)/25)*Calculateur!DW158*Calculateur!DY158*VLOOKUP('Données projet'!$B$14,Paramètres!$A$1:$I$89,3,0)*0.475*44/12</f>
        <v>0.242298839913819</v>
      </c>
      <c r="EC158" s="129" t="n">
        <f aca="false">EXP(-LN(2)/2)*EC157+(1-EXP(-LN(2)/2))/(LN(2)/2)*DW158*DZ158*VLOOKUP('Données projet'!$B$14,Paramètres!$A$1:$I$89,3,0)*0.475*44/12</f>
        <v>9.38232136710076E-019</v>
      </c>
      <c r="ED158" s="130" t="n">
        <f aca="false">SUM(EA158:EC158)</f>
        <v>0.444335998854456</v>
      </c>
      <c r="EE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8" t="e">
        <f aca="false">VLOOKUP(A158,'Données projet'!$A$191:$I$211,2,0)</f>
        <v>#N/A</v>
      </c>
      <c r="EH158" s="118" t="e">
        <f aca="false">VLOOKUP(A158,'Données projet'!$A$191:$I$211,9,0)</f>
        <v>#N/A</v>
      </c>
      <c r="EI158" s="118" t="e">
        <f aca="false" t="array" ref="EI158:EI158">INDEX(EH:EH,MIN(IF(ISNUMBER(EH158:EH354),ROW(EH158:EH354),"")))</f>
        <v>#N/A</v>
      </c>
      <c r="EJ158" s="118" t="n">
        <f aca="false">IF('Données projet'!$A$192&gt;35,EJ157+EI158-ER157,IF(A158&lt;'Données projet'!$A$192,$EG$205^A158,IF(A158='Données projet'!$A$192,'Données projet'!$B$192,EJ157+EI158-ER157)))</f>
        <v>0</v>
      </c>
      <c r="EK158" s="125" t="e">
        <f aca="false">EJ158*VLOOKUP('Données projet'!$B$15,Paramètres!$A$1:$I$89,3,0)*VLOOKUP('Données projet'!$B$15,Paramètres!$A$1:$I$89,5,0)</f>
        <v>#N/A</v>
      </c>
      <c r="EL158" s="117" t="e">
        <f aca="false">EXP(-1.0587+0.8836*LN(EK158)+0.284)</f>
        <v>#N/A</v>
      </c>
      <c r="EM158" s="128" t="e">
        <f aca="false">(EK158+EL158)*0.475*44/12</f>
        <v>#N/A</v>
      </c>
      <c r="EN158" s="120" t="e">
        <f aca="false">EM158+(EE158+EF158)*44/12</f>
        <v>#N/A</v>
      </c>
      <c r="EO158" s="120" t="e">
        <f aca="true">AVERAGE(OFFSET($EN$3,0,0,'Données projet'!$E$15+1,1))-AVERAGE(OFFSET($H$3,0,0,'Données projet'!$E$15+1,1))</f>
        <v>#N/A</v>
      </c>
      <c r="EP158" s="120" t="e">
        <f aca="false">$EP$3</f>
        <v>#N/A</v>
      </c>
      <c r="EQ158" s="121" t="n">
        <f aca="false">IF(ISNA(VLOOKUP(A158,'Données projet'!$A$191:$I$211,3,0)),0,VLOOKUP(A158,'Données projet'!$A$191:$I$211,3,0))</f>
        <v>0</v>
      </c>
      <c r="ER158" s="121" t="n">
        <f aca="false">IF(ISNA(VLOOKUP(A158,'Données projet'!$A$191:$I$211,4,0)),0,VLOOKUP(A158,'Données projet'!$A$191:$I$211,4,0))</f>
        <v>0</v>
      </c>
      <c r="ES158" s="122" t="n">
        <f aca="false">IF(ISNA(VLOOKUP(A158,'Données projet'!$A$191:$I$211,5,0)),0%,VLOOKUP(A158,'Données projet'!$A$191:$I$211,5,0)*VLOOKUP('Données projet'!$B$15,Paramètres!$A$1:$I$89,7,0))</f>
        <v>0</v>
      </c>
      <c r="ET158" s="122" t="n">
        <f aca="false">IF(ISNA(VLOOKUP(A158,'Données projet'!$A$191:$I$211,6,0)),0%,VLOOKUP(A158,'Données projet'!$A$191:$I$211,6,0)*VLOOKUP('Données projet'!$B$15,Paramètres!$A$1:$I$89,7,0))</f>
        <v>0</v>
      </c>
      <c r="EU158" s="122" t="n">
        <f aca="false">IF(ISNA(VLOOKUP(A158,'Données projet'!$A$191:$I$211,7,0)),0%,VLOOKUP(A158,'Données projet'!$A$191:$I$211,7,0))</f>
        <v>0</v>
      </c>
      <c r="EV158" s="129" t="e">
        <f aca="false">EXP(-LN(2)/35)*EV157+(1-EXP(-LN(2)/35))/(LN(2)/35)*ER158*ES158*VLOOKUP('Données projet'!$B$15,Paramètres!$A$1:$I$89,3,0)*0.475*44/12</f>
        <v>#N/A</v>
      </c>
      <c r="EW158" s="129" t="e">
        <f aca="false">EXP(-LN(2)/25)*EW157+(1-EXP(-LN(2)/25))/(LN(2)/25)*Calculateur!ER158*Calculateur!ET158*VLOOKUP('Données projet'!$B$15,Paramètres!$A$1:$I$89,3,0)*0.475*44/12</f>
        <v>#N/A</v>
      </c>
      <c r="EX158" s="129" t="e">
        <f aca="false">EXP(-LN(2)/2)*EX157+(1-EXP(-LN(2)/2))/(LN(2)/2)*ER158*EU158*VLOOKUP('Données projet'!$B$15,Paramètres!$A$1:$I$89,3,0)*0.475*44/12</f>
        <v>#N/A</v>
      </c>
      <c r="EY158" s="130" t="e">
        <f aca="false">SUM(EV158:EX158)</f>
        <v>#N/A</v>
      </c>
      <c r="EZ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8" t="e">
        <f aca="false">VLOOKUP(A158,'Données projet'!$A$217:$I$237,2,0)</f>
        <v>#N/A</v>
      </c>
      <c r="FC158" s="118" t="e">
        <f aca="false">VLOOKUP(A158,'Données projet'!$A$217:$I$237,9,0)</f>
        <v>#N/A</v>
      </c>
      <c r="FD158" s="118" t="e">
        <f aca="false" t="array" ref="FD158:FD158">INDEX(FC:FC,MIN(IF(ISNUMBER(FC158:FC354),ROW(FC158:FC354),"")))</f>
        <v>#N/A</v>
      </c>
      <c r="FE158" s="118" t="n">
        <f aca="false">IF('Données projet'!$A$218&gt;35,FE157+FD158-FM157,IF(A158&lt;'Données projet'!$A$218,$FB$205^A158,IF(A158='Données projet'!$A$218,'Données projet'!$B$218,FE157+FD158-FM157)))</f>
        <v>0</v>
      </c>
      <c r="FF158" s="125" t="e">
        <f aca="false">FE158*VLOOKUP('Données projet'!$B$16,Paramètres!$A$1:$I$89,3,0)*VLOOKUP('Données projet'!$B$16,Paramètres!$A$1:$I$89,5,0)</f>
        <v>#N/A</v>
      </c>
      <c r="FG158" s="117" t="e">
        <f aca="false">EXP(-1.0587+0.8836*LN(FF158)+0.284)</f>
        <v>#N/A</v>
      </c>
      <c r="FH158" s="128" t="e">
        <f aca="false">(FF158+FG158)*0.475*44/12</f>
        <v>#N/A</v>
      </c>
      <c r="FI158" s="120" t="e">
        <f aca="false">FH158+(EZ158+FA158)*44/12</f>
        <v>#N/A</v>
      </c>
      <c r="FJ158" s="120" t="e">
        <f aca="true">AVERAGE(OFFSET($FI$3,0,0,'Données projet'!$E$16+1,1))-AVERAGE(OFFSET($H$3,0,0,'Données projet'!$E$16+1,1))</f>
        <v>#N/A</v>
      </c>
      <c r="FK158" s="120" t="e">
        <f aca="false">$FK$3</f>
        <v>#N/A</v>
      </c>
      <c r="FL158" s="121" t="n">
        <f aca="false">IF(ISNA(VLOOKUP(A158,'Données projet'!$A$217:$I$237,3,0)),0,VLOOKUP(A158,'Données projet'!$A$217:$I$237,3,0))</f>
        <v>0</v>
      </c>
      <c r="FM158" s="121" t="n">
        <f aca="false">IF(ISNA(VLOOKUP(A158,'Données projet'!$A$217:$I$237,4,0)),0,VLOOKUP(A158,'Données projet'!$A$217:$I$237,4,0))</f>
        <v>0</v>
      </c>
      <c r="FN158" s="122" t="n">
        <f aca="false">IF(ISNA(VLOOKUP(A158,'Données projet'!$A$217:$I$237,5,0)),0%,VLOOKUP(A158,'Données projet'!$A$217:$I$237,5,0)*VLOOKUP('Données projet'!$B$16,Paramètres!$A$1:$I$89,7,0))</f>
        <v>0</v>
      </c>
      <c r="FO158" s="122" t="n">
        <f aca="false">IF(ISNA(VLOOKUP(A158,'Données projet'!$A$217:$I$237,6,0)),0%,VLOOKUP(A158,'Données projet'!$A$217:$I$237,6,0)*VLOOKUP('Données projet'!$B$16,Paramètres!$A$1:$I$89,7,0))</f>
        <v>0</v>
      </c>
      <c r="FP158" s="122" t="n">
        <f aca="false">IF(ISNA(VLOOKUP(A158,'Données projet'!$A$217:$I$237,7,0)),0%,VLOOKUP(A158,'Données projet'!$A$217:$I$237,7,0))</f>
        <v>0</v>
      </c>
      <c r="FQ158" s="129" t="e">
        <f aca="false">EXP(-LN(2)/35)*FQ157+(1-EXP(-LN(2)/35))/(LN(2)/35)*FM158*FN158*VLOOKUP('Données projet'!$B$16,Paramètres!$A$1:$I$89,3,0)*0.475*44/12</f>
        <v>#N/A</v>
      </c>
      <c r="FR158" s="129" t="e">
        <f aca="false">EXP(-LN(2)/25)*FR157+(1-EXP(-LN(2)/25))/(LN(2)/25)*Calculateur!FM158*Calculateur!FO158*VLOOKUP('Données projet'!$B$16,Paramètres!$A$1:$I$89,3,0)*0.475*44/12</f>
        <v>#N/A</v>
      </c>
      <c r="FS158" s="129" t="e">
        <f aca="false">EXP(-LN(2)/2)*FS157+(1-EXP(-LN(2)/2))/(LN(2)/2)*FM158*FP158*VLOOKUP('Données projet'!$B$16,Paramètres!$A$1:$I$89,3,0)*0.475*44/12</f>
        <v>#N/A</v>
      </c>
      <c r="FT158" s="130" t="e">
        <f aca="false">SUM(FQ158:FS158)</f>
        <v>#N/A</v>
      </c>
      <c r="FU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8" t="e">
        <f aca="false">VLOOKUP(A158,'Données projet'!$A$243:$I$263,2,0)</f>
        <v>#N/A</v>
      </c>
      <c r="FX158" s="118" t="e">
        <f aca="false">VLOOKUP(A158,'Données projet'!$A$243:$I$263,9,0)</f>
        <v>#N/A</v>
      </c>
      <c r="FY158" s="118" t="e">
        <f aca="false" t="array" ref="FY158:FY158">INDEX(FX:FX,MIN(IF(ISNUMBER(FX158:FX354),ROW(FX158:FX354),"")))</f>
        <v>#N/A</v>
      </c>
      <c r="FZ158" s="118" t="n">
        <f aca="false">IF('Données projet'!$A$244&gt;35,FZ157+FY158-GH157,IF(A158&lt;'Données projet'!$A$244,$FW$205^A158,IF(A158='Données projet'!$A$244,'Données projet'!$B$244,FZ157+FY158-GH157)))</f>
        <v>0</v>
      </c>
      <c r="GA158" s="125" t="e">
        <f aca="false">FZ158*VLOOKUP('Données projet'!$B$17,Paramètres!$A$1:$I$89,3,0)*VLOOKUP('Données projet'!$B$17,Paramètres!$A$1:$I$89,5,0)</f>
        <v>#N/A</v>
      </c>
      <c r="GB158" s="117" t="e">
        <f aca="false">EXP(-1.0587+0.8836*LN(GA158)+0.284)</f>
        <v>#N/A</v>
      </c>
      <c r="GC158" s="128" t="e">
        <f aca="false">(GA158+GB158)*0.475*44/12</f>
        <v>#N/A</v>
      </c>
      <c r="GD158" s="120" t="e">
        <f aca="false">GC158+(FU158+FV158)*44/12</f>
        <v>#N/A</v>
      </c>
      <c r="GE158" s="120" t="e">
        <f aca="true">AVERAGE(OFFSET($GD$3,0,0,'Données projet'!$E$17+1,1))-AVERAGE(OFFSET($H$3,0,0,'Données projet'!$E$17+1,1))</f>
        <v>#N/A</v>
      </c>
      <c r="GF158" s="120" t="e">
        <f aca="false">$GF$3</f>
        <v>#N/A</v>
      </c>
      <c r="GG158" s="121" t="n">
        <f aca="false">IF(ISNA(VLOOKUP(A158,'Données projet'!$A$243:$I$263,3,0)),0,VLOOKUP(A158,'Données projet'!$A$243:$I$263,3,0))</f>
        <v>0</v>
      </c>
      <c r="GH158" s="121" t="n">
        <f aca="false">IF(ISNA(VLOOKUP(A158,'Données projet'!$A$243:$I$263,4,0)),0,VLOOKUP(A158,'Données projet'!$A$243:$I$263,4,0))</f>
        <v>0</v>
      </c>
      <c r="GI158" s="122" t="n">
        <f aca="false">IF(ISNA(VLOOKUP(A158,'Données projet'!$A$243:$I$263,5,0)),0%,VLOOKUP(A158,'Données projet'!$A$243:$I$263,5,0)*VLOOKUP('Données projet'!$B$17,Paramètres!$A$1:$I$89,7,0))</f>
        <v>0</v>
      </c>
      <c r="GJ158" s="122" t="n">
        <f aca="false">IF(ISNA(VLOOKUP(A158,'Données projet'!$A$243:$I$263,6,0)),0%,VLOOKUP(A158,'Données projet'!$A$243:$I$263,6,0)*VLOOKUP('Données projet'!$B$17,Paramètres!$A$1:$I$89,7,0))</f>
        <v>0</v>
      </c>
      <c r="GK158" s="122" t="n">
        <f aca="false">IF(ISNA(VLOOKUP(A158,'Données projet'!$A$243:$I$263,7,0)),0%,VLOOKUP(A158,'Données projet'!$A$243:$I$263,7,0))</f>
        <v>0</v>
      </c>
      <c r="GL158" s="129" t="e">
        <f aca="false">EXP(-LN(2)/35)*GL157+(1-EXP(-LN(2)/35))/(LN(2)/35)*GH158*GI158*VLOOKUP('Données projet'!$B$17,Paramètres!$A$1:$I$89,3,0)*0.475*44/12</f>
        <v>#N/A</v>
      </c>
      <c r="GM158" s="129" t="e">
        <f aca="false">EXP(-LN(2)/25)*GM157+(1-EXP(-LN(2)/25))/(LN(2)/25)*Calculateur!GH158*Calculateur!GJ158*VLOOKUP('Données projet'!$B$17,Paramètres!$A$1:$I$89,3,0)*0.475*44/12</f>
        <v>#N/A</v>
      </c>
      <c r="GN158" s="129" t="e">
        <f aca="false">EXP(-LN(2)/2)*GN157+(1-EXP(-LN(2)/2))/(LN(2)/2)*GH158*GK158*VLOOKUP('Données projet'!$B$17,Paramètres!$A$1:$I$89,3,0)*0.475*44/12</f>
        <v>#N/A</v>
      </c>
      <c r="GO158" s="129" t="e">
        <f aca="false">SUM(GL158:GN158)</f>
        <v>#N/A</v>
      </c>
      <c r="GP158" s="126" t="n">
        <f aca="false"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8" t="n">
        <f aca="false"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8" t="e">
        <f aca="false">VLOOKUP(A158,'Données projet'!$A$269:$I$289,2,0)</f>
        <v>#N/A</v>
      </c>
      <c r="GS158" s="118" t="e">
        <f aca="false">VLOOKUP(A158,'Données projet'!$A$269:$I$289,9,0)</f>
        <v>#N/A</v>
      </c>
      <c r="GT158" s="118" t="e">
        <f aca="false" t="array" ref="GT158:GT158">INDEX(GS:GS,MIN(IF(ISNUMBER(GS158:GS354),ROW(GS158:GS354),"")))</f>
        <v>#N/A</v>
      </c>
      <c r="GU158" s="118" t="n">
        <f aca="false">IF('Données projet'!$A$270&gt;35,GU157+GT158-HC157,IF(A158&lt;'Données projet'!$A$270,$GR$205^A158,IF(A158='Données projet'!$A$270,'Données projet'!$B$270,GU157+GT158-HC157)))</f>
        <v>0</v>
      </c>
      <c r="GV158" s="125" t="e">
        <f aca="false">GU158*VLOOKUP('Données projet'!$B$18,Paramètres!$A$1:$I$89,3,0)*VLOOKUP('Données projet'!$B$18,Paramètres!$A$1:$I$89,5,0)</f>
        <v>#N/A</v>
      </c>
      <c r="GW158" s="117" t="e">
        <f aca="false">EXP(-1.0587+0.8836*LN(GV158)+0.284)</f>
        <v>#N/A</v>
      </c>
      <c r="GX158" s="128" t="e">
        <f aca="false">(GV158+GW158)*0.475*44/12</f>
        <v>#N/A</v>
      </c>
      <c r="GY158" s="120" t="e">
        <f aca="false">GX158+(GP158+GQ158)*44/12</f>
        <v>#N/A</v>
      </c>
      <c r="GZ158" s="120" t="e">
        <f aca="true">AVERAGE(OFFSET($GY$3,0,0,'Données projet'!$E$18+1,1))-AVERAGE(OFFSET($H$3,0,0,'Données projet'!$E$18+1,1))</f>
        <v>#N/A</v>
      </c>
      <c r="HA158" s="120" t="e">
        <f aca="false">$HA$3</f>
        <v>#N/A</v>
      </c>
      <c r="HB158" s="121" t="n">
        <f aca="false">IF(ISNA(VLOOKUP(A158,'Données projet'!$A$269:$I$289,3,0)),0,VLOOKUP(A158,'Données projet'!$A$269:$I$289,3,0))</f>
        <v>0</v>
      </c>
      <c r="HC158" s="121" t="n">
        <f aca="false">IF(ISNA(VLOOKUP(A158,'Données projet'!$A$269:$I$289,4,0)),0,VLOOKUP(A158,'Données projet'!$A$269:$I$289,4,0))</f>
        <v>0</v>
      </c>
      <c r="HD158" s="122" t="n">
        <f aca="false">IF(ISNA(VLOOKUP(A158,'Données projet'!$A$269:$I$289,5,0)),0%,VLOOKUP(A158,'Données projet'!$A$269:$I$289,5,0)*VLOOKUP('Données projet'!$B$18,Paramètres!$A$1:$I$89,7,0))</f>
        <v>0</v>
      </c>
      <c r="HE158" s="122" t="n">
        <f aca="false">IF(ISNA(VLOOKUP(A158,'Données projet'!$A$269:$I$289,6,0)),0%,VLOOKUP(A158,'Données projet'!$A$269:$I$289,6,0)*VLOOKUP('Données projet'!$B$18,Paramètres!$A$1:$I$89,7,0))</f>
        <v>0</v>
      </c>
      <c r="HF158" s="122" t="n">
        <f aca="false">IF(ISNA(VLOOKUP(A158,'Données projet'!$A$269:$I$289,7,0)),0%,VLOOKUP(A158,'Données projet'!$A$269:$I$289,7,0))</f>
        <v>0</v>
      </c>
      <c r="HG158" s="129" t="e">
        <f aca="false">EXP(-LN(2)/35)*HG157+(1-EXP(-LN(2)/35))/(LN(2)/35)*HC158*HD158*VLOOKUP('Données projet'!$B$18,Paramètres!$A$1:$I$89,3,0)*0.475*44/12</f>
        <v>#N/A</v>
      </c>
      <c r="HH158" s="129" t="e">
        <f aca="false">EXP(-LN(2)/25)*HH157+(1-EXP(-LN(2)/25))/(LN(2)/25)*Calculateur!HC158*Calculateur!HE158*VLOOKUP('Données projet'!$B$18,Paramètres!$A$1:$I$89,3,0)*0.475*44/12</f>
        <v>#N/A</v>
      </c>
      <c r="HI158" s="129" t="e">
        <f aca="false">EXP(-LN(2)/2)*HI157+(1-EXP(-LN(2)/2))/(LN(2)/2)*HC158*HF158*VLOOKUP('Données projet'!$B$18,Paramètres!$A$1:$I$89,3,0)*0.475*44/12</f>
        <v>#N/A</v>
      </c>
      <c r="HJ158" s="130" t="e">
        <f aca="false">SUM(HG158:HI158)</f>
        <v>#N/A</v>
      </c>
    </row>
    <row r="159" customFormat="false" ht="14.25" hidden="false" customHeight="false" outlineLevel="0" collapsed="false">
      <c r="A159" s="112" t="n">
        <f aca="false">A158+1</f>
        <v>156</v>
      </c>
      <c r="B159" s="113" t="n">
        <f aca="false">'Scénario référence'!$B$16*5+'Scénario référence'!$B$17*0+'Scénario référence'!$B$18*5</f>
        <v>0</v>
      </c>
      <c r="C159" s="127" t="n">
        <f aca="false"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4" t="n">
        <f aca="false">IFERROR(EXP(-1.0587+0.8836*LN(C159)+0.284),0)</f>
        <v>0</v>
      </c>
      <c r="E15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59" s="114" t="n">
        <f aca="false">IF(OR('Scénario référence'!$F$8&gt;0,'Scénario référence'!$F$9&gt;0),('Scénario référence'!$F$8+'Scénario référence'!$F$9)*10,0)</f>
        <v>0</v>
      </c>
      <c r="G159" s="114" t="n">
        <f aca="false"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15" t="n">
        <f aca="false">(B159+E159+F159)*44/12+(C159+D159)*0.475*44/12</f>
        <v>256.666666666667</v>
      </c>
      <c r="I159" s="11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7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8" t="e">
        <f aca="false">VLOOKUP(A159,'Données projet'!$A$35:$I$55,2,0)</f>
        <v>#N/A</v>
      </c>
      <c r="L159" s="118" t="e">
        <f aca="false">VLOOKUP(A159,'Données projet'!$A$35:$I$55,9,0)</f>
        <v>#N/A</v>
      </c>
      <c r="M159" s="118" t="e">
        <f aca="false" t="array" ref="M159:M159">INDEX(L:L,MIN(IF(ISNUMBER(L159:L355),ROW(L159:L355),"")))</f>
        <v>#N/A</v>
      </c>
      <c r="N159" s="117" t="n">
        <f aca="false">IF('Données projet'!$A$36&gt;35,N158+M159-V158,IF(A159&lt;'Données projet'!$A$36,$K$205^A159,IF(A159='Données projet'!$A$36,'Données projet'!$B$36,N158+M159-V158)))</f>
        <v>-1.13686837721616E-013</v>
      </c>
      <c r="O159" s="117" t="n">
        <f aca="false">N159*VLOOKUP('Données projet'!$B$9,Paramètres!$A$1:$I$89,3,0)*VLOOKUP('Données projet'!$B$9,Paramètres!$A$1:$I$89,5,0)</f>
        <v>-5.32054400537163E-014</v>
      </c>
      <c r="P159" s="117" t="e">
        <f aca="false">EXP(-1.0587+0.8836*LN(O159)+0.284)</f>
        <v>#VALUE!</v>
      </c>
      <c r="Q159" s="128" t="e">
        <f aca="false">(O159+P159)*0.475*44/12</f>
        <v>#VALUE!</v>
      </c>
      <c r="R159" s="120" t="e">
        <f aca="false">Q159+(I159+J159)*44/12</f>
        <v>#VALUE!</v>
      </c>
      <c r="S159" s="120" t="n">
        <f aca="true">AVERAGE(OFFSET($R$3,0,0,'Données projet'!$E$9+1,1))-AVERAGE(OFFSET($H$3,0,0,'Données projet'!$E$9+1,1))</f>
        <v>319.229030946746</v>
      </c>
      <c r="T159" s="120" t="n">
        <f aca="false">$T$3</f>
        <v>254.586909731428</v>
      </c>
      <c r="U159" s="121" t="n">
        <f aca="false">IF(ISNA(VLOOKUP(A159,'Données projet'!$A$35:$I$55,3,0)),0,VLOOKUP(A159,'Données projet'!$A$35:$I$55,3,0))</f>
        <v>0</v>
      </c>
      <c r="V159" s="121" t="n">
        <f aca="false">IF(ISNA(VLOOKUP(A159,'Données projet'!$A$35:$I$55,4,0)),0,VLOOKUP(A159,'Données projet'!$A$35:$I$55,4,0))</f>
        <v>0</v>
      </c>
      <c r="W159" s="122" t="n">
        <f aca="false">IF(ISNA(VLOOKUP(A159,'Données projet'!$A$35:$I$55,5,0)),0%,VLOOKUP(A159,'Données projet'!$A$35:$I$55,5,0)*VLOOKUP('Données projet'!$B$9,Paramètres!$A$1:$I$89,7,0))</f>
        <v>0</v>
      </c>
      <c r="X159" s="122" t="n">
        <f aca="false">IF(ISNA(VLOOKUP(A159,'Données projet'!$A$35:$I$55,6,0)),0%,VLOOKUP(A159,'Données projet'!$A$35:$I$55,6,0)*VLOOKUP('Données projet'!$B$9,Paramètres!$A$1:$I$89,7,0))</f>
        <v>0</v>
      </c>
      <c r="Y159" s="122" t="n">
        <f aca="false">IF(ISNA(VLOOKUP(A159,'Données projet'!$A$35:$I$55,7,0)),0%,VLOOKUP(A159,'Données projet'!$A$35:$I$55,7,0))</f>
        <v>0</v>
      </c>
      <c r="Z159" s="129" t="n">
        <f aca="false">EXP(-LN(2)/35)*Z158+(1-EXP(-LN(2)/35))/(LN(2)/35)*V159*W159*VLOOKUP('Données projet'!$B$9,Paramètres!$A$1:$I$89,3,0)*0.475*44/12</f>
        <v>0.748504645882955</v>
      </c>
      <c r="AA159" s="129" t="n">
        <f aca="false">EXP(-LN(2)/25)*AA158+(1-EXP(-LN(2)/25))/(LN(2)/25)*Calculateur!V159*Calculateur!X159*VLOOKUP('Données projet'!$B$9,Paramètres!$A$1:$I$89,3,0)*0.475*44/12</f>
        <v>0.338949586841941</v>
      </c>
      <c r="AB159" s="129" t="n">
        <f aca="false">EXP(-LN(2)/2)*AB158+(1-EXP(-LN(2)/2))/(LN(2)/2)*V159*Y159*VLOOKUP('Données projet'!$B$9,Paramètres!$A$1:$I$89,3,0)*0.475*44/12</f>
        <v>1.19729840664264E-018</v>
      </c>
      <c r="AC159" s="130" t="n">
        <f aca="false">SUM(Z159:AB159)</f>
        <v>1.0874542327249</v>
      </c>
      <c r="AD159" s="117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7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8" t="e">
        <f aca="false">VLOOKUP(A159,'Données projet'!$A$61:$I$81,2,0)</f>
        <v>#N/A</v>
      </c>
      <c r="AG159" s="118" t="e">
        <f aca="false">VLOOKUP(A159,'Données projet'!$A$61:$I$81,9,0)</f>
        <v>#N/A</v>
      </c>
      <c r="AH159" s="118" t="e">
        <f aca="false" t="array" ref="AH159:AH159">INDEX(AG:AG,MIN(IF(ISNUMBER(AG159:AG355),ROW(AG159:AG355),"")))</f>
        <v>#N/A</v>
      </c>
      <c r="AI159" s="117" t="n">
        <f aca="false">IF('Données projet'!$A$62&gt;35,AI158+AH159-AQ158,IF(A159&lt;'Données projet'!$A$62,$AF$205^A159,IF(A159='Données projet'!$A$62,'Données projet'!$B$62,AI158+AH159-AQ158)))</f>
        <v>1.13686837721616E-013</v>
      </c>
      <c r="AJ159" s="117" t="n">
        <f aca="false">AI159*VLOOKUP('Données projet'!$B$10,Paramètres!$A$1:$I$89,3,0)*VLOOKUP('Données projet'!$B$10,Paramètres!$A$1:$I$89,5,0)</f>
        <v>6.35509422863834E-014</v>
      </c>
      <c r="AK159" s="117" t="n">
        <f aca="false">EXP(-1.0587+0.8836*LN(AJ159)+0.284)</f>
        <v>1.0064464192544E-012</v>
      </c>
      <c r="AL159" s="128" t="n">
        <f aca="false">(AJ159+AK159)*0.475*44/12</f>
        <v>1.86357873801686E-012</v>
      </c>
      <c r="AM159" s="120" t="n">
        <f aca="false">AL159+(AD159+AE159)*44/12</f>
        <v>293.333333333335</v>
      </c>
      <c r="AN159" s="120" t="n">
        <f aca="true">AVERAGE(OFFSET($AM$3,0,0,'Données projet'!$E$10+1,1))-AVERAGE(OFFSET($H$3,0,0,'Données projet'!$E$10+1,1))</f>
        <v>365.705101827279</v>
      </c>
      <c r="AO159" s="120" t="n">
        <f aca="false">$AO$3</f>
        <v>436.238338449625</v>
      </c>
      <c r="AP159" s="121" t="n">
        <f aca="false">IF(ISNA(VLOOKUP(A159,'Données projet'!$A$61:$I$81,3,0)),0,VLOOKUP(A159,'Données projet'!$A$61:$I$81,3,0))</f>
        <v>0</v>
      </c>
      <c r="AQ159" s="121" t="n">
        <f aca="false">IF(ISNA(VLOOKUP(A159,'Données projet'!$A$61:$I$81,4,0)),0,VLOOKUP(A159,'Données projet'!$A$61:$I$81,4,0))</f>
        <v>0</v>
      </c>
      <c r="AR159" s="122" t="n">
        <f aca="false">IF(ISNA(VLOOKUP(A159,'Données projet'!$A$61:$I$81,5,0)),0%,VLOOKUP(A159,'Données projet'!$A$61:$I$81,5,0)*VLOOKUP('Données projet'!$B$10,Paramètres!$A$1:$I$89,7,0))</f>
        <v>0</v>
      </c>
      <c r="AS159" s="122" t="n">
        <f aca="false">IF(ISNA(VLOOKUP(A159,'Données projet'!$A$61:$I$81,6,0)),0%,VLOOKUP(A159,'Données projet'!$A$61:$I$81,6,0)*VLOOKUP('Données projet'!$B$10,Paramètres!$A$1:$I$89,7,0))</f>
        <v>0</v>
      </c>
      <c r="AT159" s="122" t="n">
        <f aca="false">IF(ISNA(VLOOKUP(A159,'Données projet'!$A$61:$I$81,7,0)),0%,VLOOKUP(A159,'Données projet'!$A$61:$I$81,7,0))</f>
        <v>0</v>
      </c>
      <c r="AU159" s="129" t="n">
        <f aca="false">EXP(-LN(2)/35)*AU158+(1-EXP(-LN(2)/35))/(LN(2)/35)*AQ159*AR159*VLOOKUP('Données projet'!$B$10,Paramètres!$A$1:$I$89,3,0)*0.475*44/12</f>
        <v>0.282536236245057</v>
      </c>
      <c r="AV159" s="129" t="n">
        <f aca="false">EXP(-LN(2)/25)*AV158+(1-EXP(-LN(2)/25))/(LN(2)/25)*Calculateur!AQ159*Calculateur!AS159*VLOOKUP('Données projet'!$B$10,Paramètres!$A$1:$I$89,3,0)*0.475*44/12</f>
        <v>0.401467458651839</v>
      </c>
      <c r="AW159" s="129" t="n">
        <f aca="false">EXP(-LN(2)/2)*AW158+(1-EXP(-LN(2)/2))/(LN(2)/2)*AQ159*AT159*VLOOKUP('Données projet'!$B$10,Paramètres!$A$1:$I$89,3,0)*0.475*44/12</f>
        <v>6.44348581183592E-019</v>
      </c>
      <c r="AX159" s="129" t="n">
        <f aca="false">SUM(AU159:AW159)</f>
        <v>0.684003694896896</v>
      </c>
      <c r="AY159" s="124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8" t="e">
        <f aca="false">VLOOKUP(A159,'Données projet'!$A$87:$I$107,2,0)</f>
        <v>#N/A</v>
      </c>
      <c r="BB159" s="118" t="e">
        <f aca="false">VLOOKUP(A159,'Données projet'!$A$87:$I$107,9,0)</f>
        <v>#N/A</v>
      </c>
      <c r="BC159" s="118" t="e">
        <f aca="false" t="array" ref="BC159:BC159">INDEX(BB:BB,MIN(IF(ISNUMBER(BB159:BB355),ROW(BB159:BB355),"")))</f>
        <v>#N/A</v>
      </c>
      <c r="BD159" s="118" t="n">
        <f aca="false">IF('Données projet'!$A$88&gt;35,BD158+BC159-BL158,IF(A159&lt;'Données projet'!$A$88,$BA$205^A159,IF(A159='Données projet'!$A$88,'Données projet'!$B$88,BD158+BC159-BL158)))</f>
        <v>1.98951966012828E-013</v>
      </c>
      <c r="BE159" s="117" t="n">
        <f aca="false">BD159*VLOOKUP('Données projet'!$B$11,Paramètres!$A$1:$I$89,3,0)*VLOOKUP('Données projet'!$B$11,Paramètres!$A$1:$I$89,5,0)</f>
        <v>1.73804437508807E-013</v>
      </c>
      <c r="BF159" s="117" t="n">
        <f aca="false">EXP(-1.0587+0.8836*LN(BE159)+0.284)</f>
        <v>2.44832936339505E-012</v>
      </c>
      <c r="BG159" s="128" t="n">
        <f aca="false">(BE159+BF159)*0.475*44/12</f>
        <v>4.56688303657421E-012</v>
      </c>
      <c r="BH159" s="120" t="n">
        <f aca="false">BG159+(AY159+AZ159)*44/12</f>
        <v>293.333333333338</v>
      </c>
      <c r="BI159" s="120" t="n">
        <f aca="true">AVERAGE(OFFSET($BH$3,0,0,'Données projet'!$E$11+1,1))-AVERAGE(OFFSET($H$3,0,0,'Données projet'!$E$11+1,1))</f>
        <v>321.235999689929</v>
      </c>
      <c r="BJ159" s="120" t="n">
        <f aca="false">$BJ$3</f>
        <v>388.051958478005</v>
      </c>
      <c r="BK159" s="121" t="n">
        <f aca="false">IF(ISNA(VLOOKUP(A159,'Données projet'!$A$87:$I$107,3,0)),0,VLOOKUP(A159,'Données projet'!$A$87:$I$107,3,0))</f>
        <v>0</v>
      </c>
      <c r="BL159" s="121" t="n">
        <f aca="false">IF(ISNA(VLOOKUP(A159,'Données projet'!$A$87:$I$107,4,0)),0,VLOOKUP(A159,'Données projet'!$A$87:$I$107,4,0))</f>
        <v>0</v>
      </c>
      <c r="BM159" s="122" t="n">
        <f aca="false">IF(ISNA(VLOOKUP(A159,'Données projet'!$A$87:$I$107,5,0)),0%,VLOOKUP(A159,'Données projet'!$A$87:$I$107,5,0)*VLOOKUP('Données projet'!$B$11,Paramètres!$A$1:$I$89,7,0))</f>
        <v>0</v>
      </c>
      <c r="BN159" s="122" t="n">
        <f aca="false">IF(ISNA(VLOOKUP(A159,'Données projet'!$A$87:$I$107,6,0)),0%,VLOOKUP(A159,'Données projet'!$A$87:$I$107,6,0)*VLOOKUP('Données projet'!$B$11,Paramètres!$A$1:$I$89,7,0))</f>
        <v>0</v>
      </c>
      <c r="BO159" s="122" t="n">
        <f aca="false">IF(ISNA(VLOOKUP(A159,'Données projet'!$A$87:$I$107,7,0)),0%,VLOOKUP(A159,'Données projet'!$A$87:$I$107,7,0))</f>
        <v>0</v>
      </c>
      <c r="BP159" s="129" t="n">
        <f aca="false">EXP(-LN(2)/35)*BP158+(1-EXP(-LN(2)/35))/(LN(2)/35)*BL159*BM159*VLOOKUP('Données projet'!$B$11,Paramètres!$A$1:$I$89,3,0)*0.475*44/12</f>
        <v>0.709341507416654</v>
      </c>
      <c r="BQ159" s="129" t="n">
        <f aca="false">EXP(-LN(2)/25)*BQ158+(1-EXP(-LN(2)/25))/(LN(2)/25)*Calculateur!BL159*Calculateur!BN159*VLOOKUP('Données projet'!$B$11,Paramètres!$A$1:$I$89,3,0)*0.475*44/12</f>
        <v>0.409794136099062</v>
      </c>
      <c r="BR159" s="129" t="n">
        <f aca="false">EXP(-LN(2)/2)*BR158+(1-EXP(-LN(2)/2))/(LN(2)/2)*BL159*BO159*VLOOKUP('Données projet'!$B$11,Paramètres!$A$1:$I$89,3,0)*0.475*44/12</f>
        <v>6.54966939765205E-019</v>
      </c>
      <c r="BS159" s="130" t="n">
        <f aca="false">SUM(BP159:BR159)</f>
        <v>1.11913564351572</v>
      </c>
      <c r="BT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8" t="e">
        <f aca="false">VLOOKUP(A159,'Données projet'!$A$113:$I$133,2,0)</f>
        <v>#N/A</v>
      </c>
      <c r="BW159" s="118" t="e">
        <f aca="false">VLOOKUP(A159,'Données projet'!$A$113:$I$133,9,0)</f>
        <v>#N/A</v>
      </c>
      <c r="BX159" s="118" t="e">
        <f aca="false" t="array" ref="BX159:BX159">INDEX(BW:BW,MIN(IF(ISNUMBER(BW159:BW355),ROW(BW159:BW355),"")))</f>
        <v>#N/A</v>
      </c>
      <c r="BY159" s="118" t="n">
        <f aca="false">IF('Données projet'!$A$114&gt;35,BY158+BX159-CG158,IF(A159&lt;'Données projet'!$A$114,$BV$205^A159,IF(A159='Données projet'!$A$114,'Données projet'!$B$114,BY158+BX159-CG158)))</f>
        <v>0</v>
      </c>
      <c r="BZ159" s="117" t="n">
        <f aca="false">BY159*VLOOKUP('Données projet'!$B$12,Paramètres!$A$1:$I$89,3,0)*VLOOKUP('Données projet'!$B$12,Paramètres!$A$1:$I$89,5,0)</f>
        <v>0</v>
      </c>
      <c r="CA159" s="117" t="e">
        <f aca="false">EXP(-1.0587+0.8836*LN(BZ159)+0.284)</f>
        <v>#VALUE!</v>
      </c>
      <c r="CB159" s="128" t="e">
        <f aca="false">(BZ159+CA159)*0.475*44/12</f>
        <v>#VALUE!</v>
      </c>
      <c r="CC159" s="120" t="e">
        <f aca="false">CB159+(BT159+BU159)*44/12</f>
        <v>#VALUE!</v>
      </c>
      <c r="CD159" s="120" t="n">
        <f aca="true">AVERAGE(OFFSET($CC$3,0,0,'Données projet'!$E$12+1,1))-AVERAGE(OFFSET($H$3,0,0,'Données projet'!$E$12+1,1))</f>
        <v>240.228848647662</v>
      </c>
      <c r="CE159" s="120" t="n">
        <f aca="false">$CE$3</f>
        <v>343.237768841432</v>
      </c>
      <c r="CF159" s="121" t="n">
        <f aca="false">IF(ISNA(VLOOKUP(A159,'Données projet'!$A$113:$I$133,3,0)),0,VLOOKUP(A159,'Données projet'!$A$113:$I$133,3,0))</f>
        <v>0</v>
      </c>
      <c r="CG159" s="121" t="n">
        <f aca="false">IF(ISNA(VLOOKUP(A159,'Données projet'!$A$113:$I$133,4,0)),0,VLOOKUP(A159,'Données projet'!$A$113:$I$133,4,0))</f>
        <v>0</v>
      </c>
      <c r="CH159" s="122" t="n">
        <f aca="false">IF(ISNA(VLOOKUP(A159,'Données projet'!$A$113:$I$133,5,0)),0%,VLOOKUP(A159,'Données projet'!$A$113:$I$133,5,0)*VLOOKUP('Données projet'!$B$12,Paramètres!$A$1:$I$89,7,0))</f>
        <v>0</v>
      </c>
      <c r="CI159" s="122" t="n">
        <f aca="false">IF(ISNA(VLOOKUP(A159,'Données projet'!$A$113:$I$133,6,0)),0%,VLOOKUP(A159,'Données projet'!$A$113:$I$133,6,0)*VLOOKUP('Données projet'!$B$12,Paramètres!$A$1:$I$89,7,0))</f>
        <v>0</v>
      </c>
      <c r="CJ159" s="122" t="n">
        <f aca="false">IF(ISNA(VLOOKUP(A159,'Données projet'!$A$113:$I$133,7,0)),0%,VLOOKUP(A159,'Données projet'!$A$113:$I$133,7,0))</f>
        <v>0</v>
      </c>
      <c r="CK159" s="129" t="n">
        <f aca="false">EXP(-LN(2)/35)*CK158+(1-EXP(-LN(2)/35))/(LN(2)/35)*CG159*CH159*VLOOKUP('Données projet'!$B$12,Paramètres!$A$1:$I$89,3,0)*0.475*44/12</f>
        <v>0.43417226518117</v>
      </c>
      <c r="CL159" s="129" t="n">
        <f aca="false">EXP(-LN(2)/25)*CL158+(1-EXP(-LN(2)/25))/(LN(2)/25)*Calculateur!CG159*Calculateur!CI159*VLOOKUP('Données projet'!$B$12,Paramètres!$A$1:$I$89,3,0)*0.475*44/12</f>
        <v>0.723720167287045</v>
      </c>
      <c r="CM159" s="129" t="n">
        <f aca="false">EXP(-LN(2)/2)*CM158+(1-EXP(-LN(2)/2))/(LN(2)/2)*CG159*CJ159*VLOOKUP('Données projet'!$B$12,Paramètres!$A$1:$I$89,3,0)*0.475*44/12</f>
        <v>1.04515262177921E-018</v>
      </c>
      <c r="CN159" s="130" t="n">
        <f aca="false">SUM(CK159:CM159)</f>
        <v>1.15789243246821</v>
      </c>
      <c r="CO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8" t="e">
        <f aca="false">VLOOKUP(A159,'Données projet'!$A$139:$I$159,2,0)</f>
        <v>#N/A</v>
      </c>
      <c r="CR159" s="118" t="e">
        <f aca="false">VLOOKUP(A159,'Données projet'!$A$139:$I$159,9,0)</f>
        <v>#N/A</v>
      </c>
      <c r="CS159" s="118" t="e">
        <f aca="false" t="array" ref="CS159:CS159">INDEX(CR:CR,MIN(IF(ISNUMBER(CR159:CR355),ROW(CR159:CR355),"")))</f>
        <v>#N/A</v>
      </c>
      <c r="CT159" s="118" t="n">
        <f aca="false">IF('Données projet'!$A$140&gt;35,CT158+CS159-DB158,IF(A159&lt;'Données projet'!$A$140,$CQ$205^A159,IF(A159='Données projet'!$A$140,'Données projet'!$B$140,CT158+CS159-DB158)))</f>
        <v>-5.6843418860808E-014</v>
      </c>
      <c r="CU159" s="125" t="n">
        <f aca="false">CT159*VLOOKUP('Données projet'!$B$13,Paramètres!$A$1:$I$89,3,0)*VLOOKUP('Données projet'!$B$13,Paramètres!$A$1:$I$89,5,0)</f>
        <v>-3.10365066980012E-014</v>
      </c>
      <c r="CV159" s="117" t="e">
        <f aca="false">EXP(-1.0587+0.8836*LN(CU159)+0.284)</f>
        <v>#VALUE!</v>
      </c>
      <c r="CW159" s="128" t="e">
        <f aca="false">(CU159+CV159)*0.475*44/12</f>
        <v>#VALUE!</v>
      </c>
      <c r="CX159" s="120" t="e">
        <f aca="false">CW159+(CO159+CP159)*44/12</f>
        <v>#VALUE!</v>
      </c>
      <c r="CY159" s="120" t="n">
        <f aca="true">AVERAGE(OFFSET($CX$3,0,0,'Données projet'!$E$13+1,1))-AVERAGE(OFFSET($H$3,0,0,'Données projet'!$E$13+1,1))</f>
        <v>207.023069645676</v>
      </c>
      <c r="CZ159" s="120" t="n">
        <f aca="false">$CZ$3</f>
        <v>342.068879333518</v>
      </c>
      <c r="DA159" s="121" t="n">
        <f aca="false">IF(ISNA(VLOOKUP(A159,'Données projet'!$A$139:$I$159,3,0)),0,VLOOKUP(A159,'Données projet'!$A$139:$I$159,3,0))</f>
        <v>0</v>
      </c>
      <c r="DB159" s="121" t="n">
        <f aca="false">IF(ISNA(VLOOKUP(A159,'Données projet'!$A$139:$I$159,4,0)),0,VLOOKUP(A159,'Données projet'!$A$139:$I$159,4,0))</f>
        <v>0</v>
      </c>
      <c r="DC159" s="122" t="n">
        <f aca="false">IF(ISNA(VLOOKUP(A159,'Données projet'!$A$139:$I$159,5,0)),0%,VLOOKUP(A159,'Données projet'!$A$139:$I$159,5,0)*VLOOKUP('Données projet'!$B$13,Paramètres!$A$1:$I$89,7,0))</f>
        <v>0</v>
      </c>
      <c r="DD159" s="122" t="n">
        <f aca="false">IF(ISNA(VLOOKUP(A159,'Données projet'!$A$139:$I$159,6,0)),0%,VLOOKUP(A159,'Données projet'!$A$139:$I$159,6,0)*VLOOKUP('Données projet'!$B$13,Paramètres!$A$1:$I$89,7,0))</f>
        <v>0</v>
      </c>
      <c r="DE159" s="122" t="n">
        <f aca="false">IF(ISNA(VLOOKUP(A159,'Données projet'!$A$139:$I$159,7,0)),0%,VLOOKUP(A159,'Données projet'!$A$139:$I$159,7,0))</f>
        <v>0</v>
      </c>
      <c r="DF159" s="129" t="n">
        <f aca="false">EXP(-LN(2)/35)*DF158+(1-EXP(-LN(2)/35))/(LN(2)/35)*DB159*DC159*VLOOKUP('Données projet'!$B$13,Paramètres!$A$1:$I$89,3,0)*0.475*44/12</f>
        <v>0.544763313859392</v>
      </c>
      <c r="DG159" s="129" t="n">
        <f aca="false">EXP(-LN(2)/25)*DG158+(1-EXP(-LN(2)/25))/(LN(2)/25)*Calculateur!DB159*Calculateur!DD159*VLOOKUP('Données projet'!$B$13,Paramètres!$A$1:$I$89,3,0)*0.475*44/12</f>
        <v>1.18298105215112</v>
      </c>
      <c r="DH159" s="129" t="n">
        <f aca="false">EXP(-LN(2)/2)*DH158+(1-EXP(-LN(2)/2))/(LN(2)/2)*DB159*DE159*VLOOKUP('Données projet'!$B$13,Paramètres!$A$1:$I$89,3,0)*0.475*44/12</f>
        <v>1.43917564474905E-018</v>
      </c>
      <c r="DI159" s="130" t="n">
        <f aca="false">SUM(DF159:DH159)</f>
        <v>1.72774436601051</v>
      </c>
      <c r="DJ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8" t="e">
        <f aca="false">VLOOKUP(A159,'Données projet'!$A$165:$I$185,2,0)</f>
        <v>#N/A</v>
      </c>
      <c r="DM159" s="118" t="e">
        <f aca="false">VLOOKUP(A159,'Données projet'!$A$165:$I$185,9,0)</f>
        <v>#N/A</v>
      </c>
      <c r="DN159" s="118" t="e">
        <f aca="false" t="array" ref="DN159:DN159">INDEX(DM:DM,MIN(IF(ISNUMBER(DM159:DM355),ROW(DM159:DM355),"")))</f>
        <v>#N/A</v>
      </c>
      <c r="DO159" s="118" t="n">
        <f aca="false">IF('Données projet'!$A$166&gt;35,DO158+DN159-DW158,IF(A159&lt;'Données projet'!$A$166,$DL$205^A159,IF(A159='Données projet'!$A$166,'Données projet'!$B$166,DO158+DN159-DW158)))</f>
        <v>0</v>
      </c>
      <c r="DP159" s="125" t="n">
        <f aca="false">DO159*VLOOKUP('Données projet'!$B$14,Paramètres!$A$1:$I$89,3,0)*VLOOKUP('Données projet'!$B$14,Paramètres!$A$1:$I$89,5,0)</f>
        <v>0</v>
      </c>
      <c r="DQ159" s="117" t="e">
        <f aca="false">EXP(-1.0587+0.8836*LN(DP159)+0.284)</f>
        <v>#VALUE!</v>
      </c>
      <c r="DR159" s="128" t="e">
        <f aca="false">(DP159+DQ159)*0.475*44/12</f>
        <v>#VALUE!</v>
      </c>
      <c r="DS159" s="120" t="e">
        <f aca="false">DR159+(DJ159+DK159)*44/12</f>
        <v>#VALUE!</v>
      </c>
      <c r="DT159" s="120" t="n">
        <f aca="true">AVERAGE(OFFSET($DS$3,0,0,'Données projet'!$E$14+1,1))-AVERAGE(OFFSET($H$3,0,0,'Données projet'!$E$14+1,1))</f>
        <v>549.432320957297</v>
      </c>
      <c r="DU159" s="120" t="n">
        <f aca="false">$DU$3</f>
        <v>280.26155987301</v>
      </c>
      <c r="DV159" s="121" t="n">
        <f aca="false">IF(ISNA(VLOOKUP(A159,'Données projet'!$A$165:$I$185,3,0)),0,VLOOKUP(A159,'Données projet'!$A$165:$I$185,3,0))</f>
        <v>0</v>
      </c>
      <c r="DW159" s="121" t="n">
        <f aca="false">IF(ISNA(VLOOKUP(A159,'Données projet'!$A$165:$I$185,4,0)),0,VLOOKUP(A159,'Données projet'!$A$165:$I$185,4,0))</f>
        <v>0</v>
      </c>
      <c r="DX159" s="122" t="n">
        <f aca="false">IF(ISNA(VLOOKUP(A159,'Données projet'!$A$165:$I$185,5,0)),0%,VLOOKUP(A159,'Données projet'!$A$165:$I$185,5,0)*VLOOKUP('Données projet'!$B$14,Paramètres!$A$1:$I$89,7,0))</f>
        <v>0</v>
      </c>
      <c r="DY159" s="122" t="n">
        <f aca="false">IF(ISNA(VLOOKUP(A159,'Données projet'!$A$165:$I$185,6,0)),0%,VLOOKUP(A159,'Données projet'!$A$165:$I$185,6,0)*VLOOKUP('Données projet'!$B$14,Paramètres!$A$1:$I$89,7,0))</f>
        <v>0</v>
      </c>
      <c r="DZ159" s="122" t="n">
        <f aca="false">IF(ISNA(VLOOKUP(A159,'Données projet'!$A$165:$I$185,7,0)),0%,VLOOKUP(A159,'Données projet'!$A$165:$I$185,7,0))</f>
        <v>0</v>
      </c>
      <c r="EA159" s="129" t="n">
        <f aca="false">EXP(-LN(2)/35)*EA158+(1-EXP(-LN(2)/35))/(LN(2)/35)*DW159*DX159*VLOOKUP('Données projet'!$B$14,Paramètres!$A$1:$I$89,3,0)*0.475*44/12</f>
        <v>0.198075333484309</v>
      </c>
      <c r="EB159" s="129" t="n">
        <f aca="false">EXP(-LN(2)/25)*EB158+(1-EXP(-LN(2)/25))/(LN(2)/25)*Calculateur!DW159*Calculateur!DY159*VLOOKUP('Données projet'!$B$14,Paramètres!$A$1:$I$89,3,0)*0.475*44/12</f>
        <v>0.235673165394434</v>
      </c>
      <c r="EC159" s="129" t="n">
        <f aca="false">EXP(-LN(2)/2)*EC158+(1-EXP(-LN(2)/2))/(LN(2)/2)*DW159*DZ159*VLOOKUP('Données projet'!$B$14,Paramètres!$A$1:$I$89,3,0)*0.475*44/12</f>
        <v>6.63430306194839E-019</v>
      </c>
      <c r="ED159" s="130" t="n">
        <f aca="false">SUM(EA159:EC159)</f>
        <v>0.433748498878743</v>
      </c>
      <c r="EE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8" t="e">
        <f aca="false">VLOOKUP(A159,'Données projet'!$A$191:$I$211,2,0)</f>
        <v>#N/A</v>
      </c>
      <c r="EH159" s="118" t="e">
        <f aca="false">VLOOKUP(A159,'Données projet'!$A$191:$I$211,9,0)</f>
        <v>#N/A</v>
      </c>
      <c r="EI159" s="118" t="e">
        <f aca="false" t="array" ref="EI159:EI159">INDEX(EH:EH,MIN(IF(ISNUMBER(EH159:EH355),ROW(EH159:EH355),"")))</f>
        <v>#N/A</v>
      </c>
      <c r="EJ159" s="118" t="n">
        <f aca="false">IF('Données projet'!$A$192&gt;35,EJ158+EI159-ER158,IF(A159&lt;'Données projet'!$A$192,$EG$205^A159,IF(A159='Données projet'!$A$192,'Données projet'!$B$192,EJ158+EI159-ER158)))</f>
        <v>0</v>
      </c>
      <c r="EK159" s="125" t="e">
        <f aca="false">EJ159*VLOOKUP('Données projet'!$B$15,Paramètres!$A$1:$I$89,3,0)*VLOOKUP('Données projet'!$B$15,Paramètres!$A$1:$I$89,5,0)</f>
        <v>#N/A</v>
      </c>
      <c r="EL159" s="117" t="e">
        <f aca="false">EXP(-1.0587+0.8836*LN(EK159)+0.284)</f>
        <v>#N/A</v>
      </c>
      <c r="EM159" s="128" t="e">
        <f aca="false">(EK159+EL159)*0.475*44/12</f>
        <v>#N/A</v>
      </c>
      <c r="EN159" s="120" t="e">
        <f aca="false">EM159+(EE159+EF159)*44/12</f>
        <v>#N/A</v>
      </c>
      <c r="EO159" s="120" t="e">
        <f aca="true">AVERAGE(OFFSET($EN$3,0,0,'Données projet'!$E$15+1,1))-AVERAGE(OFFSET($H$3,0,0,'Données projet'!$E$15+1,1))</f>
        <v>#N/A</v>
      </c>
      <c r="EP159" s="120" t="e">
        <f aca="false">$EP$3</f>
        <v>#N/A</v>
      </c>
      <c r="EQ159" s="121" t="n">
        <f aca="false">IF(ISNA(VLOOKUP(A159,'Données projet'!$A$191:$I$211,3,0)),0,VLOOKUP(A159,'Données projet'!$A$191:$I$211,3,0))</f>
        <v>0</v>
      </c>
      <c r="ER159" s="121" t="n">
        <f aca="false">IF(ISNA(VLOOKUP(A159,'Données projet'!$A$191:$I$211,4,0)),0,VLOOKUP(A159,'Données projet'!$A$191:$I$211,4,0))</f>
        <v>0</v>
      </c>
      <c r="ES159" s="122" t="n">
        <f aca="false">IF(ISNA(VLOOKUP(A159,'Données projet'!$A$191:$I$211,5,0)),0%,VLOOKUP(A159,'Données projet'!$A$191:$I$211,5,0)*VLOOKUP('Données projet'!$B$15,Paramètres!$A$1:$I$89,7,0))</f>
        <v>0</v>
      </c>
      <c r="ET159" s="122" t="n">
        <f aca="false">IF(ISNA(VLOOKUP(A159,'Données projet'!$A$191:$I$211,6,0)),0%,VLOOKUP(A159,'Données projet'!$A$191:$I$211,6,0)*VLOOKUP('Données projet'!$B$15,Paramètres!$A$1:$I$89,7,0))</f>
        <v>0</v>
      </c>
      <c r="EU159" s="122" t="n">
        <f aca="false">IF(ISNA(VLOOKUP(A159,'Données projet'!$A$191:$I$211,7,0)),0%,VLOOKUP(A159,'Données projet'!$A$191:$I$211,7,0))</f>
        <v>0</v>
      </c>
      <c r="EV159" s="129" t="e">
        <f aca="false">EXP(-LN(2)/35)*EV158+(1-EXP(-LN(2)/35))/(LN(2)/35)*ER159*ES159*VLOOKUP('Données projet'!$B$15,Paramètres!$A$1:$I$89,3,0)*0.475*44/12</f>
        <v>#N/A</v>
      </c>
      <c r="EW159" s="129" t="e">
        <f aca="false">EXP(-LN(2)/25)*EW158+(1-EXP(-LN(2)/25))/(LN(2)/25)*Calculateur!ER159*Calculateur!ET159*VLOOKUP('Données projet'!$B$15,Paramètres!$A$1:$I$89,3,0)*0.475*44/12</f>
        <v>#N/A</v>
      </c>
      <c r="EX159" s="129" t="e">
        <f aca="false">EXP(-LN(2)/2)*EX158+(1-EXP(-LN(2)/2))/(LN(2)/2)*ER159*EU159*VLOOKUP('Données projet'!$B$15,Paramètres!$A$1:$I$89,3,0)*0.475*44/12</f>
        <v>#N/A</v>
      </c>
      <c r="EY159" s="130" t="e">
        <f aca="false">SUM(EV159:EX159)</f>
        <v>#N/A</v>
      </c>
      <c r="EZ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8" t="e">
        <f aca="false">VLOOKUP(A159,'Données projet'!$A$217:$I$237,2,0)</f>
        <v>#N/A</v>
      </c>
      <c r="FC159" s="118" t="e">
        <f aca="false">VLOOKUP(A159,'Données projet'!$A$217:$I$237,9,0)</f>
        <v>#N/A</v>
      </c>
      <c r="FD159" s="118" t="e">
        <f aca="false" t="array" ref="FD159:FD159">INDEX(FC:FC,MIN(IF(ISNUMBER(FC159:FC355),ROW(FC159:FC355),"")))</f>
        <v>#N/A</v>
      </c>
      <c r="FE159" s="118" t="n">
        <f aca="false">IF('Données projet'!$A$218&gt;35,FE158+FD159-FM158,IF(A159&lt;'Données projet'!$A$218,$FB$205^A159,IF(A159='Données projet'!$A$218,'Données projet'!$B$218,FE158+FD159-FM158)))</f>
        <v>0</v>
      </c>
      <c r="FF159" s="125" t="e">
        <f aca="false">FE159*VLOOKUP('Données projet'!$B$16,Paramètres!$A$1:$I$89,3,0)*VLOOKUP('Données projet'!$B$16,Paramètres!$A$1:$I$89,5,0)</f>
        <v>#N/A</v>
      </c>
      <c r="FG159" s="117" t="e">
        <f aca="false">EXP(-1.0587+0.8836*LN(FF159)+0.284)</f>
        <v>#N/A</v>
      </c>
      <c r="FH159" s="128" t="e">
        <f aca="false">(FF159+FG159)*0.475*44/12</f>
        <v>#N/A</v>
      </c>
      <c r="FI159" s="120" t="e">
        <f aca="false">FH159+(EZ159+FA159)*44/12</f>
        <v>#N/A</v>
      </c>
      <c r="FJ159" s="120" t="e">
        <f aca="true">AVERAGE(OFFSET($FI$3,0,0,'Données projet'!$E$16+1,1))-AVERAGE(OFFSET($H$3,0,0,'Données projet'!$E$16+1,1))</f>
        <v>#N/A</v>
      </c>
      <c r="FK159" s="120" t="e">
        <f aca="false">$FK$3</f>
        <v>#N/A</v>
      </c>
      <c r="FL159" s="121" t="n">
        <f aca="false">IF(ISNA(VLOOKUP(A159,'Données projet'!$A$217:$I$237,3,0)),0,VLOOKUP(A159,'Données projet'!$A$217:$I$237,3,0))</f>
        <v>0</v>
      </c>
      <c r="FM159" s="121" t="n">
        <f aca="false">IF(ISNA(VLOOKUP(A159,'Données projet'!$A$217:$I$237,4,0)),0,VLOOKUP(A159,'Données projet'!$A$217:$I$237,4,0))</f>
        <v>0</v>
      </c>
      <c r="FN159" s="122" t="n">
        <f aca="false">IF(ISNA(VLOOKUP(A159,'Données projet'!$A$217:$I$237,5,0)),0%,VLOOKUP(A159,'Données projet'!$A$217:$I$237,5,0)*VLOOKUP('Données projet'!$B$16,Paramètres!$A$1:$I$89,7,0))</f>
        <v>0</v>
      </c>
      <c r="FO159" s="122" t="n">
        <f aca="false">IF(ISNA(VLOOKUP(A159,'Données projet'!$A$217:$I$237,6,0)),0%,VLOOKUP(A159,'Données projet'!$A$217:$I$237,6,0)*VLOOKUP('Données projet'!$B$16,Paramètres!$A$1:$I$89,7,0))</f>
        <v>0</v>
      </c>
      <c r="FP159" s="122" t="n">
        <f aca="false">IF(ISNA(VLOOKUP(A159,'Données projet'!$A$217:$I$237,7,0)),0%,VLOOKUP(A159,'Données projet'!$A$217:$I$237,7,0))</f>
        <v>0</v>
      </c>
      <c r="FQ159" s="129" t="e">
        <f aca="false">EXP(-LN(2)/35)*FQ158+(1-EXP(-LN(2)/35))/(LN(2)/35)*FM159*FN159*VLOOKUP('Données projet'!$B$16,Paramètres!$A$1:$I$89,3,0)*0.475*44/12</f>
        <v>#N/A</v>
      </c>
      <c r="FR159" s="129" t="e">
        <f aca="false">EXP(-LN(2)/25)*FR158+(1-EXP(-LN(2)/25))/(LN(2)/25)*Calculateur!FM159*Calculateur!FO159*VLOOKUP('Données projet'!$B$16,Paramètres!$A$1:$I$89,3,0)*0.475*44/12</f>
        <v>#N/A</v>
      </c>
      <c r="FS159" s="129" t="e">
        <f aca="false">EXP(-LN(2)/2)*FS158+(1-EXP(-LN(2)/2))/(LN(2)/2)*FM159*FP159*VLOOKUP('Données projet'!$B$16,Paramètres!$A$1:$I$89,3,0)*0.475*44/12</f>
        <v>#N/A</v>
      </c>
      <c r="FT159" s="130" t="e">
        <f aca="false">SUM(FQ159:FS159)</f>
        <v>#N/A</v>
      </c>
      <c r="FU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8" t="e">
        <f aca="false">VLOOKUP(A159,'Données projet'!$A$243:$I$263,2,0)</f>
        <v>#N/A</v>
      </c>
      <c r="FX159" s="118" t="e">
        <f aca="false">VLOOKUP(A159,'Données projet'!$A$243:$I$263,9,0)</f>
        <v>#N/A</v>
      </c>
      <c r="FY159" s="118" t="e">
        <f aca="false" t="array" ref="FY159:FY159">INDEX(FX:FX,MIN(IF(ISNUMBER(FX159:FX355),ROW(FX159:FX355),"")))</f>
        <v>#N/A</v>
      </c>
      <c r="FZ159" s="118" t="n">
        <f aca="false">IF('Données projet'!$A$244&gt;35,FZ158+FY159-GH158,IF(A159&lt;'Données projet'!$A$244,$FW$205^A159,IF(A159='Données projet'!$A$244,'Données projet'!$B$244,FZ158+FY159-GH158)))</f>
        <v>0</v>
      </c>
      <c r="GA159" s="125" t="e">
        <f aca="false">FZ159*VLOOKUP('Données projet'!$B$17,Paramètres!$A$1:$I$89,3,0)*VLOOKUP('Données projet'!$B$17,Paramètres!$A$1:$I$89,5,0)</f>
        <v>#N/A</v>
      </c>
      <c r="GB159" s="117" t="e">
        <f aca="false">EXP(-1.0587+0.8836*LN(GA159)+0.284)</f>
        <v>#N/A</v>
      </c>
      <c r="GC159" s="128" t="e">
        <f aca="false">(GA159+GB159)*0.475*44/12</f>
        <v>#N/A</v>
      </c>
      <c r="GD159" s="120" t="e">
        <f aca="false">GC159+(FU159+FV159)*44/12</f>
        <v>#N/A</v>
      </c>
      <c r="GE159" s="120" t="e">
        <f aca="true">AVERAGE(OFFSET($GD$3,0,0,'Données projet'!$E$17+1,1))-AVERAGE(OFFSET($H$3,0,0,'Données projet'!$E$17+1,1))</f>
        <v>#N/A</v>
      </c>
      <c r="GF159" s="120" t="e">
        <f aca="false">$GF$3</f>
        <v>#N/A</v>
      </c>
      <c r="GG159" s="121" t="n">
        <f aca="false">IF(ISNA(VLOOKUP(A159,'Données projet'!$A$243:$I$263,3,0)),0,VLOOKUP(A159,'Données projet'!$A$243:$I$263,3,0))</f>
        <v>0</v>
      </c>
      <c r="GH159" s="121" t="n">
        <f aca="false">IF(ISNA(VLOOKUP(A159,'Données projet'!$A$243:$I$263,4,0)),0,VLOOKUP(A159,'Données projet'!$A$243:$I$263,4,0))</f>
        <v>0</v>
      </c>
      <c r="GI159" s="122" t="n">
        <f aca="false">IF(ISNA(VLOOKUP(A159,'Données projet'!$A$243:$I$263,5,0)),0%,VLOOKUP(A159,'Données projet'!$A$243:$I$263,5,0)*VLOOKUP('Données projet'!$B$17,Paramètres!$A$1:$I$89,7,0))</f>
        <v>0</v>
      </c>
      <c r="GJ159" s="122" t="n">
        <f aca="false">IF(ISNA(VLOOKUP(A159,'Données projet'!$A$243:$I$263,6,0)),0%,VLOOKUP(A159,'Données projet'!$A$243:$I$263,6,0)*VLOOKUP('Données projet'!$B$17,Paramètres!$A$1:$I$89,7,0))</f>
        <v>0</v>
      </c>
      <c r="GK159" s="122" t="n">
        <f aca="false">IF(ISNA(VLOOKUP(A159,'Données projet'!$A$243:$I$263,7,0)),0%,VLOOKUP(A159,'Données projet'!$A$243:$I$263,7,0))</f>
        <v>0</v>
      </c>
      <c r="GL159" s="129" t="e">
        <f aca="false">EXP(-LN(2)/35)*GL158+(1-EXP(-LN(2)/35))/(LN(2)/35)*GH159*GI159*VLOOKUP('Données projet'!$B$17,Paramètres!$A$1:$I$89,3,0)*0.475*44/12</f>
        <v>#N/A</v>
      </c>
      <c r="GM159" s="129" t="e">
        <f aca="false">EXP(-LN(2)/25)*GM158+(1-EXP(-LN(2)/25))/(LN(2)/25)*Calculateur!GH159*Calculateur!GJ159*VLOOKUP('Données projet'!$B$17,Paramètres!$A$1:$I$89,3,0)*0.475*44/12</f>
        <v>#N/A</v>
      </c>
      <c r="GN159" s="129" t="e">
        <f aca="false">EXP(-LN(2)/2)*GN158+(1-EXP(-LN(2)/2))/(LN(2)/2)*GH159*GK159*VLOOKUP('Données projet'!$B$17,Paramètres!$A$1:$I$89,3,0)*0.475*44/12</f>
        <v>#N/A</v>
      </c>
      <c r="GO159" s="129" t="e">
        <f aca="false">SUM(GL159:GN159)</f>
        <v>#N/A</v>
      </c>
      <c r="GP159" s="126" t="n">
        <f aca="false"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8" t="n">
        <f aca="false"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8" t="e">
        <f aca="false">VLOOKUP(A159,'Données projet'!$A$269:$I$289,2,0)</f>
        <v>#N/A</v>
      </c>
      <c r="GS159" s="118" t="e">
        <f aca="false">VLOOKUP(A159,'Données projet'!$A$269:$I$289,9,0)</f>
        <v>#N/A</v>
      </c>
      <c r="GT159" s="118" t="e">
        <f aca="false" t="array" ref="GT159:GT159">INDEX(GS:GS,MIN(IF(ISNUMBER(GS159:GS355),ROW(GS159:GS355),"")))</f>
        <v>#N/A</v>
      </c>
      <c r="GU159" s="118" t="n">
        <f aca="false">IF('Données projet'!$A$270&gt;35,GU158+GT159-HC158,IF(A159&lt;'Données projet'!$A$270,$GR$205^A159,IF(A159='Données projet'!$A$270,'Données projet'!$B$270,GU158+GT159-HC158)))</f>
        <v>0</v>
      </c>
      <c r="GV159" s="125" t="e">
        <f aca="false">GU159*VLOOKUP('Données projet'!$B$18,Paramètres!$A$1:$I$89,3,0)*VLOOKUP('Données projet'!$B$18,Paramètres!$A$1:$I$89,5,0)</f>
        <v>#N/A</v>
      </c>
      <c r="GW159" s="117" t="e">
        <f aca="false">EXP(-1.0587+0.8836*LN(GV159)+0.284)</f>
        <v>#N/A</v>
      </c>
      <c r="GX159" s="128" t="e">
        <f aca="false">(GV159+GW159)*0.475*44/12</f>
        <v>#N/A</v>
      </c>
      <c r="GY159" s="120" t="e">
        <f aca="false">GX159+(GP159+GQ159)*44/12</f>
        <v>#N/A</v>
      </c>
      <c r="GZ159" s="120" t="e">
        <f aca="true">AVERAGE(OFFSET($GY$3,0,0,'Données projet'!$E$18+1,1))-AVERAGE(OFFSET($H$3,0,0,'Données projet'!$E$18+1,1))</f>
        <v>#N/A</v>
      </c>
      <c r="HA159" s="120" t="e">
        <f aca="false">$HA$3</f>
        <v>#N/A</v>
      </c>
      <c r="HB159" s="121" t="n">
        <f aca="false">IF(ISNA(VLOOKUP(A159,'Données projet'!$A$269:$I$289,3,0)),0,VLOOKUP(A159,'Données projet'!$A$269:$I$289,3,0))</f>
        <v>0</v>
      </c>
      <c r="HC159" s="121" t="n">
        <f aca="false">IF(ISNA(VLOOKUP(A159,'Données projet'!$A$269:$I$289,4,0)),0,VLOOKUP(A159,'Données projet'!$A$269:$I$289,4,0))</f>
        <v>0</v>
      </c>
      <c r="HD159" s="122" t="n">
        <f aca="false">IF(ISNA(VLOOKUP(A159,'Données projet'!$A$269:$I$289,5,0)),0%,VLOOKUP(A159,'Données projet'!$A$269:$I$289,5,0)*VLOOKUP('Données projet'!$B$18,Paramètres!$A$1:$I$89,7,0))</f>
        <v>0</v>
      </c>
      <c r="HE159" s="122" t="n">
        <f aca="false">IF(ISNA(VLOOKUP(A159,'Données projet'!$A$269:$I$289,6,0)),0%,VLOOKUP(A159,'Données projet'!$A$269:$I$289,6,0)*VLOOKUP('Données projet'!$B$18,Paramètres!$A$1:$I$89,7,0))</f>
        <v>0</v>
      </c>
      <c r="HF159" s="122" t="n">
        <f aca="false">IF(ISNA(VLOOKUP(A159,'Données projet'!$A$269:$I$289,7,0)),0%,VLOOKUP(A159,'Données projet'!$A$269:$I$289,7,0))</f>
        <v>0</v>
      </c>
      <c r="HG159" s="129" t="e">
        <f aca="false">EXP(-LN(2)/35)*HG158+(1-EXP(-LN(2)/35))/(LN(2)/35)*HC159*HD159*VLOOKUP('Données projet'!$B$18,Paramètres!$A$1:$I$89,3,0)*0.475*44/12</f>
        <v>#N/A</v>
      </c>
      <c r="HH159" s="129" t="e">
        <f aca="false">EXP(-LN(2)/25)*HH158+(1-EXP(-LN(2)/25))/(LN(2)/25)*Calculateur!HC159*Calculateur!HE159*VLOOKUP('Données projet'!$B$18,Paramètres!$A$1:$I$89,3,0)*0.475*44/12</f>
        <v>#N/A</v>
      </c>
      <c r="HI159" s="129" t="e">
        <f aca="false">EXP(-LN(2)/2)*HI158+(1-EXP(-LN(2)/2))/(LN(2)/2)*HC159*HF159*VLOOKUP('Données projet'!$B$18,Paramètres!$A$1:$I$89,3,0)*0.475*44/12</f>
        <v>#N/A</v>
      </c>
      <c r="HJ159" s="130" t="e">
        <f aca="false">SUM(HG159:HI159)</f>
        <v>#N/A</v>
      </c>
    </row>
    <row r="160" customFormat="false" ht="14.25" hidden="false" customHeight="false" outlineLevel="0" collapsed="false">
      <c r="A160" s="112" t="n">
        <f aca="false">A159+1</f>
        <v>157</v>
      </c>
      <c r="B160" s="113" t="n">
        <f aca="false">'Scénario référence'!$B$16*5+'Scénario référence'!$B$17*0+'Scénario référence'!$B$18*5</f>
        <v>0</v>
      </c>
      <c r="C160" s="127" t="n">
        <f aca="false"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4" t="n">
        <f aca="false">IFERROR(EXP(-1.0587+0.8836*LN(C160)+0.284),0)</f>
        <v>0</v>
      </c>
      <c r="E16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0" s="114" t="n">
        <f aca="false">IF(OR('Scénario référence'!$F$8&gt;0,'Scénario référence'!$F$9&gt;0),('Scénario référence'!$F$8+'Scénario référence'!$F$9)*10,0)</f>
        <v>0</v>
      </c>
      <c r="G160" s="114" t="n">
        <f aca="false"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15" t="n">
        <f aca="false">(B160+E160+F160)*44/12+(C160+D160)*0.475*44/12</f>
        <v>256.666666666667</v>
      </c>
      <c r="I160" s="11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7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8" t="e">
        <f aca="false">VLOOKUP(A160,'Données projet'!$A$35:$I$55,2,0)</f>
        <v>#N/A</v>
      </c>
      <c r="L160" s="118" t="e">
        <f aca="false">VLOOKUP(A160,'Données projet'!$A$35:$I$55,9,0)</f>
        <v>#N/A</v>
      </c>
      <c r="M160" s="118" t="e">
        <f aca="false" t="array" ref="M160:M160">INDEX(L:L,MIN(IF(ISNUMBER(L160:L356),ROW(L160:L356),"")))</f>
        <v>#N/A</v>
      </c>
      <c r="N160" s="117" t="n">
        <f aca="false">IF('Données projet'!$A$36&gt;35,N159+M160-V159,IF(A160&lt;'Données projet'!$A$36,$K$205^A160,IF(A160='Données projet'!$A$36,'Données projet'!$B$36,N159+M160-V159)))</f>
        <v>-1.13686837721616E-013</v>
      </c>
      <c r="O160" s="117" t="n">
        <f aca="false">N160*VLOOKUP('Données projet'!$B$9,Paramètres!$A$1:$I$89,3,0)*VLOOKUP('Données projet'!$B$9,Paramètres!$A$1:$I$89,5,0)</f>
        <v>-5.32054400537163E-014</v>
      </c>
      <c r="P160" s="117" t="e">
        <f aca="false">EXP(-1.0587+0.8836*LN(O160)+0.284)</f>
        <v>#VALUE!</v>
      </c>
      <c r="Q160" s="128" t="e">
        <f aca="false">(O160+P160)*0.475*44/12</f>
        <v>#VALUE!</v>
      </c>
      <c r="R160" s="120" t="e">
        <f aca="false">Q160+(I160+J160)*44/12</f>
        <v>#VALUE!</v>
      </c>
      <c r="S160" s="120" t="n">
        <f aca="true">AVERAGE(OFFSET($R$3,0,0,'Données projet'!$E$9+1,1))-AVERAGE(OFFSET($H$3,0,0,'Données projet'!$E$9+1,1))</f>
        <v>319.229030946746</v>
      </c>
      <c r="T160" s="120" t="n">
        <f aca="false">$T$3</f>
        <v>254.586909731428</v>
      </c>
      <c r="U160" s="121" t="n">
        <f aca="false">IF(ISNA(VLOOKUP(A160,'Données projet'!$A$35:$I$55,3,0)),0,VLOOKUP(A160,'Données projet'!$A$35:$I$55,3,0))</f>
        <v>0</v>
      </c>
      <c r="V160" s="121" t="n">
        <f aca="false">IF(ISNA(VLOOKUP(A160,'Données projet'!$A$35:$I$55,4,0)),0,VLOOKUP(A160,'Données projet'!$A$35:$I$55,4,0))</f>
        <v>0</v>
      </c>
      <c r="W160" s="122" t="n">
        <f aca="false">IF(ISNA(VLOOKUP(A160,'Données projet'!$A$35:$I$55,5,0)),0%,VLOOKUP(A160,'Données projet'!$A$35:$I$55,5,0)*VLOOKUP('Données projet'!$B$9,Paramètres!$A$1:$I$89,7,0))</f>
        <v>0</v>
      </c>
      <c r="X160" s="122" t="n">
        <f aca="false">IF(ISNA(VLOOKUP(A160,'Données projet'!$A$35:$I$55,6,0)),0%,VLOOKUP(A160,'Données projet'!$A$35:$I$55,6,0)*VLOOKUP('Données projet'!$B$9,Paramètres!$A$1:$I$89,7,0))</f>
        <v>0</v>
      </c>
      <c r="Y160" s="122" t="n">
        <f aca="false">IF(ISNA(VLOOKUP(A160,'Données projet'!$A$35:$I$55,7,0)),0%,VLOOKUP(A160,'Données projet'!$A$35:$I$55,7,0))</f>
        <v>0</v>
      </c>
      <c r="Z160" s="129" t="n">
        <f aca="false">EXP(-LN(2)/35)*Z159+(1-EXP(-LN(2)/35))/(LN(2)/35)*V160*W160*VLOOKUP('Données projet'!$B$9,Paramètres!$A$1:$I$89,3,0)*0.475*44/12</f>
        <v>0.733826926319945</v>
      </c>
      <c r="AA160" s="129" t="n">
        <f aca="false">EXP(-LN(2)/25)*AA159+(1-EXP(-LN(2)/25))/(LN(2)/25)*Calculateur!V160*Calculateur!X160*VLOOKUP('Données projet'!$B$9,Paramètres!$A$1:$I$89,3,0)*0.475*44/12</f>
        <v>0.329680992565164</v>
      </c>
      <c r="AB160" s="129" t="n">
        <f aca="false">EXP(-LN(2)/2)*AB159+(1-EXP(-LN(2)/2))/(LN(2)/2)*V160*Y160*VLOOKUP('Données projet'!$B$9,Paramètres!$A$1:$I$89,3,0)*0.475*44/12</f>
        <v>8.46617822440856E-019</v>
      </c>
      <c r="AC160" s="130" t="n">
        <f aca="false">SUM(Z160:AB160)</f>
        <v>1.06350791888511</v>
      </c>
      <c r="AD160" s="117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7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8" t="e">
        <f aca="false">VLOOKUP(A160,'Données projet'!$A$61:$I$81,2,0)</f>
        <v>#N/A</v>
      </c>
      <c r="AG160" s="118" t="e">
        <f aca="false">VLOOKUP(A160,'Données projet'!$A$61:$I$81,9,0)</f>
        <v>#N/A</v>
      </c>
      <c r="AH160" s="118" t="e">
        <f aca="false" t="array" ref="AH160:AH160">INDEX(AG:AG,MIN(IF(ISNUMBER(AG160:AG356),ROW(AG160:AG356),"")))</f>
        <v>#N/A</v>
      </c>
      <c r="AI160" s="117" t="n">
        <f aca="false">IF('Données projet'!$A$62&gt;35,AI159+AH160-AQ159,IF(A160&lt;'Données projet'!$A$62,$AF$205^A160,IF(A160='Données projet'!$A$62,'Données projet'!$B$62,AI159+AH160-AQ159)))</f>
        <v>1.13686837721616E-013</v>
      </c>
      <c r="AJ160" s="117" t="n">
        <f aca="false">AI160*VLOOKUP('Données projet'!$B$10,Paramètres!$A$1:$I$89,3,0)*VLOOKUP('Données projet'!$B$10,Paramètres!$A$1:$I$89,5,0)</f>
        <v>6.35509422863834E-014</v>
      </c>
      <c r="AK160" s="117" t="n">
        <f aca="false">EXP(-1.0587+0.8836*LN(AJ160)+0.284)</f>
        <v>1.0064464192544E-012</v>
      </c>
      <c r="AL160" s="128" t="n">
        <f aca="false">(AJ160+AK160)*0.475*44/12</f>
        <v>1.86357873801686E-012</v>
      </c>
      <c r="AM160" s="120" t="n">
        <f aca="false">AL160+(AD160+AE160)*44/12</f>
        <v>293.333333333335</v>
      </c>
      <c r="AN160" s="120" t="n">
        <f aca="true">AVERAGE(OFFSET($AM$3,0,0,'Données projet'!$E$10+1,1))-AVERAGE(OFFSET($H$3,0,0,'Données projet'!$E$10+1,1))</f>
        <v>365.705101827279</v>
      </c>
      <c r="AO160" s="120" t="n">
        <f aca="false">$AO$3</f>
        <v>436.238338449625</v>
      </c>
      <c r="AP160" s="121" t="n">
        <f aca="false">IF(ISNA(VLOOKUP(A160,'Données projet'!$A$61:$I$81,3,0)),0,VLOOKUP(A160,'Données projet'!$A$61:$I$81,3,0))</f>
        <v>0</v>
      </c>
      <c r="AQ160" s="121" t="n">
        <f aca="false">IF(ISNA(VLOOKUP(A160,'Données projet'!$A$61:$I$81,4,0)),0,VLOOKUP(A160,'Données projet'!$A$61:$I$81,4,0))</f>
        <v>0</v>
      </c>
      <c r="AR160" s="122" t="n">
        <f aca="false">IF(ISNA(VLOOKUP(A160,'Données projet'!$A$61:$I$81,5,0)),0%,VLOOKUP(A160,'Données projet'!$A$61:$I$81,5,0)*VLOOKUP('Données projet'!$B$10,Paramètres!$A$1:$I$89,7,0))</f>
        <v>0</v>
      </c>
      <c r="AS160" s="122" t="n">
        <f aca="false">IF(ISNA(VLOOKUP(A160,'Données projet'!$A$61:$I$81,6,0)),0%,VLOOKUP(A160,'Données projet'!$A$61:$I$81,6,0)*VLOOKUP('Données projet'!$B$10,Paramètres!$A$1:$I$89,7,0))</f>
        <v>0</v>
      </c>
      <c r="AT160" s="122" t="n">
        <f aca="false">IF(ISNA(VLOOKUP(A160,'Données projet'!$A$61:$I$81,7,0)),0%,VLOOKUP(A160,'Données projet'!$A$61:$I$81,7,0))</f>
        <v>0</v>
      </c>
      <c r="AU160" s="129" t="n">
        <f aca="false">EXP(-LN(2)/35)*AU159+(1-EXP(-LN(2)/35))/(LN(2)/35)*AQ160*AR160*VLOOKUP('Données projet'!$B$10,Paramètres!$A$1:$I$89,3,0)*0.475*44/12</f>
        <v>0.27699587298238</v>
      </c>
      <c r="AV160" s="129" t="n">
        <f aca="false">EXP(-LN(2)/25)*AV159+(1-EXP(-LN(2)/25))/(LN(2)/25)*Calculateur!AQ160*Calculateur!AS160*VLOOKUP('Données projet'!$B$10,Paramètres!$A$1:$I$89,3,0)*0.475*44/12</f>
        <v>0.390489309882748</v>
      </c>
      <c r="AW160" s="129" t="n">
        <f aca="false">EXP(-LN(2)/2)*AW159+(1-EXP(-LN(2)/2))/(LN(2)/2)*AQ160*AT160*VLOOKUP('Données projet'!$B$10,Paramètres!$A$1:$I$89,3,0)*0.475*44/12</f>
        <v>4.55623251202849E-019</v>
      </c>
      <c r="AX160" s="129" t="n">
        <f aca="false">SUM(AU160:AW160)</f>
        <v>0.667485182865128</v>
      </c>
      <c r="AY160" s="124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8" t="e">
        <f aca="false">VLOOKUP(A160,'Données projet'!$A$87:$I$107,2,0)</f>
        <v>#N/A</v>
      </c>
      <c r="BB160" s="118" t="e">
        <f aca="false">VLOOKUP(A160,'Données projet'!$A$87:$I$107,9,0)</f>
        <v>#N/A</v>
      </c>
      <c r="BC160" s="118" t="e">
        <f aca="false" t="array" ref="BC160:BC160">INDEX(BB:BB,MIN(IF(ISNUMBER(BB160:BB356),ROW(BB160:BB356),"")))</f>
        <v>#N/A</v>
      </c>
      <c r="BD160" s="118" t="n">
        <f aca="false">IF('Données projet'!$A$88&gt;35,BD159+BC160-BL159,IF(A160&lt;'Données projet'!$A$88,$BA$205^A160,IF(A160='Données projet'!$A$88,'Données projet'!$B$88,BD159+BC160-BL159)))</f>
        <v>1.98951966012828E-013</v>
      </c>
      <c r="BE160" s="117" t="n">
        <f aca="false">BD160*VLOOKUP('Données projet'!$B$11,Paramètres!$A$1:$I$89,3,0)*VLOOKUP('Données projet'!$B$11,Paramètres!$A$1:$I$89,5,0)</f>
        <v>1.73804437508807E-013</v>
      </c>
      <c r="BF160" s="117" t="n">
        <f aca="false">EXP(-1.0587+0.8836*LN(BE160)+0.284)</f>
        <v>2.44832936339505E-012</v>
      </c>
      <c r="BG160" s="128" t="n">
        <f aca="false">(BE160+BF160)*0.475*44/12</f>
        <v>4.56688303657421E-012</v>
      </c>
      <c r="BH160" s="120" t="n">
        <f aca="false">BG160+(AY160+AZ160)*44/12</f>
        <v>293.333333333338</v>
      </c>
      <c r="BI160" s="120" t="n">
        <f aca="true">AVERAGE(OFFSET($BH$3,0,0,'Données projet'!$E$11+1,1))-AVERAGE(OFFSET($H$3,0,0,'Données projet'!$E$11+1,1))</f>
        <v>321.235999689929</v>
      </c>
      <c r="BJ160" s="120" t="n">
        <f aca="false">$BJ$3</f>
        <v>388.051958478005</v>
      </c>
      <c r="BK160" s="121" t="n">
        <f aca="false">IF(ISNA(VLOOKUP(A160,'Données projet'!$A$87:$I$107,3,0)),0,VLOOKUP(A160,'Données projet'!$A$87:$I$107,3,0))</f>
        <v>0</v>
      </c>
      <c r="BL160" s="121" t="n">
        <f aca="false">IF(ISNA(VLOOKUP(A160,'Données projet'!$A$87:$I$107,4,0)),0,VLOOKUP(A160,'Données projet'!$A$87:$I$107,4,0))</f>
        <v>0</v>
      </c>
      <c r="BM160" s="122" t="n">
        <f aca="false">IF(ISNA(VLOOKUP(A160,'Données projet'!$A$87:$I$107,5,0)),0%,VLOOKUP(A160,'Données projet'!$A$87:$I$107,5,0)*VLOOKUP('Données projet'!$B$11,Paramètres!$A$1:$I$89,7,0))</f>
        <v>0</v>
      </c>
      <c r="BN160" s="122" t="n">
        <f aca="false">IF(ISNA(VLOOKUP(A160,'Données projet'!$A$87:$I$107,6,0)),0%,VLOOKUP(A160,'Données projet'!$A$87:$I$107,6,0)*VLOOKUP('Données projet'!$B$11,Paramètres!$A$1:$I$89,7,0))</f>
        <v>0</v>
      </c>
      <c r="BO160" s="122" t="n">
        <f aca="false">IF(ISNA(VLOOKUP(A160,'Données projet'!$A$87:$I$107,7,0)),0%,VLOOKUP(A160,'Données projet'!$A$87:$I$107,7,0))</f>
        <v>0</v>
      </c>
      <c r="BP160" s="129" t="n">
        <f aca="false">EXP(-LN(2)/35)*BP159+(1-EXP(-LN(2)/35))/(LN(2)/35)*BL160*BM160*VLOOKUP('Données projet'!$B$11,Paramètres!$A$1:$I$89,3,0)*0.475*44/12</f>
        <v>0.695431753111811</v>
      </c>
      <c r="BQ160" s="129" t="n">
        <f aca="false">EXP(-LN(2)/25)*BQ159+(1-EXP(-LN(2)/25))/(LN(2)/25)*Calculateur!BL160*Calculateur!BN160*VLOOKUP('Données projet'!$B$11,Paramètres!$A$1:$I$89,3,0)*0.475*44/12</f>
        <v>0.398588293897297</v>
      </c>
      <c r="BR160" s="129" t="n">
        <f aca="false">EXP(-LN(2)/2)*BR159+(1-EXP(-LN(2)/2))/(LN(2)/2)*BL160*BO160*VLOOKUP('Données projet'!$B$11,Paramètres!$A$1:$I$89,3,0)*0.475*44/12</f>
        <v>4.63131564560977E-019</v>
      </c>
      <c r="BS160" s="130" t="n">
        <f aca="false">SUM(BP160:BR160)</f>
        <v>1.09402004700911</v>
      </c>
      <c r="BT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8" t="e">
        <f aca="false">VLOOKUP(A160,'Données projet'!$A$113:$I$133,2,0)</f>
        <v>#N/A</v>
      </c>
      <c r="BW160" s="118" t="e">
        <f aca="false">VLOOKUP(A160,'Données projet'!$A$113:$I$133,9,0)</f>
        <v>#N/A</v>
      </c>
      <c r="BX160" s="118" t="e">
        <f aca="false" t="array" ref="BX160:BX160">INDEX(BW:BW,MIN(IF(ISNUMBER(BW160:BW356),ROW(BW160:BW356),"")))</f>
        <v>#N/A</v>
      </c>
      <c r="BY160" s="118" t="n">
        <f aca="false">IF('Données projet'!$A$114&gt;35,BY159+BX160-CG159,IF(A160&lt;'Données projet'!$A$114,$BV$205^A160,IF(A160='Données projet'!$A$114,'Données projet'!$B$114,BY159+BX160-CG159)))</f>
        <v>0</v>
      </c>
      <c r="BZ160" s="117" t="n">
        <f aca="false">BY160*VLOOKUP('Données projet'!$B$12,Paramètres!$A$1:$I$89,3,0)*VLOOKUP('Données projet'!$B$12,Paramètres!$A$1:$I$89,5,0)</f>
        <v>0</v>
      </c>
      <c r="CA160" s="117" t="e">
        <f aca="false">EXP(-1.0587+0.8836*LN(BZ160)+0.284)</f>
        <v>#VALUE!</v>
      </c>
      <c r="CB160" s="128" t="e">
        <f aca="false">(BZ160+CA160)*0.475*44/12</f>
        <v>#VALUE!</v>
      </c>
      <c r="CC160" s="120" t="e">
        <f aca="false">CB160+(BT160+BU160)*44/12</f>
        <v>#VALUE!</v>
      </c>
      <c r="CD160" s="120" t="n">
        <f aca="true">AVERAGE(OFFSET($CC$3,0,0,'Données projet'!$E$12+1,1))-AVERAGE(OFFSET($H$3,0,0,'Données projet'!$E$12+1,1))</f>
        <v>240.228848647662</v>
      </c>
      <c r="CE160" s="120" t="n">
        <f aca="false">$CE$3</f>
        <v>343.237768841432</v>
      </c>
      <c r="CF160" s="121" t="n">
        <f aca="false">IF(ISNA(VLOOKUP(A160,'Données projet'!$A$113:$I$133,3,0)),0,VLOOKUP(A160,'Données projet'!$A$113:$I$133,3,0))</f>
        <v>0</v>
      </c>
      <c r="CG160" s="121" t="n">
        <f aca="false">IF(ISNA(VLOOKUP(A160,'Données projet'!$A$113:$I$133,4,0)),0,VLOOKUP(A160,'Données projet'!$A$113:$I$133,4,0))</f>
        <v>0</v>
      </c>
      <c r="CH160" s="122" t="n">
        <f aca="false">IF(ISNA(VLOOKUP(A160,'Données projet'!$A$113:$I$133,5,0)),0%,VLOOKUP(A160,'Données projet'!$A$113:$I$133,5,0)*VLOOKUP('Données projet'!$B$12,Paramètres!$A$1:$I$89,7,0))</f>
        <v>0</v>
      </c>
      <c r="CI160" s="122" t="n">
        <f aca="false">IF(ISNA(VLOOKUP(A160,'Données projet'!$A$113:$I$133,6,0)),0%,VLOOKUP(A160,'Données projet'!$A$113:$I$133,6,0)*VLOOKUP('Données projet'!$B$12,Paramètres!$A$1:$I$89,7,0))</f>
        <v>0</v>
      </c>
      <c r="CJ160" s="122" t="n">
        <f aca="false">IF(ISNA(VLOOKUP(A160,'Données projet'!$A$113:$I$133,7,0)),0%,VLOOKUP(A160,'Données projet'!$A$113:$I$133,7,0))</f>
        <v>0</v>
      </c>
      <c r="CK160" s="129" t="n">
        <f aca="false">EXP(-LN(2)/35)*CK159+(1-EXP(-LN(2)/35))/(LN(2)/35)*CG160*CH160*VLOOKUP('Données projet'!$B$12,Paramètres!$A$1:$I$89,3,0)*0.475*44/12</f>
        <v>0.4256584118799</v>
      </c>
      <c r="CL160" s="129" t="n">
        <f aca="false">EXP(-LN(2)/25)*CL159+(1-EXP(-LN(2)/25))/(LN(2)/25)*Calculateur!CG160*Calculateur!CI160*VLOOKUP('Données projet'!$B$12,Paramètres!$A$1:$I$89,3,0)*0.475*44/12</f>
        <v>0.703930001253791</v>
      </c>
      <c r="CM160" s="129" t="n">
        <f aca="false">EXP(-LN(2)/2)*CM159+(1-EXP(-LN(2)/2))/(LN(2)/2)*CG160*CJ160*VLOOKUP('Données projet'!$B$12,Paramètres!$A$1:$I$89,3,0)*0.475*44/12</f>
        <v>7.39034506234977E-019</v>
      </c>
      <c r="CN160" s="130" t="n">
        <f aca="false">SUM(CK160:CM160)</f>
        <v>1.12958841313369</v>
      </c>
      <c r="CO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8" t="e">
        <f aca="false">VLOOKUP(A160,'Données projet'!$A$139:$I$159,2,0)</f>
        <v>#N/A</v>
      </c>
      <c r="CR160" s="118" t="e">
        <f aca="false">VLOOKUP(A160,'Données projet'!$A$139:$I$159,9,0)</f>
        <v>#N/A</v>
      </c>
      <c r="CS160" s="118" t="e">
        <f aca="false" t="array" ref="CS160:CS160">INDEX(CR:CR,MIN(IF(ISNUMBER(CR160:CR356),ROW(CR160:CR356),"")))</f>
        <v>#N/A</v>
      </c>
      <c r="CT160" s="118" t="n">
        <f aca="false">IF('Données projet'!$A$140&gt;35,CT159+CS160-DB159,IF(A160&lt;'Données projet'!$A$140,$CQ$205^A160,IF(A160='Données projet'!$A$140,'Données projet'!$B$140,CT159+CS160-DB159)))</f>
        <v>-5.6843418860808E-014</v>
      </c>
      <c r="CU160" s="125" t="n">
        <f aca="false">CT160*VLOOKUP('Données projet'!$B$13,Paramètres!$A$1:$I$89,3,0)*VLOOKUP('Données projet'!$B$13,Paramètres!$A$1:$I$89,5,0)</f>
        <v>-3.10365066980012E-014</v>
      </c>
      <c r="CV160" s="117" t="e">
        <f aca="false">EXP(-1.0587+0.8836*LN(CU160)+0.284)</f>
        <v>#VALUE!</v>
      </c>
      <c r="CW160" s="128" t="e">
        <f aca="false">(CU160+CV160)*0.475*44/12</f>
        <v>#VALUE!</v>
      </c>
      <c r="CX160" s="120" t="e">
        <f aca="false">CW160+(CO160+CP160)*44/12</f>
        <v>#VALUE!</v>
      </c>
      <c r="CY160" s="120" t="n">
        <f aca="true">AVERAGE(OFFSET($CX$3,0,0,'Données projet'!$E$13+1,1))-AVERAGE(OFFSET($H$3,0,0,'Données projet'!$E$13+1,1))</f>
        <v>207.023069645676</v>
      </c>
      <c r="CZ160" s="120" t="n">
        <f aca="false">$CZ$3</f>
        <v>342.068879333518</v>
      </c>
      <c r="DA160" s="121" t="n">
        <f aca="false">IF(ISNA(VLOOKUP(A160,'Données projet'!$A$139:$I$159,3,0)),0,VLOOKUP(A160,'Données projet'!$A$139:$I$159,3,0))</f>
        <v>0</v>
      </c>
      <c r="DB160" s="121" t="n">
        <f aca="false">IF(ISNA(VLOOKUP(A160,'Données projet'!$A$139:$I$159,4,0)),0,VLOOKUP(A160,'Données projet'!$A$139:$I$159,4,0))</f>
        <v>0</v>
      </c>
      <c r="DC160" s="122" t="n">
        <f aca="false">IF(ISNA(VLOOKUP(A160,'Données projet'!$A$139:$I$159,5,0)),0%,VLOOKUP(A160,'Données projet'!$A$139:$I$159,5,0)*VLOOKUP('Données projet'!$B$13,Paramètres!$A$1:$I$89,7,0))</f>
        <v>0</v>
      </c>
      <c r="DD160" s="122" t="n">
        <f aca="false">IF(ISNA(VLOOKUP(A160,'Données projet'!$A$139:$I$159,6,0)),0%,VLOOKUP(A160,'Données projet'!$A$139:$I$159,6,0)*VLOOKUP('Données projet'!$B$13,Paramètres!$A$1:$I$89,7,0))</f>
        <v>0</v>
      </c>
      <c r="DE160" s="122" t="n">
        <f aca="false">IF(ISNA(VLOOKUP(A160,'Données projet'!$A$139:$I$159,7,0)),0%,VLOOKUP(A160,'Données projet'!$A$139:$I$159,7,0))</f>
        <v>0</v>
      </c>
      <c r="DF160" s="129" t="n">
        <f aca="false">EXP(-LN(2)/35)*DF159+(1-EXP(-LN(2)/35))/(LN(2)/35)*DB160*DC160*VLOOKUP('Données projet'!$B$13,Paramètres!$A$1:$I$89,3,0)*0.475*44/12</f>
        <v>0.534080837547421</v>
      </c>
      <c r="DG160" s="129" t="n">
        <f aca="false">EXP(-LN(2)/25)*DG159+(1-EXP(-LN(2)/25))/(LN(2)/25)*Calculateur!DB160*Calculateur!DD160*VLOOKUP('Données projet'!$B$13,Paramètres!$A$1:$I$89,3,0)*0.475*44/12</f>
        <v>1.15063237306977</v>
      </c>
      <c r="DH160" s="129" t="n">
        <f aca="false">EXP(-LN(2)/2)*DH159+(1-EXP(-LN(2)/2))/(LN(2)/2)*DB160*DE160*VLOOKUP('Données projet'!$B$13,Paramètres!$A$1:$I$89,3,0)*0.475*44/12</f>
        <v>1.01765085772058E-018</v>
      </c>
      <c r="DI160" s="130" t="n">
        <f aca="false">SUM(DF160:DH160)</f>
        <v>1.6847132106172</v>
      </c>
      <c r="DJ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8" t="e">
        <f aca="false">VLOOKUP(A160,'Données projet'!$A$165:$I$185,2,0)</f>
        <v>#N/A</v>
      </c>
      <c r="DM160" s="118" t="e">
        <f aca="false">VLOOKUP(A160,'Données projet'!$A$165:$I$185,9,0)</f>
        <v>#N/A</v>
      </c>
      <c r="DN160" s="118" t="e">
        <f aca="false" t="array" ref="DN160:DN160">INDEX(DM:DM,MIN(IF(ISNUMBER(DM160:DM356),ROW(DM160:DM356),"")))</f>
        <v>#N/A</v>
      </c>
      <c r="DO160" s="118" t="n">
        <f aca="false">IF('Données projet'!$A$166&gt;35,DO159+DN160-DW159,IF(A160&lt;'Données projet'!$A$166,$DL$205^A160,IF(A160='Données projet'!$A$166,'Données projet'!$B$166,DO159+DN160-DW159)))</f>
        <v>0</v>
      </c>
      <c r="DP160" s="125" t="n">
        <f aca="false">DO160*VLOOKUP('Données projet'!$B$14,Paramètres!$A$1:$I$89,3,0)*VLOOKUP('Données projet'!$B$14,Paramètres!$A$1:$I$89,5,0)</f>
        <v>0</v>
      </c>
      <c r="DQ160" s="117" t="e">
        <f aca="false">EXP(-1.0587+0.8836*LN(DP160)+0.284)</f>
        <v>#VALUE!</v>
      </c>
      <c r="DR160" s="128" t="e">
        <f aca="false">(DP160+DQ160)*0.475*44/12</f>
        <v>#VALUE!</v>
      </c>
      <c r="DS160" s="120" t="e">
        <f aca="false">DR160+(DJ160+DK160)*44/12</f>
        <v>#VALUE!</v>
      </c>
      <c r="DT160" s="120" t="n">
        <f aca="true">AVERAGE(OFFSET($DS$3,0,0,'Données projet'!$E$14+1,1))-AVERAGE(OFFSET($H$3,0,0,'Données projet'!$E$14+1,1))</f>
        <v>549.432320957297</v>
      </c>
      <c r="DU160" s="120" t="n">
        <f aca="false">$DU$3</f>
        <v>280.26155987301</v>
      </c>
      <c r="DV160" s="121" t="n">
        <f aca="false">IF(ISNA(VLOOKUP(A160,'Données projet'!$A$165:$I$185,3,0)),0,VLOOKUP(A160,'Données projet'!$A$165:$I$185,3,0))</f>
        <v>0</v>
      </c>
      <c r="DW160" s="121" t="n">
        <f aca="false">IF(ISNA(VLOOKUP(A160,'Données projet'!$A$165:$I$185,4,0)),0,VLOOKUP(A160,'Données projet'!$A$165:$I$185,4,0))</f>
        <v>0</v>
      </c>
      <c r="DX160" s="122" t="n">
        <f aca="false">IF(ISNA(VLOOKUP(A160,'Données projet'!$A$165:$I$185,5,0)),0%,VLOOKUP(A160,'Données projet'!$A$165:$I$185,5,0)*VLOOKUP('Données projet'!$B$14,Paramètres!$A$1:$I$89,7,0))</f>
        <v>0</v>
      </c>
      <c r="DY160" s="122" t="n">
        <f aca="false">IF(ISNA(VLOOKUP(A160,'Données projet'!$A$165:$I$185,6,0)),0%,VLOOKUP(A160,'Données projet'!$A$165:$I$185,6,0)*VLOOKUP('Données projet'!$B$14,Paramètres!$A$1:$I$89,7,0))</f>
        <v>0</v>
      </c>
      <c r="DZ160" s="122" t="n">
        <f aca="false">IF(ISNA(VLOOKUP(A160,'Données projet'!$A$165:$I$185,7,0)),0%,VLOOKUP(A160,'Données projet'!$A$165:$I$185,7,0))</f>
        <v>0</v>
      </c>
      <c r="EA160" s="129" t="n">
        <f aca="false">EXP(-LN(2)/35)*EA159+(1-EXP(-LN(2)/35))/(LN(2)/35)*DW160*DX160*VLOOKUP('Données projet'!$B$14,Paramètres!$A$1:$I$89,3,0)*0.475*44/12</f>
        <v>0.194191197008706</v>
      </c>
      <c r="EB160" s="129" t="n">
        <f aca="false">EXP(-LN(2)/25)*EB159+(1-EXP(-LN(2)/25))/(LN(2)/25)*Calculateur!DW160*Calculateur!DY160*VLOOKUP('Données projet'!$B$14,Paramètres!$A$1:$I$89,3,0)*0.475*44/12</f>
        <v>0.22922867029321</v>
      </c>
      <c r="EC160" s="129" t="n">
        <f aca="false">EXP(-LN(2)/2)*EC159+(1-EXP(-LN(2)/2))/(LN(2)/2)*DW160*DZ160*VLOOKUP('Données projet'!$B$14,Paramètres!$A$1:$I$89,3,0)*0.475*44/12</f>
        <v>4.69116068355038E-019</v>
      </c>
      <c r="ED160" s="130" t="n">
        <f aca="false">SUM(EA160:EC160)</f>
        <v>0.423419867301916</v>
      </c>
      <c r="EE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8" t="e">
        <f aca="false">VLOOKUP(A160,'Données projet'!$A$191:$I$211,2,0)</f>
        <v>#N/A</v>
      </c>
      <c r="EH160" s="118" t="e">
        <f aca="false">VLOOKUP(A160,'Données projet'!$A$191:$I$211,9,0)</f>
        <v>#N/A</v>
      </c>
      <c r="EI160" s="118" t="e">
        <f aca="false" t="array" ref="EI160:EI160">INDEX(EH:EH,MIN(IF(ISNUMBER(EH160:EH356),ROW(EH160:EH356),"")))</f>
        <v>#N/A</v>
      </c>
      <c r="EJ160" s="118" t="n">
        <f aca="false">IF('Données projet'!$A$192&gt;35,EJ159+EI160-ER159,IF(A160&lt;'Données projet'!$A$192,$EG$205^A160,IF(A160='Données projet'!$A$192,'Données projet'!$B$192,EJ159+EI160-ER159)))</f>
        <v>0</v>
      </c>
      <c r="EK160" s="125" t="e">
        <f aca="false">EJ160*VLOOKUP('Données projet'!$B$15,Paramètres!$A$1:$I$89,3,0)*VLOOKUP('Données projet'!$B$15,Paramètres!$A$1:$I$89,5,0)</f>
        <v>#N/A</v>
      </c>
      <c r="EL160" s="117" t="e">
        <f aca="false">EXP(-1.0587+0.8836*LN(EK160)+0.284)</f>
        <v>#N/A</v>
      </c>
      <c r="EM160" s="128" t="e">
        <f aca="false">(EK160+EL160)*0.475*44/12</f>
        <v>#N/A</v>
      </c>
      <c r="EN160" s="120" t="e">
        <f aca="false">EM160+(EE160+EF160)*44/12</f>
        <v>#N/A</v>
      </c>
      <c r="EO160" s="120" t="e">
        <f aca="true">AVERAGE(OFFSET($EN$3,0,0,'Données projet'!$E$15+1,1))-AVERAGE(OFFSET($H$3,0,0,'Données projet'!$E$15+1,1))</f>
        <v>#N/A</v>
      </c>
      <c r="EP160" s="120" t="e">
        <f aca="false">$EP$3</f>
        <v>#N/A</v>
      </c>
      <c r="EQ160" s="121" t="n">
        <f aca="false">IF(ISNA(VLOOKUP(A160,'Données projet'!$A$191:$I$211,3,0)),0,VLOOKUP(A160,'Données projet'!$A$191:$I$211,3,0))</f>
        <v>0</v>
      </c>
      <c r="ER160" s="121" t="n">
        <f aca="false">IF(ISNA(VLOOKUP(A160,'Données projet'!$A$191:$I$211,4,0)),0,VLOOKUP(A160,'Données projet'!$A$191:$I$211,4,0))</f>
        <v>0</v>
      </c>
      <c r="ES160" s="122" t="n">
        <f aca="false">IF(ISNA(VLOOKUP(A160,'Données projet'!$A$191:$I$211,5,0)),0%,VLOOKUP(A160,'Données projet'!$A$191:$I$211,5,0)*VLOOKUP('Données projet'!$B$15,Paramètres!$A$1:$I$89,7,0))</f>
        <v>0</v>
      </c>
      <c r="ET160" s="122" t="n">
        <f aca="false">IF(ISNA(VLOOKUP(A160,'Données projet'!$A$191:$I$211,6,0)),0%,VLOOKUP(A160,'Données projet'!$A$191:$I$211,6,0)*VLOOKUP('Données projet'!$B$15,Paramètres!$A$1:$I$89,7,0))</f>
        <v>0</v>
      </c>
      <c r="EU160" s="122" t="n">
        <f aca="false">IF(ISNA(VLOOKUP(A160,'Données projet'!$A$191:$I$211,7,0)),0%,VLOOKUP(A160,'Données projet'!$A$191:$I$211,7,0))</f>
        <v>0</v>
      </c>
      <c r="EV160" s="129" t="e">
        <f aca="false">EXP(-LN(2)/35)*EV159+(1-EXP(-LN(2)/35))/(LN(2)/35)*ER160*ES160*VLOOKUP('Données projet'!$B$15,Paramètres!$A$1:$I$89,3,0)*0.475*44/12</f>
        <v>#N/A</v>
      </c>
      <c r="EW160" s="129" t="e">
        <f aca="false">EXP(-LN(2)/25)*EW159+(1-EXP(-LN(2)/25))/(LN(2)/25)*Calculateur!ER160*Calculateur!ET160*VLOOKUP('Données projet'!$B$15,Paramètres!$A$1:$I$89,3,0)*0.475*44/12</f>
        <v>#N/A</v>
      </c>
      <c r="EX160" s="129" t="e">
        <f aca="false">EXP(-LN(2)/2)*EX159+(1-EXP(-LN(2)/2))/(LN(2)/2)*ER160*EU160*VLOOKUP('Données projet'!$B$15,Paramètres!$A$1:$I$89,3,0)*0.475*44/12</f>
        <v>#N/A</v>
      </c>
      <c r="EY160" s="130" t="e">
        <f aca="false">SUM(EV160:EX160)</f>
        <v>#N/A</v>
      </c>
      <c r="EZ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8" t="e">
        <f aca="false">VLOOKUP(A160,'Données projet'!$A$217:$I$237,2,0)</f>
        <v>#N/A</v>
      </c>
      <c r="FC160" s="118" t="e">
        <f aca="false">VLOOKUP(A160,'Données projet'!$A$217:$I$237,9,0)</f>
        <v>#N/A</v>
      </c>
      <c r="FD160" s="118" t="e">
        <f aca="false" t="array" ref="FD160:FD160">INDEX(FC:FC,MIN(IF(ISNUMBER(FC160:FC356),ROW(FC160:FC356),"")))</f>
        <v>#N/A</v>
      </c>
      <c r="FE160" s="118" t="n">
        <f aca="false">IF('Données projet'!$A$218&gt;35,FE159+FD160-FM159,IF(A160&lt;'Données projet'!$A$218,$FB$205^A160,IF(A160='Données projet'!$A$218,'Données projet'!$B$218,FE159+FD160-FM159)))</f>
        <v>0</v>
      </c>
      <c r="FF160" s="125" t="e">
        <f aca="false">FE160*VLOOKUP('Données projet'!$B$16,Paramètres!$A$1:$I$89,3,0)*VLOOKUP('Données projet'!$B$16,Paramètres!$A$1:$I$89,5,0)</f>
        <v>#N/A</v>
      </c>
      <c r="FG160" s="117" t="e">
        <f aca="false">EXP(-1.0587+0.8836*LN(FF160)+0.284)</f>
        <v>#N/A</v>
      </c>
      <c r="FH160" s="128" t="e">
        <f aca="false">(FF160+FG160)*0.475*44/12</f>
        <v>#N/A</v>
      </c>
      <c r="FI160" s="120" t="e">
        <f aca="false">FH160+(EZ160+FA160)*44/12</f>
        <v>#N/A</v>
      </c>
      <c r="FJ160" s="120" t="e">
        <f aca="true">AVERAGE(OFFSET($FI$3,0,0,'Données projet'!$E$16+1,1))-AVERAGE(OFFSET($H$3,0,0,'Données projet'!$E$16+1,1))</f>
        <v>#N/A</v>
      </c>
      <c r="FK160" s="120" t="e">
        <f aca="false">$FK$3</f>
        <v>#N/A</v>
      </c>
      <c r="FL160" s="121" t="n">
        <f aca="false">IF(ISNA(VLOOKUP(A160,'Données projet'!$A$217:$I$237,3,0)),0,VLOOKUP(A160,'Données projet'!$A$217:$I$237,3,0))</f>
        <v>0</v>
      </c>
      <c r="FM160" s="121" t="n">
        <f aca="false">IF(ISNA(VLOOKUP(A160,'Données projet'!$A$217:$I$237,4,0)),0,VLOOKUP(A160,'Données projet'!$A$217:$I$237,4,0))</f>
        <v>0</v>
      </c>
      <c r="FN160" s="122" t="n">
        <f aca="false">IF(ISNA(VLOOKUP(A160,'Données projet'!$A$217:$I$237,5,0)),0%,VLOOKUP(A160,'Données projet'!$A$217:$I$237,5,0)*VLOOKUP('Données projet'!$B$16,Paramètres!$A$1:$I$89,7,0))</f>
        <v>0</v>
      </c>
      <c r="FO160" s="122" t="n">
        <f aca="false">IF(ISNA(VLOOKUP(A160,'Données projet'!$A$217:$I$237,6,0)),0%,VLOOKUP(A160,'Données projet'!$A$217:$I$237,6,0)*VLOOKUP('Données projet'!$B$16,Paramètres!$A$1:$I$89,7,0))</f>
        <v>0</v>
      </c>
      <c r="FP160" s="122" t="n">
        <f aca="false">IF(ISNA(VLOOKUP(A160,'Données projet'!$A$217:$I$237,7,0)),0%,VLOOKUP(A160,'Données projet'!$A$217:$I$237,7,0))</f>
        <v>0</v>
      </c>
      <c r="FQ160" s="129" t="e">
        <f aca="false">EXP(-LN(2)/35)*FQ159+(1-EXP(-LN(2)/35))/(LN(2)/35)*FM160*FN160*VLOOKUP('Données projet'!$B$16,Paramètres!$A$1:$I$89,3,0)*0.475*44/12</f>
        <v>#N/A</v>
      </c>
      <c r="FR160" s="129" t="e">
        <f aca="false">EXP(-LN(2)/25)*FR159+(1-EXP(-LN(2)/25))/(LN(2)/25)*Calculateur!FM160*Calculateur!FO160*VLOOKUP('Données projet'!$B$16,Paramètres!$A$1:$I$89,3,0)*0.475*44/12</f>
        <v>#N/A</v>
      </c>
      <c r="FS160" s="129" t="e">
        <f aca="false">EXP(-LN(2)/2)*FS159+(1-EXP(-LN(2)/2))/(LN(2)/2)*FM160*FP160*VLOOKUP('Données projet'!$B$16,Paramètres!$A$1:$I$89,3,0)*0.475*44/12</f>
        <v>#N/A</v>
      </c>
      <c r="FT160" s="130" t="e">
        <f aca="false">SUM(FQ160:FS160)</f>
        <v>#N/A</v>
      </c>
      <c r="FU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8" t="e">
        <f aca="false">VLOOKUP(A160,'Données projet'!$A$243:$I$263,2,0)</f>
        <v>#N/A</v>
      </c>
      <c r="FX160" s="118" t="e">
        <f aca="false">VLOOKUP(A160,'Données projet'!$A$243:$I$263,9,0)</f>
        <v>#N/A</v>
      </c>
      <c r="FY160" s="118" t="e">
        <f aca="false" t="array" ref="FY160:FY160">INDEX(FX:FX,MIN(IF(ISNUMBER(FX160:FX356),ROW(FX160:FX356),"")))</f>
        <v>#N/A</v>
      </c>
      <c r="FZ160" s="118" t="n">
        <f aca="false">IF('Données projet'!$A$244&gt;35,FZ159+FY160-GH159,IF(A160&lt;'Données projet'!$A$244,$FW$205^A160,IF(A160='Données projet'!$A$244,'Données projet'!$B$244,FZ159+FY160-GH159)))</f>
        <v>0</v>
      </c>
      <c r="GA160" s="125" t="e">
        <f aca="false">FZ160*VLOOKUP('Données projet'!$B$17,Paramètres!$A$1:$I$89,3,0)*VLOOKUP('Données projet'!$B$17,Paramètres!$A$1:$I$89,5,0)</f>
        <v>#N/A</v>
      </c>
      <c r="GB160" s="117" t="e">
        <f aca="false">EXP(-1.0587+0.8836*LN(GA160)+0.284)</f>
        <v>#N/A</v>
      </c>
      <c r="GC160" s="128" t="e">
        <f aca="false">(GA160+GB160)*0.475*44/12</f>
        <v>#N/A</v>
      </c>
      <c r="GD160" s="120" t="e">
        <f aca="false">GC160+(FU160+FV160)*44/12</f>
        <v>#N/A</v>
      </c>
      <c r="GE160" s="120" t="e">
        <f aca="true">AVERAGE(OFFSET($GD$3,0,0,'Données projet'!$E$17+1,1))-AVERAGE(OFFSET($H$3,0,0,'Données projet'!$E$17+1,1))</f>
        <v>#N/A</v>
      </c>
      <c r="GF160" s="120" t="e">
        <f aca="false">$GF$3</f>
        <v>#N/A</v>
      </c>
      <c r="GG160" s="121" t="n">
        <f aca="false">IF(ISNA(VLOOKUP(A160,'Données projet'!$A$243:$I$263,3,0)),0,VLOOKUP(A160,'Données projet'!$A$243:$I$263,3,0))</f>
        <v>0</v>
      </c>
      <c r="GH160" s="121" t="n">
        <f aca="false">IF(ISNA(VLOOKUP(A160,'Données projet'!$A$243:$I$263,4,0)),0,VLOOKUP(A160,'Données projet'!$A$243:$I$263,4,0))</f>
        <v>0</v>
      </c>
      <c r="GI160" s="122" t="n">
        <f aca="false">IF(ISNA(VLOOKUP(A160,'Données projet'!$A$243:$I$263,5,0)),0%,VLOOKUP(A160,'Données projet'!$A$243:$I$263,5,0)*VLOOKUP('Données projet'!$B$17,Paramètres!$A$1:$I$89,7,0))</f>
        <v>0</v>
      </c>
      <c r="GJ160" s="122" t="n">
        <f aca="false">IF(ISNA(VLOOKUP(A160,'Données projet'!$A$243:$I$263,6,0)),0%,VLOOKUP(A160,'Données projet'!$A$243:$I$263,6,0)*VLOOKUP('Données projet'!$B$17,Paramètres!$A$1:$I$89,7,0))</f>
        <v>0</v>
      </c>
      <c r="GK160" s="122" t="n">
        <f aca="false">IF(ISNA(VLOOKUP(A160,'Données projet'!$A$243:$I$263,7,0)),0%,VLOOKUP(A160,'Données projet'!$A$243:$I$263,7,0))</f>
        <v>0</v>
      </c>
      <c r="GL160" s="129" t="e">
        <f aca="false">EXP(-LN(2)/35)*GL159+(1-EXP(-LN(2)/35))/(LN(2)/35)*GH160*GI160*VLOOKUP('Données projet'!$B$17,Paramètres!$A$1:$I$89,3,0)*0.475*44/12</f>
        <v>#N/A</v>
      </c>
      <c r="GM160" s="129" t="e">
        <f aca="false">EXP(-LN(2)/25)*GM159+(1-EXP(-LN(2)/25))/(LN(2)/25)*Calculateur!GH160*Calculateur!GJ160*VLOOKUP('Données projet'!$B$17,Paramètres!$A$1:$I$89,3,0)*0.475*44/12</f>
        <v>#N/A</v>
      </c>
      <c r="GN160" s="129" t="e">
        <f aca="false">EXP(-LN(2)/2)*GN159+(1-EXP(-LN(2)/2))/(LN(2)/2)*GH160*GK160*VLOOKUP('Données projet'!$B$17,Paramètres!$A$1:$I$89,3,0)*0.475*44/12</f>
        <v>#N/A</v>
      </c>
      <c r="GO160" s="129" t="e">
        <f aca="false">SUM(GL160:GN160)</f>
        <v>#N/A</v>
      </c>
      <c r="GP160" s="126" t="n">
        <f aca="false"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8" t="n">
        <f aca="false"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8" t="e">
        <f aca="false">VLOOKUP(A160,'Données projet'!$A$269:$I$289,2,0)</f>
        <v>#N/A</v>
      </c>
      <c r="GS160" s="118" t="e">
        <f aca="false">VLOOKUP(A160,'Données projet'!$A$269:$I$289,9,0)</f>
        <v>#N/A</v>
      </c>
      <c r="GT160" s="118" t="e">
        <f aca="false" t="array" ref="GT160:GT160">INDEX(GS:GS,MIN(IF(ISNUMBER(GS160:GS356),ROW(GS160:GS356),"")))</f>
        <v>#N/A</v>
      </c>
      <c r="GU160" s="118" t="n">
        <f aca="false">IF('Données projet'!$A$270&gt;35,GU159+GT160-HC159,IF(A160&lt;'Données projet'!$A$270,$GR$205^A160,IF(A160='Données projet'!$A$270,'Données projet'!$B$270,GU159+GT160-HC159)))</f>
        <v>0</v>
      </c>
      <c r="GV160" s="125" t="e">
        <f aca="false">GU160*VLOOKUP('Données projet'!$B$18,Paramètres!$A$1:$I$89,3,0)*VLOOKUP('Données projet'!$B$18,Paramètres!$A$1:$I$89,5,0)</f>
        <v>#N/A</v>
      </c>
      <c r="GW160" s="117" t="e">
        <f aca="false">EXP(-1.0587+0.8836*LN(GV160)+0.284)</f>
        <v>#N/A</v>
      </c>
      <c r="GX160" s="128" t="e">
        <f aca="false">(GV160+GW160)*0.475*44/12</f>
        <v>#N/A</v>
      </c>
      <c r="GY160" s="120" t="e">
        <f aca="false">GX160+(GP160+GQ160)*44/12</f>
        <v>#N/A</v>
      </c>
      <c r="GZ160" s="120" t="e">
        <f aca="true">AVERAGE(OFFSET($GY$3,0,0,'Données projet'!$E$18+1,1))-AVERAGE(OFFSET($H$3,0,0,'Données projet'!$E$18+1,1))</f>
        <v>#N/A</v>
      </c>
      <c r="HA160" s="120" t="e">
        <f aca="false">$HA$3</f>
        <v>#N/A</v>
      </c>
      <c r="HB160" s="121" t="n">
        <f aca="false">IF(ISNA(VLOOKUP(A160,'Données projet'!$A$269:$I$289,3,0)),0,VLOOKUP(A160,'Données projet'!$A$269:$I$289,3,0))</f>
        <v>0</v>
      </c>
      <c r="HC160" s="121" t="n">
        <f aca="false">IF(ISNA(VLOOKUP(A160,'Données projet'!$A$269:$I$289,4,0)),0,VLOOKUP(A160,'Données projet'!$A$269:$I$289,4,0))</f>
        <v>0</v>
      </c>
      <c r="HD160" s="122" t="n">
        <f aca="false">IF(ISNA(VLOOKUP(A160,'Données projet'!$A$269:$I$289,5,0)),0%,VLOOKUP(A160,'Données projet'!$A$269:$I$289,5,0)*VLOOKUP('Données projet'!$B$18,Paramètres!$A$1:$I$89,7,0))</f>
        <v>0</v>
      </c>
      <c r="HE160" s="122" t="n">
        <f aca="false">IF(ISNA(VLOOKUP(A160,'Données projet'!$A$269:$I$289,6,0)),0%,VLOOKUP(A160,'Données projet'!$A$269:$I$289,6,0)*VLOOKUP('Données projet'!$B$18,Paramètres!$A$1:$I$89,7,0))</f>
        <v>0</v>
      </c>
      <c r="HF160" s="122" t="n">
        <f aca="false">IF(ISNA(VLOOKUP(A160,'Données projet'!$A$269:$I$289,7,0)),0%,VLOOKUP(A160,'Données projet'!$A$269:$I$289,7,0))</f>
        <v>0</v>
      </c>
      <c r="HG160" s="129" t="e">
        <f aca="false">EXP(-LN(2)/35)*HG159+(1-EXP(-LN(2)/35))/(LN(2)/35)*HC160*HD160*VLOOKUP('Données projet'!$B$18,Paramètres!$A$1:$I$89,3,0)*0.475*44/12</f>
        <v>#N/A</v>
      </c>
      <c r="HH160" s="129" t="e">
        <f aca="false">EXP(-LN(2)/25)*HH159+(1-EXP(-LN(2)/25))/(LN(2)/25)*Calculateur!HC160*Calculateur!HE160*VLOOKUP('Données projet'!$B$18,Paramètres!$A$1:$I$89,3,0)*0.475*44/12</f>
        <v>#N/A</v>
      </c>
      <c r="HI160" s="129" t="e">
        <f aca="false">EXP(-LN(2)/2)*HI159+(1-EXP(-LN(2)/2))/(LN(2)/2)*HC160*HF160*VLOOKUP('Données projet'!$B$18,Paramètres!$A$1:$I$89,3,0)*0.475*44/12</f>
        <v>#N/A</v>
      </c>
      <c r="HJ160" s="130" t="e">
        <f aca="false">SUM(HG160:HI160)</f>
        <v>#N/A</v>
      </c>
    </row>
    <row r="161" customFormat="false" ht="14.25" hidden="false" customHeight="false" outlineLevel="0" collapsed="false">
      <c r="A161" s="112" t="n">
        <f aca="false">A160+1</f>
        <v>158</v>
      </c>
      <c r="B161" s="113" t="n">
        <f aca="false">'Scénario référence'!$B$16*5+'Scénario référence'!$B$17*0+'Scénario référence'!$B$18*5</f>
        <v>0</v>
      </c>
      <c r="C161" s="127" t="n">
        <f aca="false"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4" t="n">
        <f aca="false">IFERROR(EXP(-1.0587+0.8836*LN(C161)+0.284),0)</f>
        <v>0</v>
      </c>
      <c r="E16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1" s="114" t="n">
        <f aca="false">IF(OR('Scénario référence'!$F$8&gt;0,'Scénario référence'!$F$9&gt;0),('Scénario référence'!$F$8+'Scénario référence'!$F$9)*10,0)</f>
        <v>0</v>
      </c>
      <c r="G161" s="114" t="n">
        <f aca="false"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15" t="n">
        <f aca="false">(B161+E161+F161)*44/12+(C161+D161)*0.475*44/12</f>
        <v>256.666666666667</v>
      </c>
      <c r="I161" s="11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7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8" t="e">
        <f aca="false">VLOOKUP(A161,'Données projet'!$A$35:$I$55,2,0)</f>
        <v>#N/A</v>
      </c>
      <c r="L161" s="118" t="e">
        <f aca="false">VLOOKUP(A161,'Données projet'!$A$35:$I$55,9,0)</f>
        <v>#N/A</v>
      </c>
      <c r="M161" s="118" t="e">
        <f aca="false" t="array" ref="M161:M161">INDEX(L:L,MIN(IF(ISNUMBER(L161:L357),ROW(L161:L357),"")))</f>
        <v>#N/A</v>
      </c>
      <c r="N161" s="117" t="n">
        <f aca="false">IF('Données projet'!$A$36&gt;35,N160+M161-V160,IF(A161&lt;'Données projet'!$A$36,$K$205^A161,IF(A161='Données projet'!$A$36,'Données projet'!$B$36,N160+M161-V160)))</f>
        <v>-1.13686837721616E-013</v>
      </c>
      <c r="O161" s="117" t="n">
        <f aca="false">N161*VLOOKUP('Données projet'!$B$9,Paramètres!$A$1:$I$89,3,0)*VLOOKUP('Données projet'!$B$9,Paramètres!$A$1:$I$89,5,0)</f>
        <v>-5.32054400537163E-014</v>
      </c>
      <c r="P161" s="117" t="e">
        <f aca="false">EXP(-1.0587+0.8836*LN(O161)+0.284)</f>
        <v>#VALUE!</v>
      </c>
      <c r="Q161" s="128" t="e">
        <f aca="false">(O161+P161)*0.475*44/12</f>
        <v>#VALUE!</v>
      </c>
      <c r="R161" s="120" t="e">
        <f aca="false">Q161+(I161+J161)*44/12</f>
        <v>#VALUE!</v>
      </c>
      <c r="S161" s="120" t="n">
        <f aca="true">AVERAGE(OFFSET($R$3,0,0,'Données projet'!$E$9+1,1))-AVERAGE(OFFSET($H$3,0,0,'Données projet'!$E$9+1,1))</f>
        <v>319.229030946746</v>
      </c>
      <c r="T161" s="120" t="n">
        <f aca="false">$T$3</f>
        <v>254.586909731428</v>
      </c>
      <c r="U161" s="121" t="n">
        <f aca="false">IF(ISNA(VLOOKUP(A161,'Données projet'!$A$35:$I$55,3,0)),0,VLOOKUP(A161,'Données projet'!$A$35:$I$55,3,0))</f>
        <v>0</v>
      </c>
      <c r="V161" s="121" t="n">
        <f aca="false">IF(ISNA(VLOOKUP(A161,'Données projet'!$A$35:$I$55,4,0)),0,VLOOKUP(A161,'Données projet'!$A$35:$I$55,4,0))</f>
        <v>0</v>
      </c>
      <c r="W161" s="122" t="n">
        <f aca="false">IF(ISNA(VLOOKUP(A161,'Données projet'!$A$35:$I$55,5,0)),0%,VLOOKUP(A161,'Données projet'!$A$35:$I$55,5,0)*VLOOKUP('Données projet'!$B$9,Paramètres!$A$1:$I$89,7,0))</f>
        <v>0</v>
      </c>
      <c r="X161" s="122" t="n">
        <f aca="false">IF(ISNA(VLOOKUP(A161,'Données projet'!$A$35:$I$55,6,0)),0%,VLOOKUP(A161,'Données projet'!$A$35:$I$55,6,0)*VLOOKUP('Données projet'!$B$9,Paramètres!$A$1:$I$89,7,0))</f>
        <v>0</v>
      </c>
      <c r="Y161" s="122" t="n">
        <f aca="false">IF(ISNA(VLOOKUP(A161,'Données projet'!$A$35:$I$55,7,0)),0%,VLOOKUP(A161,'Données projet'!$A$35:$I$55,7,0))</f>
        <v>0</v>
      </c>
      <c r="Z161" s="129" t="n">
        <f aca="false">EXP(-LN(2)/35)*Z160+(1-EXP(-LN(2)/35))/(LN(2)/35)*V161*W161*VLOOKUP('Données projet'!$B$9,Paramètres!$A$1:$I$89,3,0)*0.475*44/12</f>
        <v>0.71943702788504</v>
      </c>
      <c r="AA161" s="129" t="n">
        <f aca="false">EXP(-LN(2)/25)*AA160+(1-EXP(-LN(2)/25))/(LN(2)/25)*Calculateur!V161*Calculateur!X161*VLOOKUP('Données projet'!$B$9,Paramètres!$A$1:$I$89,3,0)*0.475*44/12</f>
        <v>0.3206658484863</v>
      </c>
      <c r="AB161" s="129" t="n">
        <f aca="false">EXP(-LN(2)/2)*AB160+(1-EXP(-LN(2)/2))/(LN(2)/2)*V161*Y161*VLOOKUP('Données projet'!$B$9,Paramètres!$A$1:$I$89,3,0)*0.475*44/12</f>
        <v>5.98649203321318E-019</v>
      </c>
      <c r="AC161" s="130" t="n">
        <f aca="false">SUM(Z161:AB161)</f>
        <v>1.04010287637134</v>
      </c>
      <c r="AD161" s="117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7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8" t="e">
        <f aca="false">VLOOKUP(A161,'Données projet'!$A$61:$I$81,2,0)</f>
        <v>#N/A</v>
      </c>
      <c r="AG161" s="118" t="e">
        <f aca="false">VLOOKUP(A161,'Données projet'!$A$61:$I$81,9,0)</f>
        <v>#N/A</v>
      </c>
      <c r="AH161" s="118" t="e">
        <f aca="false" t="array" ref="AH161:AH161">INDEX(AG:AG,MIN(IF(ISNUMBER(AG161:AG357),ROW(AG161:AG357),"")))</f>
        <v>#N/A</v>
      </c>
      <c r="AI161" s="117" t="n">
        <f aca="false">IF('Données projet'!$A$62&gt;35,AI160+AH161-AQ160,IF(A161&lt;'Données projet'!$A$62,$AF$205^A161,IF(A161='Données projet'!$A$62,'Données projet'!$B$62,AI160+AH161-AQ160)))</f>
        <v>1.13686837721616E-013</v>
      </c>
      <c r="AJ161" s="117" t="n">
        <f aca="false">AI161*VLOOKUP('Données projet'!$B$10,Paramètres!$A$1:$I$89,3,0)*VLOOKUP('Données projet'!$B$10,Paramètres!$A$1:$I$89,5,0)</f>
        <v>6.35509422863834E-014</v>
      </c>
      <c r="AK161" s="117" t="n">
        <f aca="false">EXP(-1.0587+0.8836*LN(AJ161)+0.284)</f>
        <v>1.0064464192544E-012</v>
      </c>
      <c r="AL161" s="128" t="n">
        <f aca="false">(AJ161+AK161)*0.475*44/12</f>
        <v>1.86357873801686E-012</v>
      </c>
      <c r="AM161" s="120" t="n">
        <f aca="false">AL161+(AD161+AE161)*44/12</f>
        <v>293.333333333335</v>
      </c>
      <c r="AN161" s="120" t="n">
        <f aca="true">AVERAGE(OFFSET($AM$3,0,0,'Données projet'!$E$10+1,1))-AVERAGE(OFFSET($H$3,0,0,'Données projet'!$E$10+1,1))</f>
        <v>365.705101827279</v>
      </c>
      <c r="AO161" s="120" t="n">
        <f aca="false">$AO$3</f>
        <v>436.238338449625</v>
      </c>
      <c r="AP161" s="121" t="n">
        <f aca="false">IF(ISNA(VLOOKUP(A161,'Données projet'!$A$61:$I$81,3,0)),0,VLOOKUP(A161,'Données projet'!$A$61:$I$81,3,0))</f>
        <v>0</v>
      </c>
      <c r="AQ161" s="121" t="n">
        <f aca="false">IF(ISNA(VLOOKUP(A161,'Données projet'!$A$61:$I$81,4,0)),0,VLOOKUP(A161,'Données projet'!$A$61:$I$81,4,0))</f>
        <v>0</v>
      </c>
      <c r="AR161" s="122" t="n">
        <f aca="false">IF(ISNA(VLOOKUP(A161,'Données projet'!$A$61:$I$81,5,0)),0%,VLOOKUP(A161,'Données projet'!$A$61:$I$81,5,0)*VLOOKUP('Données projet'!$B$10,Paramètres!$A$1:$I$89,7,0))</f>
        <v>0</v>
      </c>
      <c r="AS161" s="122" t="n">
        <f aca="false">IF(ISNA(VLOOKUP(A161,'Données projet'!$A$61:$I$81,6,0)),0%,VLOOKUP(A161,'Données projet'!$A$61:$I$81,6,0)*VLOOKUP('Données projet'!$B$10,Paramètres!$A$1:$I$89,7,0))</f>
        <v>0</v>
      </c>
      <c r="AT161" s="122" t="n">
        <f aca="false">IF(ISNA(VLOOKUP(A161,'Données projet'!$A$61:$I$81,7,0)),0%,VLOOKUP(A161,'Données projet'!$A$61:$I$81,7,0))</f>
        <v>0</v>
      </c>
      <c r="AU161" s="129" t="n">
        <f aca="false">EXP(-LN(2)/35)*AU160+(1-EXP(-LN(2)/35))/(LN(2)/35)*AQ161*AR161*VLOOKUP('Données projet'!$B$10,Paramètres!$A$1:$I$89,3,0)*0.475*44/12</f>
        <v>0.271564152863995</v>
      </c>
      <c r="AV161" s="129" t="n">
        <f aca="false">EXP(-LN(2)/25)*AV160+(1-EXP(-LN(2)/25))/(LN(2)/25)*Calculateur!AQ161*Calculateur!AS161*VLOOKUP('Données projet'!$B$10,Paramètres!$A$1:$I$89,3,0)*0.475*44/12</f>
        <v>0.379811359169064</v>
      </c>
      <c r="AW161" s="129" t="n">
        <f aca="false">EXP(-LN(2)/2)*AW160+(1-EXP(-LN(2)/2))/(LN(2)/2)*AQ161*AT161*VLOOKUP('Données projet'!$B$10,Paramètres!$A$1:$I$89,3,0)*0.475*44/12</f>
        <v>3.22174290591796E-019</v>
      </c>
      <c r="AX161" s="129" t="n">
        <f aca="false">SUM(AU161:AW161)</f>
        <v>0.651375512033059</v>
      </c>
      <c r="AY161" s="124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8" t="e">
        <f aca="false">VLOOKUP(A161,'Données projet'!$A$87:$I$107,2,0)</f>
        <v>#N/A</v>
      </c>
      <c r="BB161" s="118" t="e">
        <f aca="false">VLOOKUP(A161,'Données projet'!$A$87:$I$107,9,0)</f>
        <v>#N/A</v>
      </c>
      <c r="BC161" s="118" t="e">
        <f aca="false" t="array" ref="BC161:BC161">INDEX(BB:BB,MIN(IF(ISNUMBER(BB161:BB357),ROW(BB161:BB357),"")))</f>
        <v>#N/A</v>
      </c>
      <c r="BD161" s="118" t="n">
        <f aca="false">IF('Données projet'!$A$88&gt;35,BD160+BC161-BL160,IF(A161&lt;'Données projet'!$A$88,$BA$205^A161,IF(A161='Données projet'!$A$88,'Données projet'!$B$88,BD160+BC161-BL160)))</f>
        <v>1.98951966012828E-013</v>
      </c>
      <c r="BE161" s="117" t="n">
        <f aca="false">BD161*VLOOKUP('Données projet'!$B$11,Paramètres!$A$1:$I$89,3,0)*VLOOKUP('Données projet'!$B$11,Paramètres!$A$1:$I$89,5,0)</f>
        <v>1.73804437508807E-013</v>
      </c>
      <c r="BF161" s="117" t="n">
        <f aca="false">EXP(-1.0587+0.8836*LN(BE161)+0.284)</f>
        <v>2.44832936339505E-012</v>
      </c>
      <c r="BG161" s="128" t="n">
        <f aca="false">(BE161+BF161)*0.475*44/12</f>
        <v>4.56688303657421E-012</v>
      </c>
      <c r="BH161" s="120" t="n">
        <f aca="false">BG161+(AY161+AZ161)*44/12</f>
        <v>293.333333333338</v>
      </c>
      <c r="BI161" s="120" t="n">
        <f aca="true">AVERAGE(OFFSET($BH$3,0,0,'Données projet'!$E$11+1,1))-AVERAGE(OFFSET($H$3,0,0,'Données projet'!$E$11+1,1))</f>
        <v>321.235999689929</v>
      </c>
      <c r="BJ161" s="120" t="n">
        <f aca="false">$BJ$3</f>
        <v>388.051958478005</v>
      </c>
      <c r="BK161" s="121" t="n">
        <f aca="false">IF(ISNA(VLOOKUP(A161,'Données projet'!$A$87:$I$107,3,0)),0,VLOOKUP(A161,'Données projet'!$A$87:$I$107,3,0))</f>
        <v>0</v>
      </c>
      <c r="BL161" s="121" t="n">
        <f aca="false">IF(ISNA(VLOOKUP(A161,'Données projet'!$A$87:$I$107,4,0)),0,VLOOKUP(A161,'Données projet'!$A$87:$I$107,4,0))</f>
        <v>0</v>
      </c>
      <c r="BM161" s="122" t="n">
        <f aca="false">IF(ISNA(VLOOKUP(A161,'Données projet'!$A$87:$I$107,5,0)),0%,VLOOKUP(A161,'Données projet'!$A$87:$I$107,5,0)*VLOOKUP('Données projet'!$B$11,Paramètres!$A$1:$I$89,7,0))</f>
        <v>0</v>
      </c>
      <c r="BN161" s="122" t="n">
        <f aca="false">IF(ISNA(VLOOKUP(A161,'Données projet'!$A$87:$I$107,6,0)),0%,VLOOKUP(A161,'Données projet'!$A$87:$I$107,6,0)*VLOOKUP('Données projet'!$B$11,Paramètres!$A$1:$I$89,7,0))</f>
        <v>0</v>
      </c>
      <c r="BO161" s="122" t="n">
        <f aca="false">IF(ISNA(VLOOKUP(A161,'Données projet'!$A$87:$I$107,7,0)),0%,VLOOKUP(A161,'Données projet'!$A$87:$I$107,7,0))</f>
        <v>0</v>
      </c>
      <c r="BP161" s="129" t="n">
        <f aca="false">EXP(-LN(2)/35)*BP160+(1-EXP(-LN(2)/35))/(LN(2)/35)*BL161*BM161*VLOOKUP('Données projet'!$B$11,Paramètres!$A$1:$I$89,3,0)*0.475*44/12</f>
        <v>0.681794760604775</v>
      </c>
      <c r="BQ161" s="129" t="n">
        <f aca="false">EXP(-LN(2)/25)*BQ160+(1-EXP(-LN(2)/25))/(LN(2)/25)*Calculateur!BL161*Calculateur!BN161*VLOOKUP('Données projet'!$B$11,Paramètres!$A$1:$I$89,3,0)*0.475*44/12</f>
        <v>0.387688876039828</v>
      </c>
      <c r="BR161" s="129" t="n">
        <f aca="false">EXP(-LN(2)/2)*BR160+(1-EXP(-LN(2)/2))/(LN(2)/2)*BL161*BO161*VLOOKUP('Données projet'!$B$11,Paramètres!$A$1:$I$89,3,0)*0.475*44/12</f>
        <v>3.27483469882602E-019</v>
      </c>
      <c r="BS161" s="130" t="n">
        <f aca="false">SUM(BP161:BR161)</f>
        <v>1.0694836366446</v>
      </c>
      <c r="BT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8" t="e">
        <f aca="false">VLOOKUP(A161,'Données projet'!$A$113:$I$133,2,0)</f>
        <v>#N/A</v>
      </c>
      <c r="BW161" s="118" t="e">
        <f aca="false">VLOOKUP(A161,'Données projet'!$A$113:$I$133,9,0)</f>
        <v>#N/A</v>
      </c>
      <c r="BX161" s="118" t="e">
        <f aca="false" t="array" ref="BX161:BX161">INDEX(BW:BW,MIN(IF(ISNUMBER(BW161:BW357),ROW(BW161:BW357),"")))</f>
        <v>#N/A</v>
      </c>
      <c r="BY161" s="118" t="n">
        <f aca="false">IF('Données projet'!$A$114&gt;35,BY160+BX161-CG160,IF(A161&lt;'Données projet'!$A$114,$BV$205^A161,IF(A161='Données projet'!$A$114,'Données projet'!$B$114,BY160+BX161-CG160)))</f>
        <v>0</v>
      </c>
      <c r="BZ161" s="117" t="n">
        <f aca="false">BY161*VLOOKUP('Données projet'!$B$12,Paramètres!$A$1:$I$89,3,0)*VLOOKUP('Données projet'!$B$12,Paramètres!$A$1:$I$89,5,0)</f>
        <v>0</v>
      </c>
      <c r="CA161" s="117" t="e">
        <f aca="false">EXP(-1.0587+0.8836*LN(BZ161)+0.284)</f>
        <v>#VALUE!</v>
      </c>
      <c r="CB161" s="128" t="e">
        <f aca="false">(BZ161+CA161)*0.475*44/12</f>
        <v>#VALUE!</v>
      </c>
      <c r="CC161" s="120" t="e">
        <f aca="false">CB161+(BT161+BU161)*44/12</f>
        <v>#VALUE!</v>
      </c>
      <c r="CD161" s="120" t="n">
        <f aca="true">AVERAGE(OFFSET($CC$3,0,0,'Données projet'!$E$12+1,1))-AVERAGE(OFFSET($H$3,0,0,'Données projet'!$E$12+1,1))</f>
        <v>240.228848647662</v>
      </c>
      <c r="CE161" s="120" t="n">
        <f aca="false">$CE$3</f>
        <v>343.237768841432</v>
      </c>
      <c r="CF161" s="121" t="n">
        <f aca="false">IF(ISNA(VLOOKUP(A161,'Données projet'!$A$113:$I$133,3,0)),0,VLOOKUP(A161,'Données projet'!$A$113:$I$133,3,0))</f>
        <v>0</v>
      </c>
      <c r="CG161" s="121" t="n">
        <f aca="false">IF(ISNA(VLOOKUP(A161,'Données projet'!$A$113:$I$133,4,0)),0,VLOOKUP(A161,'Données projet'!$A$113:$I$133,4,0))</f>
        <v>0</v>
      </c>
      <c r="CH161" s="122" t="n">
        <f aca="false">IF(ISNA(VLOOKUP(A161,'Données projet'!$A$113:$I$133,5,0)),0%,VLOOKUP(A161,'Données projet'!$A$113:$I$133,5,0)*VLOOKUP('Données projet'!$B$12,Paramètres!$A$1:$I$89,7,0))</f>
        <v>0</v>
      </c>
      <c r="CI161" s="122" t="n">
        <f aca="false">IF(ISNA(VLOOKUP(A161,'Données projet'!$A$113:$I$133,6,0)),0%,VLOOKUP(A161,'Données projet'!$A$113:$I$133,6,0)*VLOOKUP('Données projet'!$B$12,Paramètres!$A$1:$I$89,7,0))</f>
        <v>0</v>
      </c>
      <c r="CJ161" s="122" t="n">
        <f aca="false">IF(ISNA(VLOOKUP(A161,'Données projet'!$A$113:$I$133,7,0)),0%,VLOOKUP(A161,'Données projet'!$A$113:$I$133,7,0))</f>
        <v>0</v>
      </c>
      <c r="CK161" s="129" t="n">
        <f aca="false">EXP(-LN(2)/35)*CK160+(1-EXP(-LN(2)/35))/(LN(2)/35)*CG161*CH161*VLOOKUP('Données projet'!$B$12,Paramètres!$A$1:$I$89,3,0)*0.475*44/12</f>
        <v>0.41731151004893</v>
      </c>
      <c r="CL161" s="129" t="n">
        <f aca="false">EXP(-LN(2)/25)*CL160+(1-EXP(-LN(2)/25))/(LN(2)/25)*Calculateur!CG161*Calculateur!CI161*VLOOKUP('Données projet'!$B$12,Paramètres!$A$1:$I$89,3,0)*0.475*44/12</f>
        <v>0.684680998351436</v>
      </c>
      <c r="CM161" s="129" t="n">
        <f aca="false">EXP(-LN(2)/2)*CM160+(1-EXP(-LN(2)/2))/(LN(2)/2)*CG161*CJ161*VLOOKUP('Données projet'!$B$12,Paramètres!$A$1:$I$89,3,0)*0.475*44/12</f>
        <v>5.22576310889604E-019</v>
      </c>
      <c r="CN161" s="130" t="n">
        <f aca="false">SUM(CK161:CM161)</f>
        <v>1.10199250840037</v>
      </c>
      <c r="CO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8" t="e">
        <f aca="false">VLOOKUP(A161,'Données projet'!$A$139:$I$159,2,0)</f>
        <v>#N/A</v>
      </c>
      <c r="CR161" s="118" t="e">
        <f aca="false">VLOOKUP(A161,'Données projet'!$A$139:$I$159,9,0)</f>
        <v>#N/A</v>
      </c>
      <c r="CS161" s="118" t="e">
        <f aca="false" t="array" ref="CS161:CS161">INDEX(CR:CR,MIN(IF(ISNUMBER(CR161:CR357),ROW(CR161:CR357),"")))</f>
        <v>#N/A</v>
      </c>
      <c r="CT161" s="118" t="n">
        <f aca="false">IF('Données projet'!$A$140&gt;35,CT160+CS161-DB160,IF(A161&lt;'Données projet'!$A$140,$CQ$205^A161,IF(A161='Données projet'!$A$140,'Données projet'!$B$140,CT160+CS161-DB160)))</f>
        <v>-5.6843418860808E-014</v>
      </c>
      <c r="CU161" s="125" t="n">
        <f aca="false">CT161*VLOOKUP('Données projet'!$B$13,Paramètres!$A$1:$I$89,3,0)*VLOOKUP('Données projet'!$B$13,Paramètres!$A$1:$I$89,5,0)</f>
        <v>-3.10365066980012E-014</v>
      </c>
      <c r="CV161" s="117" t="e">
        <f aca="false">EXP(-1.0587+0.8836*LN(CU161)+0.284)</f>
        <v>#VALUE!</v>
      </c>
      <c r="CW161" s="128" t="e">
        <f aca="false">(CU161+CV161)*0.475*44/12</f>
        <v>#VALUE!</v>
      </c>
      <c r="CX161" s="120" t="e">
        <f aca="false">CW161+(CO161+CP161)*44/12</f>
        <v>#VALUE!</v>
      </c>
      <c r="CY161" s="120" t="n">
        <f aca="true">AVERAGE(OFFSET($CX$3,0,0,'Données projet'!$E$13+1,1))-AVERAGE(OFFSET($H$3,0,0,'Données projet'!$E$13+1,1))</f>
        <v>207.023069645676</v>
      </c>
      <c r="CZ161" s="120" t="n">
        <f aca="false">$CZ$3</f>
        <v>342.068879333518</v>
      </c>
      <c r="DA161" s="121" t="n">
        <f aca="false">IF(ISNA(VLOOKUP(A161,'Données projet'!$A$139:$I$159,3,0)),0,VLOOKUP(A161,'Données projet'!$A$139:$I$159,3,0))</f>
        <v>0</v>
      </c>
      <c r="DB161" s="121" t="n">
        <f aca="false">IF(ISNA(VLOOKUP(A161,'Données projet'!$A$139:$I$159,4,0)),0,VLOOKUP(A161,'Données projet'!$A$139:$I$159,4,0))</f>
        <v>0</v>
      </c>
      <c r="DC161" s="122" t="n">
        <f aca="false">IF(ISNA(VLOOKUP(A161,'Données projet'!$A$139:$I$159,5,0)),0%,VLOOKUP(A161,'Données projet'!$A$139:$I$159,5,0)*VLOOKUP('Données projet'!$B$13,Paramètres!$A$1:$I$89,7,0))</f>
        <v>0</v>
      </c>
      <c r="DD161" s="122" t="n">
        <f aca="false">IF(ISNA(VLOOKUP(A161,'Données projet'!$A$139:$I$159,6,0)),0%,VLOOKUP(A161,'Données projet'!$A$139:$I$159,6,0)*VLOOKUP('Données projet'!$B$13,Paramètres!$A$1:$I$89,7,0))</f>
        <v>0</v>
      </c>
      <c r="DE161" s="122" t="n">
        <f aca="false">IF(ISNA(VLOOKUP(A161,'Données projet'!$A$139:$I$159,7,0)),0%,VLOOKUP(A161,'Données projet'!$A$139:$I$159,7,0))</f>
        <v>0</v>
      </c>
      <c r="DF161" s="129" t="n">
        <f aca="false">EXP(-LN(2)/35)*DF160+(1-EXP(-LN(2)/35))/(LN(2)/35)*DB161*DC161*VLOOKUP('Données projet'!$B$13,Paramètres!$A$1:$I$89,3,0)*0.475*44/12</f>
        <v>0.523607838080261</v>
      </c>
      <c r="DG161" s="129" t="n">
        <f aca="false">EXP(-LN(2)/25)*DG160+(1-EXP(-LN(2)/25))/(LN(2)/25)*Calculateur!DB161*Calculateur!DD161*VLOOKUP('Données projet'!$B$13,Paramètres!$A$1:$I$89,3,0)*0.475*44/12</f>
        <v>1.11916827031905</v>
      </c>
      <c r="DH161" s="129" t="n">
        <f aca="false">EXP(-LN(2)/2)*DH160+(1-EXP(-LN(2)/2))/(LN(2)/2)*DB161*DE161*VLOOKUP('Données projet'!$B$13,Paramètres!$A$1:$I$89,3,0)*0.475*44/12</f>
        <v>7.19587822374526E-019</v>
      </c>
      <c r="DI161" s="130" t="n">
        <f aca="false">SUM(DF161:DH161)</f>
        <v>1.64277610839932</v>
      </c>
      <c r="DJ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8" t="e">
        <f aca="false">VLOOKUP(A161,'Données projet'!$A$165:$I$185,2,0)</f>
        <v>#N/A</v>
      </c>
      <c r="DM161" s="118" t="e">
        <f aca="false">VLOOKUP(A161,'Données projet'!$A$165:$I$185,9,0)</f>
        <v>#N/A</v>
      </c>
      <c r="DN161" s="118" t="e">
        <f aca="false" t="array" ref="DN161:DN161">INDEX(DM:DM,MIN(IF(ISNUMBER(DM161:DM357),ROW(DM161:DM357),"")))</f>
        <v>#N/A</v>
      </c>
      <c r="DO161" s="118" t="n">
        <f aca="false">IF('Données projet'!$A$166&gt;35,DO160+DN161-DW160,IF(A161&lt;'Données projet'!$A$166,$DL$205^A161,IF(A161='Données projet'!$A$166,'Données projet'!$B$166,DO160+DN161-DW160)))</f>
        <v>0</v>
      </c>
      <c r="DP161" s="125" t="n">
        <f aca="false">DO161*VLOOKUP('Données projet'!$B$14,Paramètres!$A$1:$I$89,3,0)*VLOOKUP('Données projet'!$B$14,Paramètres!$A$1:$I$89,5,0)</f>
        <v>0</v>
      </c>
      <c r="DQ161" s="117" t="e">
        <f aca="false">EXP(-1.0587+0.8836*LN(DP161)+0.284)</f>
        <v>#VALUE!</v>
      </c>
      <c r="DR161" s="128" t="e">
        <f aca="false">(DP161+DQ161)*0.475*44/12</f>
        <v>#VALUE!</v>
      </c>
      <c r="DS161" s="120" t="e">
        <f aca="false">DR161+(DJ161+DK161)*44/12</f>
        <v>#VALUE!</v>
      </c>
      <c r="DT161" s="120" t="n">
        <f aca="true">AVERAGE(OFFSET($DS$3,0,0,'Données projet'!$E$14+1,1))-AVERAGE(OFFSET($H$3,0,0,'Données projet'!$E$14+1,1))</f>
        <v>549.432320957297</v>
      </c>
      <c r="DU161" s="120" t="n">
        <f aca="false">$DU$3</f>
        <v>280.26155987301</v>
      </c>
      <c r="DV161" s="121" t="n">
        <f aca="false">IF(ISNA(VLOOKUP(A161,'Données projet'!$A$165:$I$185,3,0)),0,VLOOKUP(A161,'Données projet'!$A$165:$I$185,3,0))</f>
        <v>0</v>
      </c>
      <c r="DW161" s="121" t="n">
        <f aca="false">IF(ISNA(VLOOKUP(A161,'Données projet'!$A$165:$I$185,4,0)),0,VLOOKUP(A161,'Données projet'!$A$165:$I$185,4,0))</f>
        <v>0</v>
      </c>
      <c r="DX161" s="122" t="n">
        <f aca="false">IF(ISNA(VLOOKUP(A161,'Données projet'!$A$165:$I$185,5,0)),0%,VLOOKUP(A161,'Données projet'!$A$165:$I$185,5,0)*VLOOKUP('Données projet'!$B$14,Paramètres!$A$1:$I$89,7,0))</f>
        <v>0</v>
      </c>
      <c r="DY161" s="122" t="n">
        <f aca="false">IF(ISNA(VLOOKUP(A161,'Données projet'!$A$165:$I$185,6,0)),0%,VLOOKUP(A161,'Données projet'!$A$165:$I$185,6,0)*VLOOKUP('Données projet'!$B$14,Paramètres!$A$1:$I$89,7,0))</f>
        <v>0</v>
      </c>
      <c r="DZ161" s="122" t="n">
        <f aca="false">IF(ISNA(VLOOKUP(A161,'Données projet'!$A$165:$I$185,7,0)),0%,VLOOKUP(A161,'Données projet'!$A$165:$I$185,7,0))</f>
        <v>0</v>
      </c>
      <c r="EA161" s="129" t="n">
        <f aca="false">EXP(-LN(2)/35)*EA160+(1-EXP(-LN(2)/35))/(LN(2)/35)*DW161*DX161*VLOOKUP('Données projet'!$B$14,Paramètres!$A$1:$I$89,3,0)*0.475*44/12</f>
        <v>0.1903832260803</v>
      </c>
      <c r="EB161" s="129" t="n">
        <f aca="false">EXP(-LN(2)/25)*EB160+(1-EXP(-LN(2)/25))/(LN(2)/25)*Calculateur!DW161*Calculateur!DY161*VLOOKUP('Données projet'!$B$14,Paramètres!$A$1:$I$89,3,0)*0.475*44/12</f>
        <v>0.22296040024943</v>
      </c>
      <c r="EC161" s="129" t="n">
        <f aca="false">EXP(-LN(2)/2)*EC160+(1-EXP(-LN(2)/2))/(LN(2)/2)*DW161*DZ161*VLOOKUP('Données projet'!$B$14,Paramètres!$A$1:$I$89,3,0)*0.475*44/12</f>
        <v>3.31715153097419E-019</v>
      </c>
      <c r="ED161" s="130" t="n">
        <f aca="false">SUM(EA161:EC161)</f>
        <v>0.41334362632973</v>
      </c>
      <c r="EE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8" t="e">
        <f aca="false">VLOOKUP(A161,'Données projet'!$A$191:$I$211,2,0)</f>
        <v>#N/A</v>
      </c>
      <c r="EH161" s="118" t="e">
        <f aca="false">VLOOKUP(A161,'Données projet'!$A$191:$I$211,9,0)</f>
        <v>#N/A</v>
      </c>
      <c r="EI161" s="118" t="e">
        <f aca="false" t="array" ref="EI161:EI161">INDEX(EH:EH,MIN(IF(ISNUMBER(EH161:EH357),ROW(EH161:EH357),"")))</f>
        <v>#N/A</v>
      </c>
      <c r="EJ161" s="118" t="n">
        <f aca="false">IF('Données projet'!$A$192&gt;35,EJ160+EI161-ER160,IF(A161&lt;'Données projet'!$A$192,$EG$205^A161,IF(A161='Données projet'!$A$192,'Données projet'!$B$192,EJ160+EI161-ER160)))</f>
        <v>0</v>
      </c>
      <c r="EK161" s="125" t="e">
        <f aca="false">EJ161*VLOOKUP('Données projet'!$B$15,Paramètres!$A$1:$I$89,3,0)*VLOOKUP('Données projet'!$B$15,Paramètres!$A$1:$I$89,5,0)</f>
        <v>#N/A</v>
      </c>
      <c r="EL161" s="117" t="e">
        <f aca="false">EXP(-1.0587+0.8836*LN(EK161)+0.284)</f>
        <v>#N/A</v>
      </c>
      <c r="EM161" s="128" t="e">
        <f aca="false">(EK161+EL161)*0.475*44/12</f>
        <v>#N/A</v>
      </c>
      <c r="EN161" s="120" t="e">
        <f aca="false">EM161+(EE161+EF161)*44/12</f>
        <v>#N/A</v>
      </c>
      <c r="EO161" s="120" t="e">
        <f aca="true">AVERAGE(OFFSET($EN$3,0,0,'Données projet'!$E$15+1,1))-AVERAGE(OFFSET($H$3,0,0,'Données projet'!$E$15+1,1))</f>
        <v>#N/A</v>
      </c>
      <c r="EP161" s="120" t="e">
        <f aca="false">$EP$3</f>
        <v>#N/A</v>
      </c>
      <c r="EQ161" s="121" t="n">
        <f aca="false">IF(ISNA(VLOOKUP(A161,'Données projet'!$A$191:$I$211,3,0)),0,VLOOKUP(A161,'Données projet'!$A$191:$I$211,3,0))</f>
        <v>0</v>
      </c>
      <c r="ER161" s="121" t="n">
        <f aca="false">IF(ISNA(VLOOKUP(A161,'Données projet'!$A$191:$I$211,4,0)),0,VLOOKUP(A161,'Données projet'!$A$191:$I$211,4,0))</f>
        <v>0</v>
      </c>
      <c r="ES161" s="122" t="n">
        <f aca="false">IF(ISNA(VLOOKUP(A161,'Données projet'!$A$191:$I$211,5,0)),0%,VLOOKUP(A161,'Données projet'!$A$191:$I$211,5,0)*VLOOKUP('Données projet'!$B$15,Paramètres!$A$1:$I$89,7,0))</f>
        <v>0</v>
      </c>
      <c r="ET161" s="122" t="n">
        <f aca="false">IF(ISNA(VLOOKUP(A161,'Données projet'!$A$191:$I$211,6,0)),0%,VLOOKUP(A161,'Données projet'!$A$191:$I$211,6,0)*VLOOKUP('Données projet'!$B$15,Paramètres!$A$1:$I$89,7,0))</f>
        <v>0</v>
      </c>
      <c r="EU161" s="122" t="n">
        <f aca="false">IF(ISNA(VLOOKUP(A161,'Données projet'!$A$191:$I$211,7,0)),0%,VLOOKUP(A161,'Données projet'!$A$191:$I$211,7,0))</f>
        <v>0</v>
      </c>
      <c r="EV161" s="129" t="e">
        <f aca="false">EXP(-LN(2)/35)*EV160+(1-EXP(-LN(2)/35))/(LN(2)/35)*ER161*ES161*VLOOKUP('Données projet'!$B$15,Paramètres!$A$1:$I$89,3,0)*0.475*44/12</f>
        <v>#N/A</v>
      </c>
      <c r="EW161" s="129" t="e">
        <f aca="false">EXP(-LN(2)/25)*EW160+(1-EXP(-LN(2)/25))/(LN(2)/25)*Calculateur!ER161*Calculateur!ET161*VLOOKUP('Données projet'!$B$15,Paramètres!$A$1:$I$89,3,0)*0.475*44/12</f>
        <v>#N/A</v>
      </c>
      <c r="EX161" s="129" t="e">
        <f aca="false">EXP(-LN(2)/2)*EX160+(1-EXP(-LN(2)/2))/(LN(2)/2)*ER161*EU161*VLOOKUP('Données projet'!$B$15,Paramètres!$A$1:$I$89,3,0)*0.475*44/12</f>
        <v>#N/A</v>
      </c>
      <c r="EY161" s="130" t="e">
        <f aca="false">SUM(EV161:EX161)</f>
        <v>#N/A</v>
      </c>
      <c r="EZ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8" t="e">
        <f aca="false">VLOOKUP(A161,'Données projet'!$A$217:$I$237,2,0)</f>
        <v>#N/A</v>
      </c>
      <c r="FC161" s="118" t="e">
        <f aca="false">VLOOKUP(A161,'Données projet'!$A$217:$I$237,9,0)</f>
        <v>#N/A</v>
      </c>
      <c r="FD161" s="118" t="e">
        <f aca="false" t="array" ref="FD161:FD161">INDEX(FC:FC,MIN(IF(ISNUMBER(FC161:FC357),ROW(FC161:FC357),"")))</f>
        <v>#N/A</v>
      </c>
      <c r="FE161" s="118" t="n">
        <f aca="false">IF('Données projet'!$A$218&gt;35,FE160+FD161-FM160,IF(A161&lt;'Données projet'!$A$218,$FB$205^A161,IF(A161='Données projet'!$A$218,'Données projet'!$B$218,FE160+FD161-FM160)))</f>
        <v>0</v>
      </c>
      <c r="FF161" s="125" t="e">
        <f aca="false">FE161*VLOOKUP('Données projet'!$B$16,Paramètres!$A$1:$I$89,3,0)*VLOOKUP('Données projet'!$B$16,Paramètres!$A$1:$I$89,5,0)</f>
        <v>#N/A</v>
      </c>
      <c r="FG161" s="117" t="e">
        <f aca="false">EXP(-1.0587+0.8836*LN(FF161)+0.284)</f>
        <v>#N/A</v>
      </c>
      <c r="FH161" s="128" t="e">
        <f aca="false">(FF161+FG161)*0.475*44/12</f>
        <v>#N/A</v>
      </c>
      <c r="FI161" s="120" t="e">
        <f aca="false">FH161+(EZ161+FA161)*44/12</f>
        <v>#N/A</v>
      </c>
      <c r="FJ161" s="120" t="e">
        <f aca="true">AVERAGE(OFFSET($FI$3,0,0,'Données projet'!$E$16+1,1))-AVERAGE(OFFSET($H$3,0,0,'Données projet'!$E$16+1,1))</f>
        <v>#N/A</v>
      </c>
      <c r="FK161" s="120" t="e">
        <f aca="false">$FK$3</f>
        <v>#N/A</v>
      </c>
      <c r="FL161" s="121" t="n">
        <f aca="false">IF(ISNA(VLOOKUP(A161,'Données projet'!$A$217:$I$237,3,0)),0,VLOOKUP(A161,'Données projet'!$A$217:$I$237,3,0))</f>
        <v>0</v>
      </c>
      <c r="FM161" s="121" t="n">
        <f aca="false">IF(ISNA(VLOOKUP(A161,'Données projet'!$A$217:$I$237,4,0)),0,VLOOKUP(A161,'Données projet'!$A$217:$I$237,4,0))</f>
        <v>0</v>
      </c>
      <c r="FN161" s="122" t="n">
        <f aca="false">IF(ISNA(VLOOKUP(A161,'Données projet'!$A$217:$I$237,5,0)),0%,VLOOKUP(A161,'Données projet'!$A$217:$I$237,5,0)*VLOOKUP('Données projet'!$B$16,Paramètres!$A$1:$I$89,7,0))</f>
        <v>0</v>
      </c>
      <c r="FO161" s="122" t="n">
        <f aca="false">IF(ISNA(VLOOKUP(A161,'Données projet'!$A$217:$I$237,6,0)),0%,VLOOKUP(A161,'Données projet'!$A$217:$I$237,6,0)*VLOOKUP('Données projet'!$B$16,Paramètres!$A$1:$I$89,7,0))</f>
        <v>0</v>
      </c>
      <c r="FP161" s="122" t="n">
        <f aca="false">IF(ISNA(VLOOKUP(A161,'Données projet'!$A$217:$I$237,7,0)),0%,VLOOKUP(A161,'Données projet'!$A$217:$I$237,7,0))</f>
        <v>0</v>
      </c>
      <c r="FQ161" s="129" t="e">
        <f aca="false">EXP(-LN(2)/35)*FQ160+(1-EXP(-LN(2)/35))/(LN(2)/35)*FM161*FN161*VLOOKUP('Données projet'!$B$16,Paramètres!$A$1:$I$89,3,0)*0.475*44/12</f>
        <v>#N/A</v>
      </c>
      <c r="FR161" s="129" t="e">
        <f aca="false">EXP(-LN(2)/25)*FR160+(1-EXP(-LN(2)/25))/(LN(2)/25)*Calculateur!FM161*Calculateur!FO161*VLOOKUP('Données projet'!$B$16,Paramètres!$A$1:$I$89,3,0)*0.475*44/12</f>
        <v>#N/A</v>
      </c>
      <c r="FS161" s="129" t="e">
        <f aca="false">EXP(-LN(2)/2)*FS160+(1-EXP(-LN(2)/2))/(LN(2)/2)*FM161*FP161*VLOOKUP('Données projet'!$B$16,Paramètres!$A$1:$I$89,3,0)*0.475*44/12</f>
        <v>#N/A</v>
      </c>
      <c r="FT161" s="130" t="e">
        <f aca="false">SUM(FQ161:FS161)</f>
        <v>#N/A</v>
      </c>
      <c r="FU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8" t="e">
        <f aca="false">VLOOKUP(A161,'Données projet'!$A$243:$I$263,2,0)</f>
        <v>#N/A</v>
      </c>
      <c r="FX161" s="118" t="e">
        <f aca="false">VLOOKUP(A161,'Données projet'!$A$243:$I$263,9,0)</f>
        <v>#N/A</v>
      </c>
      <c r="FY161" s="118" t="e">
        <f aca="false" t="array" ref="FY161:FY161">INDEX(FX:FX,MIN(IF(ISNUMBER(FX161:FX357),ROW(FX161:FX357),"")))</f>
        <v>#N/A</v>
      </c>
      <c r="FZ161" s="118" t="n">
        <f aca="false">IF('Données projet'!$A$244&gt;35,FZ160+FY161-GH160,IF(A161&lt;'Données projet'!$A$244,$FW$205^A161,IF(A161='Données projet'!$A$244,'Données projet'!$B$244,FZ160+FY161-GH160)))</f>
        <v>0</v>
      </c>
      <c r="GA161" s="125" t="e">
        <f aca="false">FZ161*VLOOKUP('Données projet'!$B$17,Paramètres!$A$1:$I$89,3,0)*VLOOKUP('Données projet'!$B$17,Paramètres!$A$1:$I$89,5,0)</f>
        <v>#N/A</v>
      </c>
      <c r="GB161" s="117" t="e">
        <f aca="false">EXP(-1.0587+0.8836*LN(GA161)+0.284)</f>
        <v>#N/A</v>
      </c>
      <c r="GC161" s="128" t="e">
        <f aca="false">(GA161+GB161)*0.475*44/12</f>
        <v>#N/A</v>
      </c>
      <c r="GD161" s="120" t="e">
        <f aca="false">GC161+(FU161+FV161)*44/12</f>
        <v>#N/A</v>
      </c>
      <c r="GE161" s="120" t="e">
        <f aca="true">AVERAGE(OFFSET($GD$3,0,0,'Données projet'!$E$17+1,1))-AVERAGE(OFFSET($H$3,0,0,'Données projet'!$E$17+1,1))</f>
        <v>#N/A</v>
      </c>
      <c r="GF161" s="120" t="e">
        <f aca="false">$GF$3</f>
        <v>#N/A</v>
      </c>
      <c r="GG161" s="121" t="n">
        <f aca="false">IF(ISNA(VLOOKUP(A161,'Données projet'!$A$243:$I$263,3,0)),0,VLOOKUP(A161,'Données projet'!$A$243:$I$263,3,0))</f>
        <v>0</v>
      </c>
      <c r="GH161" s="121" t="n">
        <f aca="false">IF(ISNA(VLOOKUP(A161,'Données projet'!$A$243:$I$263,4,0)),0,VLOOKUP(A161,'Données projet'!$A$243:$I$263,4,0))</f>
        <v>0</v>
      </c>
      <c r="GI161" s="122" t="n">
        <f aca="false">IF(ISNA(VLOOKUP(A161,'Données projet'!$A$243:$I$263,5,0)),0%,VLOOKUP(A161,'Données projet'!$A$243:$I$263,5,0)*VLOOKUP('Données projet'!$B$17,Paramètres!$A$1:$I$89,7,0))</f>
        <v>0</v>
      </c>
      <c r="GJ161" s="122" t="n">
        <f aca="false">IF(ISNA(VLOOKUP(A161,'Données projet'!$A$243:$I$263,6,0)),0%,VLOOKUP(A161,'Données projet'!$A$243:$I$263,6,0)*VLOOKUP('Données projet'!$B$17,Paramètres!$A$1:$I$89,7,0))</f>
        <v>0</v>
      </c>
      <c r="GK161" s="122" t="n">
        <f aca="false">IF(ISNA(VLOOKUP(A161,'Données projet'!$A$243:$I$263,7,0)),0%,VLOOKUP(A161,'Données projet'!$A$243:$I$263,7,0))</f>
        <v>0</v>
      </c>
      <c r="GL161" s="129" t="e">
        <f aca="false">EXP(-LN(2)/35)*GL160+(1-EXP(-LN(2)/35))/(LN(2)/35)*GH161*GI161*VLOOKUP('Données projet'!$B$17,Paramètres!$A$1:$I$89,3,0)*0.475*44/12</f>
        <v>#N/A</v>
      </c>
      <c r="GM161" s="129" t="e">
        <f aca="false">EXP(-LN(2)/25)*GM160+(1-EXP(-LN(2)/25))/(LN(2)/25)*Calculateur!GH161*Calculateur!GJ161*VLOOKUP('Données projet'!$B$17,Paramètres!$A$1:$I$89,3,0)*0.475*44/12</f>
        <v>#N/A</v>
      </c>
      <c r="GN161" s="129" t="e">
        <f aca="false">EXP(-LN(2)/2)*GN160+(1-EXP(-LN(2)/2))/(LN(2)/2)*GH161*GK161*VLOOKUP('Données projet'!$B$17,Paramètres!$A$1:$I$89,3,0)*0.475*44/12</f>
        <v>#N/A</v>
      </c>
      <c r="GO161" s="129" t="e">
        <f aca="false">SUM(GL161:GN161)</f>
        <v>#N/A</v>
      </c>
      <c r="GP161" s="126" t="n">
        <f aca="false"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8" t="n">
        <f aca="false"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8" t="e">
        <f aca="false">VLOOKUP(A161,'Données projet'!$A$269:$I$289,2,0)</f>
        <v>#N/A</v>
      </c>
      <c r="GS161" s="118" t="e">
        <f aca="false">VLOOKUP(A161,'Données projet'!$A$269:$I$289,9,0)</f>
        <v>#N/A</v>
      </c>
      <c r="GT161" s="118" t="e">
        <f aca="false" t="array" ref="GT161:GT161">INDEX(GS:GS,MIN(IF(ISNUMBER(GS161:GS357),ROW(GS161:GS357),"")))</f>
        <v>#N/A</v>
      </c>
      <c r="GU161" s="118" t="n">
        <f aca="false">IF('Données projet'!$A$270&gt;35,GU160+GT161-HC160,IF(A161&lt;'Données projet'!$A$270,$GR$205^A161,IF(A161='Données projet'!$A$270,'Données projet'!$B$270,GU160+GT161-HC160)))</f>
        <v>0</v>
      </c>
      <c r="GV161" s="125" t="e">
        <f aca="false">GU161*VLOOKUP('Données projet'!$B$18,Paramètres!$A$1:$I$89,3,0)*VLOOKUP('Données projet'!$B$18,Paramètres!$A$1:$I$89,5,0)</f>
        <v>#N/A</v>
      </c>
      <c r="GW161" s="117" t="e">
        <f aca="false">EXP(-1.0587+0.8836*LN(GV161)+0.284)</f>
        <v>#N/A</v>
      </c>
      <c r="GX161" s="128" t="e">
        <f aca="false">(GV161+GW161)*0.475*44/12</f>
        <v>#N/A</v>
      </c>
      <c r="GY161" s="120" t="e">
        <f aca="false">GX161+(GP161+GQ161)*44/12</f>
        <v>#N/A</v>
      </c>
      <c r="GZ161" s="120" t="e">
        <f aca="true">AVERAGE(OFFSET($GY$3,0,0,'Données projet'!$E$18+1,1))-AVERAGE(OFFSET($H$3,0,0,'Données projet'!$E$18+1,1))</f>
        <v>#N/A</v>
      </c>
      <c r="HA161" s="120" t="e">
        <f aca="false">$HA$3</f>
        <v>#N/A</v>
      </c>
      <c r="HB161" s="121" t="n">
        <f aca="false">IF(ISNA(VLOOKUP(A161,'Données projet'!$A$269:$I$289,3,0)),0,VLOOKUP(A161,'Données projet'!$A$269:$I$289,3,0))</f>
        <v>0</v>
      </c>
      <c r="HC161" s="121" t="n">
        <f aca="false">IF(ISNA(VLOOKUP(A161,'Données projet'!$A$269:$I$289,4,0)),0,VLOOKUP(A161,'Données projet'!$A$269:$I$289,4,0))</f>
        <v>0</v>
      </c>
      <c r="HD161" s="122" t="n">
        <f aca="false">IF(ISNA(VLOOKUP(A161,'Données projet'!$A$269:$I$289,5,0)),0%,VLOOKUP(A161,'Données projet'!$A$269:$I$289,5,0)*VLOOKUP('Données projet'!$B$18,Paramètres!$A$1:$I$89,7,0))</f>
        <v>0</v>
      </c>
      <c r="HE161" s="122" t="n">
        <f aca="false">IF(ISNA(VLOOKUP(A161,'Données projet'!$A$269:$I$289,6,0)),0%,VLOOKUP(A161,'Données projet'!$A$269:$I$289,6,0)*VLOOKUP('Données projet'!$B$18,Paramètres!$A$1:$I$89,7,0))</f>
        <v>0</v>
      </c>
      <c r="HF161" s="122" t="n">
        <f aca="false">IF(ISNA(VLOOKUP(A161,'Données projet'!$A$269:$I$289,7,0)),0%,VLOOKUP(A161,'Données projet'!$A$269:$I$289,7,0))</f>
        <v>0</v>
      </c>
      <c r="HG161" s="129" t="e">
        <f aca="false">EXP(-LN(2)/35)*HG160+(1-EXP(-LN(2)/35))/(LN(2)/35)*HC161*HD161*VLOOKUP('Données projet'!$B$18,Paramètres!$A$1:$I$89,3,0)*0.475*44/12</f>
        <v>#N/A</v>
      </c>
      <c r="HH161" s="129" t="e">
        <f aca="false">EXP(-LN(2)/25)*HH160+(1-EXP(-LN(2)/25))/(LN(2)/25)*Calculateur!HC161*Calculateur!HE161*VLOOKUP('Données projet'!$B$18,Paramètres!$A$1:$I$89,3,0)*0.475*44/12</f>
        <v>#N/A</v>
      </c>
      <c r="HI161" s="129" t="e">
        <f aca="false">EXP(-LN(2)/2)*HI160+(1-EXP(-LN(2)/2))/(LN(2)/2)*HC161*HF161*VLOOKUP('Données projet'!$B$18,Paramètres!$A$1:$I$89,3,0)*0.475*44/12</f>
        <v>#N/A</v>
      </c>
      <c r="HJ161" s="130" t="e">
        <f aca="false">SUM(HG161:HI161)</f>
        <v>#N/A</v>
      </c>
    </row>
    <row r="162" customFormat="false" ht="14.25" hidden="false" customHeight="false" outlineLevel="0" collapsed="false">
      <c r="A162" s="112" t="n">
        <f aca="false">A161+1</f>
        <v>159</v>
      </c>
      <c r="B162" s="113" t="n">
        <f aca="false">'Scénario référence'!$B$16*5+'Scénario référence'!$B$17*0+'Scénario référence'!$B$18*5</f>
        <v>0</v>
      </c>
      <c r="C162" s="127" t="n">
        <f aca="false"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4" t="n">
        <f aca="false">IFERROR(EXP(-1.0587+0.8836*LN(C162)+0.284),0)</f>
        <v>0</v>
      </c>
      <c r="E16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2" s="114" t="n">
        <f aca="false">IF(OR('Scénario référence'!$F$8&gt;0,'Scénario référence'!$F$9&gt;0),('Scénario référence'!$F$8+'Scénario référence'!$F$9)*10,0)</f>
        <v>0</v>
      </c>
      <c r="G162" s="114" t="n">
        <f aca="false"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15" t="n">
        <f aca="false">(B162+E162+F162)*44/12+(C162+D162)*0.475*44/12</f>
        <v>256.666666666667</v>
      </c>
      <c r="I162" s="11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7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8" t="e">
        <f aca="false">VLOOKUP(A162,'Données projet'!$A$35:$I$55,2,0)</f>
        <v>#N/A</v>
      </c>
      <c r="L162" s="118" t="e">
        <f aca="false">VLOOKUP(A162,'Données projet'!$A$35:$I$55,9,0)</f>
        <v>#N/A</v>
      </c>
      <c r="M162" s="118" t="e">
        <f aca="false" t="array" ref="M162:M162">INDEX(L:L,MIN(IF(ISNUMBER(L162:L358),ROW(L162:L358),"")))</f>
        <v>#N/A</v>
      </c>
      <c r="N162" s="117" t="n">
        <f aca="false">IF('Données projet'!$A$36&gt;35,N161+M162-V161,IF(A162&lt;'Données projet'!$A$36,$K$205^A162,IF(A162='Données projet'!$A$36,'Données projet'!$B$36,N161+M162-V161)))</f>
        <v>-1.13686837721616E-013</v>
      </c>
      <c r="O162" s="117" t="n">
        <f aca="false">N162*VLOOKUP('Données projet'!$B$9,Paramètres!$A$1:$I$89,3,0)*VLOOKUP('Données projet'!$B$9,Paramètres!$A$1:$I$89,5,0)</f>
        <v>-5.32054400537163E-014</v>
      </c>
      <c r="P162" s="117" t="e">
        <f aca="false">EXP(-1.0587+0.8836*LN(O162)+0.284)</f>
        <v>#VALUE!</v>
      </c>
      <c r="Q162" s="128" t="e">
        <f aca="false">(O162+P162)*0.475*44/12</f>
        <v>#VALUE!</v>
      </c>
      <c r="R162" s="120" t="e">
        <f aca="false">Q162+(I162+J162)*44/12</f>
        <v>#VALUE!</v>
      </c>
      <c r="S162" s="120" t="n">
        <f aca="true">AVERAGE(OFFSET($R$3,0,0,'Données projet'!$E$9+1,1))-AVERAGE(OFFSET($H$3,0,0,'Données projet'!$E$9+1,1))</f>
        <v>319.229030946746</v>
      </c>
      <c r="T162" s="120" t="n">
        <f aca="false">$T$3</f>
        <v>254.586909731428</v>
      </c>
      <c r="U162" s="121" t="n">
        <f aca="false">IF(ISNA(VLOOKUP(A162,'Données projet'!$A$35:$I$55,3,0)),0,VLOOKUP(A162,'Données projet'!$A$35:$I$55,3,0))</f>
        <v>0</v>
      </c>
      <c r="V162" s="121" t="n">
        <f aca="false">IF(ISNA(VLOOKUP(A162,'Données projet'!$A$35:$I$55,4,0)),0,VLOOKUP(A162,'Données projet'!$A$35:$I$55,4,0))</f>
        <v>0</v>
      </c>
      <c r="W162" s="122" t="n">
        <f aca="false">IF(ISNA(VLOOKUP(A162,'Données projet'!$A$35:$I$55,5,0)),0%,VLOOKUP(A162,'Données projet'!$A$35:$I$55,5,0)*VLOOKUP('Données projet'!$B$9,Paramètres!$A$1:$I$89,7,0))</f>
        <v>0</v>
      </c>
      <c r="X162" s="122" t="n">
        <f aca="false">IF(ISNA(VLOOKUP(A162,'Données projet'!$A$35:$I$55,6,0)),0%,VLOOKUP(A162,'Données projet'!$A$35:$I$55,6,0)*VLOOKUP('Données projet'!$B$9,Paramètres!$A$1:$I$89,7,0))</f>
        <v>0</v>
      </c>
      <c r="Y162" s="122" t="n">
        <f aca="false">IF(ISNA(VLOOKUP(A162,'Données projet'!$A$35:$I$55,7,0)),0%,VLOOKUP(A162,'Données projet'!$A$35:$I$55,7,0))</f>
        <v>0</v>
      </c>
      <c r="Z162" s="129" t="n">
        <f aca="false">EXP(-LN(2)/35)*Z161+(1-EXP(-LN(2)/35))/(LN(2)/35)*V162*W162*VLOOKUP('Données projet'!$B$9,Paramètres!$A$1:$I$89,3,0)*0.475*44/12</f>
        <v>0.705329306581472</v>
      </c>
      <c r="AA162" s="129" t="n">
        <f aca="false">EXP(-LN(2)/25)*AA161+(1-EXP(-LN(2)/25))/(LN(2)/25)*Calculateur!V162*Calculateur!X162*VLOOKUP('Données projet'!$B$9,Paramètres!$A$1:$I$89,3,0)*0.475*44/12</f>
        <v>0.311897223996358</v>
      </c>
      <c r="AB162" s="129" t="n">
        <f aca="false">EXP(-LN(2)/2)*AB161+(1-EXP(-LN(2)/2))/(LN(2)/2)*V162*Y162*VLOOKUP('Données projet'!$B$9,Paramètres!$A$1:$I$89,3,0)*0.475*44/12</f>
        <v>4.23308911220428E-019</v>
      </c>
      <c r="AC162" s="130" t="n">
        <f aca="false">SUM(Z162:AB162)</f>
        <v>1.01722653057783</v>
      </c>
      <c r="AD162" s="117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7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8" t="e">
        <f aca="false">VLOOKUP(A162,'Données projet'!$A$61:$I$81,2,0)</f>
        <v>#N/A</v>
      </c>
      <c r="AG162" s="118" t="e">
        <f aca="false">VLOOKUP(A162,'Données projet'!$A$61:$I$81,9,0)</f>
        <v>#N/A</v>
      </c>
      <c r="AH162" s="118" t="e">
        <f aca="false" t="array" ref="AH162:AH162">INDEX(AG:AG,MIN(IF(ISNUMBER(AG162:AG358),ROW(AG162:AG358),"")))</f>
        <v>#N/A</v>
      </c>
      <c r="AI162" s="117" t="n">
        <f aca="false">IF('Données projet'!$A$62&gt;35,AI161+AH162-AQ161,IF(A162&lt;'Données projet'!$A$62,$AF$205^A162,IF(A162='Données projet'!$A$62,'Données projet'!$B$62,AI161+AH162-AQ161)))</f>
        <v>1.13686837721616E-013</v>
      </c>
      <c r="AJ162" s="117" t="n">
        <f aca="false">AI162*VLOOKUP('Données projet'!$B$10,Paramètres!$A$1:$I$89,3,0)*VLOOKUP('Données projet'!$B$10,Paramètres!$A$1:$I$89,5,0)</f>
        <v>6.35509422863834E-014</v>
      </c>
      <c r="AK162" s="117" t="n">
        <f aca="false">EXP(-1.0587+0.8836*LN(AJ162)+0.284)</f>
        <v>1.0064464192544E-012</v>
      </c>
      <c r="AL162" s="128" t="n">
        <f aca="false">(AJ162+AK162)*0.475*44/12</f>
        <v>1.86357873801686E-012</v>
      </c>
      <c r="AM162" s="120" t="n">
        <f aca="false">AL162+(AD162+AE162)*44/12</f>
        <v>293.333333333335</v>
      </c>
      <c r="AN162" s="120" t="n">
        <f aca="true">AVERAGE(OFFSET($AM$3,0,0,'Données projet'!$E$10+1,1))-AVERAGE(OFFSET($H$3,0,0,'Données projet'!$E$10+1,1))</f>
        <v>365.705101827279</v>
      </c>
      <c r="AO162" s="120" t="n">
        <f aca="false">$AO$3</f>
        <v>436.238338449625</v>
      </c>
      <c r="AP162" s="121" t="n">
        <f aca="false">IF(ISNA(VLOOKUP(A162,'Données projet'!$A$61:$I$81,3,0)),0,VLOOKUP(A162,'Données projet'!$A$61:$I$81,3,0))</f>
        <v>0</v>
      </c>
      <c r="AQ162" s="121" t="n">
        <f aca="false">IF(ISNA(VLOOKUP(A162,'Données projet'!$A$61:$I$81,4,0)),0,VLOOKUP(A162,'Données projet'!$A$61:$I$81,4,0))</f>
        <v>0</v>
      </c>
      <c r="AR162" s="122" t="n">
        <f aca="false">IF(ISNA(VLOOKUP(A162,'Données projet'!$A$61:$I$81,5,0)),0%,VLOOKUP(A162,'Données projet'!$A$61:$I$81,5,0)*VLOOKUP('Données projet'!$B$10,Paramètres!$A$1:$I$89,7,0))</f>
        <v>0</v>
      </c>
      <c r="AS162" s="122" t="n">
        <f aca="false">IF(ISNA(VLOOKUP(A162,'Données projet'!$A$61:$I$81,6,0)),0%,VLOOKUP(A162,'Données projet'!$A$61:$I$81,6,0)*VLOOKUP('Données projet'!$B$10,Paramètres!$A$1:$I$89,7,0))</f>
        <v>0</v>
      </c>
      <c r="AT162" s="122" t="n">
        <f aca="false">IF(ISNA(VLOOKUP(A162,'Données projet'!$A$61:$I$81,7,0)),0%,VLOOKUP(A162,'Données projet'!$A$61:$I$81,7,0))</f>
        <v>0</v>
      </c>
      <c r="AU162" s="129" t="n">
        <f aca="false">EXP(-LN(2)/35)*AU161+(1-EXP(-LN(2)/35))/(LN(2)/35)*AQ162*AR162*VLOOKUP('Données projet'!$B$10,Paramètres!$A$1:$I$89,3,0)*0.475*44/12</f>
        <v>0.26623894546411</v>
      </c>
      <c r="AV162" s="129" t="n">
        <f aca="false">EXP(-LN(2)/25)*AV161+(1-EXP(-LN(2)/25))/(LN(2)/25)*Calculateur!AQ162*Calculateur!AS162*VLOOKUP('Données projet'!$B$10,Paramètres!$A$1:$I$89,3,0)*0.475*44/12</f>
        <v>0.369425397579175</v>
      </c>
      <c r="AW162" s="129" t="n">
        <f aca="false">EXP(-LN(2)/2)*AW161+(1-EXP(-LN(2)/2))/(LN(2)/2)*AQ162*AT162*VLOOKUP('Données projet'!$B$10,Paramètres!$A$1:$I$89,3,0)*0.475*44/12</f>
        <v>2.27811625601424E-019</v>
      </c>
      <c r="AX162" s="129" t="n">
        <f aca="false">SUM(AU162:AW162)</f>
        <v>0.635664343043285</v>
      </c>
      <c r="AY162" s="124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8" t="e">
        <f aca="false">VLOOKUP(A162,'Données projet'!$A$87:$I$107,2,0)</f>
        <v>#N/A</v>
      </c>
      <c r="BB162" s="118" t="e">
        <f aca="false">VLOOKUP(A162,'Données projet'!$A$87:$I$107,9,0)</f>
        <v>#N/A</v>
      </c>
      <c r="BC162" s="118" t="e">
        <f aca="false" t="array" ref="BC162:BC162">INDEX(BB:BB,MIN(IF(ISNUMBER(BB162:BB358),ROW(BB162:BB358),"")))</f>
        <v>#N/A</v>
      </c>
      <c r="BD162" s="118" t="n">
        <f aca="false">IF('Données projet'!$A$88&gt;35,BD161+BC162-BL161,IF(A162&lt;'Données projet'!$A$88,$BA$205^A162,IF(A162='Données projet'!$A$88,'Données projet'!$B$88,BD161+BC162-BL161)))</f>
        <v>1.98951966012828E-013</v>
      </c>
      <c r="BE162" s="117" t="n">
        <f aca="false">BD162*VLOOKUP('Données projet'!$B$11,Paramètres!$A$1:$I$89,3,0)*VLOOKUP('Données projet'!$B$11,Paramètres!$A$1:$I$89,5,0)</f>
        <v>1.73804437508807E-013</v>
      </c>
      <c r="BF162" s="117" t="n">
        <f aca="false">EXP(-1.0587+0.8836*LN(BE162)+0.284)</f>
        <v>2.44832936339505E-012</v>
      </c>
      <c r="BG162" s="128" t="n">
        <f aca="false">(BE162+BF162)*0.475*44/12</f>
        <v>4.56688303657421E-012</v>
      </c>
      <c r="BH162" s="120" t="n">
        <f aca="false">BG162+(AY162+AZ162)*44/12</f>
        <v>293.333333333338</v>
      </c>
      <c r="BI162" s="120" t="n">
        <f aca="true">AVERAGE(OFFSET($BH$3,0,0,'Données projet'!$E$11+1,1))-AVERAGE(OFFSET($H$3,0,0,'Données projet'!$E$11+1,1))</f>
        <v>321.235999689929</v>
      </c>
      <c r="BJ162" s="120" t="n">
        <f aca="false">$BJ$3</f>
        <v>388.051958478005</v>
      </c>
      <c r="BK162" s="121" t="n">
        <f aca="false">IF(ISNA(VLOOKUP(A162,'Données projet'!$A$87:$I$107,3,0)),0,VLOOKUP(A162,'Données projet'!$A$87:$I$107,3,0))</f>
        <v>0</v>
      </c>
      <c r="BL162" s="121" t="n">
        <f aca="false">IF(ISNA(VLOOKUP(A162,'Données projet'!$A$87:$I$107,4,0)),0,VLOOKUP(A162,'Données projet'!$A$87:$I$107,4,0))</f>
        <v>0</v>
      </c>
      <c r="BM162" s="122" t="n">
        <f aca="false">IF(ISNA(VLOOKUP(A162,'Données projet'!$A$87:$I$107,5,0)),0%,VLOOKUP(A162,'Données projet'!$A$87:$I$107,5,0)*VLOOKUP('Données projet'!$B$11,Paramètres!$A$1:$I$89,7,0))</f>
        <v>0</v>
      </c>
      <c r="BN162" s="122" t="n">
        <f aca="false">IF(ISNA(VLOOKUP(A162,'Données projet'!$A$87:$I$107,6,0)),0%,VLOOKUP(A162,'Données projet'!$A$87:$I$107,6,0)*VLOOKUP('Données projet'!$B$11,Paramètres!$A$1:$I$89,7,0))</f>
        <v>0</v>
      </c>
      <c r="BO162" s="122" t="n">
        <f aca="false">IF(ISNA(VLOOKUP(A162,'Données projet'!$A$87:$I$107,7,0)),0%,VLOOKUP(A162,'Données projet'!$A$87:$I$107,7,0))</f>
        <v>0</v>
      </c>
      <c r="BP162" s="129" t="n">
        <f aca="false">EXP(-LN(2)/35)*BP161+(1-EXP(-LN(2)/35))/(LN(2)/35)*BL162*BM162*VLOOKUP('Données projet'!$B$11,Paramètres!$A$1:$I$89,3,0)*0.475*44/12</f>
        <v>0.668425181203057</v>
      </c>
      <c r="BQ162" s="129" t="n">
        <f aca="false">EXP(-LN(2)/25)*BQ161+(1-EXP(-LN(2)/25))/(LN(2)/25)*Calculateur!BL162*Calculateur!BN162*VLOOKUP('Données projet'!$B$11,Paramètres!$A$1:$I$89,3,0)*0.475*44/12</f>
        <v>0.377087503336847</v>
      </c>
      <c r="BR162" s="129" t="n">
        <f aca="false">EXP(-LN(2)/2)*BR161+(1-EXP(-LN(2)/2))/(LN(2)/2)*BL162*BO162*VLOOKUP('Données projet'!$B$11,Paramètres!$A$1:$I$89,3,0)*0.475*44/12</f>
        <v>2.31565782280489E-019</v>
      </c>
      <c r="BS162" s="130" t="n">
        <f aca="false">SUM(BP162:BR162)</f>
        <v>1.0455126845399</v>
      </c>
      <c r="BT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8" t="e">
        <f aca="false">VLOOKUP(A162,'Données projet'!$A$113:$I$133,2,0)</f>
        <v>#N/A</v>
      </c>
      <c r="BW162" s="118" t="e">
        <f aca="false">VLOOKUP(A162,'Données projet'!$A$113:$I$133,9,0)</f>
        <v>#N/A</v>
      </c>
      <c r="BX162" s="118" t="e">
        <f aca="false" t="array" ref="BX162:BX162">INDEX(BW:BW,MIN(IF(ISNUMBER(BW162:BW358),ROW(BW162:BW358),"")))</f>
        <v>#N/A</v>
      </c>
      <c r="BY162" s="118" t="n">
        <f aca="false">IF('Données projet'!$A$114&gt;35,BY161+BX162-CG161,IF(A162&lt;'Données projet'!$A$114,$BV$205^A162,IF(A162='Données projet'!$A$114,'Données projet'!$B$114,BY161+BX162-CG161)))</f>
        <v>0</v>
      </c>
      <c r="BZ162" s="117" t="n">
        <f aca="false">BY162*VLOOKUP('Données projet'!$B$12,Paramètres!$A$1:$I$89,3,0)*VLOOKUP('Données projet'!$B$12,Paramètres!$A$1:$I$89,5,0)</f>
        <v>0</v>
      </c>
      <c r="CA162" s="117" t="e">
        <f aca="false">EXP(-1.0587+0.8836*LN(BZ162)+0.284)</f>
        <v>#VALUE!</v>
      </c>
      <c r="CB162" s="128" t="e">
        <f aca="false">(BZ162+CA162)*0.475*44/12</f>
        <v>#VALUE!</v>
      </c>
      <c r="CC162" s="120" t="e">
        <f aca="false">CB162+(BT162+BU162)*44/12</f>
        <v>#VALUE!</v>
      </c>
      <c r="CD162" s="120" t="n">
        <f aca="true">AVERAGE(OFFSET($CC$3,0,0,'Données projet'!$E$12+1,1))-AVERAGE(OFFSET($H$3,0,0,'Données projet'!$E$12+1,1))</f>
        <v>240.228848647662</v>
      </c>
      <c r="CE162" s="120" t="n">
        <f aca="false">$CE$3</f>
        <v>343.237768841432</v>
      </c>
      <c r="CF162" s="121" t="n">
        <f aca="false">IF(ISNA(VLOOKUP(A162,'Données projet'!$A$113:$I$133,3,0)),0,VLOOKUP(A162,'Données projet'!$A$113:$I$133,3,0))</f>
        <v>0</v>
      </c>
      <c r="CG162" s="121" t="n">
        <f aca="false">IF(ISNA(VLOOKUP(A162,'Données projet'!$A$113:$I$133,4,0)),0,VLOOKUP(A162,'Données projet'!$A$113:$I$133,4,0))</f>
        <v>0</v>
      </c>
      <c r="CH162" s="122" t="n">
        <f aca="false">IF(ISNA(VLOOKUP(A162,'Données projet'!$A$113:$I$133,5,0)),0%,VLOOKUP(A162,'Données projet'!$A$113:$I$133,5,0)*VLOOKUP('Données projet'!$B$12,Paramètres!$A$1:$I$89,7,0))</f>
        <v>0</v>
      </c>
      <c r="CI162" s="122" t="n">
        <f aca="false">IF(ISNA(VLOOKUP(A162,'Données projet'!$A$113:$I$133,6,0)),0%,VLOOKUP(A162,'Données projet'!$A$113:$I$133,6,0)*VLOOKUP('Données projet'!$B$12,Paramètres!$A$1:$I$89,7,0))</f>
        <v>0</v>
      </c>
      <c r="CJ162" s="122" t="n">
        <f aca="false">IF(ISNA(VLOOKUP(A162,'Données projet'!$A$113:$I$133,7,0)),0%,VLOOKUP(A162,'Données projet'!$A$113:$I$133,7,0))</f>
        <v>0</v>
      </c>
      <c r="CK162" s="129" t="n">
        <f aca="false">EXP(-LN(2)/35)*CK161+(1-EXP(-LN(2)/35))/(LN(2)/35)*CG162*CH162*VLOOKUP('Données projet'!$B$12,Paramètres!$A$1:$I$89,3,0)*0.475*44/12</f>
        <v>0.409128285871759</v>
      </c>
      <c r="CL162" s="129" t="n">
        <f aca="false">EXP(-LN(2)/25)*CL161+(1-EXP(-LN(2)/25))/(LN(2)/25)*Calculateur!CG162*Calculateur!CI162*VLOOKUP('Données projet'!$B$12,Paramètres!$A$1:$I$89,3,0)*0.475*44/12</f>
        <v>0.665958360445707</v>
      </c>
      <c r="CM162" s="129" t="n">
        <f aca="false">EXP(-LN(2)/2)*CM161+(1-EXP(-LN(2)/2))/(LN(2)/2)*CG162*CJ162*VLOOKUP('Données projet'!$B$12,Paramètres!$A$1:$I$89,3,0)*0.475*44/12</f>
        <v>3.69517253117489E-019</v>
      </c>
      <c r="CN162" s="130" t="n">
        <f aca="false">SUM(CK162:CM162)</f>
        <v>1.07508664631747</v>
      </c>
      <c r="CO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8" t="e">
        <f aca="false">VLOOKUP(A162,'Données projet'!$A$139:$I$159,2,0)</f>
        <v>#N/A</v>
      </c>
      <c r="CR162" s="118" t="e">
        <f aca="false">VLOOKUP(A162,'Données projet'!$A$139:$I$159,9,0)</f>
        <v>#N/A</v>
      </c>
      <c r="CS162" s="118" t="e">
        <f aca="false" t="array" ref="CS162:CS162">INDEX(CR:CR,MIN(IF(ISNUMBER(CR162:CR358),ROW(CR162:CR358),"")))</f>
        <v>#N/A</v>
      </c>
      <c r="CT162" s="118" t="n">
        <f aca="false">IF('Données projet'!$A$140&gt;35,CT161+CS162-DB161,IF(A162&lt;'Données projet'!$A$140,$CQ$205^A162,IF(A162='Données projet'!$A$140,'Données projet'!$B$140,CT161+CS162-DB161)))</f>
        <v>-5.6843418860808E-014</v>
      </c>
      <c r="CU162" s="125" t="n">
        <f aca="false">CT162*VLOOKUP('Données projet'!$B$13,Paramètres!$A$1:$I$89,3,0)*VLOOKUP('Données projet'!$B$13,Paramètres!$A$1:$I$89,5,0)</f>
        <v>-3.10365066980012E-014</v>
      </c>
      <c r="CV162" s="117" t="e">
        <f aca="false">EXP(-1.0587+0.8836*LN(CU162)+0.284)</f>
        <v>#VALUE!</v>
      </c>
      <c r="CW162" s="128" t="e">
        <f aca="false">(CU162+CV162)*0.475*44/12</f>
        <v>#VALUE!</v>
      </c>
      <c r="CX162" s="120" t="e">
        <f aca="false">CW162+(CO162+CP162)*44/12</f>
        <v>#VALUE!</v>
      </c>
      <c r="CY162" s="120" t="n">
        <f aca="true">AVERAGE(OFFSET($CX$3,0,0,'Données projet'!$E$13+1,1))-AVERAGE(OFFSET($H$3,0,0,'Données projet'!$E$13+1,1))</f>
        <v>207.023069645676</v>
      </c>
      <c r="CZ162" s="120" t="n">
        <f aca="false">$CZ$3</f>
        <v>342.068879333518</v>
      </c>
      <c r="DA162" s="121" t="n">
        <f aca="false">IF(ISNA(VLOOKUP(A162,'Données projet'!$A$139:$I$159,3,0)),0,VLOOKUP(A162,'Données projet'!$A$139:$I$159,3,0))</f>
        <v>0</v>
      </c>
      <c r="DB162" s="121" t="n">
        <f aca="false">IF(ISNA(VLOOKUP(A162,'Données projet'!$A$139:$I$159,4,0)),0,VLOOKUP(A162,'Données projet'!$A$139:$I$159,4,0))</f>
        <v>0</v>
      </c>
      <c r="DC162" s="122" t="n">
        <f aca="false">IF(ISNA(VLOOKUP(A162,'Données projet'!$A$139:$I$159,5,0)),0%,VLOOKUP(A162,'Données projet'!$A$139:$I$159,5,0)*VLOOKUP('Données projet'!$B$13,Paramètres!$A$1:$I$89,7,0))</f>
        <v>0</v>
      </c>
      <c r="DD162" s="122" t="n">
        <f aca="false">IF(ISNA(VLOOKUP(A162,'Données projet'!$A$139:$I$159,6,0)),0%,VLOOKUP(A162,'Données projet'!$A$139:$I$159,6,0)*VLOOKUP('Données projet'!$B$13,Paramètres!$A$1:$I$89,7,0))</f>
        <v>0</v>
      </c>
      <c r="DE162" s="122" t="n">
        <f aca="false">IF(ISNA(VLOOKUP(A162,'Données projet'!$A$139:$I$159,7,0)),0%,VLOOKUP(A162,'Données projet'!$A$139:$I$159,7,0))</f>
        <v>0</v>
      </c>
      <c r="DF162" s="129" t="n">
        <f aca="false">EXP(-LN(2)/35)*DF161+(1-EXP(-LN(2)/35))/(LN(2)/35)*DB162*DC162*VLOOKUP('Données projet'!$B$13,Paramètres!$A$1:$I$89,3,0)*0.475*44/12</f>
        <v>0.513340207744753</v>
      </c>
      <c r="DG162" s="129" t="n">
        <f aca="false">EXP(-LN(2)/25)*DG161+(1-EXP(-LN(2)/25))/(LN(2)/25)*Calculateur!DB162*Calculateur!DD162*VLOOKUP('Données projet'!$B$13,Paramètres!$A$1:$I$89,3,0)*0.475*44/12</f>
        <v>1.08856455511268</v>
      </c>
      <c r="DH162" s="129" t="n">
        <f aca="false">EXP(-LN(2)/2)*DH161+(1-EXP(-LN(2)/2))/(LN(2)/2)*DB162*DE162*VLOOKUP('Données projet'!$B$13,Paramètres!$A$1:$I$89,3,0)*0.475*44/12</f>
        <v>5.08825428860288E-019</v>
      </c>
      <c r="DI162" s="130" t="n">
        <f aca="false">SUM(DF162:DH162)</f>
        <v>1.60190476285743</v>
      </c>
      <c r="DJ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8" t="e">
        <f aca="false">VLOOKUP(A162,'Données projet'!$A$165:$I$185,2,0)</f>
        <v>#N/A</v>
      </c>
      <c r="DM162" s="118" t="e">
        <f aca="false">VLOOKUP(A162,'Données projet'!$A$165:$I$185,9,0)</f>
        <v>#N/A</v>
      </c>
      <c r="DN162" s="118" t="e">
        <f aca="false" t="array" ref="DN162:DN162">INDEX(DM:DM,MIN(IF(ISNUMBER(DM162:DM358),ROW(DM162:DM358),"")))</f>
        <v>#N/A</v>
      </c>
      <c r="DO162" s="118" t="n">
        <f aca="false">IF('Données projet'!$A$166&gt;35,DO161+DN162-DW161,IF(A162&lt;'Données projet'!$A$166,$DL$205^A162,IF(A162='Données projet'!$A$166,'Données projet'!$B$166,DO161+DN162-DW161)))</f>
        <v>0</v>
      </c>
      <c r="DP162" s="125" t="n">
        <f aca="false">DO162*VLOOKUP('Données projet'!$B$14,Paramètres!$A$1:$I$89,3,0)*VLOOKUP('Données projet'!$B$14,Paramètres!$A$1:$I$89,5,0)</f>
        <v>0</v>
      </c>
      <c r="DQ162" s="117" t="e">
        <f aca="false">EXP(-1.0587+0.8836*LN(DP162)+0.284)</f>
        <v>#VALUE!</v>
      </c>
      <c r="DR162" s="128" t="e">
        <f aca="false">(DP162+DQ162)*0.475*44/12</f>
        <v>#VALUE!</v>
      </c>
      <c r="DS162" s="120" t="e">
        <f aca="false">DR162+(DJ162+DK162)*44/12</f>
        <v>#VALUE!</v>
      </c>
      <c r="DT162" s="120" t="n">
        <f aca="true">AVERAGE(OFFSET($DS$3,0,0,'Données projet'!$E$14+1,1))-AVERAGE(OFFSET($H$3,0,0,'Données projet'!$E$14+1,1))</f>
        <v>549.432320957297</v>
      </c>
      <c r="DU162" s="120" t="n">
        <f aca="false">$DU$3</f>
        <v>280.26155987301</v>
      </c>
      <c r="DV162" s="121" t="n">
        <f aca="false">IF(ISNA(VLOOKUP(A162,'Données projet'!$A$165:$I$185,3,0)),0,VLOOKUP(A162,'Données projet'!$A$165:$I$185,3,0))</f>
        <v>0</v>
      </c>
      <c r="DW162" s="121" t="n">
        <f aca="false">IF(ISNA(VLOOKUP(A162,'Données projet'!$A$165:$I$185,4,0)),0,VLOOKUP(A162,'Données projet'!$A$165:$I$185,4,0))</f>
        <v>0</v>
      </c>
      <c r="DX162" s="122" t="n">
        <f aca="false">IF(ISNA(VLOOKUP(A162,'Données projet'!$A$165:$I$185,5,0)),0%,VLOOKUP(A162,'Données projet'!$A$165:$I$185,5,0)*VLOOKUP('Données projet'!$B$14,Paramètres!$A$1:$I$89,7,0))</f>
        <v>0</v>
      </c>
      <c r="DY162" s="122" t="n">
        <f aca="false">IF(ISNA(VLOOKUP(A162,'Données projet'!$A$165:$I$185,6,0)),0%,VLOOKUP(A162,'Données projet'!$A$165:$I$185,6,0)*VLOOKUP('Données projet'!$B$14,Paramètres!$A$1:$I$89,7,0))</f>
        <v>0</v>
      </c>
      <c r="DZ162" s="122" t="n">
        <f aca="false">IF(ISNA(VLOOKUP(A162,'Données projet'!$A$165:$I$185,7,0)),0%,VLOOKUP(A162,'Données projet'!$A$165:$I$185,7,0))</f>
        <v>0</v>
      </c>
      <c r="EA162" s="129" t="n">
        <f aca="false">EXP(-LN(2)/35)*EA161+(1-EXP(-LN(2)/35))/(LN(2)/35)*DW162*DX162*VLOOKUP('Données projet'!$B$14,Paramètres!$A$1:$I$89,3,0)*0.475*44/12</f>
        <v>0.186649927139167</v>
      </c>
      <c r="EB162" s="129" t="n">
        <f aca="false">EXP(-LN(2)/25)*EB161+(1-EXP(-LN(2)/25))/(LN(2)/25)*Calculateur!DW162*Calculateur!DY162*VLOOKUP('Données projet'!$B$14,Paramètres!$A$1:$I$89,3,0)*0.475*44/12</f>
        <v>0.216863536379632</v>
      </c>
      <c r="EC162" s="129" t="n">
        <f aca="false">EXP(-LN(2)/2)*EC161+(1-EXP(-LN(2)/2))/(LN(2)/2)*DW162*DZ162*VLOOKUP('Données projet'!$B$14,Paramètres!$A$1:$I$89,3,0)*0.475*44/12</f>
        <v>2.34558034177519E-019</v>
      </c>
      <c r="ED162" s="130" t="n">
        <f aca="false">SUM(EA162:EC162)</f>
        <v>0.403513463518799</v>
      </c>
      <c r="EE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8" t="e">
        <f aca="false">VLOOKUP(A162,'Données projet'!$A$191:$I$211,2,0)</f>
        <v>#N/A</v>
      </c>
      <c r="EH162" s="118" t="e">
        <f aca="false">VLOOKUP(A162,'Données projet'!$A$191:$I$211,9,0)</f>
        <v>#N/A</v>
      </c>
      <c r="EI162" s="118" t="e">
        <f aca="false" t="array" ref="EI162:EI162">INDEX(EH:EH,MIN(IF(ISNUMBER(EH162:EH358),ROW(EH162:EH358),"")))</f>
        <v>#N/A</v>
      </c>
      <c r="EJ162" s="118" t="n">
        <f aca="false">IF('Données projet'!$A$192&gt;35,EJ161+EI162-ER161,IF(A162&lt;'Données projet'!$A$192,$EG$205^A162,IF(A162='Données projet'!$A$192,'Données projet'!$B$192,EJ161+EI162-ER161)))</f>
        <v>0</v>
      </c>
      <c r="EK162" s="125" t="e">
        <f aca="false">EJ162*VLOOKUP('Données projet'!$B$15,Paramètres!$A$1:$I$89,3,0)*VLOOKUP('Données projet'!$B$15,Paramètres!$A$1:$I$89,5,0)</f>
        <v>#N/A</v>
      </c>
      <c r="EL162" s="117" t="e">
        <f aca="false">EXP(-1.0587+0.8836*LN(EK162)+0.284)</f>
        <v>#N/A</v>
      </c>
      <c r="EM162" s="128" t="e">
        <f aca="false">(EK162+EL162)*0.475*44/12</f>
        <v>#N/A</v>
      </c>
      <c r="EN162" s="120" t="e">
        <f aca="false">EM162+(EE162+EF162)*44/12</f>
        <v>#N/A</v>
      </c>
      <c r="EO162" s="120" t="e">
        <f aca="true">AVERAGE(OFFSET($EN$3,0,0,'Données projet'!$E$15+1,1))-AVERAGE(OFFSET($H$3,0,0,'Données projet'!$E$15+1,1))</f>
        <v>#N/A</v>
      </c>
      <c r="EP162" s="120" t="e">
        <f aca="false">$EP$3</f>
        <v>#N/A</v>
      </c>
      <c r="EQ162" s="121" t="n">
        <f aca="false">IF(ISNA(VLOOKUP(A162,'Données projet'!$A$191:$I$211,3,0)),0,VLOOKUP(A162,'Données projet'!$A$191:$I$211,3,0))</f>
        <v>0</v>
      </c>
      <c r="ER162" s="121" t="n">
        <f aca="false">IF(ISNA(VLOOKUP(A162,'Données projet'!$A$191:$I$211,4,0)),0,VLOOKUP(A162,'Données projet'!$A$191:$I$211,4,0))</f>
        <v>0</v>
      </c>
      <c r="ES162" s="122" t="n">
        <f aca="false">IF(ISNA(VLOOKUP(A162,'Données projet'!$A$191:$I$211,5,0)),0%,VLOOKUP(A162,'Données projet'!$A$191:$I$211,5,0)*VLOOKUP('Données projet'!$B$15,Paramètres!$A$1:$I$89,7,0))</f>
        <v>0</v>
      </c>
      <c r="ET162" s="122" t="n">
        <f aca="false">IF(ISNA(VLOOKUP(A162,'Données projet'!$A$191:$I$211,6,0)),0%,VLOOKUP(A162,'Données projet'!$A$191:$I$211,6,0)*VLOOKUP('Données projet'!$B$15,Paramètres!$A$1:$I$89,7,0))</f>
        <v>0</v>
      </c>
      <c r="EU162" s="122" t="n">
        <f aca="false">IF(ISNA(VLOOKUP(A162,'Données projet'!$A$191:$I$211,7,0)),0%,VLOOKUP(A162,'Données projet'!$A$191:$I$211,7,0))</f>
        <v>0</v>
      </c>
      <c r="EV162" s="129" t="e">
        <f aca="false">EXP(-LN(2)/35)*EV161+(1-EXP(-LN(2)/35))/(LN(2)/35)*ER162*ES162*VLOOKUP('Données projet'!$B$15,Paramètres!$A$1:$I$89,3,0)*0.475*44/12</f>
        <v>#N/A</v>
      </c>
      <c r="EW162" s="129" t="e">
        <f aca="false">EXP(-LN(2)/25)*EW161+(1-EXP(-LN(2)/25))/(LN(2)/25)*Calculateur!ER162*Calculateur!ET162*VLOOKUP('Données projet'!$B$15,Paramètres!$A$1:$I$89,3,0)*0.475*44/12</f>
        <v>#N/A</v>
      </c>
      <c r="EX162" s="129" t="e">
        <f aca="false">EXP(-LN(2)/2)*EX161+(1-EXP(-LN(2)/2))/(LN(2)/2)*ER162*EU162*VLOOKUP('Données projet'!$B$15,Paramètres!$A$1:$I$89,3,0)*0.475*44/12</f>
        <v>#N/A</v>
      </c>
      <c r="EY162" s="130" t="e">
        <f aca="false">SUM(EV162:EX162)</f>
        <v>#N/A</v>
      </c>
      <c r="EZ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8" t="e">
        <f aca="false">VLOOKUP(A162,'Données projet'!$A$217:$I$237,2,0)</f>
        <v>#N/A</v>
      </c>
      <c r="FC162" s="118" t="e">
        <f aca="false">VLOOKUP(A162,'Données projet'!$A$217:$I$237,9,0)</f>
        <v>#N/A</v>
      </c>
      <c r="FD162" s="118" t="e">
        <f aca="false" t="array" ref="FD162:FD162">INDEX(FC:FC,MIN(IF(ISNUMBER(FC162:FC358),ROW(FC162:FC358),"")))</f>
        <v>#N/A</v>
      </c>
      <c r="FE162" s="118" t="n">
        <f aca="false">IF('Données projet'!$A$218&gt;35,FE161+FD162-FM161,IF(A162&lt;'Données projet'!$A$218,$FB$205^A162,IF(A162='Données projet'!$A$218,'Données projet'!$B$218,FE161+FD162-FM161)))</f>
        <v>0</v>
      </c>
      <c r="FF162" s="125" t="e">
        <f aca="false">FE162*VLOOKUP('Données projet'!$B$16,Paramètres!$A$1:$I$89,3,0)*VLOOKUP('Données projet'!$B$16,Paramètres!$A$1:$I$89,5,0)</f>
        <v>#N/A</v>
      </c>
      <c r="FG162" s="117" t="e">
        <f aca="false">EXP(-1.0587+0.8836*LN(FF162)+0.284)</f>
        <v>#N/A</v>
      </c>
      <c r="FH162" s="128" t="e">
        <f aca="false">(FF162+FG162)*0.475*44/12</f>
        <v>#N/A</v>
      </c>
      <c r="FI162" s="120" t="e">
        <f aca="false">FH162+(EZ162+FA162)*44/12</f>
        <v>#N/A</v>
      </c>
      <c r="FJ162" s="120" t="e">
        <f aca="true">AVERAGE(OFFSET($FI$3,0,0,'Données projet'!$E$16+1,1))-AVERAGE(OFFSET($H$3,0,0,'Données projet'!$E$16+1,1))</f>
        <v>#N/A</v>
      </c>
      <c r="FK162" s="120" t="e">
        <f aca="false">$FK$3</f>
        <v>#N/A</v>
      </c>
      <c r="FL162" s="121" t="n">
        <f aca="false">IF(ISNA(VLOOKUP(A162,'Données projet'!$A$217:$I$237,3,0)),0,VLOOKUP(A162,'Données projet'!$A$217:$I$237,3,0))</f>
        <v>0</v>
      </c>
      <c r="FM162" s="121" t="n">
        <f aca="false">IF(ISNA(VLOOKUP(A162,'Données projet'!$A$217:$I$237,4,0)),0,VLOOKUP(A162,'Données projet'!$A$217:$I$237,4,0))</f>
        <v>0</v>
      </c>
      <c r="FN162" s="122" t="n">
        <f aca="false">IF(ISNA(VLOOKUP(A162,'Données projet'!$A$217:$I$237,5,0)),0%,VLOOKUP(A162,'Données projet'!$A$217:$I$237,5,0)*VLOOKUP('Données projet'!$B$16,Paramètres!$A$1:$I$89,7,0))</f>
        <v>0</v>
      </c>
      <c r="FO162" s="122" t="n">
        <f aca="false">IF(ISNA(VLOOKUP(A162,'Données projet'!$A$217:$I$237,6,0)),0%,VLOOKUP(A162,'Données projet'!$A$217:$I$237,6,0)*VLOOKUP('Données projet'!$B$16,Paramètres!$A$1:$I$89,7,0))</f>
        <v>0</v>
      </c>
      <c r="FP162" s="122" t="n">
        <f aca="false">IF(ISNA(VLOOKUP(A162,'Données projet'!$A$217:$I$237,7,0)),0%,VLOOKUP(A162,'Données projet'!$A$217:$I$237,7,0))</f>
        <v>0</v>
      </c>
      <c r="FQ162" s="129" t="e">
        <f aca="false">EXP(-LN(2)/35)*FQ161+(1-EXP(-LN(2)/35))/(LN(2)/35)*FM162*FN162*VLOOKUP('Données projet'!$B$16,Paramètres!$A$1:$I$89,3,0)*0.475*44/12</f>
        <v>#N/A</v>
      </c>
      <c r="FR162" s="129" t="e">
        <f aca="false">EXP(-LN(2)/25)*FR161+(1-EXP(-LN(2)/25))/(LN(2)/25)*Calculateur!FM162*Calculateur!FO162*VLOOKUP('Données projet'!$B$16,Paramètres!$A$1:$I$89,3,0)*0.475*44/12</f>
        <v>#N/A</v>
      </c>
      <c r="FS162" s="129" t="e">
        <f aca="false">EXP(-LN(2)/2)*FS161+(1-EXP(-LN(2)/2))/(LN(2)/2)*FM162*FP162*VLOOKUP('Données projet'!$B$16,Paramètres!$A$1:$I$89,3,0)*0.475*44/12</f>
        <v>#N/A</v>
      </c>
      <c r="FT162" s="130" t="e">
        <f aca="false">SUM(FQ162:FS162)</f>
        <v>#N/A</v>
      </c>
      <c r="FU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8" t="e">
        <f aca="false">VLOOKUP(A162,'Données projet'!$A$243:$I$263,2,0)</f>
        <v>#N/A</v>
      </c>
      <c r="FX162" s="118" t="e">
        <f aca="false">VLOOKUP(A162,'Données projet'!$A$243:$I$263,9,0)</f>
        <v>#N/A</v>
      </c>
      <c r="FY162" s="118" t="e">
        <f aca="false" t="array" ref="FY162:FY162">INDEX(FX:FX,MIN(IF(ISNUMBER(FX162:FX358),ROW(FX162:FX358),"")))</f>
        <v>#N/A</v>
      </c>
      <c r="FZ162" s="118" t="n">
        <f aca="false">IF('Données projet'!$A$244&gt;35,FZ161+FY162-GH161,IF(A162&lt;'Données projet'!$A$244,$FW$205^A162,IF(A162='Données projet'!$A$244,'Données projet'!$B$244,FZ161+FY162-GH161)))</f>
        <v>0</v>
      </c>
      <c r="GA162" s="125" t="e">
        <f aca="false">FZ162*VLOOKUP('Données projet'!$B$17,Paramètres!$A$1:$I$89,3,0)*VLOOKUP('Données projet'!$B$17,Paramètres!$A$1:$I$89,5,0)</f>
        <v>#N/A</v>
      </c>
      <c r="GB162" s="117" t="e">
        <f aca="false">EXP(-1.0587+0.8836*LN(GA162)+0.284)</f>
        <v>#N/A</v>
      </c>
      <c r="GC162" s="128" t="e">
        <f aca="false">(GA162+GB162)*0.475*44/12</f>
        <v>#N/A</v>
      </c>
      <c r="GD162" s="120" t="e">
        <f aca="false">GC162+(FU162+FV162)*44/12</f>
        <v>#N/A</v>
      </c>
      <c r="GE162" s="120" t="e">
        <f aca="true">AVERAGE(OFFSET($GD$3,0,0,'Données projet'!$E$17+1,1))-AVERAGE(OFFSET($H$3,0,0,'Données projet'!$E$17+1,1))</f>
        <v>#N/A</v>
      </c>
      <c r="GF162" s="120" t="e">
        <f aca="false">$GF$3</f>
        <v>#N/A</v>
      </c>
      <c r="GG162" s="121" t="n">
        <f aca="false">IF(ISNA(VLOOKUP(A162,'Données projet'!$A$243:$I$263,3,0)),0,VLOOKUP(A162,'Données projet'!$A$243:$I$263,3,0))</f>
        <v>0</v>
      </c>
      <c r="GH162" s="121" t="n">
        <f aca="false">IF(ISNA(VLOOKUP(A162,'Données projet'!$A$243:$I$263,4,0)),0,VLOOKUP(A162,'Données projet'!$A$243:$I$263,4,0))</f>
        <v>0</v>
      </c>
      <c r="GI162" s="122" t="n">
        <f aca="false">IF(ISNA(VLOOKUP(A162,'Données projet'!$A$243:$I$263,5,0)),0%,VLOOKUP(A162,'Données projet'!$A$243:$I$263,5,0)*VLOOKUP('Données projet'!$B$17,Paramètres!$A$1:$I$89,7,0))</f>
        <v>0</v>
      </c>
      <c r="GJ162" s="122" t="n">
        <f aca="false">IF(ISNA(VLOOKUP(A162,'Données projet'!$A$243:$I$263,6,0)),0%,VLOOKUP(A162,'Données projet'!$A$243:$I$263,6,0)*VLOOKUP('Données projet'!$B$17,Paramètres!$A$1:$I$89,7,0))</f>
        <v>0</v>
      </c>
      <c r="GK162" s="122" t="n">
        <f aca="false">IF(ISNA(VLOOKUP(A162,'Données projet'!$A$243:$I$263,7,0)),0%,VLOOKUP(A162,'Données projet'!$A$243:$I$263,7,0))</f>
        <v>0</v>
      </c>
      <c r="GL162" s="129" t="e">
        <f aca="false">EXP(-LN(2)/35)*GL161+(1-EXP(-LN(2)/35))/(LN(2)/35)*GH162*GI162*VLOOKUP('Données projet'!$B$17,Paramètres!$A$1:$I$89,3,0)*0.475*44/12</f>
        <v>#N/A</v>
      </c>
      <c r="GM162" s="129" t="e">
        <f aca="false">EXP(-LN(2)/25)*GM161+(1-EXP(-LN(2)/25))/(LN(2)/25)*Calculateur!GH162*Calculateur!GJ162*VLOOKUP('Données projet'!$B$17,Paramètres!$A$1:$I$89,3,0)*0.475*44/12</f>
        <v>#N/A</v>
      </c>
      <c r="GN162" s="129" t="e">
        <f aca="false">EXP(-LN(2)/2)*GN161+(1-EXP(-LN(2)/2))/(LN(2)/2)*GH162*GK162*VLOOKUP('Données projet'!$B$17,Paramètres!$A$1:$I$89,3,0)*0.475*44/12</f>
        <v>#N/A</v>
      </c>
      <c r="GO162" s="129" t="e">
        <f aca="false">SUM(GL162:GN162)</f>
        <v>#N/A</v>
      </c>
      <c r="GP162" s="126" t="n">
        <f aca="false"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8" t="n">
        <f aca="false"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8" t="e">
        <f aca="false">VLOOKUP(A162,'Données projet'!$A$269:$I$289,2,0)</f>
        <v>#N/A</v>
      </c>
      <c r="GS162" s="118" t="e">
        <f aca="false">VLOOKUP(A162,'Données projet'!$A$269:$I$289,9,0)</f>
        <v>#N/A</v>
      </c>
      <c r="GT162" s="118" t="e">
        <f aca="false" t="array" ref="GT162:GT162">INDEX(GS:GS,MIN(IF(ISNUMBER(GS162:GS358),ROW(GS162:GS358),"")))</f>
        <v>#N/A</v>
      </c>
      <c r="GU162" s="118" t="n">
        <f aca="false">IF('Données projet'!$A$270&gt;35,GU161+GT162-HC161,IF(A162&lt;'Données projet'!$A$270,$GR$205^A162,IF(A162='Données projet'!$A$270,'Données projet'!$B$270,GU161+GT162-HC161)))</f>
        <v>0</v>
      </c>
      <c r="GV162" s="125" t="e">
        <f aca="false">GU162*VLOOKUP('Données projet'!$B$18,Paramètres!$A$1:$I$89,3,0)*VLOOKUP('Données projet'!$B$18,Paramètres!$A$1:$I$89,5,0)</f>
        <v>#N/A</v>
      </c>
      <c r="GW162" s="117" t="e">
        <f aca="false">EXP(-1.0587+0.8836*LN(GV162)+0.284)</f>
        <v>#N/A</v>
      </c>
      <c r="GX162" s="128" t="e">
        <f aca="false">(GV162+GW162)*0.475*44/12</f>
        <v>#N/A</v>
      </c>
      <c r="GY162" s="120" t="e">
        <f aca="false">GX162+(GP162+GQ162)*44/12</f>
        <v>#N/A</v>
      </c>
      <c r="GZ162" s="120" t="e">
        <f aca="true">AVERAGE(OFFSET($GY$3,0,0,'Données projet'!$E$18+1,1))-AVERAGE(OFFSET($H$3,0,0,'Données projet'!$E$18+1,1))</f>
        <v>#N/A</v>
      </c>
      <c r="HA162" s="120" t="e">
        <f aca="false">$HA$3</f>
        <v>#N/A</v>
      </c>
      <c r="HB162" s="121" t="n">
        <f aca="false">IF(ISNA(VLOOKUP(A162,'Données projet'!$A$269:$I$289,3,0)),0,VLOOKUP(A162,'Données projet'!$A$269:$I$289,3,0))</f>
        <v>0</v>
      </c>
      <c r="HC162" s="121" t="n">
        <f aca="false">IF(ISNA(VLOOKUP(A162,'Données projet'!$A$269:$I$289,4,0)),0,VLOOKUP(A162,'Données projet'!$A$269:$I$289,4,0))</f>
        <v>0</v>
      </c>
      <c r="HD162" s="122" t="n">
        <f aca="false">IF(ISNA(VLOOKUP(A162,'Données projet'!$A$269:$I$289,5,0)),0%,VLOOKUP(A162,'Données projet'!$A$269:$I$289,5,0)*VLOOKUP('Données projet'!$B$18,Paramètres!$A$1:$I$89,7,0))</f>
        <v>0</v>
      </c>
      <c r="HE162" s="122" t="n">
        <f aca="false">IF(ISNA(VLOOKUP(A162,'Données projet'!$A$269:$I$289,6,0)),0%,VLOOKUP(A162,'Données projet'!$A$269:$I$289,6,0)*VLOOKUP('Données projet'!$B$18,Paramètres!$A$1:$I$89,7,0))</f>
        <v>0</v>
      </c>
      <c r="HF162" s="122" t="n">
        <f aca="false">IF(ISNA(VLOOKUP(A162,'Données projet'!$A$269:$I$289,7,0)),0%,VLOOKUP(A162,'Données projet'!$A$269:$I$289,7,0))</f>
        <v>0</v>
      </c>
      <c r="HG162" s="129" t="e">
        <f aca="false">EXP(-LN(2)/35)*HG161+(1-EXP(-LN(2)/35))/(LN(2)/35)*HC162*HD162*VLOOKUP('Données projet'!$B$18,Paramètres!$A$1:$I$89,3,0)*0.475*44/12</f>
        <v>#N/A</v>
      </c>
      <c r="HH162" s="129" t="e">
        <f aca="false">EXP(-LN(2)/25)*HH161+(1-EXP(-LN(2)/25))/(LN(2)/25)*Calculateur!HC162*Calculateur!HE162*VLOOKUP('Données projet'!$B$18,Paramètres!$A$1:$I$89,3,0)*0.475*44/12</f>
        <v>#N/A</v>
      </c>
      <c r="HI162" s="129" t="e">
        <f aca="false">EXP(-LN(2)/2)*HI161+(1-EXP(-LN(2)/2))/(LN(2)/2)*HC162*HF162*VLOOKUP('Données projet'!$B$18,Paramètres!$A$1:$I$89,3,0)*0.475*44/12</f>
        <v>#N/A</v>
      </c>
      <c r="HJ162" s="130" t="e">
        <f aca="false">SUM(HG162:HI162)</f>
        <v>#N/A</v>
      </c>
    </row>
    <row r="163" customFormat="false" ht="14.25" hidden="false" customHeight="false" outlineLevel="0" collapsed="false">
      <c r="A163" s="112" t="n">
        <f aca="false">A162+1</f>
        <v>160</v>
      </c>
      <c r="B163" s="113" t="n">
        <f aca="false">'Scénario référence'!$B$16*5+'Scénario référence'!$B$17*0+'Scénario référence'!$B$18*5</f>
        <v>0</v>
      </c>
      <c r="C163" s="127" t="n">
        <f aca="false"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4" t="n">
        <f aca="false">IFERROR(EXP(-1.0587+0.8836*LN(C163)+0.284),0)</f>
        <v>0</v>
      </c>
      <c r="E16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3" s="114" t="n">
        <f aca="false">IF(OR('Scénario référence'!$F$8&gt;0,'Scénario référence'!$F$9&gt;0),('Scénario référence'!$F$8+'Scénario référence'!$F$9)*10,0)</f>
        <v>0</v>
      </c>
      <c r="G163" s="114" t="n">
        <f aca="false"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15" t="n">
        <f aca="false">(B163+E163+F163)*44/12+(C163+D163)*0.475*44/12</f>
        <v>256.666666666667</v>
      </c>
      <c r="I163" s="11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7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8" t="e">
        <f aca="false">VLOOKUP(A163,'Données projet'!$A$35:$I$55,2,0)</f>
        <v>#N/A</v>
      </c>
      <c r="L163" s="118" t="e">
        <f aca="false">VLOOKUP(A163,'Données projet'!$A$35:$I$55,9,0)</f>
        <v>#N/A</v>
      </c>
      <c r="M163" s="118" t="e">
        <f aca="false" t="array" ref="M163:M163">INDEX(L:L,MIN(IF(ISNUMBER(L163:L359),ROW(L163:L359),"")))</f>
        <v>#N/A</v>
      </c>
      <c r="N163" s="117" t="n">
        <f aca="false">IF('Données projet'!$A$36&gt;35,N162+M163-V162,IF(A163&lt;'Données projet'!$A$36,$K$205^A163,IF(A163='Données projet'!$A$36,'Données projet'!$B$36,N162+M163-V162)))</f>
        <v>-1.13686837721616E-013</v>
      </c>
      <c r="O163" s="117" t="n">
        <f aca="false">N163*VLOOKUP('Données projet'!$B$9,Paramètres!$A$1:$I$89,3,0)*VLOOKUP('Données projet'!$B$9,Paramètres!$A$1:$I$89,5,0)</f>
        <v>-5.32054400537163E-014</v>
      </c>
      <c r="P163" s="117" t="e">
        <f aca="false">EXP(-1.0587+0.8836*LN(O163)+0.284)</f>
        <v>#VALUE!</v>
      </c>
      <c r="Q163" s="128" t="e">
        <f aca="false">(O163+P163)*0.475*44/12</f>
        <v>#VALUE!</v>
      </c>
      <c r="R163" s="120" t="e">
        <f aca="false">Q163+(I163+J163)*44/12</f>
        <v>#VALUE!</v>
      </c>
      <c r="S163" s="120" t="n">
        <f aca="true">AVERAGE(OFFSET($R$3,0,0,'Données projet'!$E$9+1,1))-AVERAGE(OFFSET($H$3,0,0,'Données projet'!$E$9+1,1))</f>
        <v>319.229030946746</v>
      </c>
      <c r="T163" s="120" t="n">
        <f aca="false">$T$3</f>
        <v>254.586909731428</v>
      </c>
      <c r="U163" s="121" t="n">
        <f aca="false">IF(ISNA(VLOOKUP(A163,'Données projet'!$A$35:$I$55,3,0)),0,VLOOKUP(A163,'Données projet'!$A$35:$I$55,3,0))</f>
        <v>0</v>
      </c>
      <c r="V163" s="121" t="n">
        <f aca="false">IF(ISNA(VLOOKUP(A163,'Données projet'!$A$35:$I$55,4,0)),0,VLOOKUP(A163,'Données projet'!$A$35:$I$55,4,0))</f>
        <v>0</v>
      </c>
      <c r="W163" s="122" t="n">
        <f aca="false">IF(ISNA(VLOOKUP(A163,'Données projet'!$A$35:$I$55,5,0)),0%,VLOOKUP(A163,'Données projet'!$A$35:$I$55,5,0)*VLOOKUP('Données projet'!$B$9,Paramètres!$A$1:$I$89,7,0))</f>
        <v>0</v>
      </c>
      <c r="X163" s="122" t="n">
        <f aca="false">IF(ISNA(VLOOKUP(A163,'Données projet'!$A$35:$I$55,6,0)),0%,VLOOKUP(A163,'Données projet'!$A$35:$I$55,6,0)*VLOOKUP('Données projet'!$B$9,Paramètres!$A$1:$I$89,7,0))</f>
        <v>0</v>
      </c>
      <c r="Y163" s="122" t="n">
        <f aca="false">IF(ISNA(VLOOKUP(A163,'Données projet'!$A$35:$I$55,7,0)),0%,VLOOKUP(A163,'Données projet'!$A$35:$I$55,7,0))</f>
        <v>0</v>
      </c>
      <c r="Z163" s="129" t="n">
        <f aca="false">EXP(-LN(2)/35)*Z162+(1-EXP(-LN(2)/35))/(LN(2)/35)*V163*W163*VLOOKUP('Données projet'!$B$9,Paramètres!$A$1:$I$89,3,0)*0.475*44/12</f>
        <v>0.691498229087807</v>
      </c>
      <c r="AA163" s="129" t="n">
        <f aca="false">EXP(-LN(2)/25)*AA162+(1-EXP(-LN(2)/25))/(LN(2)/25)*Calculateur!V163*Calculateur!X163*VLOOKUP('Données projet'!$B$9,Paramètres!$A$1:$I$89,3,0)*0.475*44/12</f>
        <v>0.303368378004215</v>
      </c>
      <c r="AB163" s="129" t="n">
        <f aca="false">EXP(-LN(2)/2)*AB162+(1-EXP(-LN(2)/2))/(LN(2)/2)*V163*Y163*VLOOKUP('Données projet'!$B$9,Paramètres!$A$1:$I$89,3,0)*0.475*44/12</f>
        <v>2.99324601660659E-019</v>
      </c>
      <c r="AC163" s="130" t="n">
        <f aca="false">SUM(Z163:AB163)</f>
        <v>0.994866607092022</v>
      </c>
      <c r="AD163" s="117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7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8" t="e">
        <f aca="false">VLOOKUP(A163,'Données projet'!$A$61:$I$81,2,0)</f>
        <v>#N/A</v>
      </c>
      <c r="AG163" s="118" t="e">
        <f aca="false">VLOOKUP(A163,'Données projet'!$A$61:$I$81,9,0)</f>
        <v>#N/A</v>
      </c>
      <c r="AH163" s="118" t="e">
        <f aca="false" t="array" ref="AH163:AH163">INDEX(AG:AG,MIN(IF(ISNUMBER(AG163:AG359),ROW(AG163:AG359),"")))</f>
        <v>#N/A</v>
      </c>
      <c r="AI163" s="117" t="n">
        <f aca="false">IF('Données projet'!$A$62&gt;35,AI162+AH163-AQ162,IF(A163&lt;'Données projet'!$A$62,$AF$205^A163,IF(A163='Données projet'!$A$62,'Données projet'!$B$62,AI162+AH163-AQ162)))</f>
        <v>1.13686837721616E-013</v>
      </c>
      <c r="AJ163" s="117" t="n">
        <f aca="false">AI163*VLOOKUP('Données projet'!$B$10,Paramètres!$A$1:$I$89,3,0)*VLOOKUP('Données projet'!$B$10,Paramètres!$A$1:$I$89,5,0)</f>
        <v>6.35509422863834E-014</v>
      </c>
      <c r="AK163" s="117" t="n">
        <f aca="false">EXP(-1.0587+0.8836*LN(AJ163)+0.284)</f>
        <v>1.0064464192544E-012</v>
      </c>
      <c r="AL163" s="128" t="n">
        <f aca="false">(AJ163+AK163)*0.475*44/12</f>
        <v>1.86357873801686E-012</v>
      </c>
      <c r="AM163" s="120" t="n">
        <f aca="false">AL163+(AD163+AE163)*44/12</f>
        <v>293.333333333335</v>
      </c>
      <c r="AN163" s="120" t="n">
        <f aca="true">AVERAGE(OFFSET($AM$3,0,0,'Données projet'!$E$10+1,1))-AVERAGE(OFFSET($H$3,0,0,'Données projet'!$E$10+1,1))</f>
        <v>365.705101827279</v>
      </c>
      <c r="AO163" s="120" t="n">
        <f aca="false">$AO$3</f>
        <v>436.238338449625</v>
      </c>
      <c r="AP163" s="121" t="n">
        <f aca="false">IF(ISNA(VLOOKUP(A163,'Données projet'!$A$61:$I$81,3,0)),0,VLOOKUP(A163,'Données projet'!$A$61:$I$81,3,0))</f>
        <v>0</v>
      </c>
      <c r="AQ163" s="121" t="n">
        <f aca="false">IF(ISNA(VLOOKUP(A163,'Données projet'!$A$61:$I$81,4,0)),0,VLOOKUP(A163,'Données projet'!$A$61:$I$81,4,0))</f>
        <v>0</v>
      </c>
      <c r="AR163" s="122" t="n">
        <f aca="false">IF(ISNA(VLOOKUP(A163,'Données projet'!$A$61:$I$81,5,0)),0%,VLOOKUP(A163,'Données projet'!$A$61:$I$81,5,0)*VLOOKUP('Données projet'!$B$10,Paramètres!$A$1:$I$89,7,0))</f>
        <v>0</v>
      </c>
      <c r="AS163" s="122" t="n">
        <f aca="false">IF(ISNA(VLOOKUP(A163,'Données projet'!$A$61:$I$81,6,0)),0%,VLOOKUP(A163,'Données projet'!$A$61:$I$81,6,0)*VLOOKUP('Données projet'!$B$10,Paramètres!$A$1:$I$89,7,0))</f>
        <v>0</v>
      </c>
      <c r="AT163" s="122" t="n">
        <f aca="false">IF(ISNA(VLOOKUP(A163,'Données projet'!$A$61:$I$81,7,0)),0%,VLOOKUP(A163,'Données projet'!$A$61:$I$81,7,0))</f>
        <v>0</v>
      </c>
      <c r="AU163" s="129" t="n">
        <f aca="false">EXP(-LN(2)/35)*AU162+(1-EXP(-LN(2)/35))/(LN(2)/35)*AQ163*AR163*VLOOKUP('Données projet'!$B$10,Paramètres!$A$1:$I$89,3,0)*0.475*44/12</f>
        <v>0.261018162133281</v>
      </c>
      <c r="AV163" s="129" t="n">
        <f aca="false">EXP(-LN(2)/25)*AV162+(1-EXP(-LN(2)/25))/(LN(2)/25)*Calculateur!AQ163*Calculateur!AS163*VLOOKUP('Données projet'!$B$10,Paramètres!$A$1:$I$89,3,0)*0.475*44/12</f>
        <v>0.359323440655135</v>
      </c>
      <c r="AW163" s="129" t="n">
        <f aca="false">EXP(-LN(2)/2)*AW162+(1-EXP(-LN(2)/2))/(LN(2)/2)*AQ163*AT163*VLOOKUP('Données projet'!$B$10,Paramètres!$A$1:$I$89,3,0)*0.475*44/12</f>
        <v>1.61087145295898E-019</v>
      </c>
      <c r="AX163" s="129" t="n">
        <f aca="false">SUM(AU163:AW163)</f>
        <v>0.620341602788416</v>
      </c>
      <c r="AY163" s="124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8" t="e">
        <f aca="false">VLOOKUP(A163,'Données projet'!$A$87:$I$107,2,0)</f>
        <v>#N/A</v>
      </c>
      <c r="BB163" s="118" t="e">
        <f aca="false">VLOOKUP(A163,'Données projet'!$A$87:$I$107,9,0)</f>
        <v>#N/A</v>
      </c>
      <c r="BC163" s="118" t="e">
        <f aca="false" t="array" ref="BC163:BC163">INDEX(BB:BB,MIN(IF(ISNUMBER(BB163:BB359),ROW(BB163:BB359),"")))</f>
        <v>#N/A</v>
      </c>
      <c r="BD163" s="118" t="n">
        <f aca="false">IF('Données projet'!$A$88&gt;35,BD162+BC163-BL162,IF(A163&lt;'Données projet'!$A$88,$BA$205^A163,IF(A163='Données projet'!$A$88,'Données projet'!$B$88,BD162+BC163-BL162)))</f>
        <v>1.98951966012828E-013</v>
      </c>
      <c r="BE163" s="117" t="n">
        <f aca="false">BD163*VLOOKUP('Données projet'!$B$11,Paramètres!$A$1:$I$89,3,0)*VLOOKUP('Données projet'!$B$11,Paramètres!$A$1:$I$89,5,0)</f>
        <v>1.73804437508807E-013</v>
      </c>
      <c r="BF163" s="117" t="n">
        <f aca="false">EXP(-1.0587+0.8836*LN(BE163)+0.284)</f>
        <v>2.44832936339505E-012</v>
      </c>
      <c r="BG163" s="128" t="n">
        <f aca="false">(BE163+BF163)*0.475*44/12</f>
        <v>4.56688303657421E-012</v>
      </c>
      <c r="BH163" s="120" t="n">
        <f aca="false">BG163+(AY163+AZ163)*44/12</f>
        <v>293.333333333338</v>
      </c>
      <c r="BI163" s="120" t="n">
        <f aca="true">AVERAGE(OFFSET($BH$3,0,0,'Données projet'!$E$11+1,1))-AVERAGE(OFFSET($H$3,0,0,'Données projet'!$E$11+1,1))</f>
        <v>321.235999689929</v>
      </c>
      <c r="BJ163" s="120" t="n">
        <f aca="false">$BJ$3</f>
        <v>388.051958478005</v>
      </c>
      <c r="BK163" s="121" t="n">
        <f aca="false">IF(ISNA(VLOOKUP(A163,'Données projet'!$A$87:$I$107,3,0)),0,VLOOKUP(A163,'Données projet'!$A$87:$I$107,3,0))</f>
        <v>0</v>
      </c>
      <c r="BL163" s="121" t="n">
        <f aca="false">IF(ISNA(VLOOKUP(A163,'Données projet'!$A$87:$I$107,4,0)),0,VLOOKUP(A163,'Données projet'!$A$87:$I$107,4,0))</f>
        <v>0</v>
      </c>
      <c r="BM163" s="122" t="n">
        <f aca="false">IF(ISNA(VLOOKUP(A163,'Données projet'!$A$87:$I$107,5,0)),0%,VLOOKUP(A163,'Données projet'!$A$87:$I$107,5,0)*VLOOKUP('Données projet'!$B$11,Paramètres!$A$1:$I$89,7,0))</f>
        <v>0</v>
      </c>
      <c r="BN163" s="122" t="n">
        <f aca="false">IF(ISNA(VLOOKUP(A163,'Données projet'!$A$87:$I$107,6,0)),0%,VLOOKUP(A163,'Données projet'!$A$87:$I$107,6,0)*VLOOKUP('Données projet'!$B$11,Paramètres!$A$1:$I$89,7,0))</f>
        <v>0</v>
      </c>
      <c r="BO163" s="122" t="n">
        <f aca="false">IF(ISNA(VLOOKUP(A163,'Données projet'!$A$87:$I$107,7,0)),0%,VLOOKUP(A163,'Données projet'!$A$87:$I$107,7,0))</f>
        <v>0</v>
      </c>
      <c r="BP163" s="129" t="n">
        <f aca="false">EXP(-LN(2)/35)*BP162+(1-EXP(-LN(2)/35))/(LN(2)/35)*BL163*BM163*VLOOKUP('Données projet'!$B$11,Paramètres!$A$1:$I$89,3,0)*0.475*44/12</f>
        <v>0.655317771098769</v>
      </c>
      <c r="BQ163" s="129" t="n">
        <f aca="false">EXP(-LN(2)/25)*BQ162+(1-EXP(-LN(2)/25))/(LN(2)/25)*Calculateur!BL163*Calculateur!BN163*VLOOKUP('Données projet'!$B$11,Paramètres!$A$1:$I$89,3,0)*0.475*44/12</f>
        <v>0.366776025727931</v>
      </c>
      <c r="BR163" s="129" t="n">
        <f aca="false">EXP(-LN(2)/2)*BR162+(1-EXP(-LN(2)/2))/(LN(2)/2)*BL163*BO163*VLOOKUP('Données projet'!$B$11,Paramètres!$A$1:$I$89,3,0)*0.475*44/12</f>
        <v>1.63741734941301E-019</v>
      </c>
      <c r="BS163" s="130" t="n">
        <f aca="false">SUM(BP163:BR163)</f>
        <v>1.0220937968267</v>
      </c>
      <c r="BT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8" t="e">
        <f aca="false">VLOOKUP(A163,'Données projet'!$A$113:$I$133,2,0)</f>
        <v>#N/A</v>
      </c>
      <c r="BW163" s="118" t="e">
        <f aca="false">VLOOKUP(A163,'Données projet'!$A$113:$I$133,9,0)</f>
        <v>#N/A</v>
      </c>
      <c r="BX163" s="118" t="e">
        <f aca="false" t="array" ref="BX163:BX163">INDEX(BW:BW,MIN(IF(ISNUMBER(BW163:BW359),ROW(BW163:BW359),"")))</f>
        <v>#N/A</v>
      </c>
      <c r="BY163" s="118" t="n">
        <f aca="false">IF('Données projet'!$A$114&gt;35,BY162+BX163-CG162,IF(A163&lt;'Données projet'!$A$114,$BV$205^A163,IF(A163='Données projet'!$A$114,'Données projet'!$B$114,BY162+BX163-CG162)))</f>
        <v>0</v>
      </c>
      <c r="BZ163" s="117" t="n">
        <f aca="false">BY163*VLOOKUP('Données projet'!$B$12,Paramètres!$A$1:$I$89,3,0)*VLOOKUP('Données projet'!$B$12,Paramètres!$A$1:$I$89,5,0)</f>
        <v>0</v>
      </c>
      <c r="CA163" s="117" t="e">
        <f aca="false">EXP(-1.0587+0.8836*LN(BZ163)+0.284)</f>
        <v>#VALUE!</v>
      </c>
      <c r="CB163" s="128" t="e">
        <f aca="false">(BZ163+CA163)*0.475*44/12</f>
        <v>#VALUE!</v>
      </c>
      <c r="CC163" s="120" t="e">
        <f aca="false">CB163+(BT163+BU163)*44/12</f>
        <v>#VALUE!</v>
      </c>
      <c r="CD163" s="120" t="n">
        <f aca="true">AVERAGE(OFFSET($CC$3,0,0,'Données projet'!$E$12+1,1))-AVERAGE(OFFSET($H$3,0,0,'Données projet'!$E$12+1,1))</f>
        <v>240.228848647662</v>
      </c>
      <c r="CE163" s="120" t="n">
        <f aca="false">$CE$3</f>
        <v>343.237768841432</v>
      </c>
      <c r="CF163" s="121" t="n">
        <f aca="false">IF(ISNA(VLOOKUP(A163,'Données projet'!$A$113:$I$133,3,0)),0,VLOOKUP(A163,'Données projet'!$A$113:$I$133,3,0))</f>
        <v>0</v>
      </c>
      <c r="CG163" s="121" t="n">
        <f aca="false">IF(ISNA(VLOOKUP(A163,'Données projet'!$A$113:$I$133,4,0)),0,VLOOKUP(A163,'Données projet'!$A$113:$I$133,4,0))</f>
        <v>0</v>
      </c>
      <c r="CH163" s="122" t="n">
        <f aca="false">IF(ISNA(VLOOKUP(A163,'Données projet'!$A$113:$I$133,5,0)),0%,VLOOKUP(A163,'Données projet'!$A$113:$I$133,5,0)*VLOOKUP('Données projet'!$B$12,Paramètres!$A$1:$I$89,7,0))</f>
        <v>0</v>
      </c>
      <c r="CI163" s="122" t="n">
        <f aca="false">IF(ISNA(VLOOKUP(A163,'Données projet'!$A$113:$I$133,6,0)),0%,VLOOKUP(A163,'Données projet'!$A$113:$I$133,6,0)*VLOOKUP('Données projet'!$B$12,Paramètres!$A$1:$I$89,7,0))</f>
        <v>0</v>
      </c>
      <c r="CJ163" s="122" t="n">
        <f aca="false">IF(ISNA(VLOOKUP(A163,'Données projet'!$A$113:$I$133,7,0)),0%,VLOOKUP(A163,'Données projet'!$A$113:$I$133,7,0))</f>
        <v>0</v>
      </c>
      <c r="CK163" s="129" t="n">
        <f aca="false">EXP(-LN(2)/35)*CK162+(1-EXP(-LN(2)/35))/(LN(2)/35)*CG163*CH163*VLOOKUP('Données projet'!$B$12,Paramètres!$A$1:$I$89,3,0)*0.475*44/12</f>
        <v>0.401105529729428</v>
      </c>
      <c r="CL163" s="129" t="n">
        <f aca="false">EXP(-LN(2)/25)*CL162+(1-EXP(-LN(2)/25))/(LN(2)/25)*Calculateur!CG163*Calculateur!CI163*VLOOKUP('Données projet'!$B$12,Paramètres!$A$1:$I$89,3,0)*0.475*44/12</f>
        <v>0.647747694058091</v>
      </c>
      <c r="CM163" s="129" t="n">
        <f aca="false">EXP(-LN(2)/2)*CM162+(1-EXP(-LN(2)/2))/(LN(2)/2)*CG163*CJ163*VLOOKUP('Données projet'!$B$12,Paramètres!$A$1:$I$89,3,0)*0.475*44/12</f>
        <v>2.61288155444802E-019</v>
      </c>
      <c r="CN163" s="130" t="n">
        <f aca="false">SUM(CK163:CM163)</f>
        <v>1.04885322378752</v>
      </c>
      <c r="CO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8" t="e">
        <f aca="false">VLOOKUP(A163,'Données projet'!$A$139:$I$159,2,0)</f>
        <v>#N/A</v>
      </c>
      <c r="CR163" s="118" t="e">
        <f aca="false">VLOOKUP(A163,'Données projet'!$A$139:$I$159,9,0)</f>
        <v>#N/A</v>
      </c>
      <c r="CS163" s="118" t="e">
        <f aca="false" t="array" ref="CS163:CS163">INDEX(CR:CR,MIN(IF(ISNUMBER(CR163:CR359),ROW(CR163:CR359),"")))</f>
        <v>#N/A</v>
      </c>
      <c r="CT163" s="118" t="n">
        <f aca="false">IF('Données projet'!$A$140&gt;35,CT162+CS163-DB162,IF(A163&lt;'Données projet'!$A$140,$CQ$205^A163,IF(A163='Données projet'!$A$140,'Données projet'!$B$140,CT162+CS163-DB162)))</f>
        <v>-5.6843418860808E-014</v>
      </c>
      <c r="CU163" s="125" t="n">
        <f aca="false">CT163*VLOOKUP('Données projet'!$B$13,Paramètres!$A$1:$I$89,3,0)*VLOOKUP('Données projet'!$B$13,Paramètres!$A$1:$I$89,5,0)</f>
        <v>-3.10365066980012E-014</v>
      </c>
      <c r="CV163" s="117" t="e">
        <f aca="false">EXP(-1.0587+0.8836*LN(CU163)+0.284)</f>
        <v>#VALUE!</v>
      </c>
      <c r="CW163" s="128" t="e">
        <f aca="false">(CU163+CV163)*0.475*44/12</f>
        <v>#VALUE!</v>
      </c>
      <c r="CX163" s="120" t="e">
        <f aca="false">CW163+(CO163+CP163)*44/12</f>
        <v>#VALUE!</v>
      </c>
      <c r="CY163" s="120" t="n">
        <f aca="true">AVERAGE(OFFSET($CX$3,0,0,'Données projet'!$E$13+1,1))-AVERAGE(OFFSET($H$3,0,0,'Données projet'!$E$13+1,1))</f>
        <v>207.023069645676</v>
      </c>
      <c r="CZ163" s="120" t="n">
        <f aca="false">$CZ$3</f>
        <v>342.068879333518</v>
      </c>
      <c r="DA163" s="121" t="n">
        <f aca="false">IF(ISNA(VLOOKUP(A163,'Données projet'!$A$139:$I$159,3,0)),0,VLOOKUP(A163,'Données projet'!$A$139:$I$159,3,0))</f>
        <v>0</v>
      </c>
      <c r="DB163" s="121" t="n">
        <f aca="false">IF(ISNA(VLOOKUP(A163,'Données projet'!$A$139:$I$159,4,0)),0,VLOOKUP(A163,'Données projet'!$A$139:$I$159,4,0))</f>
        <v>0</v>
      </c>
      <c r="DC163" s="122" t="n">
        <f aca="false">IF(ISNA(VLOOKUP(A163,'Données projet'!$A$139:$I$159,5,0)),0%,VLOOKUP(A163,'Données projet'!$A$139:$I$159,5,0)*VLOOKUP('Données projet'!$B$13,Paramètres!$A$1:$I$89,7,0))</f>
        <v>0</v>
      </c>
      <c r="DD163" s="122" t="n">
        <f aca="false">IF(ISNA(VLOOKUP(A163,'Données projet'!$A$139:$I$159,6,0)),0%,VLOOKUP(A163,'Données projet'!$A$139:$I$159,6,0)*VLOOKUP('Données projet'!$B$13,Paramètres!$A$1:$I$89,7,0))</f>
        <v>0</v>
      </c>
      <c r="DE163" s="122" t="n">
        <f aca="false">IF(ISNA(VLOOKUP(A163,'Données projet'!$A$139:$I$159,7,0)),0%,VLOOKUP(A163,'Données projet'!$A$139:$I$159,7,0))</f>
        <v>0</v>
      </c>
      <c r="DF163" s="129" t="n">
        <f aca="false">EXP(-LN(2)/35)*DF162+(1-EXP(-LN(2)/35))/(LN(2)/35)*DB163*DC163*VLOOKUP('Données projet'!$B$13,Paramètres!$A$1:$I$89,3,0)*0.475*44/12</f>
        <v>0.503273919377489</v>
      </c>
      <c r="DG163" s="129" t="n">
        <f aca="false">EXP(-LN(2)/25)*DG162+(1-EXP(-LN(2)/25))/(LN(2)/25)*Calculateur!DB163*Calculateur!DD163*VLOOKUP('Données projet'!$B$13,Paramètres!$A$1:$I$89,3,0)*0.475*44/12</f>
        <v>1.058797700108</v>
      </c>
      <c r="DH163" s="129" t="n">
        <f aca="false">EXP(-LN(2)/2)*DH162+(1-EXP(-LN(2)/2))/(LN(2)/2)*DB163*DE163*VLOOKUP('Données projet'!$B$13,Paramètres!$A$1:$I$89,3,0)*0.475*44/12</f>
        <v>3.59793911187263E-019</v>
      </c>
      <c r="DI163" s="130" t="n">
        <f aca="false">SUM(DF163:DH163)</f>
        <v>1.56207161948549</v>
      </c>
      <c r="DJ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8" t="e">
        <f aca="false">VLOOKUP(A163,'Données projet'!$A$165:$I$185,2,0)</f>
        <v>#N/A</v>
      </c>
      <c r="DM163" s="118" t="e">
        <f aca="false">VLOOKUP(A163,'Données projet'!$A$165:$I$185,9,0)</f>
        <v>#N/A</v>
      </c>
      <c r="DN163" s="118" t="e">
        <f aca="false" t="array" ref="DN163:DN163">INDEX(DM:DM,MIN(IF(ISNUMBER(DM163:DM359),ROW(DM163:DM359),"")))</f>
        <v>#N/A</v>
      </c>
      <c r="DO163" s="118" t="n">
        <f aca="false">IF('Données projet'!$A$166&gt;35,DO162+DN163-DW162,IF(A163&lt;'Données projet'!$A$166,$DL$205^A163,IF(A163='Données projet'!$A$166,'Données projet'!$B$166,DO162+DN163-DW162)))</f>
        <v>0</v>
      </c>
      <c r="DP163" s="125" t="n">
        <f aca="false">DO163*VLOOKUP('Données projet'!$B$14,Paramètres!$A$1:$I$89,3,0)*VLOOKUP('Données projet'!$B$14,Paramètres!$A$1:$I$89,5,0)</f>
        <v>0</v>
      </c>
      <c r="DQ163" s="117" t="e">
        <f aca="false">EXP(-1.0587+0.8836*LN(DP163)+0.284)</f>
        <v>#VALUE!</v>
      </c>
      <c r="DR163" s="128" t="e">
        <f aca="false">(DP163+DQ163)*0.475*44/12</f>
        <v>#VALUE!</v>
      </c>
      <c r="DS163" s="120" t="e">
        <f aca="false">DR163+(DJ163+DK163)*44/12</f>
        <v>#VALUE!</v>
      </c>
      <c r="DT163" s="120" t="n">
        <f aca="true">AVERAGE(OFFSET($DS$3,0,0,'Données projet'!$E$14+1,1))-AVERAGE(OFFSET($H$3,0,0,'Données projet'!$E$14+1,1))</f>
        <v>549.432320957297</v>
      </c>
      <c r="DU163" s="120" t="n">
        <f aca="false">$DU$3</f>
        <v>280.26155987301</v>
      </c>
      <c r="DV163" s="121" t="n">
        <f aca="false">IF(ISNA(VLOOKUP(A163,'Données projet'!$A$165:$I$185,3,0)),0,VLOOKUP(A163,'Données projet'!$A$165:$I$185,3,0))</f>
        <v>0</v>
      </c>
      <c r="DW163" s="121" t="n">
        <f aca="false">IF(ISNA(VLOOKUP(A163,'Données projet'!$A$165:$I$185,4,0)),0,VLOOKUP(A163,'Données projet'!$A$165:$I$185,4,0))</f>
        <v>0</v>
      </c>
      <c r="DX163" s="122" t="n">
        <f aca="false">IF(ISNA(VLOOKUP(A163,'Données projet'!$A$165:$I$185,5,0)),0%,VLOOKUP(A163,'Données projet'!$A$165:$I$185,5,0)*VLOOKUP('Données projet'!$B$14,Paramètres!$A$1:$I$89,7,0))</f>
        <v>0</v>
      </c>
      <c r="DY163" s="122" t="n">
        <f aca="false">IF(ISNA(VLOOKUP(A163,'Données projet'!$A$165:$I$185,6,0)),0%,VLOOKUP(A163,'Données projet'!$A$165:$I$185,6,0)*VLOOKUP('Données projet'!$B$14,Paramètres!$A$1:$I$89,7,0))</f>
        <v>0</v>
      </c>
      <c r="DZ163" s="122" t="n">
        <f aca="false">IF(ISNA(VLOOKUP(A163,'Données projet'!$A$165:$I$185,7,0)),0%,VLOOKUP(A163,'Données projet'!$A$165:$I$185,7,0))</f>
        <v>0</v>
      </c>
      <c r="EA163" s="129" t="n">
        <f aca="false">EXP(-LN(2)/35)*EA162+(1-EXP(-LN(2)/35))/(LN(2)/35)*DW163*DX163*VLOOKUP('Données projet'!$B$14,Paramètres!$A$1:$I$89,3,0)*0.475*44/12</f>
        <v>0.182989835913182</v>
      </c>
      <c r="EB163" s="129" t="n">
        <f aca="false">EXP(-LN(2)/25)*EB162+(1-EXP(-LN(2)/25))/(LN(2)/25)*Calculateur!DW163*Calculateur!DY163*VLOOKUP('Données projet'!$B$14,Paramètres!$A$1:$I$89,3,0)*0.475*44/12</f>
        <v>0.210933391572973</v>
      </c>
      <c r="EC163" s="129" t="n">
        <f aca="false">EXP(-LN(2)/2)*EC162+(1-EXP(-LN(2)/2))/(LN(2)/2)*DW163*DZ163*VLOOKUP('Données projet'!$B$14,Paramètres!$A$1:$I$89,3,0)*0.475*44/12</f>
        <v>1.6585757654871E-019</v>
      </c>
      <c r="ED163" s="130" t="n">
        <f aca="false">SUM(EA163:EC163)</f>
        <v>0.393923227486155</v>
      </c>
      <c r="EE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8" t="e">
        <f aca="false">VLOOKUP(A163,'Données projet'!$A$191:$I$211,2,0)</f>
        <v>#N/A</v>
      </c>
      <c r="EH163" s="118" t="e">
        <f aca="false">VLOOKUP(A163,'Données projet'!$A$191:$I$211,9,0)</f>
        <v>#N/A</v>
      </c>
      <c r="EI163" s="118" t="e">
        <f aca="false" t="array" ref="EI163:EI163">INDEX(EH:EH,MIN(IF(ISNUMBER(EH163:EH359),ROW(EH163:EH359),"")))</f>
        <v>#N/A</v>
      </c>
      <c r="EJ163" s="118" t="n">
        <f aca="false">IF('Données projet'!$A$192&gt;35,EJ162+EI163-ER162,IF(A163&lt;'Données projet'!$A$192,$EG$205^A163,IF(A163='Données projet'!$A$192,'Données projet'!$B$192,EJ162+EI163-ER162)))</f>
        <v>0</v>
      </c>
      <c r="EK163" s="125" t="e">
        <f aca="false">EJ163*VLOOKUP('Données projet'!$B$15,Paramètres!$A$1:$I$89,3,0)*VLOOKUP('Données projet'!$B$15,Paramètres!$A$1:$I$89,5,0)</f>
        <v>#N/A</v>
      </c>
      <c r="EL163" s="117" t="e">
        <f aca="false">EXP(-1.0587+0.8836*LN(EK163)+0.284)</f>
        <v>#N/A</v>
      </c>
      <c r="EM163" s="128" t="e">
        <f aca="false">(EK163+EL163)*0.475*44/12</f>
        <v>#N/A</v>
      </c>
      <c r="EN163" s="120" t="e">
        <f aca="false">EM163+(EE163+EF163)*44/12</f>
        <v>#N/A</v>
      </c>
      <c r="EO163" s="120" t="e">
        <f aca="true">AVERAGE(OFFSET($EN$3,0,0,'Données projet'!$E$15+1,1))-AVERAGE(OFFSET($H$3,0,0,'Données projet'!$E$15+1,1))</f>
        <v>#N/A</v>
      </c>
      <c r="EP163" s="120" t="e">
        <f aca="false">$EP$3</f>
        <v>#N/A</v>
      </c>
      <c r="EQ163" s="121" t="n">
        <f aca="false">IF(ISNA(VLOOKUP(A163,'Données projet'!$A$191:$I$211,3,0)),0,VLOOKUP(A163,'Données projet'!$A$191:$I$211,3,0))</f>
        <v>0</v>
      </c>
      <c r="ER163" s="121" t="n">
        <f aca="false">IF(ISNA(VLOOKUP(A163,'Données projet'!$A$191:$I$211,4,0)),0,VLOOKUP(A163,'Données projet'!$A$191:$I$211,4,0))</f>
        <v>0</v>
      </c>
      <c r="ES163" s="122" t="n">
        <f aca="false">IF(ISNA(VLOOKUP(A163,'Données projet'!$A$191:$I$211,5,0)),0%,VLOOKUP(A163,'Données projet'!$A$191:$I$211,5,0)*VLOOKUP('Données projet'!$B$15,Paramètres!$A$1:$I$89,7,0))</f>
        <v>0</v>
      </c>
      <c r="ET163" s="122" t="n">
        <f aca="false">IF(ISNA(VLOOKUP(A163,'Données projet'!$A$191:$I$211,6,0)),0%,VLOOKUP(A163,'Données projet'!$A$191:$I$211,6,0)*VLOOKUP('Données projet'!$B$15,Paramètres!$A$1:$I$89,7,0))</f>
        <v>0</v>
      </c>
      <c r="EU163" s="122" t="n">
        <f aca="false">IF(ISNA(VLOOKUP(A163,'Données projet'!$A$191:$I$211,7,0)),0%,VLOOKUP(A163,'Données projet'!$A$191:$I$211,7,0))</f>
        <v>0</v>
      </c>
      <c r="EV163" s="129" t="e">
        <f aca="false">EXP(-LN(2)/35)*EV162+(1-EXP(-LN(2)/35))/(LN(2)/35)*ER163*ES163*VLOOKUP('Données projet'!$B$15,Paramètres!$A$1:$I$89,3,0)*0.475*44/12</f>
        <v>#N/A</v>
      </c>
      <c r="EW163" s="129" t="e">
        <f aca="false">EXP(-LN(2)/25)*EW162+(1-EXP(-LN(2)/25))/(LN(2)/25)*Calculateur!ER163*Calculateur!ET163*VLOOKUP('Données projet'!$B$15,Paramètres!$A$1:$I$89,3,0)*0.475*44/12</f>
        <v>#N/A</v>
      </c>
      <c r="EX163" s="129" t="e">
        <f aca="false">EXP(-LN(2)/2)*EX162+(1-EXP(-LN(2)/2))/(LN(2)/2)*ER163*EU163*VLOOKUP('Données projet'!$B$15,Paramètres!$A$1:$I$89,3,0)*0.475*44/12</f>
        <v>#N/A</v>
      </c>
      <c r="EY163" s="130" t="e">
        <f aca="false">SUM(EV163:EX163)</f>
        <v>#N/A</v>
      </c>
      <c r="EZ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8" t="e">
        <f aca="false">VLOOKUP(A163,'Données projet'!$A$217:$I$237,2,0)</f>
        <v>#N/A</v>
      </c>
      <c r="FC163" s="118" t="e">
        <f aca="false">VLOOKUP(A163,'Données projet'!$A$217:$I$237,9,0)</f>
        <v>#N/A</v>
      </c>
      <c r="FD163" s="118" t="e">
        <f aca="false" t="array" ref="FD163:FD163">INDEX(FC:FC,MIN(IF(ISNUMBER(FC163:FC359),ROW(FC163:FC359),"")))</f>
        <v>#N/A</v>
      </c>
      <c r="FE163" s="118" t="n">
        <f aca="false">IF('Données projet'!$A$218&gt;35,FE162+FD163-FM162,IF(A163&lt;'Données projet'!$A$218,$FB$205^A163,IF(A163='Données projet'!$A$218,'Données projet'!$B$218,FE162+FD163-FM162)))</f>
        <v>0</v>
      </c>
      <c r="FF163" s="125" t="e">
        <f aca="false">FE163*VLOOKUP('Données projet'!$B$16,Paramètres!$A$1:$I$89,3,0)*VLOOKUP('Données projet'!$B$16,Paramètres!$A$1:$I$89,5,0)</f>
        <v>#N/A</v>
      </c>
      <c r="FG163" s="117" t="e">
        <f aca="false">EXP(-1.0587+0.8836*LN(FF163)+0.284)</f>
        <v>#N/A</v>
      </c>
      <c r="FH163" s="128" t="e">
        <f aca="false">(FF163+FG163)*0.475*44/12</f>
        <v>#N/A</v>
      </c>
      <c r="FI163" s="120" t="e">
        <f aca="false">FH163+(EZ163+FA163)*44/12</f>
        <v>#N/A</v>
      </c>
      <c r="FJ163" s="120" t="e">
        <f aca="true">AVERAGE(OFFSET($FI$3,0,0,'Données projet'!$E$16+1,1))-AVERAGE(OFFSET($H$3,0,0,'Données projet'!$E$16+1,1))</f>
        <v>#N/A</v>
      </c>
      <c r="FK163" s="120" t="e">
        <f aca="false">$FK$3</f>
        <v>#N/A</v>
      </c>
      <c r="FL163" s="121" t="n">
        <f aca="false">IF(ISNA(VLOOKUP(A163,'Données projet'!$A$217:$I$237,3,0)),0,VLOOKUP(A163,'Données projet'!$A$217:$I$237,3,0))</f>
        <v>0</v>
      </c>
      <c r="FM163" s="121" t="n">
        <f aca="false">IF(ISNA(VLOOKUP(A163,'Données projet'!$A$217:$I$237,4,0)),0,VLOOKUP(A163,'Données projet'!$A$217:$I$237,4,0))</f>
        <v>0</v>
      </c>
      <c r="FN163" s="122" t="n">
        <f aca="false">IF(ISNA(VLOOKUP(A163,'Données projet'!$A$217:$I$237,5,0)),0%,VLOOKUP(A163,'Données projet'!$A$217:$I$237,5,0)*VLOOKUP('Données projet'!$B$16,Paramètres!$A$1:$I$89,7,0))</f>
        <v>0</v>
      </c>
      <c r="FO163" s="122" t="n">
        <f aca="false">IF(ISNA(VLOOKUP(A163,'Données projet'!$A$217:$I$237,6,0)),0%,VLOOKUP(A163,'Données projet'!$A$217:$I$237,6,0)*VLOOKUP('Données projet'!$B$16,Paramètres!$A$1:$I$89,7,0))</f>
        <v>0</v>
      </c>
      <c r="FP163" s="122" t="n">
        <f aca="false">IF(ISNA(VLOOKUP(A163,'Données projet'!$A$217:$I$237,7,0)),0%,VLOOKUP(A163,'Données projet'!$A$217:$I$237,7,0))</f>
        <v>0</v>
      </c>
      <c r="FQ163" s="129" t="e">
        <f aca="false">EXP(-LN(2)/35)*FQ162+(1-EXP(-LN(2)/35))/(LN(2)/35)*FM163*FN163*VLOOKUP('Données projet'!$B$16,Paramètres!$A$1:$I$89,3,0)*0.475*44/12</f>
        <v>#N/A</v>
      </c>
      <c r="FR163" s="129" t="e">
        <f aca="false">EXP(-LN(2)/25)*FR162+(1-EXP(-LN(2)/25))/(LN(2)/25)*Calculateur!FM163*Calculateur!FO163*VLOOKUP('Données projet'!$B$16,Paramètres!$A$1:$I$89,3,0)*0.475*44/12</f>
        <v>#N/A</v>
      </c>
      <c r="FS163" s="129" t="e">
        <f aca="false">EXP(-LN(2)/2)*FS162+(1-EXP(-LN(2)/2))/(LN(2)/2)*FM163*FP163*VLOOKUP('Données projet'!$B$16,Paramètres!$A$1:$I$89,3,0)*0.475*44/12</f>
        <v>#N/A</v>
      </c>
      <c r="FT163" s="130" t="e">
        <f aca="false">SUM(FQ163:FS163)</f>
        <v>#N/A</v>
      </c>
      <c r="FU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8" t="e">
        <f aca="false">VLOOKUP(A163,'Données projet'!$A$243:$I$263,2,0)</f>
        <v>#N/A</v>
      </c>
      <c r="FX163" s="118" t="e">
        <f aca="false">VLOOKUP(A163,'Données projet'!$A$243:$I$263,9,0)</f>
        <v>#N/A</v>
      </c>
      <c r="FY163" s="118" t="e">
        <f aca="false" t="array" ref="FY163:FY163">INDEX(FX:FX,MIN(IF(ISNUMBER(FX163:FX359),ROW(FX163:FX359),"")))</f>
        <v>#N/A</v>
      </c>
      <c r="FZ163" s="118" t="n">
        <f aca="false">IF('Données projet'!$A$244&gt;35,FZ162+FY163-GH162,IF(A163&lt;'Données projet'!$A$244,$FW$205^A163,IF(A163='Données projet'!$A$244,'Données projet'!$B$244,FZ162+FY163-GH162)))</f>
        <v>0</v>
      </c>
      <c r="GA163" s="125" t="e">
        <f aca="false">FZ163*VLOOKUP('Données projet'!$B$17,Paramètres!$A$1:$I$89,3,0)*VLOOKUP('Données projet'!$B$17,Paramètres!$A$1:$I$89,5,0)</f>
        <v>#N/A</v>
      </c>
      <c r="GB163" s="117" t="e">
        <f aca="false">EXP(-1.0587+0.8836*LN(GA163)+0.284)</f>
        <v>#N/A</v>
      </c>
      <c r="GC163" s="128" t="e">
        <f aca="false">(GA163+GB163)*0.475*44/12</f>
        <v>#N/A</v>
      </c>
      <c r="GD163" s="120" t="e">
        <f aca="false">GC163+(FU163+FV163)*44/12</f>
        <v>#N/A</v>
      </c>
      <c r="GE163" s="120" t="e">
        <f aca="true">AVERAGE(OFFSET($GD$3,0,0,'Données projet'!$E$17+1,1))-AVERAGE(OFFSET($H$3,0,0,'Données projet'!$E$17+1,1))</f>
        <v>#N/A</v>
      </c>
      <c r="GF163" s="120" t="e">
        <f aca="false">$GF$3</f>
        <v>#N/A</v>
      </c>
      <c r="GG163" s="121" t="n">
        <f aca="false">IF(ISNA(VLOOKUP(A163,'Données projet'!$A$243:$I$263,3,0)),0,VLOOKUP(A163,'Données projet'!$A$243:$I$263,3,0))</f>
        <v>0</v>
      </c>
      <c r="GH163" s="121" t="n">
        <f aca="false">IF(ISNA(VLOOKUP(A163,'Données projet'!$A$243:$I$263,4,0)),0,VLOOKUP(A163,'Données projet'!$A$243:$I$263,4,0))</f>
        <v>0</v>
      </c>
      <c r="GI163" s="122" t="n">
        <f aca="false">IF(ISNA(VLOOKUP(A163,'Données projet'!$A$243:$I$263,5,0)),0%,VLOOKUP(A163,'Données projet'!$A$243:$I$263,5,0)*VLOOKUP('Données projet'!$B$17,Paramètres!$A$1:$I$89,7,0))</f>
        <v>0</v>
      </c>
      <c r="GJ163" s="122" t="n">
        <f aca="false">IF(ISNA(VLOOKUP(A163,'Données projet'!$A$243:$I$263,6,0)),0%,VLOOKUP(A163,'Données projet'!$A$243:$I$263,6,0)*VLOOKUP('Données projet'!$B$17,Paramètres!$A$1:$I$89,7,0))</f>
        <v>0</v>
      </c>
      <c r="GK163" s="122" t="n">
        <f aca="false">IF(ISNA(VLOOKUP(A163,'Données projet'!$A$243:$I$263,7,0)),0%,VLOOKUP(A163,'Données projet'!$A$243:$I$263,7,0))</f>
        <v>0</v>
      </c>
      <c r="GL163" s="129" t="e">
        <f aca="false">EXP(-LN(2)/35)*GL162+(1-EXP(-LN(2)/35))/(LN(2)/35)*GH163*GI163*VLOOKUP('Données projet'!$B$17,Paramètres!$A$1:$I$89,3,0)*0.475*44/12</f>
        <v>#N/A</v>
      </c>
      <c r="GM163" s="129" t="e">
        <f aca="false">EXP(-LN(2)/25)*GM162+(1-EXP(-LN(2)/25))/(LN(2)/25)*Calculateur!GH163*Calculateur!GJ163*VLOOKUP('Données projet'!$B$17,Paramètres!$A$1:$I$89,3,0)*0.475*44/12</f>
        <v>#N/A</v>
      </c>
      <c r="GN163" s="129" t="e">
        <f aca="false">EXP(-LN(2)/2)*GN162+(1-EXP(-LN(2)/2))/(LN(2)/2)*GH163*GK163*VLOOKUP('Données projet'!$B$17,Paramètres!$A$1:$I$89,3,0)*0.475*44/12</f>
        <v>#N/A</v>
      </c>
      <c r="GO163" s="129" t="e">
        <f aca="false">SUM(GL163:GN163)</f>
        <v>#N/A</v>
      </c>
      <c r="GP163" s="126" t="n">
        <f aca="false"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8" t="n">
        <f aca="false"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8" t="e">
        <f aca="false">VLOOKUP(A163,'Données projet'!$A$269:$I$289,2,0)</f>
        <v>#N/A</v>
      </c>
      <c r="GS163" s="118" t="e">
        <f aca="false">VLOOKUP(A163,'Données projet'!$A$269:$I$289,9,0)</f>
        <v>#N/A</v>
      </c>
      <c r="GT163" s="118" t="e">
        <f aca="false" t="array" ref="GT163:GT163">INDEX(GS:GS,MIN(IF(ISNUMBER(GS163:GS359),ROW(GS163:GS359),"")))</f>
        <v>#N/A</v>
      </c>
      <c r="GU163" s="118" t="n">
        <f aca="false">IF('Données projet'!$A$270&gt;35,GU162+GT163-HC162,IF(A163&lt;'Données projet'!$A$270,$GR$205^A163,IF(A163='Données projet'!$A$270,'Données projet'!$B$270,GU162+GT163-HC162)))</f>
        <v>0</v>
      </c>
      <c r="GV163" s="125" t="e">
        <f aca="false">GU163*VLOOKUP('Données projet'!$B$18,Paramètres!$A$1:$I$89,3,0)*VLOOKUP('Données projet'!$B$18,Paramètres!$A$1:$I$89,5,0)</f>
        <v>#N/A</v>
      </c>
      <c r="GW163" s="117" t="e">
        <f aca="false">EXP(-1.0587+0.8836*LN(GV163)+0.284)</f>
        <v>#N/A</v>
      </c>
      <c r="GX163" s="128" t="e">
        <f aca="false">(GV163+GW163)*0.475*44/12</f>
        <v>#N/A</v>
      </c>
      <c r="GY163" s="120" t="e">
        <f aca="false">GX163+(GP163+GQ163)*44/12</f>
        <v>#N/A</v>
      </c>
      <c r="GZ163" s="120" t="e">
        <f aca="true">AVERAGE(OFFSET($GY$3,0,0,'Données projet'!$E$18+1,1))-AVERAGE(OFFSET($H$3,0,0,'Données projet'!$E$18+1,1))</f>
        <v>#N/A</v>
      </c>
      <c r="HA163" s="120" t="e">
        <f aca="false">$HA$3</f>
        <v>#N/A</v>
      </c>
      <c r="HB163" s="121" t="n">
        <f aca="false">IF(ISNA(VLOOKUP(A163,'Données projet'!$A$269:$I$289,3,0)),0,VLOOKUP(A163,'Données projet'!$A$269:$I$289,3,0))</f>
        <v>0</v>
      </c>
      <c r="HC163" s="121" t="n">
        <f aca="false">IF(ISNA(VLOOKUP(A163,'Données projet'!$A$269:$I$289,4,0)),0,VLOOKUP(A163,'Données projet'!$A$269:$I$289,4,0))</f>
        <v>0</v>
      </c>
      <c r="HD163" s="122" t="n">
        <f aca="false">IF(ISNA(VLOOKUP(A163,'Données projet'!$A$269:$I$289,5,0)),0%,VLOOKUP(A163,'Données projet'!$A$269:$I$289,5,0)*VLOOKUP('Données projet'!$B$18,Paramètres!$A$1:$I$89,7,0))</f>
        <v>0</v>
      </c>
      <c r="HE163" s="122" t="n">
        <f aca="false">IF(ISNA(VLOOKUP(A163,'Données projet'!$A$269:$I$289,6,0)),0%,VLOOKUP(A163,'Données projet'!$A$269:$I$289,6,0)*VLOOKUP('Données projet'!$B$18,Paramètres!$A$1:$I$89,7,0))</f>
        <v>0</v>
      </c>
      <c r="HF163" s="122" t="n">
        <f aca="false">IF(ISNA(VLOOKUP(A163,'Données projet'!$A$269:$I$289,7,0)),0%,VLOOKUP(A163,'Données projet'!$A$269:$I$289,7,0))</f>
        <v>0</v>
      </c>
      <c r="HG163" s="129" t="e">
        <f aca="false">EXP(-LN(2)/35)*HG162+(1-EXP(-LN(2)/35))/(LN(2)/35)*HC163*HD163*VLOOKUP('Données projet'!$B$18,Paramètres!$A$1:$I$89,3,0)*0.475*44/12</f>
        <v>#N/A</v>
      </c>
      <c r="HH163" s="129" t="e">
        <f aca="false">EXP(-LN(2)/25)*HH162+(1-EXP(-LN(2)/25))/(LN(2)/25)*Calculateur!HC163*Calculateur!HE163*VLOOKUP('Données projet'!$B$18,Paramètres!$A$1:$I$89,3,0)*0.475*44/12</f>
        <v>#N/A</v>
      </c>
      <c r="HI163" s="129" t="e">
        <f aca="false">EXP(-LN(2)/2)*HI162+(1-EXP(-LN(2)/2))/(LN(2)/2)*HC163*HF163*VLOOKUP('Données projet'!$B$18,Paramètres!$A$1:$I$89,3,0)*0.475*44/12</f>
        <v>#N/A</v>
      </c>
      <c r="HJ163" s="130" t="e">
        <f aca="false">SUM(HG163:HI163)</f>
        <v>#N/A</v>
      </c>
    </row>
    <row r="164" customFormat="false" ht="14.25" hidden="false" customHeight="false" outlineLevel="0" collapsed="false">
      <c r="A164" s="112" t="n">
        <f aca="false">A163+1</f>
        <v>161</v>
      </c>
      <c r="B164" s="113" t="n">
        <f aca="false">'Scénario référence'!$B$16*5+'Scénario référence'!$B$17*0+'Scénario référence'!$B$18*5</f>
        <v>0</v>
      </c>
      <c r="C164" s="127" t="n">
        <f aca="false"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4" t="n">
        <f aca="false">IFERROR(EXP(-1.0587+0.8836*LN(C164)+0.284),0)</f>
        <v>0</v>
      </c>
      <c r="E16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4" s="114" t="n">
        <f aca="false">IF(OR('Scénario référence'!$F$8&gt;0,'Scénario référence'!$F$9&gt;0),('Scénario référence'!$F$8+'Scénario référence'!$F$9)*10,0)</f>
        <v>0</v>
      </c>
      <c r="G164" s="114" t="n">
        <f aca="false"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15" t="n">
        <f aca="false">(B164+E164+F164)*44/12+(C164+D164)*0.475*44/12</f>
        <v>256.666666666667</v>
      </c>
      <c r="I164" s="11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7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8" t="e">
        <f aca="false">VLOOKUP(A164,'Données projet'!$A$35:$I$55,2,0)</f>
        <v>#N/A</v>
      </c>
      <c r="L164" s="118" t="e">
        <f aca="false">VLOOKUP(A164,'Données projet'!$A$35:$I$55,9,0)</f>
        <v>#N/A</v>
      </c>
      <c r="M164" s="118" t="e">
        <f aca="false" t="array" ref="M164:M164">INDEX(L:L,MIN(IF(ISNUMBER(L164:L360),ROW(L164:L360),"")))</f>
        <v>#N/A</v>
      </c>
      <c r="N164" s="117" t="n">
        <f aca="false">IF('Données projet'!$A$36&gt;35,N163+M164-V163,IF(A164&lt;'Données projet'!$A$36,$K$205^A164,IF(A164='Données projet'!$A$36,'Données projet'!$B$36,N163+M164-V163)))</f>
        <v>-1.13686837721616E-013</v>
      </c>
      <c r="O164" s="117" t="n">
        <f aca="false">N164*VLOOKUP('Données projet'!$B$9,Paramètres!$A$1:$I$89,3,0)*VLOOKUP('Données projet'!$B$9,Paramètres!$A$1:$I$89,5,0)</f>
        <v>-5.32054400537163E-014</v>
      </c>
      <c r="P164" s="117" t="e">
        <f aca="false">EXP(-1.0587+0.8836*LN(O164)+0.284)</f>
        <v>#VALUE!</v>
      </c>
      <c r="Q164" s="128" t="e">
        <f aca="false">(O164+P164)*0.475*44/12</f>
        <v>#VALUE!</v>
      </c>
      <c r="R164" s="120" t="e">
        <f aca="false">Q164+(I164+J164)*44/12</f>
        <v>#VALUE!</v>
      </c>
      <c r="S164" s="120" t="n">
        <f aca="true">AVERAGE(OFFSET($R$3,0,0,'Données projet'!$E$9+1,1))-AVERAGE(OFFSET($H$3,0,0,'Données projet'!$E$9+1,1))</f>
        <v>319.229030946746</v>
      </c>
      <c r="T164" s="120" t="n">
        <f aca="false">$T$3</f>
        <v>254.586909731428</v>
      </c>
      <c r="U164" s="121" t="n">
        <f aca="false">IF(ISNA(VLOOKUP(A164,'Données projet'!$A$35:$I$55,3,0)),0,VLOOKUP(A164,'Données projet'!$A$35:$I$55,3,0))</f>
        <v>0</v>
      </c>
      <c r="V164" s="121" t="n">
        <f aca="false">IF(ISNA(VLOOKUP(A164,'Données projet'!$A$35:$I$55,4,0)),0,VLOOKUP(A164,'Données projet'!$A$35:$I$55,4,0))</f>
        <v>0</v>
      </c>
      <c r="W164" s="122" t="n">
        <f aca="false">IF(ISNA(VLOOKUP(A164,'Données projet'!$A$35:$I$55,5,0)),0%,VLOOKUP(A164,'Données projet'!$A$35:$I$55,5,0)*VLOOKUP('Données projet'!$B$9,Paramètres!$A$1:$I$89,7,0))</f>
        <v>0</v>
      </c>
      <c r="X164" s="122" t="n">
        <f aca="false">IF(ISNA(VLOOKUP(A164,'Données projet'!$A$35:$I$55,6,0)),0%,VLOOKUP(A164,'Données projet'!$A$35:$I$55,6,0)*VLOOKUP('Données projet'!$B$9,Paramètres!$A$1:$I$89,7,0))</f>
        <v>0</v>
      </c>
      <c r="Y164" s="122" t="n">
        <f aca="false">IF(ISNA(VLOOKUP(A164,'Données projet'!$A$35:$I$55,7,0)),0%,VLOOKUP(A164,'Données projet'!$A$35:$I$55,7,0))</f>
        <v>0</v>
      </c>
      <c r="Z164" s="129" t="n">
        <f aca="false">EXP(-LN(2)/35)*Z163+(1-EXP(-LN(2)/35))/(LN(2)/35)*V164*W164*VLOOKUP('Données projet'!$B$9,Paramètres!$A$1:$I$89,3,0)*0.475*44/12</f>
        <v>0.677938370587668</v>
      </c>
      <c r="AA164" s="129" t="n">
        <f aca="false">EXP(-LN(2)/25)*AA163+(1-EXP(-LN(2)/25))/(LN(2)/25)*Calculateur!V164*Calculateur!X164*VLOOKUP('Données projet'!$B$9,Paramètres!$A$1:$I$89,3,0)*0.475*44/12</f>
        <v>0.29507275375424</v>
      </c>
      <c r="AB164" s="129" t="n">
        <f aca="false">EXP(-LN(2)/2)*AB163+(1-EXP(-LN(2)/2))/(LN(2)/2)*V164*Y164*VLOOKUP('Données projet'!$B$9,Paramètres!$A$1:$I$89,3,0)*0.475*44/12</f>
        <v>2.11654455610214E-019</v>
      </c>
      <c r="AC164" s="130" t="n">
        <f aca="false">SUM(Z164:AB164)</f>
        <v>0.973011124341908</v>
      </c>
      <c r="AD164" s="117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7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8" t="e">
        <f aca="false">VLOOKUP(A164,'Données projet'!$A$61:$I$81,2,0)</f>
        <v>#N/A</v>
      </c>
      <c r="AG164" s="118" t="e">
        <f aca="false">VLOOKUP(A164,'Données projet'!$A$61:$I$81,9,0)</f>
        <v>#N/A</v>
      </c>
      <c r="AH164" s="118" t="e">
        <f aca="false" t="array" ref="AH164:AH164">INDEX(AG:AG,MIN(IF(ISNUMBER(AG164:AG360),ROW(AG164:AG360),"")))</f>
        <v>#N/A</v>
      </c>
      <c r="AI164" s="117" t="n">
        <f aca="false">IF('Données projet'!$A$62&gt;35,AI163+AH164-AQ163,IF(A164&lt;'Données projet'!$A$62,$AF$205^A164,IF(A164='Données projet'!$A$62,'Données projet'!$B$62,AI163+AH164-AQ163)))</f>
        <v>1.13686837721616E-013</v>
      </c>
      <c r="AJ164" s="117" t="n">
        <f aca="false">AI164*VLOOKUP('Données projet'!$B$10,Paramètres!$A$1:$I$89,3,0)*VLOOKUP('Données projet'!$B$10,Paramètres!$A$1:$I$89,5,0)</f>
        <v>6.35509422863834E-014</v>
      </c>
      <c r="AK164" s="117" t="n">
        <f aca="false">EXP(-1.0587+0.8836*LN(AJ164)+0.284)</f>
        <v>1.0064464192544E-012</v>
      </c>
      <c r="AL164" s="128" t="n">
        <f aca="false">(AJ164+AK164)*0.475*44/12</f>
        <v>1.86357873801686E-012</v>
      </c>
      <c r="AM164" s="120" t="n">
        <f aca="false">AL164+(AD164+AE164)*44/12</f>
        <v>293.333333333335</v>
      </c>
      <c r="AN164" s="120" t="n">
        <f aca="true">AVERAGE(OFFSET($AM$3,0,0,'Données projet'!$E$10+1,1))-AVERAGE(OFFSET($H$3,0,0,'Données projet'!$E$10+1,1))</f>
        <v>365.705101827279</v>
      </c>
      <c r="AO164" s="120" t="n">
        <f aca="false">$AO$3</f>
        <v>436.238338449625</v>
      </c>
      <c r="AP164" s="121" t="n">
        <f aca="false">IF(ISNA(VLOOKUP(A164,'Données projet'!$A$61:$I$81,3,0)),0,VLOOKUP(A164,'Données projet'!$A$61:$I$81,3,0))</f>
        <v>0</v>
      </c>
      <c r="AQ164" s="121" t="n">
        <f aca="false">IF(ISNA(VLOOKUP(A164,'Données projet'!$A$61:$I$81,4,0)),0,VLOOKUP(A164,'Données projet'!$A$61:$I$81,4,0))</f>
        <v>0</v>
      </c>
      <c r="AR164" s="122" t="n">
        <f aca="false">IF(ISNA(VLOOKUP(A164,'Données projet'!$A$61:$I$81,5,0)),0%,VLOOKUP(A164,'Données projet'!$A$61:$I$81,5,0)*VLOOKUP('Données projet'!$B$10,Paramètres!$A$1:$I$89,7,0))</f>
        <v>0</v>
      </c>
      <c r="AS164" s="122" t="n">
        <f aca="false">IF(ISNA(VLOOKUP(A164,'Données projet'!$A$61:$I$81,6,0)),0%,VLOOKUP(A164,'Données projet'!$A$61:$I$81,6,0)*VLOOKUP('Données projet'!$B$10,Paramètres!$A$1:$I$89,7,0))</f>
        <v>0</v>
      </c>
      <c r="AT164" s="122" t="n">
        <f aca="false">IF(ISNA(VLOOKUP(A164,'Données projet'!$A$61:$I$81,7,0)),0%,VLOOKUP(A164,'Données projet'!$A$61:$I$81,7,0))</f>
        <v>0</v>
      </c>
      <c r="AU164" s="129" t="n">
        <f aca="false">EXP(-LN(2)/35)*AU163+(1-EXP(-LN(2)/35))/(LN(2)/35)*AQ164*AR164*VLOOKUP('Données projet'!$B$10,Paramètres!$A$1:$I$89,3,0)*0.475*44/12</f>
        <v>0.255899755179206</v>
      </c>
      <c r="AV164" s="129" t="n">
        <f aca="false">EXP(-LN(2)/25)*AV163+(1-EXP(-LN(2)/25))/(LN(2)/25)*Calculateur!AQ164*Calculateur!AS164*VLOOKUP('Données projet'!$B$10,Paramètres!$A$1:$I$89,3,0)*0.475*44/12</f>
        <v>0.349497722274422</v>
      </c>
      <c r="AW164" s="129" t="n">
        <f aca="false">EXP(-LN(2)/2)*AW163+(1-EXP(-LN(2)/2))/(LN(2)/2)*AQ164*AT164*VLOOKUP('Données projet'!$B$10,Paramètres!$A$1:$I$89,3,0)*0.475*44/12</f>
        <v>1.13905812800712E-019</v>
      </c>
      <c r="AX164" s="129" t="n">
        <f aca="false">SUM(AU164:AW164)</f>
        <v>0.605397477453628</v>
      </c>
      <c r="AY164" s="124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8" t="e">
        <f aca="false">VLOOKUP(A164,'Données projet'!$A$87:$I$107,2,0)</f>
        <v>#N/A</v>
      </c>
      <c r="BB164" s="118" t="e">
        <f aca="false">VLOOKUP(A164,'Données projet'!$A$87:$I$107,9,0)</f>
        <v>#N/A</v>
      </c>
      <c r="BC164" s="118" t="e">
        <f aca="false" t="array" ref="BC164:BC164">INDEX(BB:BB,MIN(IF(ISNUMBER(BB164:BB360),ROW(BB164:BB360),"")))</f>
        <v>#N/A</v>
      </c>
      <c r="BD164" s="118" t="n">
        <f aca="false">IF('Données projet'!$A$88&gt;35,BD163+BC164-BL163,IF(A164&lt;'Données projet'!$A$88,$BA$205^A164,IF(A164='Données projet'!$A$88,'Données projet'!$B$88,BD163+BC164-BL163)))</f>
        <v>1.98951966012828E-013</v>
      </c>
      <c r="BE164" s="117" t="n">
        <f aca="false">BD164*VLOOKUP('Données projet'!$B$11,Paramètres!$A$1:$I$89,3,0)*VLOOKUP('Données projet'!$B$11,Paramètres!$A$1:$I$89,5,0)</f>
        <v>1.73804437508807E-013</v>
      </c>
      <c r="BF164" s="117" t="n">
        <f aca="false">EXP(-1.0587+0.8836*LN(BE164)+0.284)</f>
        <v>2.44832936339505E-012</v>
      </c>
      <c r="BG164" s="128" t="n">
        <f aca="false">(BE164+BF164)*0.475*44/12</f>
        <v>4.56688303657421E-012</v>
      </c>
      <c r="BH164" s="120" t="n">
        <f aca="false">BG164+(AY164+AZ164)*44/12</f>
        <v>293.333333333338</v>
      </c>
      <c r="BI164" s="120" t="n">
        <f aca="true">AVERAGE(OFFSET($BH$3,0,0,'Données projet'!$E$11+1,1))-AVERAGE(OFFSET($H$3,0,0,'Données projet'!$E$11+1,1))</f>
        <v>321.235999689929</v>
      </c>
      <c r="BJ164" s="120" t="n">
        <f aca="false">$BJ$3</f>
        <v>388.051958478005</v>
      </c>
      <c r="BK164" s="121" t="n">
        <f aca="false">IF(ISNA(VLOOKUP(A164,'Données projet'!$A$87:$I$107,3,0)),0,VLOOKUP(A164,'Données projet'!$A$87:$I$107,3,0))</f>
        <v>0</v>
      </c>
      <c r="BL164" s="121" t="n">
        <f aca="false">IF(ISNA(VLOOKUP(A164,'Données projet'!$A$87:$I$107,4,0)),0,VLOOKUP(A164,'Données projet'!$A$87:$I$107,4,0))</f>
        <v>0</v>
      </c>
      <c r="BM164" s="122" t="n">
        <f aca="false">IF(ISNA(VLOOKUP(A164,'Données projet'!$A$87:$I$107,5,0)),0%,VLOOKUP(A164,'Données projet'!$A$87:$I$107,5,0)*VLOOKUP('Données projet'!$B$11,Paramètres!$A$1:$I$89,7,0))</f>
        <v>0</v>
      </c>
      <c r="BN164" s="122" t="n">
        <f aca="false">IF(ISNA(VLOOKUP(A164,'Données projet'!$A$87:$I$107,6,0)),0%,VLOOKUP(A164,'Données projet'!$A$87:$I$107,6,0)*VLOOKUP('Données projet'!$B$11,Paramètres!$A$1:$I$89,7,0))</f>
        <v>0</v>
      </c>
      <c r="BO164" s="122" t="n">
        <f aca="false">IF(ISNA(VLOOKUP(A164,'Données projet'!$A$87:$I$107,7,0)),0%,VLOOKUP(A164,'Données projet'!$A$87:$I$107,7,0))</f>
        <v>0</v>
      </c>
      <c r="BP164" s="129" t="n">
        <f aca="false">EXP(-LN(2)/35)*BP163+(1-EXP(-LN(2)/35))/(LN(2)/35)*BL164*BM164*VLOOKUP('Données projet'!$B$11,Paramètres!$A$1:$I$89,3,0)*0.475*44/12</f>
        <v>0.642467389311894</v>
      </c>
      <c r="BQ164" s="129" t="n">
        <f aca="false">EXP(-LN(2)/25)*BQ163+(1-EXP(-LN(2)/25))/(LN(2)/25)*Calculateur!BL164*Calculateur!BN164*VLOOKUP('Données projet'!$B$11,Paramètres!$A$1:$I$89,3,0)*0.475*44/12</f>
        <v>0.356746516016487</v>
      </c>
      <c r="BR164" s="129" t="n">
        <f aca="false">EXP(-LN(2)/2)*BR163+(1-EXP(-LN(2)/2))/(LN(2)/2)*BL164*BO164*VLOOKUP('Données projet'!$B$11,Paramètres!$A$1:$I$89,3,0)*0.475*44/12</f>
        <v>1.15782891140244E-019</v>
      </c>
      <c r="BS164" s="130" t="n">
        <f aca="false">SUM(BP164:BR164)</f>
        <v>0.999213905328382</v>
      </c>
      <c r="BT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8" t="e">
        <f aca="false">VLOOKUP(A164,'Données projet'!$A$113:$I$133,2,0)</f>
        <v>#N/A</v>
      </c>
      <c r="BW164" s="118" t="e">
        <f aca="false">VLOOKUP(A164,'Données projet'!$A$113:$I$133,9,0)</f>
        <v>#N/A</v>
      </c>
      <c r="BX164" s="118" t="e">
        <f aca="false" t="array" ref="BX164:BX164">INDEX(BW:BW,MIN(IF(ISNUMBER(BW164:BW360),ROW(BW164:BW360),"")))</f>
        <v>#N/A</v>
      </c>
      <c r="BY164" s="118" t="n">
        <f aca="false">IF('Données projet'!$A$114&gt;35,BY163+BX164-CG163,IF(A164&lt;'Données projet'!$A$114,$BV$205^A164,IF(A164='Données projet'!$A$114,'Données projet'!$B$114,BY163+BX164-CG163)))</f>
        <v>0</v>
      </c>
      <c r="BZ164" s="117" t="n">
        <f aca="false">BY164*VLOOKUP('Données projet'!$B$12,Paramètres!$A$1:$I$89,3,0)*VLOOKUP('Données projet'!$B$12,Paramètres!$A$1:$I$89,5,0)</f>
        <v>0</v>
      </c>
      <c r="CA164" s="117" t="e">
        <f aca="false">EXP(-1.0587+0.8836*LN(BZ164)+0.284)</f>
        <v>#VALUE!</v>
      </c>
      <c r="CB164" s="128" t="e">
        <f aca="false">(BZ164+CA164)*0.475*44/12</f>
        <v>#VALUE!</v>
      </c>
      <c r="CC164" s="120" t="e">
        <f aca="false">CB164+(BT164+BU164)*44/12</f>
        <v>#VALUE!</v>
      </c>
      <c r="CD164" s="120" t="n">
        <f aca="true">AVERAGE(OFFSET($CC$3,0,0,'Données projet'!$E$12+1,1))-AVERAGE(OFFSET($H$3,0,0,'Données projet'!$E$12+1,1))</f>
        <v>240.228848647662</v>
      </c>
      <c r="CE164" s="120" t="n">
        <f aca="false">$CE$3</f>
        <v>343.237768841432</v>
      </c>
      <c r="CF164" s="121" t="n">
        <f aca="false">IF(ISNA(VLOOKUP(A164,'Données projet'!$A$113:$I$133,3,0)),0,VLOOKUP(A164,'Données projet'!$A$113:$I$133,3,0))</f>
        <v>0</v>
      </c>
      <c r="CG164" s="121" t="n">
        <f aca="false">IF(ISNA(VLOOKUP(A164,'Données projet'!$A$113:$I$133,4,0)),0,VLOOKUP(A164,'Données projet'!$A$113:$I$133,4,0))</f>
        <v>0</v>
      </c>
      <c r="CH164" s="122" t="n">
        <f aca="false">IF(ISNA(VLOOKUP(A164,'Données projet'!$A$113:$I$133,5,0)),0%,VLOOKUP(A164,'Données projet'!$A$113:$I$133,5,0)*VLOOKUP('Données projet'!$B$12,Paramètres!$A$1:$I$89,7,0))</f>
        <v>0</v>
      </c>
      <c r="CI164" s="122" t="n">
        <f aca="false">IF(ISNA(VLOOKUP(A164,'Données projet'!$A$113:$I$133,6,0)),0%,VLOOKUP(A164,'Données projet'!$A$113:$I$133,6,0)*VLOOKUP('Données projet'!$B$12,Paramètres!$A$1:$I$89,7,0))</f>
        <v>0</v>
      </c>
      <c r="CJ164" s="122" t="n">
        <f aca="false">IF(ISNA(VLOOKUP(A164,'Données projet'!$A$113:$I$133,7,0)),0%,VLOOKUP(A164,'Données projet'!$A$113:$I$133,7,0))</f>
        <v>0</v>
      </c>
      <c r="CK164" s="129" t="n">
        <f aca="false">EXP(-LN(2)/35)*CK163+(1-EXP(-LN(2)/35))/(LN(2)/35)*CG164*CH164*VLOOKUP('Données projet'!$B$12,Paramètres!$A$1:$I$89,3,0)*0.475*44/12</f>
        <v>0.393240094941649</v>
      </c>
      <c r="CL164" s="129" t="n">
        <f aca="false">EXP(-LN(2)/25)*CL163+(1-EXP(-LN(2)/25))/(LN(2)/25)*Calculateur!CG164*Calculateur!CI164*VLOOKUP('Données projet'!$B$12,Paramètres!$A$1:$I$89,3,0)*0.475*44/12</f>
        <v>0.630034999300502</v>
      </c>
      <c r="CM164" s="129" t="n">
        <f aca="false">EXP(-LN(2)/2)*CM163+(1-EXP(-LN(2)/2))/(LN(2)/2)*CG164*CJ164*VLOOKUP('Données projet'!$B$12,Paramètres!$A$1:$I$89,3,0)*0.475*44/12</f>
        <v>1.84758626558744E-019</v>
      </c>
      <c r="CN164" s="130" t="n">
        <f aca="false">SUM(CK164:CM164)</f>
        <v>1.02327509424215</v>
      </c>
      <c r="CO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8" t="e">
        <f aca="false">VLOOKUP(A164,'Données projet'!$A$139:$I$159,2,0)</f>
        <v>#N/A</v>
      </c>
      <c r="CR164" s="118" t="e">
        <f aca="false">VLOOKUP(A164,'Données projet'!$A$139:$I$159,9,0)</f>
        <v>#N/A</v>
      </c>
      <c r="CS164" s="118" t="e">
        <f aca="false" t="array" ref="CS164:CS164">INDEX(CR:CR,MIN(IF(ISNUMBER(CR164:CR360),ROW(CR164:CR360),"")))</f>
        <v>#N/A</v>
      </c>
      <c r="CT164" s="118" t="n">
        <f aca="false">IF('Données projet'!$A$140&gt;35,CT163+CS164-DB163,IF(A164&lt;'Données projet'!$A$140,$CQ$205^A164,IF(A164='Données projet'!$A$140,'Données projet'!$B$140,CT163+CS164-DB163)))</f>
        <v>-5.6843418860808E-014</v>
      </c>
      <c r="CU164" s="125" t="n">
        <f aca="false">CT164*VLOOKUP('Données projet'!$B$13,Paramètres!$A$1:$I$89,3,0)*VLOOKUP('Données projet'!$B$13,Paramètres!$A$1:$I$89,5,0)</f>
        <v>-3.10365066980012E-014</v>
      </c>
      <c r="CV164" s="117" t="e">
        <f aca="false">EXP(-1.0587+0.8836*LN(CU164)+0.284)</f>
        <v>#VALUE!</v>
      </c>
      <c r="CW164" s="128" t="e">
        <f aca="false">(CU164+CV164)*0.475*44/12</f>
        <v>#VALUE!</v>
      </c>
      <c r="CX164" s="120" t="e">
        <f aca="false">CW164+(CO164+CP164)*44/12</f>
        <v>#VALUE!</v>
      </c>
      <c r="CY164" s="120" t="n">
        <f aca="true">AVERAGE(OFFSET($CX$3,0,0,'Données projet'!$E$13+1,1))-AVERAGE(OFFSET($H$3,0,0,'Données projet'!$E$13+1,1))</f>
        <v>207.023069645676</v>
      </c>
      <c r="CZ164" s="120" t="n">
        <f aca="false">$CZ$3</f>
        <v>342.068879333518</v>
      </c>
      <c r="DA164" s="121" t="n">
        <f aca="false">IF(ISNA(VLOOKUP(A164,'Données projet'!$A$139:$I$159,3,0)),0,VLOOKUP(A164,'Données projet'!$A$139:$I$159,3,0))</f>
        <v>0</v>
      </c>
      <c r="DB164" s="121" t="n">
        <f aca="false">IF(ISNA(VLOOKUP(A164,'Données projet'!$A$139:$I$159,4,0)),0,VLOOKUP(A164,'Données projet'!$A$139:$I$159,4,0))</f>
        <v>0</v>
      </c>
      <c r="DC164" s="122" t="n">
        <f aca="false">IF(ISNA(VLOOKUP(A164,'Données projet'!$A$139:$I$159,5,0)),0%,VLOOKUP(A164,'Données projet'!$A$139:$I$159,5,0)*VLOOKUP('Données projet'!$B$13,Paramètres!$A$1:$I$89,7,0))</f>
        <v>0</v>
      </c>
      <c r="DD164" s="122" t="n">
        <f aca="false">IF(ISNA(VLOOKUP(A164,'Données projet'!$A$139:$I$159,6,0)),0%,VLOOKUP(A164,'Données projet'!$A$139:$I$159,6,0)*VLOOKUP('Données projet'!$B$13,Paramètres!$A$1:$I$89,7,0))</f>
        <v>0</v>
      </c>
      <c r="DE164" s="122" t="n">
        <f aca="false">IF(ISNA(VLOOKUP(A164,'Données projet'!$A$139:$I$159,7,0)),0%,VLOOKUP(A164,'Données projet'!$A$139:$I$159,7,0))</f>
        <v>0</v>
      </c>
      <c r="DF164" s="129" t="n">
        <f aca="false">EXP(-LN(2)/35)*DF163+(1-EXP(-LN(2)/35))/(LN(2)/35)*DB164*DC164*VLOOKUP('Données projet'!$B$13,Paramètres!$A$1:$I$89,3,0)*0.475*44/12</f>
        <v>0.493405024785277</v>
      </c>
      <c r="DG164" s="129" t="n">
        <f aca="false">EXP(-LN(2)/25)*DG163+(1-EXP(-LN(2)/25))/(LN(2)/25)*Calculateur!DB164*Calculateur!DD164*VLOOKUP('Données projet'!$B$13,Paramètres!$A$1:$I$89,3,0)*0.475*44/12</f>
        <v>1.0298448213188</v>
      </c>
      <c r="DH164" s="129" t="n">
        <f aca="false">EXP(-LN(2)/2)*DH163+(1-EXP(-LN(2)/2))/(LN(2)/2)*DB164*DE164*VLOOKUP('Données projet'!$B$13,Paramètres!$A$1:$I$89,3,0)*0.475*44/12</f>
        <v>2.54412714430144E-019</v>
      </c>
      <c r="DI164" s="130" t="n">
        <f aca="false">SUM(DF164:DH164)</f>
        <v>1.52324984610407</v>
      </c>
      <c r="DJ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8" t="e">
        <f aca="false">VLOOKUP(A164,'Données projet'!$A$165:$I$185,2,0)</f>
        <v>#N/A</v>
      </c>
      <c r="DM164" s="118" t="e">
        <f aca="false">VLOOKUP(A164,'Données projet'!$A$165:$I$185,9,0)</f>
        <v>#N/A</v>
      </c>
      <c r="DN164" s="118" t="e">
        <f aca="false" t="array" ref="DN164:DN164">INDEX(DM:DM,MIN(IF(ISNUMBER(DM164:DM360),ROW(DM164:DM360),"")))</f>
        <v>#N/A</v>
      </c>
      <c r="DO164" s="118" t="n">
        <f aca="false">IF('Données projet'!$A$166&gt;35,DO163+DN164-DW163,IF(A164&lt;'Données projet'!$A$166,$DL$205^A164,IF(A164='Données projet'!$A$166,'Données projet'!$B$166,DO163+DN164-DW163)))</f>
        <v>0</v>
      </c>
      <c r="DP164" s="125" t="n">
        <f aca="false">DO164*VLOOKUP('Données projet'!$B$14,Paramètres!$A$1:$I$89,3,0)*VLOOKUP('Données projet'!$B$14,Paramètres!$A$1:$I$89,5,0)</f>
        <v>0</v>
      </c>
      <c r="DQ164" s="117" t="e">
        <f aca="false">EXP(-1.0587+0.8836*LN(DP164)+0.284)</f>
        <v>#VALUE!</v>
      </c>
      <c r="DR164" s="128" t="e">
        <f aca="false">(DP164+DQ164)*0.475*44/12</f>
        <v>#VALUE!</v>
      </c>
      <c r="DS164" s="120" t="e">
        <f aca="false">DR164+(DJ164+DK164)*44/12</f>
        <v>#VALUE!</v>
      </c>
      <c r="DT164" s="120" t="n">
        <f aca="true">AVERAGE(OFFSET($DS$3,0,0,'Données projet'!$E$14+1,1))-AVERAGE(OFFSET($H$3,0,0,'Données projet'!$E$14+1,1))</f>
        <v>549.432320957297</v>
      </c>
      <c r="DU164" s="120" t="n">
        <f aca="false">$DU$3</f>
        <v>280.26155987301</v>
      </c>
      <c r="DV164" s="121" t="n">
        <f aca="false">IF(ISNA(VLOOKUP(A164,'Données projet'!$A$165:$I$185,3,0)),0,VLOOKUP(A164,'Données projet'!$A$165:$I$185,3,0))</f>
        <v>0</v>
      </c>
      <c r="DW164" s="121" t="n">
        <f aca="false">IF(ISNA(VLOOKUP(A164,'Données projet'!$A$165:$I$185,4,0)),0,VLOOKUP(A164,'Données projet'!$A$165:$I$185,4,0))</f>
        <v>0</v>
      </c>
      <c r="DX164" s="122" t="n">
        <f aca="false">IF(ISNA(VLOOKUP(A164,'Données projet'!$A$165:$I$185,5,0)),0%,VLOOKUP(A164,'Données projet'!$A$165:$I$185,5,0)*VLOOKUP('Données projet'!$B$14,Paramètres!$A$1:$I$89,7,0))</f>
        <v>0</v>
      </c>
      <c r="DY164" s="122" t="n">
        <f aca="false">IF(ISNA(VLOOKUP(A164,'Données projet'!$A$165:$I$185,6,0)),0%,VLOOKUP(A164,'Données projet'!$A$165:$I$185,6,0)*VLOOKUP('Données projet'!$B$14,Paramètres!$A$1:$I$89,7,0))</f>
        <v>0</v>
      </c>
      <c r="DZ164" s="122" t="n">
        <f aca="false">IF(ISNA(VLOOKUP(A164,'Données projet'!$A$165:$I$185,7,0)),0%,VLOOKUP(A164,'Données projet'!$A$165:$I$185,7,0))</f>
        <v>0</v>
      </c>
      <c r="EA164" s="129" t="n">
        <f aca="false">EXP(-LN(2)/35)*EA163+(1-EXP(-LN(2)/35))/(LN(2)/35)*DW164*DX164*VLOOKUP('Données projet'!$B$14,Paramètres!$A$1:$I$89,3,0)*0.475*44/12</f>
        <v>0.179401516843704</v>
      </c>
      <c r="EB164" s="129" t="n">
        <f aca="false">EXP(-LN(2)/25)*EB163+(1-EXP(-LN(2)/25))/(LN(2)/25)*Calculateur!DW164*Calculateur!DY164*VLOOKUP('Données projet'!$B$14,Paramètres!$A$1:$I$89,3,0)*0.475*44/12</f>
        <v>0.205165406887905</v>
      </c>
      <c r="EC164" s="129" t="n">
        <f aca="false">EXP(-LN(2)/2)*EC163+(1-EXP(-LN(2)/2))/(LN(2)/2)*DW164*DZ164*VLOOKUP('Données projet'!$B$14,Paramètres!$A$1:$I$89,3,0)*0.475*44/12</f>
        <v>1.17279017088759E-019</v>
      </c>
      <c r="ED164" s="130" t="n">
        <f aca="false">SUM(EA164:EC164)</f>
        <v>0.384566923731609</v>
      </c>
      <c r="EE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8" t="e">
        <f aca="false">VLOOKUP(A164,'Données projet'!$A$191:$I$211,2,0)</f>
        <v>#N/A</v>
      </c>
      <c r="EH164" s="118" t="e">
        <f aca="false">VLOOKUP(A164,'Données projet'!$A$191:$I$211,9,0)</f>
        <v>#N/A</v>
      </c>
      <c r="EI164" s="118" t="e">
        <f aca="false" t="array" ref="EI164:EI164">INDEX(EH:EH,MIN(IF(ISNUMBER(EH164:EH360),ROW(EH164:EH360),"")))</f>
        <v>#N/A</v>
      </c>
      <c r="EJ164" s="118" t="n">
        <f aca="false">IF('Données projet'!$A$192&gt;35,EJ163+EI164-ER163,IF(A164&lt;'Données projet'!$A$192,$EG$205^A164,IF(A164='Données projet'!$A$192,'Données projet'!$B$192,EJ163+EI164-ER163)))</f>
        <v>0</v>
      </c>
      <c r="EK164" s="125" t="e">
        <f aca="false">EJ164*VLOOKUP('Données projet'!$B$15,Paramètres!$A$1:$I$89,3,0)*VLOOKUP('Données projet'!$B$15,Paramètres!$A$1:$I$89,5,0)</f>
        <v>#N/A</v>
      </c>
      <c r="EL164" s="117" t="e">
        <f aca="false">EXP(-1.0587+0.8836*LN(EK164)+0.284)</f>
        <v>#N/A</v>
      </c>
      <c r="EM164" s="128" t="e">
        <f aca="false">(EK164+EL164)*0.475*44/12</f>
        <v>#N/A</v>
      </c>
      <c r="EN164" s="120" t="e">
        <f aca="false">EM164+(EE164+EF164)*44/12</f>
        <v>#N/A</v>
      </c>
      <c r="EO164" s="120" t="e">
        <f aca="true">AVERAGE(OFFSET($EN$3,0,0,'Données projet'!$E$15+1,1))-AVERAGE(OFFSET($H$3,0,0,'Données projet'!$E$15+1,1))</f>
        <v>#N/A</v>
      </c>
      <c r="EP164" s="120" t="e">
        <f aca="false">$EP$3</f>
        <v>#N/A</v>
      </c>
      <c r="EQ164" s="121" t="n">
        <f aca="false">IF(ISNA(VLOOKUP(A164,'Données projet'!$A$191:$I$211,3,0)),0,VLOOKUP(A164,'Données projet'!$A$191:$I$211,3,0))</f>
        <v>0</v>
      </c>
      <c r="ER164" s="121" t="n">
        <f aca="false">IF(ISNA(VLOOKUP(A164,'Données projet'!$A$191:$I$211,4,0)),0,VLOOKUP(A164,'Données projet'!$A$191:$I$211,4,0))</f>
        <v>0</v>
      </c>
      <c r="ES164" s="122" t="n">
        <f aca="false">IF(ISNA(VLOOKUP(A164,'Données projet'!$A$191:$I$211,5,0)),0%,VLOOKUP(A164,'Données projet'!$A$191:$I$211,5,0)*VLOOKUP('Données projet'!$B$15,Paramètres!$A$1:$I$89,7,0))</f>
        <v>0</v>
      </c>
      <c r="ET164" s="122" t="n">
        <f aca="false">IF(ISNA(VLOOKUP(A164,'Données projet'!$A$191:$I$211,6,0)),0%,VLOOKUP(A164,'Données projet'!$A$191:$I$211,6,0)*VLOOKUP('Données projet'!$B$15,Paramètres!$A$1:$I$89,7,0))</f>
        <v>0</v>
      </c>
      <c r="EU164" s="122" t="n">
        <f aca="false">IF(ISNA(VLOOKUP(A164,'Données projet'!$A$191:$I$211,7,0)),0%,VLOOKUP(A164,'Données projet'!$A$191:$I$211,7,0))</f>
        <v>0</v>
      </c>
      <c r="EV164" s="129" t="e">
        <f aca="false">EXP(-LN(2)/35)*EV163+(1-EXP(-LN(2)/35))/(LN(2)/35)*ER164*ES164*VLOOKUP('Données projet'!$B$15,Paramètres!$A$1:$I$89,3,0)*0.475*44/12</f>
        <v>#N/A</v>
      </c>
      <c r="EW164" s="129" t="e">
        <f aca="false">EXP(-LN(2)/25)*EW163+(1-EXP(-LN(2)/25))/(LN(2)/25)*Calculateur!ER164*Calculateur!ET164*VLOOKUP('Données projet'!$B$15,Paramètres!$A$1:$I$89,3,0)*0.475*44/12</f>
        <v>#N/A</v>
      </c>
      <c r="EX164" s="129" t="e">
        <f aca="false">EXP(-LN(2)/2)*EX163+(1-EXP(-LN(2)/2))/(LN(2)/2)*ER164*EU164*VLOOKUP('Données projet'!$B$15,Paramètres!$A$1:$I$89,3,0)*0.475*44/12</f>
        <v>#N/A</v>
      </c>
      <c r="EY164" s="130" t="e">
        <f aca="false">SUM(EV164:EX164)</f>
        <v>#N/A</v>
      </c>
      <c r="EZ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8" t="e">
        <f aca="false">VLOOKUP(A164,'Données projet'!$A$217:$I$237,2,0)</f>
        <v>#N/A</v>
      </c>
      <c r="FC164" s="118" t="e">
        <f aca="false">VLOOKUP(A164,'Données projet'!$A$217:$I$237,9,0)</f>
        <v>#N/A</v>
      </c>
      <c r="FD164" s="118" t="e">
        <f aca="false" t="array" ref="FD164:FD164">INDEX(FC:FC,MIN(IF(ISNUMBER(FC164:FC360),ROW(FC164:FC360),"")))</f>
        <v>#N/A</v>
      </c>
      <c r="FE164" s="118" t="n">
        <f aca="false">IF('Données projet'!$A$218&gt;35,FE163+FD164-FM163,IF(A164&lt;'Données projet'!$A$218,$FB$205^A164,IF(A164='Données projet'!$A$218,'Données projet'!$B$218,FE163+FD164-FM163)))</f>
        <v>0</v>
      </c>
      <c r="FF164" s="125" t="e">
        <f aca="false">FE164*VLOOKUP('Données projet'!$B$16,Paramètres!$A$1:$I$89,3,0)*VLOOKUP('Données projet'!$B$16,Paramètres!$A$1:$I$89,5,0)</f>
        <v>#N/A</v>
      </c>
      <c r="FG164" s="117" t="e">
        <f aca="false">EXP(-1.0587+0.8836*LN(FF164)+0.284)</f>
        <v>#N/A</v>
      </c>
      <c r="FH164" s="128" t="e">
        <f aca="false">(FF164+FG164)*0.475*44/12</f>
        <v>#N/A</v>
      </c>
      <c r="FI164" s="120" t="e">
        <f aca="false">FH164+(EZ164+FA164)*44/12</f>
        <v>#N/A</v>
      </c>
      <c r="FJ164" s="120" t="e">
        <f aca="true">AVERAGE(OFFSET($FI$3,0,0,'Données projet'!$E$16+1,1))-AVERAGE(OFFSET($H$3,0,0,'Données projet'!$E$16+1,1))</f>
        <v>#N/A</v>
      </c>
      <c r="FK164" s="120" t="e">
        <f aca="false">$FK$3</f>
        <v>#N/A</v>
      </c>
      <c r="FL164" s="121" t="n">
        <f aca="false">IF(ISNA(VLOOKUP(A164,'Données projet'!$A$217:$I$237,3,0)),0,VLOOKUP(A164,'Données projet'!$A$217:$I$237,3,0))</f>
        <v>0</v>
      </c>
      <c r="FM164" s="121" t="n">
        <f aca="false">IF(ISNA(VLOOKUP(A164,'Données projet'!$A$217:$I$237,4,0)),0,VLOOKUP(A164,'Données projet'!$A$217:$I$237,4,0))</f>
        <v>0</v>
      </c>
      <c r="FN164" s="122" t="n">
        <f aca="false">IF(ISNA(VLOOKUP(A164,'Données projet'!$A$217:$I$237,5,0)),0%,VLOOKUP(A164,'Données projet'!$A$217:$I$237,5,0)*VLOOKUP('Données projet'!$B$16,Paramètres!$A$1:$I$89,7,0))</f>
        <v>0</v>
      </c>
      <c r="FO164" s="122" t="n">
        <f aca="false">IF(ISNA(VLOOKUP(A164,'Données projet'!$A$217:$I$237,6,0)),0%,VLOOKUP(A164,'Données projet'!$A$217:$I$237,6,0)*VLOOKUP('Données projet'!$B$16,Paramètres!$A$1:$I$89,7,0))</f>
        <v>0</v>
      </c>
      <c r="FP164" s="122" t="n">
        <f aca="false">IF(ISNA(VLOOKUP(A164,'Données projet'!$A$217:$I$237,7,0)),0%,VLOOKUP(A164,'Données projet'!$A$217:$I$237,7,0))</f>
        <v>0</v>
      </c>
      <c r="FQ164" s="129" t="e">
        <f aca="false">EXP(-LN(2)/35)*FQ163+(1-EXP(-LN(2)/35))/(LN(2)/35)*FM164*FN164*VLOOKUP('Données projet'!$B$16,Paramètres!$A$1:$I$89,3,0)*0.475*44/12</f>
        <v>#N/A</v>
      </c>
      <c r="FR164" s="129" t="e">
        <f aca="false">EXP(-LN(2)/25)*FR163+(1-EXP(-LN(2)/25))/(LN(2)/25)*Calculateur!FM164*Calculateur!FO164*VLOOKUP('Données projet'!$B$16,Paramètres!$A$1:$I$89,3,0)*0.475*44/12</f>
        <v>#N/A</v>
      </c>
      <c r="FS164" s="129" t="e">
        <f aca="false">EXP(-LN(2)/2)*FS163+(1-EXP(-LN(2)/2))/(LN(2)/2)*FM164*FP164*VLOOKUP('Données projet'!$B$16,Paramètres!$A$1:$I$89,3,0)*0.475*44/12</f>
        <v>#N/A</v>
      </c>
      <c r="FT164" s="130" t="e">
        <f aca="false">SUM(FQ164:FS164)</f>
        <v>#N/A</v>
      </c>
      <c r="FU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8" t="e">
        <f aca="false">VLOOKUP(A164,'Données projet'!$A$243:$I$263,2,0)</f>
        <v>#N/A</v>
      </c>
      <c r="FX164" s="118" t="e">
        <f aca="false">VLOOKUP(A164,'Données projet'!$A$243:$I$263,9,0)</f>
        <v>#N/A</v>
      </c>
      <c r="FY164" s="118" t="e">
        <f aca="false" t="array" ref="FY164:FY164">INDEX(FX:FX,MIN(IF(ISNUMBER(FX164:FX360),ROW(FX164:FX360),"")))</f>
        <v>#N/A</v>
      </c>
      <c r="FZ164" s="118" t="n">
        <f aca="false">IF('Données projet'!$A$244&gt;35,FZ163+FY164-GH163,IF(A164&lt;'Données projet'!$A$244,$FW$205^A164,IF(A164='Données projet'!$A$244,'Données projet'!$B$244,FZ163+FY164-GH163)))</f>
        <v>0</v>
      </c>
      <c r="GA164" s="125" t="e">
        <f aca="false">FZ164*VLOOKUP('Données projet'!$B$17,Paramètres!$A$1:$I$89,3,0)*VLOOKUP('Données projet'!$B$17,Paramètres!$A$1:$I$89,5,0)</f>
        <v>#N/A</v>
      </c>
      <c r="GB164" s="117" t="e">
        <f aca="false">EXP(-1.0587+0.8836*LN(GA164)+0.284)</f>
        <v>#N/A</v>
      </c>
      <c r="GC164" s="128" t="e">
        <f aca="false">(GA164+GB164)*0.475*44/12</f>
        <v>#N/A</v>
      </c>
      <c r="GD164" s="120" t="e">
        <f aca="false">GC164+(FU164+FV164)*44/12</f>
        <v>#N/A</v>
      </c>
      <c r="GE164" s="120" t="e">
        <f aca="true">AVERAGE(OFFSET($GD$3,0,0,'Données projet'!$E$17+1,1))-AVERAGE(OFFSET($H$3,0,0,'Données projet'!$E$17+1,1))</f>
        <v>#N/A</v>
      </c>
      <c r="GF164" s="120" t="e">
        <f aca="false">$GF$3</f>
        <v>#N/A</v>
      </c>
      <c r="GG164" s="121" t="n">
        <f aca="false">IF(ISNA(VLOOKUP(A164,'Données projet'!$A$243:$I$263,3,0)),0,VLOOKUP(A164,'Données projet'!$A$243:$I$263,3,0))</f>
        <v>0</v>
      </c>
      <c r="GH164" s="121" t="n">
        <f aca="false">IF(ISNA(VLOOKUP(A164,'Données projet'!$A$243:$I$263,4,0)),0,VLOOKUP(A164,'Données projet'!$A$243:$I$263,4,0))</f>
        <v>0</v>
      </c>
      <c r="GI164" s="122" t="n">
        <f aca="false">IF(ISNA(VLOOKUP(A164,'Données projet'!$A$243:$I$263,5,0)),0%,VLOOKUP(A164,'Données projet'!$A$243:$I$263,5,0)*VLOOKUP('Données projet'!$B$17,Paramètres!$A$1:$I$89,7,0))</f>
        <v>0</v>
      </c>
      <c r="GJ164" s="122" t="n">
        <f aca="false">IF(ISNA(VLOOKUP(A164,'Données projet'!$A$243:$I$263,6,0)),0%,VLOOKUP(A164,'Données projet'!$A$243:$I$263,6,0)*VLOOKUP('Données projet'!$B$17,Paramètres!$A$1:$I$89,7,0))</f>
        <v>0</v>
      </c>
      <c r="GK164" s="122" t="n">
        <f aca="false">IF(ISNA(VLOOKUP(A164,'Données projet'!$A$243:$I$263,7,0)),0%,VLOOKUP(A164,'Données projet'!$A$243:$I$263,7,0))</f>
        <v>0</v>
      </c>
      <c r="GL164" s="129" t="e">
        <f aca="false">EXP(-LN(2)/35)*GL163+(1-EXP(-LN(2)/35))/(LN(2)/35)*GH164*GI164*VLOOKUP('Données projet'!$B$17,Paramètres!$A$1:$I$89,3,0)*0.475*44/12</f>
        <v>#N/A</v>
      </c>
      <c r="GM164" s="129" t="e">
        <f aca="false">EXP(-LN(2)/25)*GM163+(1-EXP(-LN(2)/25))/(LN(2)/25)*Calculateur!GH164*Calculateur!GJ164*VLOOKUP('Données projet'!$B$17,Paramètres!$A$1:$I$89,3,0)*0.475*44/12</f>
        <v>#N/A</v>
      </c>
      <c r="GN164" s="129" t="e">
        <f aca="false">EXP(-LN(2)/2)*GN163+(1-EXP(-LN(2)/2))/(LN(2)/2)*GH164*GK164*VLOOKUP('Données projet'!$B$17,Paramètres!$A$1:$I$89,3,0)*0.475*44/12</f>
        <v>#N/A</v>
      </c>
      <c r="GO164" s="129" t="e">
        <f aca="false">SUM(GL164:GN164)</f>
        <v>#N/A</v>
      </c>
      <c r="GP164" s="126" t="n">
        <f aca="false"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8" t="n">
        <f aca="false"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8" t="e">
        <f aca="false">VLOOKUP(A164,'Données projet'!$A$269:$I$289,2,0)</f>
        <v>#N/A</v>
      </c>
      <c r="GS164" s="118" t="e">
        <f aca="false">VLOOKUP(A164,'Données projet'!$A$269:$I$289,9,0)</f>
        <v>#N/A</v>
      </c>
      <c r="GT164" s="118" t="e">
        <f aca="false" t="array" ref="GT164:GT164">INDEX(GS:GS,MIN(IF(ISNUMBER(GS164:GS360),ROW(GS164:GS360),"")))</f>
        <v>#N/A</v>
      </c>
      <c r="GU164" s="118" t="n">
        <f aca="false">IF('Données projet'!$A$270&gt;35,GU163+GT164-HC163,IF(A164&lt;'Données projet'!$A$270,$GR$205^A164,IF(A164='Données projet'!$A$270,'Données projet'!$B$270,GU163+GT164-HC163)))</f>
        <v>0</v>
      </c>
      <c r="GV164" s="125" t="e">
        <f aca="false">GU164*VLOOKUP('Données projet'!$B$18,Paramètres!$A$1:$I$89,3,0)*VLOOKUP('Données projet'!$B$18,Paramètres!$A$1:$I$89,5,0)</f>
        <v>#N/A</v>
      </c>
      <c r="GW164" s="117" t="e">
        <f aca="false">EXP(-1.0587+0.8836*LN(GV164)+0.284)</f>
        <v>#N/A</v>
      </c>
      <c r="GX164" s="128" t="e">
        <f aca="false">(GV164+GW164)*0.475*44/12</f>
        <v>#N/A</v>
      </c>
      <c r="GY164" s="120" t="e">
        <f aca="false">GX164+(GP164+GQ164)*44/12</f>
        <v>#N/A</v>
      </c>
      <c r="GZ164" s="120" t="e">
        <f aca="true">AVERAGE(OFFSET($GY$3,0,0,'Données projet'!$E$18+1,1))-AVERAGE(OFFSET($H$3,0,0,'Données projet'!$E$18+1,1))</f>
        <v>#N/A</v>
      </c>
      <c r="HA164" s="120" t="e">
        <f aca="false">$HA$3</f>
        <v>#N/A</v>
      </c>
      <c r="HB164" s="121" t="n">
        <f aca="false">IF(ISNA(VLOOKUP(A164,'Données projet'!$A$269:$I$289,3,0)),0,VLOOKUP(A164,'Données projet'!$A$269:$I$289,3,0))</f>
        <v>0</v>
      </c>
      <c r="HC164" s="121" t="n">
        <f aca="false">IF(ISNA(VLOOKUP(A164,'Données projet'!$A$269:$I$289,4,0)),0,VLOOKUP(A164,'Données projet'!$A$269:$I$289,4,0))</f>
        <v>0</v>
      </c>
      <c r="HD164" s="122" t="n">
        <f aca="false">IF(ISNA(VLOOKUP(A164,'Données projet'!$A$269:$I$289,5,0)),0%,VLOOKUP(A164,'Données projet'!$A$269:$I$289,5,0)*VLOOKUP('Données projet'!$B$18,Paramètres!$A$1:$I$89,7,0))</f>
        <v>0</v>
      </c>
      <c r="HE164" s="122" t="n">
        <f aca="false">IF(ISNA(VLOOKUP(A164,'Données projet'!$A$269:$I$289,6,0)),0%,VLOOKUP(A164,'Données projet'!$A$269:$I$289,6,0)*VLOOKUP('Données projet'!$B$18,Paramètres!$A$1:$I$89,7,0))</f>
        <v>0</v>
      </c>
      <c r="HF164" s="122" t="n">
        <f aca="false">IF(ISNA(VLOOKUP(A164,'Données projet'!$A$269:$I$289,7,0)),0%,VLOOKUP(A164,'Données projet'!$A$269:$I$289,7,0))</f>
        <v>0</v>
      </c>
      <c r="HG164" s="129" t="e">
        <f aca="false">EXP(-LN(2)/35)*HG163+(1-EXP(-LN(2)/35))/(LN(2)/35)*HC164*HD164*VLOOKUP('Données projet'!$B$18,Paramètres!$A$1:$I$89,3,0)*0.475*44/12</f>
        <v>#N/A</v>
      </c>
      <c r="HH164" s="129" t="e">
        <f aca="false">EXP(-LN(2)/25)*HH163+(1-EXP(-LN(2)/25))/(LN(2)/25)*Calculateur!HC164*Calculateur!HE164*VLOOKUP('Données projet'!$B$18,Paramètres!$A$1:$I$89,3,0)*0.475*44/12</f>
        <v>#N/A</v>
      </c>
      <c r="HI164" s="129" t="e">
        <f aca="false">EXP(-LN(2)/2)*HI163+(1-EXP(-LN(2)/2))/(LN(2)/2)*HC164*HF164*VLOOKUP('Données projet'!$B$18,Paramètres!$A$1:$I$89,3,0)*0.475*44/12</f>
        <v>#N/A</v>
      </c>
      <c r="HJ164" s="130" t="e">
        <f aca="false">SUM(HG164:HI164)</f>
        <v>#N/A</v>
      </c>
    </row>
    <row r="165" customFormat="false" ht="14.25" hidden="false" customHeight="false" outlineLevel="0" collapsed="false">
      <c r="A165" s="112" t="n">
        <f aca="false">A164+1</f>
        <v>162</v>
      </c>
      <c r="B165" s="113" t="n">
        <f aca="false">'Scénario référence'!$B$16*5+'Scénario référence'!$B$17*0+'Scénario référence'!$B$18*5</f>
        <v>0</v>
      </c>
      <c r="C165" s="127" t="n">
        <f aca="false"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4" t="n">
        <f aca="false">IFERROR(EXP(-1.0587+0.8836*LN(C165)+0.284),0)</f>
        <v>0</v>
      </c>
      <c r="E16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5" s="114" t="n">
        <f aca="false">IF(OR('Scénario référence'!$F$8&gt;0,'Scénario référence'!$F$9&gt;0),('Scénario référence'!$F$8+'Scénario référence'!$F$9)*10,0)</f>
        <v>0</v>
      </c>
      <c r="G165" s="114" t="n">
        <f aca="false"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15" t="n">
        <f aca="false">(B165+E165+F165)*44/12+(C165+D165)*0.475*44/12</f>
        <v>256.666666666667</v>
      </c>
      <c r="I165" s="11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7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8" t="e">
        <f aca="false">VLOOKUP(A165,'Données projet'!$A$35:$I$55,2,0)</f>
        <v>#N/A</v>
      </c>
      <c r="L165" s="118" t="e">
        <f aca="false">VLOOKUP(A165,'Données projet'!$A$35:$I$55,9,0)</f>
        <v>#N/A</v>
      </c>
      <c r="M165" s="118" t="e">
        <f aca="false" t="array" ref="M165:M165">INDEX(L:L,MIN(IF(ISNUMBER(L165:L361),ROW(L165:L361),"")))</f>
        <v>#N/A</v>
      </c>
      <c r="N165" s="117" t="n">
        <f aca="false">IF('Données projet'!$A$36&gt;35,N164+M165-V164,IF(A165&lt;'Données projet'!$A$36,$K$205^A165,IF(A165='Données projet'!$A$36,'Données projet'!$B$36,N164+M165-V164)))</f>
        <v>-1.13686837721616E-013</v>
      </c>
      <c r="O165" s="117" t="n">
        <f aca="false">N165*VLOOKUP('Données projet'!$B$9,Paramètres!$A$1:$I$89,3,0)*VLOOKUP('Données projet'!$B$9,Paramètres!$A$1:$I$89,5,0)</f>
        <v>-5.32054400537163E-014</v>
      </c>
      <c r="P165" s="117" t="e">
        <f aca="false">EXP(-1.0587+0.8836*LN(O165)+0.284)</f>
        <v>#VALUE!</v>
      </c>
      <c r="Q165" s="128" t="e">
        <f aca="false">(O165+P165)*0.475*44/12</f>
        <v>#VALUE!</v>
      </c>
      <c r="R165" s="120" t="e">
        <f aca="false">Q165+(I165+J165)*44/12</f>
        <v>#VALUE!</v>
      </c>
      <c r="S165" s="120" t="n">
        <f aca="true">AVERAGE(OFFSET($R$3,0,0,'Données projet'!$E$9+1,1))-AVERAGE(OFFSET($H$3,0,0,'Données projet'!$E$9+1,1))</f>
        <v>319.229030946746</v>
      </c>
      <c r="T165" s="120" t="n">
        <f aca="false">$T$3</f>
        <v>254.586909731428</v>
      </c>
      <c r="U165" s="121" t="n">
        <f aca="false">IF(ISNA(VLOOKUP(A165,'Données projet'!$A$35:$I$55,3,0)),0,VLOOKUP(A165,'Données projet'!$A$35:$I$55,3,0))</f>
        <v>0</v>
      </c>
      <c r="V165" s="121" t="n">
        <f aca="false">IF(ISNA(VLOOKUP(A165,'Données projet'!$A$35:$I$55,4,0)),0,VLOOKUP(A165,'Données projet'!$A$35:$I$55,4,0))</f>
        <v>0</v>
      </c>
      <c r="W165" s="122" t="n">
        <f aca="false">IF(ISNA(VLOOKUP(A165,'Données projet'!$A$35:$I$55,5,0)),0%,VLOOKUP(A165,'Données projet'!$A$35:$I$55,5,0)*VLOOKUP('Données projet'!$B$9,Paramètres!$A$1:$I$89,7,0))</f>
        <v>0</v>
      </c>
      <c r="X165" s="122" t="n">
        <f aca="false">IF(ISNA(VLOOKUP(A165,'Données projet'!$A$35:$I$55,6,0)),0%,VLOOKUP(A165,'Données projet'!$A$35:$I$55,6,0)*VLOOKUP('Données projet'!$B$9,Paramètres!$A$1:$I$89,7,0))</f>
        <v>0</v>
      </c>
      <c r="Y165" s="122" t="n">
        <f aca="false">IF(ISNA(VLOOKUP(A165,'Données projet'!$A$35:$I$55,7,0)),0%,VLOOKUP(A165,'Données projet'!$A$35:$I$55,7,0))</f>
        <v>0</v>
      </c>
      <c r="Z165" s="129" t="n">
        <f aca="false">EXP(-LN(2)/35)*Z164+(1-EXP(-LN(2)/35))/(LN(2)/35)*V165*W165*VLOOKUP('Données projet'!$B$9,Paramètres!$A$1:$I$89,3,0)*0.475*44/12</f>
        <v>0.66464441264202</v>
      </c>
      <c r="AA165" s="129" t="n">
        <f aca="false">EXP(-LN(2)/25)*AA164+(1-EXP(-LN(2)/25))/(LN(2)/25)*Calculateur!V165*Calculateur!X165*VLOOKUP('Données projet'!$B$9,Paramètres!$A$1:$I$89,3,0)*0.475*44/12</f>
        <v>0.287003973785629</v>
      </c>
      <c r="AB165" s="129" t="n">
        <f aca="false">EXP(-LN(2)/2)*AB164+(1-EXP(-LN(2)/2))/(LN(2)/2)*V165*Y165*VLOOKUP('Données projet'!$B$9,Paramètres!$A$1:$I$89,3,0)*0.475*44/12</f>
        <v>1.4966230083033E-019</v>
      </c>
      <c r="AC165" s="130" t="n">
        <f aca="false">SUM(Z165:AB165)</f>
        <v>0.951648386427649</v>
      </c>
      <c r="AD165" s="117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7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8" t="e">
        <f aca="false">VLOOKUP(A165,'Données projet'!$A$61:$I$81,2,0)</f>
        <v>#N/A</v>
      </c>
      <c r="AG165" s="118" t="e">
        <f aca="false">VLOOKUP(A165,'Données projet'!$A$61:$I$81,9,0)</f>
        <v>#N/A</v>
      </c>
      <c r="AH165" s="118" t="e">
        <f aca="false" t="array" ref="AH165:AH165">INDEX(AG:AG,MIN(IF(ISNUMBER(AG165:AG361),ROW(AG165:AG361),"")))</f>
        <v>#N/A</v>
      </c>
      <c r="AI165" s="117" t="n">
        <f aca="false">IF('Données projet'!$A$62&gt;35,AI164+AH165-AQ164,IF(A165&lt;'Données projet'!$A$62,$AF$205^A165,IF(A165='Données projet'!$A$62,'Données projet'!$B$62,AI164+AH165-AQ164)))</f>
        <v>1.13686837721616E-013</v>
      </c>
      <c r="AJ165" s="117" t="n">
        <f aca="false">AI165*VLOOKUP('Données projet'!$B$10,Paramètres!$A$1:$I$89,3,0)*VLOOKUP('Données projet'!$B$10,Paramètres!$A$1:$I$89,5,0)</f>
        <v>6.35509422863834E-014</v>
      </c>
      <c r="AK165" s="117" t="n">
        <f aca="false">EXP(-1.0587+0.8836*LN(AJ165)+0.284)</f>
        <v>1.0064464192544E-012</v>
      </c>
      <c r="AL165" s="128" t="n">
        <f aca="false">(AJ165+AK165)*0.475*44/12</f>
        <v>1.86357873801686E-012</v>
      </c>
      <c r="AM165" s="120" t="n">
        <f aca="false">AL165+(AD165+AE165)*44/12</f>
        <v>293.333333333335</v>
      </c>
      <c r="AN165" s="120" t="n">
        <f aca="true">AVERAGE(OFFSET($AM$3,0,0,'Données projet'!$E$10+1,1))-AVERAGE(OFFSET($H$3,0,0,'Données projet'!$E$10+1,1))</f>
        <v>365.705101827279</v>
      </c>
      <c r="AO165" s="120" t="n">
        <f aca="false">$AO$3</f>
        <v>436.238338449625</v>
      </c>
      <c r="AP165" s="121" t="n">
        <f aca="false">IF(ISNA(VLOOKUP(A165,'Données projet'!$A$61:$I$81,3,0)),0,VLOOKUP(A165,'Données projet'!$A$61:$I$81,3,0))</f>
        <v>0</v>
      </c>
      <c r="AQ165" s="121" t="n">
        <f aca="false">IF(ISNA(VLOOKUP(A165,'Données projet'!$A$61:$I$81,4,0)),0,VLOOKUP(A165,'Données projet'!$A$61:$I$81,4,0))</f>
        <v>0</v>
      </c>
      <c r="AR165" s="122" t="n">
        <f aca="false">IF(ISNA(VLOOKUP(A165,'Données projet'!$A$61:$I$81,5,0)),0%,VLOOKUP(A165,'Données projet'!$A$61:$I$81,5,0)*VLOOKUP('Données projet'!$B$10,Paramètres!$A$1:$I$89,7,0))</f>
        <v>0</v>
      </c>
      <c r="AS165" s="122" t="n">
        <f aca="false">IF(ISNA(VLOOKUP(A165,'Données projet'!$A$61:$I$81,6,0)),0%,VLOOKUP(A165,'Données projet'!$A$61:$I$81,6,0)*VLOOKUP('Données projet'!$B$10,Paramètres!$A$1:$I$89,7,0))</f>
        <v>0</v>
      </c>
      <c r="AT165" s="122" t="n">
        <f aca="false">IF(ISNA(VLOOKUP(A165,'Données projet'!$A$61:$I$81,7,0)),0%,VLOOKUP(A165,'Données projet'!$A$61:$I$81,7,0))</f>
        <v>0</v>
      </c>
      <c r="AU165" s="129" t="n">
        <f aca="false">EXP(-LN(2)/35)*AU164+(1-EXP(-LN(2)/35))/(LN(2)/35)*AQ165*AR165*VLOOKUP('Données projet'!$B$10,Paramètres!$A$1:$I$89,3,0)*0.475*44/12</f>
        <v>0.250881717063581</v>
      </c>
      <c r="AV165" s="129" t="n">
        <f aca="false">EXP(-LN(2)/25)*AV164+(1-EXP(-LN(2)/25))/(LN(2)/25)*Calculateur!AQ165*Calculateur!AS165*VLOOKUP('Données projet'!$B$10,Paramètres!$A$1:$I$89,3,0)*0.475*44/12</f>
        <v>0.339940688679541</v>
      </c>
      <c r="AW165" s="129" t="n">
        <f aca="false">EXP(-LN(2)/2)*AW164+(1-EXP(-LN(2)/2))/(LN(2)/2)*AQ165*AT165*VLOOKUP('Données projet'!$B$10,Paramètres!$A$1:$I$89,3,0)*0.475*44/12</f>
        <v>8.0543572647949E-020</v>
      </c>
      <c r="AX165" s="129" t="n">
        <f aca="false">SUM(AU165:AW165)</f>
        <v>0.590822405743122</v>
      </c>
      <c r="AY165" s="124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8" t="e">
        <f aca="false">VLOOKUP(A165,'Données projet'!$A$87:$I$107,2,0)</f>
        <v>#N/A</v>
      </c>
      <c r="BB165" s="118" t="e">
        <f aca="false">VLOOKUP(A165,'Données projet'!$A$87:$I$107,9,0)</f>
        <v>#N/A</v>
      </c>
      <c r="BC165" s="118" t="e">
        <f aca="false" t="array" ref="BC165:BC165">INDEX(BB:BB,MIN(IF(ISNUMBER(BB165:BB361),ROW(BB165:BB361),"")))</f>
        <v>#N/A</v>
      </c>
      <c r="BD165" s="118" t="n">
        <f aca="false">IF('Données projet'!$A$88&gt;35,BD164+BC165-BL164,IF(A165&lt;'Données projet'!$A$88,$BA$205^A165,IF(A165='Données projet'!$A$88,'Données projet'!$B$88,BD164+BC165-BL164)))</f>
        <v>1.98951966012828E-013</v>
      </c>
      <c r="BE165" s="117" t="n">
        <f aca="false">BD165*VLOOKUP('Données projet'!$B$11,Paramètres!$A$1:$I$89,3,0)*VLOOKUP('Données projet'!$B$11,Paramètres!$A$1:$I$89,5,0)</f>
        <v>1.73804437508807E-013</v>
      </c>
      <c r="BF165" s="117" t="n">
        <f aca="false">EXP(-1.0587+0.8836*LN(BE165)+0.284)</f>
        <v>2.44832936339505E-012</v>
      </c>
      <c r="BG165" s="128" t="n">
        <f aca="false">(BE165+BF165)*0.475*44/12</f>
        <v>4.56688303657421E-012</v>
      </c>
      <c r="BH165" s="120" t="n">
        <f aca="false">BG165+(AY165+AZ165)*44/12</f>
        <v>293.333333333338</v>
      </c>
      <c r="BI165" s="120" t="n">
        <f aca="true">AVERAGE(OFFSET($BH$3,0,0,'Données projet'!$E$11+1,1))-AVERAGE(OFFSET($H$3,0,0,'Données projet'!$E$11+1,1))</f>
        <v>321.235999689929</v>
      </c>
      <c r="BJ165" s="120" t="n">
        <f aca="false">$BJ$3</f>
        <v>388.051958478005</v>
      </c>
      <c r="BK165" s="121" t="n">
        <f aca="false">IF(ISNA(VLOOKUP(A165,'Données projet'!$A$87:$I$107,3,0)),0,VLOOKUP(A165,'Données projet'!$A$87:$I$107,3,0))</f>
        <v>0</v>
      </c>
      <c r="BL165" s="121" t="n">
        <f aca="false">IF(ISNA(VLOOKUP(A165,'Données projet'!$A$87:$I$107,4,0)),0,VLOOKUP(A165,'Données projet'!$A$87:$I$107,4,0))</f>
        <v>0</v>
      </c>
      <c r="BM165" s="122" t="n">
        <f aca="false">IF(ISNA(VLOOKUP(A165,'Données projet'!$A$87:$I$107,5,0)),0%,VLOOKUP(A165,'Données projet'!$A$87:$I$107,5,0)*VLOOKUP('Données projet'!$B$11,Paramètres!$A$1:$I$89,7,0))</f>
        <v>0</v>
      </c>
      <c r="BN165" s="122" t="n">
        <f aca="false">IF(ISNA(VLOOKUP(A165,'Données projet'!$A$87:$I$107,6,0)),0%,VLOOKUP(A165,'Données projet'!$A$87:$I$107,6,0)*VLOOKUP('Données projet'!$B$11,Paramètres!$A$1:$I$89,7,0))</f>
        <v>0</v>
      </c>
      <c r="BO165" s="122" t="n">
        <f aca="false">IF(ISNA(VLOOKUP(A165,'Données projet'!$A$87:$I$107,7,0)),0%,VLOOKUP(A165,'Données projet'!$A$87:$I$107,7,0))</f>
        <v>0</v>
      </c>
      <c r="BP165" s="129" t="n">
        <f aca="false">EXP(-LN(2)/35)*BP164+(1-EXP(-LN(2)/35))/(LN(2)/35)*BL165*BM165*VLOOKUP('Données projet'!$B$11,Paramètres!$A$1:$I$89,3,0)*0.475*44/12</f>
        <v>0.629868995673902</v>
      </c>
      <c r="BQ165" s="129" t="n">
        <f aca="false">EXP(-LN(2)/25)*BQ164+(1-EXP(-LN(2)/25))/(LN(2)/25)*Calculateur!BL165*Calculateur!BN165*VLOOKUP('Données projet'!$B$11,Paramètres!$A$1:$I$89,3,0)*0.475*44/12</f>
        <v>0.346991263775533</v>
      </c>
      <c r="BR165" s="129" t="n">
        <f aca="false">EXP(-LN(2)/2)*BR164+(1-EXP(-LN(2)/2))/(LN(2)/2)*BL165*BO165*VLOOKUP('Données projet'!$B$11,Paramètres!$A$1:$I$89,3,0)*0.475*44/12</f>
        <v>8.18708674706506E-020</v>
      </c>
      <c r="BS165" s="130" t="n">
        <f aca="false">SUM(BP165:BR165)</f>
        <v>0.976860259449435</v>
      </c>
      <c r="BT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8" t="e">
        <f aca="false">VLOOKUP(A165,'Données projet'!$A$113:$I$133,2,0)</f>
        <v>#N/A</v>
      </c>
      <c r="BW165" s="118" t="e">
        <f aca="false">VLOOKUP(A165,'Données projet'!$A$113:$I$133,9,0)</f>
        <v>#N/A</v>
      </c>
      <c r="BX165" s="118" t="e">
        <f aca="false" t="array" ref="BX165:BX165">INDEX(BW:BW,MIN(IF(ISNUMBER(BW165:BW361),ROW(BW165:BW361),"")))</f>
        <v>#N/A</v>
      </c>
      <c r="BY165" s="118" t="n">
        <f aca="false">IF('Données projet'!$A$114&gt;35,BY164+BX165-CG164,IF(A165&lt;'Données projet'!$A$114,$BV$205^A165,IF(A165='Données projet'!$A$114,'Données projet'!$B$114,BY164+BX165-CG164)))</f>
        <v>0</v>
      </c>
      <c r="BZ165" s="117" t="n">
        <f aca="false">BY165*VLOOKUP('Données projet'!$B$12,Paramètres!$A$1:$I$89,3,0)*VLOOKUP('Données projet'!$B$12,Paramètres!$A$1:$I$89,5,0)</f>
        <v>0</v>
      </c>
      <c r="CA165" s="117" t="e">
        <f aca="false">EXP(-1.0587+0.8836*LN(BZ165)+0.284)</f>
        <v>#VALUE!</v>
      </c>
      <c r="CB165" s="128" t="e">
        <f aca="false">(BZ165+CA165)*0.475*44/12</f>
        <v>#VALUE!</v>
      </c>
      <c r="CC165" s="120" t="e">
        <f aca="false">CB165+(BT165+BU165)*44/12</f>
        <v>#VALUE!</v>
      </c>
      <c r="CD165" s="120" t="n">
        <f aca="true">AVERAGE(OFFSET($CC$3,0,0,'Données projet'!$E$12+1,1))-AVERAGE(OFFSET($H$3,0,0,'Données projet'!$E$12+1,1))</f>
        <v>240.228848647662</v>
      </c>
      <c r="CE165" s="120" t="n">
        <f aca="false">$CE$3</f>
        <v>343.237768841432</v>
      </c>
      <c r="CF165" s="121" t="n">
        <f aca="false">IF(ISNA(VLOOKUP(A165,'Données projet'!$A$113:$I$133,3,0)),0,VLOOKUP(A165,'Données projet'!$A$113:$I$133,3,0))</f>
        <v>0</v>
      </c>
      <c r="CG165" s="121" t="n">
        <f aca="false">IF(ISNA(VLOOKUP(A165,'Données projet'!$A$113:$I$133,4,0)),0,VLOOKUP(A165,'Données projet'!$A$113:$I$133,4,0))</f>
        <v>0</v>
      </c>
      <c r="CH165" s="122" t="n">
        <f aca="false">IF(ISNA(VLOOKUP(A165,'Données projet'!$A$113:$I$133,5,0)),0%,VLOOKUP(A165,'Données projet'!$A$113:$I$133,5,0)*VLOOKUP('Données projet'!$B$12,Paramètres!$A$1:$I$89,7,0))</f>
        <v>0</v>
      </c>
      <c r="CI165" s="122" t="n">
        <f aca="false">IF(ISNA(VLOOKUP(A165,'Données projet'!$A$113:$I$133,6,0)),0%,VLOOKUP(A165,'Données projet'!$A$113:$I$133,6,0)*VLOOKUP('Données projet'!$B$12,Paramètres!$A$1:$I$89,7,0))</f>
        <v>0</v>
      </c>
      <c r="CJ165" s="122" t="n">
        <f aca="false">IF(ISNA(VLOOKUP(A165,'Données projet'!$A$113:$I$133,7,0)),0%,VLOOKUP(A165,'Données projet'!$A$113:$I$133,7,0))</f>
        <v>0</v>
      </c>
      <c r="CK165" s="129" t="n">
        <f aca="false">EXP(-LN(2)/35)*CK164+(1-EXP(-LN(2)/35))/(LN(2)/35)*CG165*CH165*VLOOKUP('Données projet'!$B$12,Paramètres!$A$1:$I$89,3,0)*0.475*44/12</f>
        <v>0.385528896532618</v>
      </c>
      <c r="CL165" s="129" t="n">
        <f aca="false">EXP(-LN(2)/25)*CL164+(1-EXP(-LN(2)/25))/(LN(2)/25)*Calculateur!CG165*Calculateur!CI165*VLOOKUP('Données projet'!$B$12,Paramètres!$A$1:$I$89,3,0)*0.475*44/12</f>
        <v>0.612806659112529</v>
      </c>
      <c r="CM165" s="129" t="n">
        <f aca="false">EXP(-LN(2)/2)*CM164+(1-EXP(-LN(2)/2))/(LN(2)/2)*CG165*CJ165*VLOOKUP('Données projet'!$B$12,Paramètres!$A$1:$I$89,3,0)*0.475*44/12</f>
        <v>1.30644077722401E-019</v>
      </c>
      <c r="CN165" s="130" t="n">
        <f aca="false">SUM(CK165:CM165)</f>
        <v>0.998335555645147</v>
      </c>
      <c r="CO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8" t="e">
        <f aca="false">VLOOKUP(A165,'Données projet'!$A$139:$I$159,2,0)</f>
        <v>#N/A</v>
      </c>
      <c r="CR165" s="118" t="e">
        <f aca="false">VLOOKUP(A165,'Données projet'!$A$139:$I$159,9,0)</f>
        <v>#N/A</v>
      </c>
      <c r="CS165" s="118" t="e">
        <f aca="false" t="array" ref="CS165:CS165">INDEX(CR:CR,MIN(IF(ISNUMBER(CR165:CR361),ROW(CR165:CR361),"")))</f>
        <v>#N/A</v>
      </c>
      <c r="CT165" s="118" t="n">
        <f aca="false">IF('Données projet'!$A$140&gt;35,CT164+CS165-DB164,IF(A165&lt;'Données projet'!$A$140,$CQ$205^A165,IF(A165='Données projet'!$A$140,'Données projet'!$B$140,CT164+CS165-DB164)))</f>
        <v>-5.6843418860808E-014</v>
      </c>
      <c r="CU165" s="125" t="n">
        <f aca="false">CT165*VLOOKUP('Données projet'!$B$13,Paramètres!$A$1:$I$89,3,0)*VLOOKUP('Données projet'!$B$13,Paramètres!$A$1:$I$89,5,0)</f>
        <v>-3.10365066980012E-014</v>
      </c>
      <c r="CV165" s="117" t="e">
        <f aca="false">EXP(-1.0587+0.8836*LN(CU165)+0.284)</f>
        <v>#VALUE!</v>
      </c>
      <c r="CW165" s="128" t="e">
        <f aca="false">(CU165+CV165)*0.475*44/12</f>
        <v>#VALUE!</v>
      </c>
      <c r="CX165" s="120" t="e">
        <f aca="false">CW165+(CO165+CP165)*44/12</f>
        <v>#VALUE!</v>
      </c>
      <c r="CY165" s="120" t="n">
        <f aca="true">AVERAGE(OFFSET($CX$3,0,0,'Données projet'!$E$13+1,1))-AVERAGE(OFFSET($H$3,0,0,'Données projet'!$E$13+1,1))</f>
        <v>207.023069645676</v>
      </c>
      <c r="CZ165" s="120" t="n">
        <f aca="false">$CZ$3</f>
        <v>342.068879333518</v>
      </c>
      <c r="DA165" s="121" t="n">
        <f aca="false">IF(ISNA(VLOOKUP(A165,'Données projet'!$A$139:$I$159,3,0)),0,VLOOKUP(A165,'Données projet'!$A$139:$I$159,3,0))</f>
        <v>0</v>
      </c>
      <c r="DB165" s="121" t="n">
        <f aca="false">IF(ISNA(VLOOKUP(A165,'Données projet'!$A$139:$I$159,4,0)),0,VLOOKUP(A165,'Données projet'!$A$139:$I$159,4,0))</f>
        <v>0</v>
      </c>
      <c r="DC165" s="122" t="n">
        <f aca="false">IF(ISNA(VLOOKUP(A165,'Données projet'!$A$139:$I$159,5,0)),0%,VLOOKUP(A165,'Données projet'!$A$139:$I$159,5,0)*VLOOKUP('Données projet'!$B$13,Paramètres!$A$1:$I$89,7,0))</f>
        <v>0</v>
      </c>
      <c r="DD165" s="122" t="n">
        <f aca="false">IF(ISNA(VLOOKUP(A165,'Données projet'!$A$139:$I$159,6,0)),0%,VLOOKUP(A165,'Données projet'!$A$139:$I$159,6,0)*VLOOKUP('Données projet'!$B$13,Paramètres!$A$1:$I$89,7,0))</f>
        <v>0</v>
      </c>
      <c r="DE165" s="122" t="n">
        <f aca="false">IF(ISNA(VLOOKUP(A165,'Données projet'!$A$139:$I$159,7,0)),0%,VLOOKUP(A165,'Données projet'!$A$139:$I$159,7,0))</f>
        <v>0</v>
      </c>
      <c r="DF165" s="129" t="n">
        <f aca="false">EXP(-LN(2)/35)*DF164+(1-EXP(-LN(2)/35))/(LN(2)/35)*DB165*DC165*VLOOKUP('Données projet'!$B$13,Paramètres!$A$1:$I$89,3,0)*0.475*44/12</f>
        <v>0.483729653196586</v>
      </c>
      <c r="DG165" s="129" t="n">
        <f aca="false">EXP(-LN(2)/25)*DG164+(1-EXP(-LN(2)/25))/(LN(2)/25)*Calculateur!DB165*Calculateur!DD165*VLOOKUP('Données projet'!$B$13,Paramètres!$A$1:$I$89,3,0)*0.475*44/12</f>
        <v>1.00168366052265</v>
      </c>
      <c r="DH165" s="129" t="n">
        <f aca="false">EXP(-LN(2)/2)*DH164+(1-EXP(-LN(2)/2))/(LN(2)/2)*DB165*DE165*VLOOKUP('Données projet'!$B$13,Paramètres!$A$1:$I$89,3,0)*0.475*44/12</f>
        <v>1.79896955593631E-019</v>
      </c>
      <c r="DI165" s="130" t="n">
        <f aca="false">SUM(DF165:DH165)</f>
        <v>1.48541331371923</v>
      </c>
      <c r="DJ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8" t="e">
        <f aca="false">VLOOKUP(A165,'Données projet'!$A$165:$I$185,2,0)</f>
        <v>#N/A</v>
      </c>
      <c r="DM165" s="118" t="e">
        <f aca="false">VLOOKUP(A165,'Données projet'!$A$165:$I$185,9,0)</f>
        <v>#N/A</v>
      </c>
      <c r="DN165" s="118" t="e">
        <f aca="false" t="array" ref="DN165:DN165">INDEX(DM:DM,MIN(IF(ISNUMBER(DM165:DM361),ROW(DM165:DM361),"")))</f>
        <v>#N/A</v>
      </c>
      <c r="DO165" s="118" t="n">
        <f aca="false">IF('Données projet'!$A$166&gt;35,DO164+DN165-DW164,IF(A165&lt;'Données projet'!$A$166,$DL$205^A165,IF(A165='Données projet'!$A$166,'Données projet'!$B$166,DO164+DN165-DW164)))</f>
        <v>0</v>
      </c>
      <c r="DP165" s="125" t="n">
        <f aca="false">DO165*VLOOKUP('Données projet'!$B$14,Paramètres!$A$1:$I$89,3,0)*VLOOKUP('Données projet'!$B$14,Paramètres!$A$1:$I$89,5,0)</f>
        <v>0</v>
      </c>
      <c r="DQ165" s="117" t="e">
        <f aca="false">EXP(-1.0587+0.8836*LN(DP165)+0.284)</f>
        <v>#VALUE!</v>
      </c>
      <c r="DR165" s="128" t="e">
        <f aca="false">(DP165+DQ165)*0.475*44/12</f>
        <v>#VALUE!</v>
      </c>
      <c r="DS165" s="120" t="e">
        <f aca="false">DR165+(DJ165+DK165)*44/12</f>
        <v>#VALUE!</v>
      </c>
      <c r="DT165" s="120" t="n">
        <f aca="true">AVERAGE(OFFSET($DS$3,0,0,'Données projet'!$E$14+1,1))-AVERAGE(OFFSET($H$3,0,0,'Données projet'!$E$14+1,1))</f>
        <v>549.432320957297</v>
      </c>
      <c r="DU165" s="120" t="n">
        <f aca="false">$DU$3</f>
        <v>280.26155987301</v>
      </c>
      <c r="DV165" s="121" t="n">
        <f aca="false">IF(ISNA(VLOOKUP(A165,'Données projet'!$A$165:$I$185,3,0)),0,VLOOKUP(A165,'Données projet'!$A$165:$I$185,3,0))</f>
        <v>0</v>
      </c>
      <c r="DW165" s="121" t="n">
        <f aca="false">IF(ISNA(VLOOKUP(A165,'Données projet'!$A$165:$I$185,4,0)),0,VLOOKUP(A165,'Données projet'!$A$165:$I$185,4,0))</f>
        <v>0</v>
      </c>
      <c r="DX165" s="122" t="n">
        <f aca="false">IF(ISNA(VLOOKUP(A165,'Données projet'!$A$165:$I$185,5,0)),0%,VLOOKUP(A165,'Données projet'!$A$165:$I$185,5,0)*VLOOKUP('Données projet'!$B$14,Paramètres!$A$1:$I$89,7,0))</f>
        <v>0</v>
      </c>
      <c r="DY165" s="122" t="n">
        <f aca="false">IF(ISNA(VLOOKUP(A165,'Données projet'!$A$165:$I$185,6,0)),0%,VLOOKUP(A165,'Données projet'!$A$165:$I$185,6,0)*VLOOKUP('Données projet'!$B$14,Paramètres!$A$1:$I$89,7,0))</f>
        <v>0</v>
      </c>
      <c r="DZ165" s="122" t="n">
        <f aca="false">IF(ISNA(VLOOKUP(A165,'Données projet'!$A$165:$I$185,7,0)),0%,VLOOKUP(A165,'Données projet'!$A$165:$I$185,7,0))</f>
        <v>0</v>
      </c>
      <c r="EA165" s="129" t="n">
        <f aca="false">EXP(-LN(2)/35)*EA164+(1-EXP(-LN(2)/35))/(LN(2)/35)*DW165*DX165*VLOOKUP('Données projet'!$B$14,Paramètres!$A$1:$I$89,3,0)*0.475*44/12</f>
        <v>0.175883562522519</v>
      </c>
      <c r="EB165" s="129" t="n">
        <f aca="false">EXP(-LN(2)/25)*EB164+(1-EXP(-LN(2)/25))/(LN(2)/25)*Calculateur!DW165*Calculateur!DY165*VLOOKUP('Données projet'!$B$14,Paramètres!$A$1:$I$89,3,0)*0.475*44/12</f>
        <v>0.199555148047375</v>
      </c>
      <c r="EC165" s="129" t="n">
        <f aca="false">EXP(-LN(2)/2)*EC164+(1-EXP(-LN(2)/2))/(LN(2)/2)*DW165*DZ165*VLOOKUP('Données projet'!$B$14,Paramètres!$A$1:$I$89,3,0)*0.475*44/12</f>
        <v>8.29287882743548E-020</v>
      </c>
      <c r="ED165" s="130" t="n">
        <f aca="false">SUM(EA165:EC165)</f>
        <v>0.375438710569895</v>
      </c>
      <c r="EE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8" t="e">
        <f aca="false">VLOOKUP(A165,'Données projet'!$A$191:$I$211,2,0)</f>
        <v>#N/A</v>
      </c>
      <c r="EH165" s="118" t="e">
        <f aca="false">VLOOKUP(A165,'Données projet'!$A$191:$I$211,9,0)</f>
        <v>#N/A</v>
      </c>
      <c r="EI165" s="118" t="e">
        <f aca="false" t="array" ref="EI165:EI165">INDEX(EH:EH,MIN(IF(ISNUMBER(EH165:EH361),ROW(EH165:EH361),"")))</f>
        <v>#N/A</v>
      </c>
      <c r="EJ165" s="118" t="n">
        <f aca="false">IF('Données projet'!$A$192&gt;35,EJ164+EI165-ER164,IF(A165&lt;'Données projet'!$A$192,$EG$205^A165,IF(A165='Données projet'!$A$192,'Données projet'!$B$192,EJ164+EI165-ER164)))</f>
        <v>0</v>
      </c>
      <c r="EK165" s="125" t="e">
        <f aca="false">EJ165*VLOOKUP('Données projet'!$B$15,Paramètres!$A$1:$I$89,3,0)*VLOOKUP('Données projet'!$B$15,Paramètres!$A$1:$I$89,5,0)</f>
        <v>#N/A</v>
      </c>
      <c r="EL165" s="117" t="e">
        <f aca="false">EXP(-1.0587+0.8836*LN(EK165)+0.284)</f>
        <v>#N/A</v>
      </c>
      <c r="EM165" s="128" t="e">
        <f aca="false">(EK165+EL165)*0.475*44/12</f>
        <v>#N/A</v>
      </c>
      <c r="EN165" s="120" t="e">
        <f aca="false">EM165+(EE165+EF165)*44/12</f>
        <v>#N/A</v>
      </c>
      <c r="EO165" s="120" t="e">
        <f aca="true">AVERAGE(OFFSET($EN$3,0,0,'Données projet'!$E$15+1,1))-AVERAGE(OFFSET($H$3,0,0,'Données projet'!$E$15+1,1))</f>
        <v>#N/A</v>
      </c>
      <c r="EP165" s="120" t="e">
        <f aca="false">$EP$3</f>
        <v>#N/A</v>
      </c>
      <c r="EQ165" s="121" t="n">
        <f aca="false">IF(ISNA(VLOOKUP(A165,'Données projet'!$A$191:$I$211,3,0)),0,VLOOKUP(A165,'Données projet'!$A$191:$I$211,3,0))</f>
        <v>0</v>
      </c>
      <c r="ER165" s="121" t="n">
        <f aca="false">IF(ISNA(VLOOKUP(A165,'Données projet'!$A$191:$I$211,4,0)),0,VLOOKUP(A165,'Données projet'!$A$191:$I$211,4,0))</f>
        <v>0</v>
      </c>
      <c r="ES165" s="122" t="n">
        <f aca="false">IF(ISNA(VLOOKUP(A165,'Données projet'!$A$191:$I$211,5,0)),0%,VLOOKUP(A165,'Données projet'!$A$191:$I$211,5,0)*VLOOKUP('Données projet'!$B$15,Paramètres!$A$1:$I$89,7,0))</f>
        <v>0</v>
      </c>
      <c r="ET165" s="122" t="n">
        <f aca="false">IF(ISNA(VLOOKUP(A165,'Données projet'!$A$191:$I$211,6,0)),0%,VLOOKUP(A165,'Données projet'!$A$191:$I$211,6,0)*VLOOKUP('Données projet'!$B$15,Paramètres!$A$1:$I$89,7,0))</f>
        <v>0</v>
      </c>
      <c r="EU165" s="122" t="n">
        <f aca="false">IF(ISNA(VLOOKUP(A165,'Données projet'!$A$191:$I$211,7,0)),0%,VLOOKUP(A165,'Données projet'!$A$191:$I$211,7,0))</f>
        <v>0</v>
      </c>
      <c r="EV165" s="129" t="e">
        <f aca="false">EXP(-LN(2)/35)*EV164+(1-EXP(-LN(2)/35))/(LN(2)/35)*ER165*ES165*VLOOKUP('Données projet'!$B$15,Paramètres!$A$1:$I$89,3,0)*0.475*44/12</f>
        <v>#N/A</v>
      </c>
      <c r="EW165" s="129" t="e">
        <f aca="false">EXP(-LN(2)/25)*EW164+(1-EXP(-LN(2)/25))/(LN(2)/25)*Calculateur!ER165*Calculateur!ET165*VLOOKUP('Données projet'!$B$15,Paramètres!$A$1:$I$89,3,0)*0.475*44/12</f>
        <v>#N/A</v>
      </c>
      <c r="EX165" s="129" t="e">
        <f aca="false">EXP(-LN(2)/2)*EX164+(1-EXP(-LN(2)/2))/(LN(2)/2)*ER165*EU165*VLOOKUP('Données projet'!$B$15,Paramètres!$A$1:$I$89,3,0)*0.475*44/12</f>
        <v>#N/A</v>
      </c>
      <c r="EY165" s="130" t="e">
        <f aca="false">SUM(EV165:EX165)</f>
        <v>#N/A</v>
      </c>
      <c r="EZ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8" t="e">
        <f aca="false">VLOOKUP(A165,'Données projet'!$A$217:$I$237,2,0)</f>
        <v>#N/A</v>
      </c>
      <c r="FC165" s="118" t="e">
        <f aca="false">VLOOKUP(A165,'Données projet'!$A$217:$I$237,9,0)</f>
        <v>#N/A</v>
      </c>
      <c r="FD165" s="118" t="e">
        <f aca="false" t="array" ref="FD165:FD165">INDEX(FC:FC,MIN(IF(ISNUMBER(FC165:FC361),ROW(FC165:FC361),"")))</f>
        <v>#N/A</v>
      </c>
      <c r="FE165" s="118" t="n">
        <f aca="false">IF('Données projet'!$A$218&gt;35,FE164+FD165-FM164,IF(A165&lt;'Données projet'!$A$218,$FB$205^A165,IF(A165='Données projet'!$A$218,'Données projet'!$B$218,FE164+FD165-FM164)))</f>
        <v>0</v>
      </c>
      <c r="FF165" s="125" t="e">
        <f aca="false">FE165*VLOOKUP('Données projet'!$B$16,Paramètres!$A$1:$I$89,3,0)*VLOOKUP('Données projet'!$B$16,Paramètres!$A$1:$I$89,5,0)</f>
        <v>#N/A</v>
      </c>
      <c r="FG165" s="117" t="e">
        <f aca="false">EXP(-1.0587+0.8836*LN(FF165)+0.284)</f>
        <v>#N/A</v>
      </c>
      <c r="FH165" s="128" t="e">
        <f aca="false">(FF165+FG165)*0.475*44/12</f>
        <v>#N/A</v>
      </c>
      <c r="FI165" s="120" t="e">
        <f aca="false">FH165+(EZ165+FA165)*44/12</f>
        <v>#N/A</v>
      </c>
      <c r="FJ165" s="120" t="e">
        <f aca="true">AVERAGE(OFFSET($FI$3,0,0,'Données projet'!$E$16+1,1))-AVERAGE(OFFSET($H$3,0,0,'Données projet'!$E$16+1,1))</f>
        <v>#N/A</v>
      </c>
      <c r="FK165" s="120" t="e">
        <f aca="false">$FK$3</f>
        <v>#N/A</v>
      </c>
      <c r="FL165" s="121" t="n">
        <f aca="false">IF(ISNA(VLOOKUP(A165,'Données projet'!$A$217:$I$237,3,0)),0,VLOOKUP(A165,'Données projet'!$A$217:$I$237,3,0))</f>
        <v>0</v>
      </c>
      <c r="FM165" s="121" t="n">
        <f aca="false">IF(ISNA(VLOOKUP(A165,'Données projet'!$A$217:$I$237,4,0)),0,VLOOKUP(A165,'Données projet'!$A$217:$I$237,4,0))</f>
        <v>0</v>
      </c>
      <c r="FN165" s="122" t="n">
        <f aca="false">IF(ISNA(VLOOKUP(A165,'Données projet'!$A$217:$I$237,5,0)),0%,VLOOKUP(A165,'Données projet'!$A$217:$I$237,5,0)*VLOOKUP('Données projet'!$B$16,Paramètres!$A$1:$I$89,7,0))</f>
        <v>0</v>
      </c>
      <c r="FO165" s="122" t="n">
        <f aca="false">IF(ISNA(VLOOKUP(A165,'Données projet'!$A$217:$I$237,6,0)),0%,VLOOKUP(A165,'Données projet'!$A$217:$I$237,6,0)*VLOOKUP('Données projet'!$B$16,Paramètres!$A$1:$I$89,7,0))</f>
        <v>0</v>
      </c>
      <c r="FP165" s="122" t="n">
        <f aca="false">IF(ISNA(VLOOKUP(A165,'Données projet'!$A$217:$I$237,7,0)),0%,VLOOKUP(A165,'Données projet'!$A$217:$I$237,7,0))</f>
        <v>0</v>
      </c>
      <c r="FQ165" s="129" t="e">
        <f aca="false">EXP(-LN(2)/35)*FQ164+(1-EXP(-LN(2)/35))/(LN(2)/35)*FM165*FN165*VLOOKUP('Données projet'!$B$16,Paramètres!$A$1:$I$89,3,0)*0.475*44/12</f>
        <v>#N/A</v>
      </c>
      <c r="FR165" s="129" t="e">
        <f aca="false">EXP(-LN(2)/25)*FR164+(1-EXP(-LN(2)/25))/(LN(2)/25)*Calculateur!FM165*Calculateur!FO165*VLOOKUP('Données projet'!$B$16,Paramètres!$A$1:$I$89,3,0)*0.475*44/12</f>
        <v>#N/A</v>
      </c>
      <c r="FS165" s="129" t="e">
        <f aca="false">EXP(-LN(2)/2)*FS164+(1-EXP(-LN(2)/2))/(LN(2)/2)*FM165*FP165*VLOOKUP('Données projet'!$B$16,Paramètres!$A$1:$I$89,3,0)*0.475*44/12</f>
        <v>#N/A</v>
      </c>
      <c r="FT165" s="130" t="e">
        <f aca="false">SUM(FQ165:FS165)</f>
        <v>#N/A</v>
      </c>
      <c r="FU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8" t="e">
        <f aca="false">VLOOKUP(A165,'Données projet'!$A$243:$I$263,2,0)</f>
        <v>#N/A</v>
      </c>
      <c r="FX165" s="118" t="e">
        <f aca="false">VLOOKUP(A165,'Données projet'!$A$243:$I$263,9,0)</f>
        <v>#N/A</v>
      </c>
      <c r="FY165" s="118" t="e">
        <f aca="false" t="array" ref="FY165:FY165">INDEX(FX:FX,MIN(IF(ISNUMBER(FX165:FX361),ROW(FX165:FX361),"")))</f>
        <v>#N/A</v>
      </c>
      <c r="FZ165" s="118" t="n">
        <f aca="false">IF('Données projet'!$A$244&gt;35,FZ164+FY165-GH164,IF(A165&lt;'Données projet'!$A$244,$FW$205^A165,IF(A165='Données projet'!$A$244,'Données projet'!$B$244,FZ164+FY165-GH164)))</f>
        <v>0</v>
      </c>
      <c r="GA165" s="125" t="e">
        <f aca="false">FZ165*VLOOKUP('Données projet'!$B$17,Paramètres!$A$1:$I$89,3,0)*VLOOKUP('Données projet'!$B$17,Paramètres!$A$1:$I$89,5,0)</f>
        <v>#N/A</v>
      </c>
      <c r="GB165" s="117" t="e">
        <f aca="false">EXP(-1.0587+0.8836*LN(GA165)+0.284)</f>
        <v>#N/A</v>
      </c>
      <c r="GC165" s="128" t="e">
        <f aca="false">(GA165+GB165)*0.475*44/12</f>
        <v>#N/A</v>
      </c>
      <c r="GD165" s="120" t="e">
        <f aca="false">GC165+(FU165+FV165)*44/12</f>
        <v>#N/A</v>
      </c>
      <c r="GE165" s="120" t="e">
        <f aca="true">AVERAGE(OFFSET($GD$3,0,0,'Données projet'!$E$17+1,1))-AVERAGE(OFFSET($H$3,0,0,'Données projet'!$E$17+1,1))</f>
        <v>#N/A</v>
      </c>
      <c r="GF165" s="120" t="e">
        <f aca="false">$GF$3</f>
        <v>#N/A</v>
      </c>
      <c r="GG165" s="121" t="n">
        <f aca="false">IF(ISNA(VLOOKUP(A165,'Données projet'!$A$243:$I$263,3,0)),0,VLOOKUP(A165,'Données projet'!$A$243:$I$263,3,0))</f>
        <v>0</v>
      </c>
      <c r="GH165" s="121" t="n">
        <f aca="false">IF(ISNA(VLOOKUP(A165,'Données projet'!$A$243:$I$263,4,0)),0,VLOOKUP(A165,'Données projet'!$A$243:$I$263,4,0))</f>
        <v>0</v>
      </c>
      <c r="GI165" s="122" t="n">
        <f aca="false">IF(ISNA(VLOOKUP(A165,'Données projet'!$A$243:$I$263,5,0)),0%,VLOOKUP(A165,'Données projet'!$A$243:$I$263,5,0)*VLOOKUP('Données projet'!$B$17,Paramètres!$A$1:$I$89,7,0))</f>
        <v>0</v>
      </c>
      <c r="GJ165" s="122" t="n">
        <f aca="false">IF(ISNA(VLOOKUP(A165,'Données projet'!$A$243:$I$263,6,0)),0%,VLOOKUP(A165,'Données projet'!$A$243:$I$263,6,0)*VLOOKUP('Données projet'!$B$17,Paramètres!$A$1:$I$89,7,0))</f>
        <v>0</v>
      </c>
      <c r="GK165" s="122" t="n">
        <f aca="false">IF(ISNA(VLOOKUP(A165,'Données projet'!$A$243:$I$263,7,0)),0%,VLOOKUP(A165,'Données projet'!$A$243:$I$263,7,0))</f>
        <v>0</v>
      </c>
      <c r="GL165" s="129" t="e">
        <f aca="false">EXP(-LN(2)/35)*GL164+(1-EXP(-LN(2)/35))/(LN(2)/35)*GH165*GI165*VLOOKUP('Données projet'!$B$17,Paramètres!$A$1:$I$89,3,0)*0.475*44/12</f>
        <v>#N/A</v>
      </c>
      <c r="GM165" s="129" t="e">
        <f aca="false">EXP(-LN(2)/25)*GM164+(1-EXP(-LN(2)/25))/(LN(2)/25)*Calculateur!GH165*Calculateur!GJ165*VLOOKUP('Données projet'!$B$17,Paramètres!$A$1:$I$89,3,0)*0.475*44/12</f>
        <v>#N/A</v>
      </c>
      <c r="GN165" s="129" t="e">
        <f aca="false">EXP(-LN(2)/2)*GN164+(1-EXP(-LN(2)/2))/(LN(2)/2)*GH165*GK165*VLOOKUP('Données projet'!$B$17,Paramètres!$A$1:$I$89,3,0)*0.475*44/12</f>
        <v>#N/A</v>
      </c>
      <c r="GO165" s="129" t="e">
        <f aca="false">SUM(GL165:GN165)</f>
        <v>#N/A</v>
      </c>
      <c r="GP165" s="126" t="n">
        <f aca="false"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8" t="n">
        <f aca="false"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8" t="e">
        <f aca="false">VLOOKUP(A165,'Données projet'!$A$269:$I$289,2,0)</f>
        <v>#N/A</v>
      </c>
      <c r="GS165" s="118" t="e">
        <f aca="false">VLOOKUP(A165,'Données projet'!$A$269:$I$289,9,0)</f>
        <v>#N/A</v>
      </c>
      <c r="GT165" s="118" t="e">
        <f aca="false" t="array" ref="GT165:GT165">INDEX(GS:GS,MIN(IF(ISNUMBER(GS165:GS361),ROW(GS165:GS361),"")))</f>
        <v>#N/A</v>
      </c>
      <c r="GU165" s="118" t="n">
        <f aca="false">IF('Données projet'!$A$270&gt;35,GU164+GT165-HC164,IF(A165&lt;'Données projet'!$A$270,$GR$205^A165,IF(A165='Données projet'!$A$270,'Données projet'!$B$270,GU164+GT165-HC164)))</f>
        <v>0</v>
      </c>
      <c r="GV165" s="125" t="e">
        <f aca="false">GU165*VLOOKUP('Données projet'!$B$18,Paramètres!$A$1:$I$89,3,0)*VLOOKUP('Données projet'!$B$18,Paramètres!$A$1:$I$89,5,0)</f>
        <v>#N/A</v>
      </c>
      <c r="GW165" s="117" t="e">
        <f aca="false">EXP(-1.0587+0.8836*LN(GV165)+0.284)</f>
        <v>#N/A</v>
      </c>
      <c r="GX165" s="128" t="e">
        <f aca="false">(GV165+GW165)*0.475*44/12</f>
        <v>#N/A</v>
      </c>
      <c r="GY165" s="120" t="e">
        <f aca="false">GX165+(GP165+GQ165)*44/12</f>
        <v>#N/A</v>
      </c>
      <c r="GZ165" s="120" t="e">
        <f aca="true">AVERAGE(OFFSET($GY$3,0,0,'Données projet'!$E$18+1,1))-AVERAGE(OFFSET($H$3,0,0,'Données projet'!$E$18+1,1))</f>
        <v>#N/A</v>
      </c>
      <c r="HA165" s="120" t="e">
        <f aca="false">$HA$3</f>
        <v>#N/A</v>
      </c>
      <c r="HB165" s="121" t="n">
        <f aca="false">IF(ISNA(VLOOKUP(A165,'Données projet'!$A$269:$I$289,3,0)),0,VLOOKUP(A165,'Données projet'!$A$269:$I$289,3,0))</f>
        <v>0</v>
      </c>
      <c r="HC165" s="121" t="n">
        <f aca="false">IF(ISNA(VLOOKUP(A165,'Données projet'!$A$269:$I$289,4,0)),0,VLOOKUP(A165,'Données projet'!$A$269:$I$289,4,0))</f>
        <v>0</v>
      </c>
      <c r="HD165" s="122" t="n">
        <f aca="false">IF(ISNA(VLOOKUP(A165,'Données projet'!$A$269:$I$289,5,0)),0%,VLOOKUP(A165,'Données projet'!$A$269:$I$289,5,0)*VLOOKUP('Données projet'!$B$18,Paramètres!$A$1:$I$89,7,0))</f>
        <v>0</v>
      </c>
      <c r="HE165" s="122" t="n">
        <f aca="false">IF(ISNA(VLOOKUP(A165,'Données projet'!$A$269:$I$289,6,0)),0%,VLOOKUP(A165,'Données projet'!$A$269:$I$289,6,0)*VLOOKUP('Données projet'!$B$18,Paramètres!$A$1:$I$89,7,0))</f>
        <v>0</v>
      </c>
      <c r="HF165" s="122" t="n">
        <f aca="false">IF(ISNA(VLOOKUP(A165,'Données projet'!$A$269:$I$289,7,0)),0%,VLOOKUP(A165,'Données projet'!$A$269:$I$289,7,0))</f>
        <v>0</v>
      </c>
      <c r="HG165" s="129" t="e">
        <f aca="false">EXP(-LN(2)/35)*HG164+(1-EXP(-LN(2)/35))/(LN(2)/35)*HC165*HD165*VLOOKUP('Données projet'!$B$18,Paramètres!$A$1:$I$89,3,0)*0.475*44/12</f>
        <v>#N/A</v>
      </c>
      <c r="HH165" s="129" t="e">
        <f aca="false">EXP(-LN(2)/25)*HH164+(1-EXP(-LN(2)/25))/(LN(2)/25)*Calculateur!HC165*Calculateur!HE165*VLOOKUP('Données projet'!$B$18,Paramètres!$A$1:$I$89,3,0)*0.475*44/12</f>
        <v>#N/A</v>
      </c>
      <c r="HI165" s="129" t="e">
        <f aca="false">EXP(-LN(2)/2)*HI164+(1-EXP(-LN(2)/2))/(LN(2)/2)*HC165*HF165*VLOOKUP('Données projet'!$B$18,Paramètres!$A$1:$I$89,3,0)*0.475*44/12</f>
        <v>#N/A</v>
      </c>
      <c r="HJ165" s="130" t="e">
        <f aca="false">SUM(HG165:HI165)</f>
        <v>#N/A</v>
      </c>
    </row>
    <row r="166" customFormat="false" ht="14.25" hidden="false" customHeight="false" outlineLevel="0" collapsed="false">
      <c r="A166" s="112" t="n">
        <f aca="false">A165+1</f>
        <v>163</v>
      </c>
      <c r="B166" s="113" t="n">
        <f aca="false">'Scénario référence'!$B$16*5+'Scénario référence'!$B$17*0+'Scénario référence'!$B$18*5</f>
        <v>0</v>
      </c>
      <c r="C166" s="127" t="n">
        <f aca="false"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4" t="n">
        <f aca="false">IFERROR(EXP(-1.0587+0.8836*LN(C166)+0.284),0)</f>
        <v>0</v>
      </c>
      <c r="E16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6" s="114" t="n">
        <f aca="false">IF(OR('Scénario référence'!$F$8&gt;0,'Scénario référence'!$F$9&gt;0),('Scénario référence'!$F$8+'Scénario référence'!$F$9)*10,0)</f>
        <v>0</v>
      </c>
      <c r="G166" s="114" t="n">
        <f aca="false"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15" t="n">
        <f aca="false">(B166+E166+F166)*44/12+(C166+D166)*0.475*44/12</f>
        <v>256.666666666667</v>
      </c>
      <c r="I166" s="11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7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8" t="e">
        <f aca="false">VLOOKUP(A166,'Données projet'!$A$35:$I$55,2,0)</f>
        <v>#N/A</v>
      </c>
      <c r="L166" s="118" t="e">
        <f aca="false">VLOOKUP(A166,'Données projet'!$A$35:$I$55,9,0)</f>
        <v>#N/A</v>
      </c>
      <c r="M166" s="118" t="e">
        <f aca="false" t="array" ref="M166:M166">INDEX(L:L,MIN(IF(ISNUMBER(L166:L362),ROW(L166:L362),"")))</f>
        <v>#N/A</v>
      </c>
      <c r="N166" s="117" t="n">
        <f aca="false">IF('Données projet'!$A$36&gt;35,N165+M166-V165,IF(A166&lt;'Données projet'!$A$36,$K$205^A166,IF(A166='Données projet'!$A$36,'Données projet'!$B$36,N165+M166-V165)))</f>
        <v>-1.13686837721616E-013</v>
      </c>
      <c r="O166" s="117" t="n">
        <f aca="false">N166*VLOOKUP('Données projet'!$B$9,Paramètres!$A$1:$I$89,3,0)*VLOOKUP('Données projet'!$B$9,Paramètres!$A$1:$I$89,5,0)</f>
        <v>-5.32054400537163E-014</v>
      </c>
      <c r="P166" s="117" t="e">
        <f aca="false">EXP(-1.0587+0.8836*LN(O166)+0.284)</f>
        <v>#VALUE!</v>
      </c>
      <c r="Q166" s="128" t="e">
        <f aca="false">(O166+P166)*0.475*44/12</f>
        <v>#VALUE!</v>
      </c>
      <c r="R166" s="120" t="e">
        <f aca="false">Q166+(I166+J166)*44/12</f>
        <v>#VALUE!</v>
      </c>
      <c r="S166" s="120" t="n">
        <f aca="true">AVERAGE(OFFSET($R$3,0,0,'Données projet'!$E$9+1,1))-AVERAGE(OFFSET($H$3,0,0,'Données projet'!$E$9+1,1))</f>
        <v>319.229030946746</v>
      </c>
      <c r="T166" s="120" t="n">
        <f aca="false">$T$3</f>
        <v>254.586909731428</v>
      </c>
      <c r="U166" s="121" t="n">
        <f aca="false">IF(ISNA(VLOOKUP(A166,'Données projet'!$A$35:$I$55,3,0)),0,VLOOKUP(A166,'Données projet'!$A$35:$I$55,3,0))</f>
        <v>0</v>
      </c>
      <c r="V166" s="121" t="n">
        <f aca="false">IF(ISNA(VLOOKUP(A166,'Données projet'!$A$35:$I$55,4,0)),0,VLOOKUP(A166,'Données projet'!$A$35:$I$55,4,0))</f>
        <v>0</v>
      </c>
      <c r="W166" s="122" t="n">
        <f aca="false">IF(ISNA(VLOOKUP(A166,'Données projet'!$A$35:$I$55,5,0)),0%,VLOOKUP(A166,'Données projet'!$A$35:$I$55,5,0)*VLOOKUP('Données projet'!$B$9,Paramètres!$A$1:$I$89,7,0))</f>
        <v>0</v>
      </c>
      <c r="X166" s="122" t="n">
        <f aca="false">IF(ISNA(VLOOKUP(A166,'Données projet'!$A$35:$I$55,6,0)),0%,VLOOKUP(A166,'Données projet'!$A$35:$I$55,6,0)*VLOOKUP('Données projet'!$B$9,Paramètres!$A$1:$I$89,7,0))</f>
        <v>0</v>
      </c>
      <c r="Y166" s="122" t="n">
        <f aca="false">IF(ISNA(VLOOKUP(A166,'Données projet'!$A$35:$I$55,7,0)),0%,VLOOKUP(A166,'Données projet'!$A$35:$I$55,7,0))</f>
        <v>0</v>
      </c>
      <c r="Z166" s="129" t="n">
        <f aca="false">EXP(-LN(2)/35)*Z165+(1-EXP(-LN(2)/35))/(LN(2)/35)*V166*W166*VLOOKUP('Données projet'!$B$9,Paramètres!$A$1:$I$89,3,0)*0.475*44/12</f>
        <v>0.651611141103172</v>
      </c>
      <c r="AA166" s="129" t="n">
        <f aca="false">EXP(-LN(2)/25)*AA165+(1-EXP(-LN(2)/25))/(LN(2)/25)*Calculateur!V166*Calculateur!X166*VLOOKUP('Données projet'!$B$9,Paramètres!$A$1:$I$89,3,0)*0.475*44/12</f>
        <v>0.279155835029578</v>
      </c>
      <c r="AB166" s="129" t="n">
        <f aca="false">EXP(-LN(2)/2)*AB165+(1-EXP(-LN(2)/2))/(LN(2)/2)*V166*Y166*VLOOKUP('Données projet'!$B$9,Paramètres!$A$1:$I$89,3,0)*0.475*44/12</f>
        <v>1.05827227805107E-019</v>
      </c>
      <c r="AC166" s="130" t="n">
        <f aca="false">SUM(Z166:AB166)</f>
        <v>0.93076697613275</v>
      </c>
      <c r="AD166" s="117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7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8" t="e">
        <f aca="false">VLOOKUP(A166,'Données projet'!$A$61:$I$81,2,0)</f>
        <v>#N/A</v>
      </c>
      <c r="AG166" s="118" t="e">
        <f aca="false">VLOOKUP(A166,'Données projet'!$A$61:$I$81,9,0)</f>
        <v>#N/A</v>
      </c>
      <c r="AH166" s="118" t="e">
        <f aca="false" t="array" ref="AH166:AH166">INDEX(AG:AG,MIN(IF(ISNUMBER(AG166:AG362),ROW(AG166:AG362),"")))</f>
        <v>#N/A</v>
      </c>
      <c r="AI166" s="117" t="n">
        <f aca="false">IF('Données projet'!$A$62&gt;35,AI165+AH166-AQ165,IF(A166&lt;'Données projet'!$A$62,$AF$205^A166,IF(A166='Données projet'!$A$62,'Données projet'!$B$62,AI165+AH166-AQ165)))</f>
        <v>1.13686837721616E-013</v>
      </c>
      <c r="AJ166" s="117" t="n">
        <f aca="false">AI166*VLOOKUP('Données projet'!$B$10,Paramètres!$A$1:$I$89,3,0)*VLOOKUP('Données projet'!$B$10,Paramètres!$A$1:$I$89,5,0)</f>
        <v>6.35509422863834E-014</v>
      </c>
      <c r="AK166" s="117" t="n">
        <f aca="false">EXP(-1.0587+0.8836*LN(AJ166)+0.284)</f>
        <v>1.0064464192544E-012</v>
      </c>
      <c r="AL166" s="128" t="n">
        <f aca="false">(AJ166+AK166)*0.475*44/12</f>
        <v>1.86357873801686E-012</v>
      </c>
      <c r="AM166" s="120" t="n">
        <f aca="false">AL166+(AD166+AE166)*44/12</f>
        <v>293.333333333335</v>
      </c>
      <c r="AN166" s="120" t="n">
        <f aca="true">AVERAGE(OFFSET($AM$3,0,0,'Données projet'!$E$10+1,1))-AVERAGE(OFFSET($H$3,0,0,'Données projet'!$E$10+1,1))</f>
        <v>365.705101827279</v>
      </c>
      <c r="AO166" s="120" t="n">
        <f aca="false">$AO$3</f>
        <v>436.238338449625</v>
      </c>
      <c r="AP166" s="121" t="n">
        <f aca="false">IF(ISNA(VLOOKUP(A166,'Données projet'!$A$61:$I$81,3,0)),0,VLOOKUP(A166,'Données projet'!$A$61:$I$81,3,0))</f>
        <v>0</v>
      </c>
      <c r="AQ166" s="121" t="n">
        <f aca="false">IF(ISNA(VLOOKUP(A166,'Données projet'!$A$61:$I$81,4,0)),0,VLOOKUP(A166,'Données projet'!$A$61:$I$81,4,0))</f>
        <v>0</v>
      </c>
      <c r="AR166" s="122" t="n">
        <f aca="false">IF(ISNA(VLOOKUP(A166,'Données projet'!$A$61:$I$81,5,0)),0%,VLOOKUP(A166,'Données projet'!$A$61:$I$81,5,0)*VLOOKUP('Données projet'!$B$10,Paramètres!$A$1:$I$89,7,0))</f>
        <v>0</v>
      </c>
      <c r="AS166" s="122" t="n">
        <f aca="false">IF(ISNA(VLOOKUP(A166,'Données projet'!$A$61:$I$81,6,0)),0%,VLOOKUP(A166,'Données projet'!$A$61:$I$81,6,0)*VLOOKUP('Données projet'!$B$10,Paramètres!$A$1:$I$89,7,0))</f>
        <v>0</v>
      </c>
      <c r="AT166" s="122" t="n">
        <f aca="false">IF(ISNA(VLOOKUP(A166,'Données projet'!$A$61:$I$81,7,0)),0%,VLOOKUP(A166,'Données projet'!$A$61:$I$81,7,0))</f>
        <v>0</v>
      </c>
      <c r="AU166" s="129" t="n">
        <f aca="false">EXP(-LN(2)/35)*AU165+(1-EXP(-LN(2)/35))/(LN(2)/35)*AQ166*AR166*VLOOKUP('Données projet'!$B$10,Paramètres!$A$1:$I$89,3,0)*0.475*44/12</f>
        <v>0.245962079614701</v>
      </c>
      <c r="AV166" s="129" t="n">
        <f aca="false">EXP(-LN(2)/25)*AV165+(1-EXP(-LN(2)/25))/(LN(2)/25)*Calculateur!AQ166*Calculateur!AS166*VLOOKUP('Données projet'!$B$10,Paramètres!$A$1:$I$89,3,0)*0.475*44/12</f>
        <v>0.330644992670895</v>
      </c>
      <c r="AW166" s="129" t="n">
        <f aca="false">EXP(-LN(2)/2)*AW165+(1-EXP(-LN(2)/2))/(LN(2)/2)*AQ166*AT166*VLOOKUP('Données projet'!$B$10,Paramètres!$A$1:$I$89,3,0)*0.475*44/12</f>
        <v>5.69529064003561E-020</v>
      </c>
      <c r="AX166" s="129" t="n">
        <f aca="false">SUM(AU166:AW166)</f>
        <v>0.576607072285597</v>
      </c>
      <c r="AY166" s="124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8" t="e">
        <f aca="false">VLOOKUP(A166,'Données projet'!$A$87:$I$107,2,0)</f>
        <v>#N/A</v>
      </c>
      <c r="BB166" s="118" t="e">
        <f aca="false">VLOOKUP(A166,'Données projet'!$A$87:$I$107,9,0)</f>
        <v>#N/A</v>
      </c>
      <c r="BC166" s="118" t="e">
        <f aca="false" t="array" ref="BC166:BC166">INDEX(BB:BB,MIN(IF(ISNUMBER(BB166:BB362),ROW(BB166:BB362),"")))</f>
        <v>#N/A</v>
      </c>
      <c r="BD166" s="118" t="n">
        <f aca="false">IF('Données projet'!$A$88&gt;35,BD165+BC166-BL165,IF(A166&lt;'Données projet'!$A$88,$BA$205^A166,IF(A166='Données projet'!$A$88,'Données projet'!$B$88,BD165+BC166-BL165)))</f>
        <v>1.98951966012828E-013</v>
      </c>
      <c r="BE166" s="117" t="n">
        <f aca="false">BD166*VLOOKUP('Données projet'!$B$11,Paramètres!$A$1:$I$89,3,0)*VLOOKUP('Données projet'!$B$11,Paramètres!$A$1:$I$89,5,0)</f>
        <v>1.73804437508807E-013</v>
      </c>
      <c r="BF166" s="117" t="n">
        <f aca="false">EXP(-1.0587+0.8836*LN(BE166)+0.284)</f>
        <v>2.44832936339505E-012</v>
      </c>
      <c r="BG166" s="128" t="n">
        <f aca="false">(BE166+BF166)*0.475*44/12</f>
        <v>4.56688303657421E-012</v>
      </c>
      <c r="BH166" s="120" t="n">
        <f aca="false">BG166+(AY166+AZ166)*44/12</f>
        <v>293.333333333338</v>
      </c>
      <c r="BI166" s="120" t="n">
        <f aca="true">AVERAGE(OFFSET($BH$3,0,0,'Données projet'!$E$11+1,1))-AVERAGE(OFFSET($H$3,0,0,'Données projet'!$E$11+1,1))</f>
        <v>321.235999689929</v>
      </c>
      <c r="BJ166" s="120" t="n">
        <f aca="false">$BJ$3</f>
        <v>388.051958478005</v>
      </c>
      <c r="BK166" s="121" t="n">
        <f aca="false">IF(ISNA(VLOOKUP(A166,'Données projet'!$A$87:$I$107,3,0)),0,VLOOKUP(A166,'Données projet'!$A$87:$I$107,3,0))</f>
        <v>0</v>
      </c>
      <c r="BL166" s="121" t="n">
        <f aca="false">IF(ISNA(VLOOKUP(A166,'Données projet'!$A$87:$I$107,4,0)),0,VLOOKUP(A166,'Données projet'!$A$87:$I$107,4,0))</f>
        <v>0</v>
      </c>
      <c r="BM166" s="122" t="n">
        <f aca="false">IF(ISNA(VLOOKUP(A166,'Données projet'!$A$87:$I$107,5,0)),0%,VLOOKUP(A166,'Données projet'!$A$87:$I$107,5,0)*VLOOKUP('Données projet'!$B$11,Paramètres!$A$1:$I$89,7,0))</f>
        <v>0</v>
      </c>
      <c r="BN166" s="122" t="n">
        <f aca="false">IF(ISNA(VLOOKUP(A166,'Données projet'!$A$87:$I$107,6,0)),0%,VLOOKUP(A166,'Données projet'!$A$87:$I$107,6,0)*VLOOKUP('Données projet'!$B$11,Paramètres!$A$1:$I$89,7,0))</f>
        <v>0</v>
      </c>
      <c r="BO166" s="122" t="n">
        <f aca="false">IF(ISNA(VLOOKUP(A166,'Données projet'!$A$87:$I$107,7,0)),0%,VLOOKUP(A166,'Données projet'!$A$87:$I$107,7,0))</f>
        <v>0</v>
      </c>
      <c r="BP166" s="129" t="n">
        <f aca="false">EXP(-LN(2)/35)*BP165+(1-EXP(-LN(2)/35))/(LN(2)/35)*BL166*BM166*VLOOKUP('Données projet'!$B$11,Paramètres!$A$1:$I$89,3,0)*0.475*44/12</f>
        <v>0.61751764885089</v>
      </c>
      <c r="BQ166" s="129" t="n">
        <f aca="false">EXP(-LN(2)/25)*BQ165+(1-EXP(-LN(2)/25))/(LN(2)/25)*Calculateur!BL166*Calculateur!BN166*VLOOKUP('Données projet'!$B$11,Paramètres!$A$1:$I$89,3,0)*0.475*44/12</f>
        <v>0.337502769420113</v>
      </c>
      <c r="BR166" s="129" t="n">
        <f aca="false">EXP(-LN(2)/2)*BR165+(1-EXP(-LN(2)/2))/(LN(2)/2)*BL166*BO166*VLOOKUP('Données projet'!$B$11,Paramètres!$A$1:$I$89,3,0)*0.475*44/12</f>
        <v>5.78914455701222E-020</v>
      </c>
      <c r="BS166" s="130" t="n">
        <f aca="false">SUM(BP166:BR166)</f>
        <v>0.955020418271003</v>
      </c>
      <c r="BT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8" t="e">
        <f aca="false">VLOOKUP(A166,'Données projet'!$A$113:$I$133,2,0)</f>
        <v>#N/A</v>
      </c>
      <c r="BW166" s="118" t="e">
        <f aca="false">VLOOKUP(A166,'Données projet'!$A$113:$I$133,9,0)</f>
        <v>#N/A</v>
      </c>
      <c r="BX166" s="118" t="e">
        <f aca="false" t="array" ref="BX166:BX166">INDEX(BW:BW,MIN(IF(ISNUMBER(BW166:BW362),ROW(BW166:BW362),"")))</f>
        <v>#N/A</v>
      </c>
      <c r="BY166" s="118" t="n">
        <f aca="false">IF('Données projet'!$A$114&gt;35,BY165+BX166-CG165,IF(A166&lt;'Données projet'!$A$114,$BV$205^A166,IF(A166='Données projet'!$A$114,'Données projet'!$B$114,BY165+BX166-CG165)))</f>
        <v>0</v>
      </c>
      <c r="BZ166" s="117" t="n">
        <f aca="false">BY166*VLOOKUP('Données projet'!$B$12,Paramètres!$A$1:$I$89,3,0)*VLOOKUP('Données projet'!$B$12,Paramètres!$A$1:$I$89,5,0)</f>
        <v>0</v>
      </c>
      <c r="CA166" s="117" t="e">
        <f aca="false">EXP(-1.0587+0.8836*LN(BZ166)+0.284)</f>
        <v>#VALUE!</v>
      </c>
      <c r="CB166" s="128" t="e">
        <f aca="false">(BZ166+CA166)*0.475*44/12</f>
        <v>#VALUE!</v>
      </c>
      <c r="CC166" s="120" t="e">
        <f aca="false">CB166+(BT166+BU166)*44/12</f>
        <v>#VALUE!</v>
      </c>
      <c r="CD166" s="120" t="n">
        <f aca="true">AVERAGE(OFFSET($CC$3,0,0,'Données projet'!$E$12+1,1))-AVERAGE(OFFSET($H$3,0,0,'Données projet'!$E$12+1,1))</f>
        <v>240.228848647662</v>
      </c>
      <c r="CE166" s="120" t="n">
        <f aca="false">$CE$3</f>
        <v>343.237768841432</v>
      </c>
      <c r="CF166" s="121" t="n">
        <f aca="false">IF(ISNA(VLOOKUP(A166,'Données projet'!$A$113:$I$133,3,0)),0,VLOOKUP(A166,'Données projet'!$A$113:$I$133,3,0))</f>
        <v>0</v>
      </c>
      <c r="CG166" s="121" t="n">
        <f aca="false">IF(ISNA(VLOOKUP(A166,'Données projet'!$A$113:$I$133,4,0)),0,VLOOKUP(A166,'Données projet'!$A$113:$I$133,4,0))</f>
        <v>0</v>
      </c>
      <c r="CH166" s="122" t="n">
        <f aca="false">IF(ISNA(VLOOKUP(A166,'Données projet'!$A$113:$I$133,5,0)),0%,VLOOKUP(A166,'Données projet'!$A$113:$I$133,5,0)*VLOOKUP('Données projet'!$B$12,Paramètres!$A$1:$I$89,7,0))</f>
        <v>0</v>
      </c>
      <c r="CI166" s="122" t="n">
        <f aca="false">IF(ISNA(VLOOKUP(A166,'Données projet'!$A$113:$I$133,6,0)),0%,VLOOKUP(A166,'Données projet'!$A$113:$I$133,6,0)*VLOOKUP('Données projet'!$B$12,Paramètres!$A$1:$I$89,7,0))</f>
        <v>0</v>
      </c>
      <c r="CJ166" s="122" t="n">
        <f aca="false">IF(ISNA(VLOOKUP(A166,'Données projet'!$A$113:$I$133,7,0)),0%,VLOOKUP(A166,'Données projet'!$A$113:$I$133,7,0))</f>
        <v>0</v>
      </c>
      <c r="CK166" s="129" t="n">
        <f aca="false">EXP(-LN(2)/35)*CK165+(1-EXP(-LN(2)/35))/(LN(2)/35)*CG166*CH166*VLOOKUP('Données projet'!$B$12,Paramètres!$A$1:$I$89,3,0)*0.475*44/12</f>
        <v>0.377968910021021</v>
      </c>
      <c r="CL166" s="129" t="n">
        <f aca="false">EXP(-LN(2)/25)*CL165+(1-EXP(-LN(2)/25))/(LN(2)/25)*Calculateur!CG166*Calculateur!CI166*VLOOKUP('Données projet'!$B$12,Paramètres!$A$1:$I$89,3,0)*0.475*44/12</f>
        <v>0.596049428792995</v>
      </c>
      <c r="CM166" s="129" t="n">
        <f aca="false">EXP(-LN(2)/2)*CM165+(1-EXP(-LN(2)/2))/(LN(2)/2)*CG166*CJ166*VLOOKUP('Données projet'!$B$12,Paramètres!$A$1:$I$89,3,0)*0.475*44/12</f>
        <v>9.23793132793722E-020</v>
      </c>
      <c r="CN166" s="130" t="n">
        <f aca="false">SUM(CK166:CM166)</f>
        <v>0.974018338814017</v>
      </c>
      <c r="CO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8" t="e">
        <f aca="false">VLOOKUP(A166,'Données projet'!$A$139:$I$159,2,0)</f>
        <v>#N/A</v>
      </c>
      <c r="CR166" s="118" t="e">
        <f aca="false">VLOOKUP(A166,'Données projet'!$A$139:$I$159,9,0)</f>
        <v>#N/A</v>
      </c>
      <c r="CS166" s="118" t="e">
        <f aca="false" t="array" ref="CS166:CS166">INDEX(CR:CR,MIN(IF(ISNUMBER(CR166:CR362),ROW(CR166:CR362),"")))</f>
        <v>#N/A</v>
      </c>
      <c r="CT166" s="118" t="n">
        <f aca="false">IF('Données projet'!$A$140&gt;35,CT165+CS166-DB165,IF(A166&lt;'Données projet'!$A$140,$CQ$205^A166,IF(A166='Données projet'!$A$140,'Données projet'!$B$140,CT165+CS166-DB165)))</f>
        <v>-5.6843418860808E-014</v>
      </c>
      <c r="CU166" s="125" t="n">
        <f aca="false">CT166*VLOOKUP('Données projet'!$B$13,Paramètres!$A$1:$I$89,3,0)*VLOOKUP('Données projet'!$B$13,Paramètres!$A$1:$I$89,5,0)</f>
        <v>-3.10365066980012E-014</v>
      </c>
      <c r="CV166" s="117" t="e">
        <f aca="false">EXP(-1.0587+0.8836*LN(CU166)+0.284)</f>
        <v>#VALUE!</v>
      </c>
      <c r="CW166" s="128" t="e">
        <f aca="false">(CU166+CV166)*0.475*44/12</f>
        <v>#VALUE!</v>
      </c>
      <c r="CX166" s="120" t="e">
        <f aca="false">CW166+(CO166+CP166)*44/12</f>
        <v>#VALUE!</v>
      </c>
      <c r="CY166" s="120" t="n">
        <f aca="true">AVERAGE(OFFSET($CX$3,0,0,'Données projet'!$E$13+1,1))-AVERAGE(OFFSET($H$3,0,0,'Données projet'!$E$13+1,1))</f>
        <v>207.023069645676</v>
      </c>
      <c r="CZ166" s="120" t="n">
        <f aca="false">$CZ$3</f>
        <v>342.068879333518</v>
      </c>
      <c r="DA166" s="121" t="n">
        <f aca="false">IF(ISNA(VLOOKUP(A166,'Données projet'!$A$139:$I$159,3,0)),0,VLOOKUP(A166,'Données projet'!$A$139:$I$159,3,0))</f>
        <v>0</v>
      </c>
      <c r="DB166" s="121" t="n">
        <f aca="false">IF(ISNA(VLOOKUP(A166,'Données projet'!$A$139:$I$159,4,0)),0,VLOOKUP(A166,'Données projet'!$A$139:$I$159,4,0))</f>
        <v>0</v>
      </c>
      <c r="DC166" s="122" t="n">
        <f aca="false">IF(ISNA(VLOOKUP(A166,'Données projet'!$A$139:$I$159,5,0)),0%,VLOOKUP(A166,'Données projet'!$A$139:$I$159,5,0)*VLOOKUP('Données projet'!$B$13,Paramètres!$A$1:$I$89,7,0))</f>
        <v>0</v>
      </c>
      <c r="DD166" s="122" t="n">
        <f aca="false">IF(ISNA(VLOOKUP(A166,'Données projet'!$A$139:$I$159,6,0)),0%,VLOOKUP(A166,'Données projet'!$A$139:$I$159,6,0)*VLOOKUP('Données projet'!$B$13,Paramètres!$A$1:$I$89,7,0))</f>
        <v>0</v>
      </c>
      <c r="DE166" s="122" t="n">
        <f aca="false">IF(ISNA(VLOOKUP(A166,'Données projet'!$A$139:$I$159,7,0)),0%,VLOOKUP(A166,'Données projet'!$A$139:$I$159,7,0))</f>
        <v>0</v>
      </c>
      <c r="DF166" s="129" t="n">
        <f aca="false">EXP(-LN(2)/35)*DF165+(1-EXP(-LN(2)/35))/(LN(2)/35)*DB166*DC166*VLOOKUP('Données projet'!$B$13,Paramètres!$A$1:$I$89,3,0)*0.475*44/12</f>
        <v>0.474244009743356</v>
      </c>
      <c r="DG166" s="129" t="n">
        <f aca="false">EXP(-LN(2)/25)*DG165+(1-EXP(-LN(2)/25))/(LN(2)/25)*Calculateur!DB166*Calculateur!DD166*VLOOKUP('Données projet'!$B$13,Paramètres!$A$1:$I$89,3,0)*0.475*44/12</f>
        <v>0.974292568149402</v>
      </c>
      <c r="DH166" s="129" t="n">
        <f aca="false">EXP(-LN(2)/2)*DH165+(1-EXP(-LN(2)/2))/(LN(2)/2)*DB166*DE166*VLOOKUP('Données projet'!$B$13,Paramètres!$A$1:$I$89,3,0)*0.475*44/12</f>
        <v>1.27206357215072E-019</v>
      </c>
      <c r="DI166" s="130" t="n">
        <f aca="false">SUM(DF166:DH166)</f>
        <v>1.44853657789276</v>
      </c>
      <c r="DJ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8" t="e">
        <f aca="false">VLOOKUP(A166,'Données projet'!$A$165:$I$185,2,0)</f>
        <v>#N/A</v>
      </c>
      <c r="DM166" s="118" t="e">
        <f aca="false">VLOOKUP(A166,'Données projet'!$A$165:$I$185,9,0)</f>
        <v>#N/A</v>
      </c>
      <c r="DN166" s="118" t="e">
        <f aca="false" t="array" ref="DN166:DN166">INDEX(DM:DM,MIN(IF(ISNUMBER(DM166:DM362),ROW(DM166:DM362),"")))</f>
        <v>#N/A</v>
      </c>
      <c r="DO166" s="118" t="n">
        <f aca="false">IF('Données projet'!$A$166&gt;35,DO165+DN166-DW165,IF(A166&lt;'Données projet'!$A$166,$DL$205^A166,IF(A166='Données projet'!$A$166,'Données projet'!$B$166,DO165+DN166-DW165)))</f>
        <v>0</v>
      </c>
      <c r="DP166" s="125" t="n">
        <f aca="false">DO166*VLOOKUP('Données projet'!$B$14,Paramètres!$A$1:$I$89,3,0)*VLOOKUP('Données projet'!$B$14,Paramètres!$A$1:$I$89,5,0)</f>
        <v>0</v>
      </c>
      <c r="DQ166" s="117" t="e">
        <f aca="false">EXP(-1.0587+0.8836*LN(DP166)+0.284)</f>
        <v>#VALUE!</v>
      </c>
      <c r="DR166" s="128" t="e">
        <f aca="false">(DP166+DQ166)*0.475*44/12</f>
        <v>#VALUE!</v>
      </c>
      <c r="DS166" s="120" t="e">
        <f aca="false">DR166+(DJ166+DK166)*44/12</f>
        <v>#VALUE!</v>
      </c>
      <c r="DT166" s="120" t="n">
        <f aca="true">AVERAGE(OFFSET($DS$3,0,0,'Données projet'!$E$14+1,1))-AVERAGE(OFFSET($H$3,0,0,'Données projet'!$E$14+1,1))</f>
        <v>549.432320957297</v>
      </c>
      <c r="DU166" s="120" t="n">
        <f aca="false">$DU$3</f>
        <v>280.26155987301</v>
      </c>
      <c r="DV166" s="121" t="n">
        <f aca="false">IF(ISNA(VLOOKUP(A166,'Données projet'!$A$165:$I$185,3,0)),0,VLOOKUP(A166,'Données projet'!$A$165:$I$185,3,0))</f>
        <v>0</v>
      </c>
      <c r="DW166" s="121" t="n">
        <f aca="false">IF(ISNA(VLOOKUP(A166,'Données projet'!$A$165:$I$185,4,0)),0,VLOOKUP(A166,'Données projet'!$A$165:$I$185,4,0))</f>
        <v>0</v>
      </c>
      <c r="DX166" s="122" t="n">
        <f aca="false">IF(ISNA(VLOOKUP(A166,'Données projet'!$A$165:$I$185,5,0)),0%,VLOOKUP(A166,'Données projet'!$A$165:$I$185,5,0)*VLOOKUP('Données projet'!$B$14,Paramètres!$A$1:$I$89,7,0))</f>
        <v>0</v>
      </c>
      <c r="DY166" s="122" t="n">
        <f aca="false">IF(ISNA(VLOOKUP(A166,'Données projet'!$A$165:$I$185,6,0)),0%,VLOOKUP(A166,'Données projet'!$A$165:$I$185,6,0)*VLOOKUP('Données projet'!$B$14,Paramètres!$A$1:$I$89,7,0))</f>
        <v>0</v>
      </c>
      <c r="DZ166" s="122" t="n">
        <f aca="false">IF(ISNA(VLOOKUP(A166,'Données projet'!$A$165:$I$185,7,0)),0%,VLOOKUP(A166,'Données projet'!$A$165:$I$185,7,0))</f>
        <v>0</v>
      </c>
      <c r="EA166" s="129" t="n">
        <f aca="false">EXP(-LN(2)/35)*EA165+(1-EXP(-LN(2)/35))/(LN(2)/35)*DW166*DX166*VLOOKUP('Données projet'!$B$14,Paramètres!$A$1:$I$89,3,0)*0.475*44/12</f>
        <v>0.172434593139833</v>
      </c>
      <c r="EB166" s="129" t="n">
        <f aca="false">EXP(-LN(2)/25)*EB165+(1-EXP(-LN(2)/25))/(LN(2)/25)*Calculateur!DW166*Calculateur!DY166*VLOOKUP('Données projet'!$B$14,Paramètres!$A$1:$I$89,3,0)*0.475*44/12</f>
        <v>0.194098302029871</v>
      </c>
      <c r="EC166" s="129" t="n">
        <f aca="false">EXP(-LN(2)/2)*EC165+(1-EXP(-LN(2)/2))/(LN(2)/2)*DW166*DZ166*VLOOKUP('Données projet'!$B$14,Paramètres!$A$1:$I$89,3,0)*0.475*44/12</f>
        <v>5.86395085443797E-020</v>
      </c>
      <c r="ED166" s="130" t="n">
        <f aca="false">SUM(EA166:EC166)</f>
        <v>0.366532895169704</v>
      </c>
      <c r="EE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8" t="e">
        <f aca="false">VLOOKUP(A166,'Données projet'!$A$191:$I$211,2,0)</f>
        <v>#N/A</v>
      </c>
      <c r="EH166" s="118" t="e">
        <f aca="false">VLOOKUP(A166,'Données projet'!$A$191:$I$211,9,0)</f>
        <v>#N/A</v>
      </c>
      <c r="EI166" s="118" t="e">
        <f aca="false" t="array" ref="EI166:EI166">INDEX(EH:EH,MIN(IF(ISNUMBER(EH166:EH362),ROW(EH166:EH362),"")))</f>
        <v>#N/A</v>
      </c>
      <c r="EJ166" s="118" t="n">
        <f aca="false">IF('Données projet'!$A$192&gt;35,EJ165+EI166-ER165,IF(A166&lt;'Données projet'!$A$192,$EG$205^A166,IF(A166='Données projet'!$A$192,'Données projet'!$B$192,EJ165+EI166-ER165)))</f>
        <v>0</v>
      </c>
      <c r="EK166" s="125" t="e">
        <f aca="false">EJ166*VLOOKUP('Données projet'!$B$15,Paramètres!$A$1:$I$89,3,0)*VLOOKUP('Données projet'!$B$15,Paramètres!$A$1:$I$89,5,0)</f>
        <v>#N/A</v>
      </c>
      <c r="EL166" s="117" t="e">
        <f aca="false">EXP(-1.0587+0.8836*LN(EK166)+0.284)</f>
        <v>#N/A</v>
      </c>
      <c r="EM166" s="128" t="e">
        <f aca="false">(EK166+EL166)*0.475*44/12</f>
        <v>#N/A</v>
      </c>
      <c r="EN166" s="120" t="e">
        <f aca="false">EM166+(EE166+EF166)*44/12</f>
        <v>#N/A</v>
      </c>
      <c r="EO166" s="120" t="e">
        <f aca="true">AVERAGE(OFFSET($EN$3,0,0,'Données projet'!$E$15+1,1))-AVERAGE(OFFSET($H$3,0,0,'Données projet'!$E$15+1,1))</f>
        <v>#N/A</v>
      </c>
      <c r="EP166" s="120" t="e">
        <f aca="false">$EP$3</f>
        <v>#N/A</v>
      </c>
      <c r="EQ166" s="121" t="n">
        <f aca="false">IF(ISNA(VLOOKUP(A166,'Données projet'!$A$191:$I$211,3,0)),0,VLOOKUP(A166,'Données projet'!$A$191:$I$211,3,0))</f>
        <v>0</v>
      </c>
      <c r="ER166" s="121" t="n">
        <f aca="false">IF(ISNA(VLOOKUP(A166,'Données projet'!$A$191:$I$211,4,0)),0,VLOOKUP(A166,'Données projet'!$A$191:$I$211,4,0))</f>
        <v>0</v>
      </c>
      <c r="ES166" s="122" t="n">
        <f aca="false">IF(ISNA(VLOOKUP(A166,'Données projet'!$A$191:$I$211,5,0)),0%,VLOOKUP(A166,'Données projet'!$A$191:$I$211,5,0)*VLOOKUP('Données projet'!$B$15,Paramètres!$A$1:$I$89,7,0))</f>
        <v>0</v>
      </c>
      <c r="ET166" s="122" t="n">
        <f aca="false">IF(ISNA(VLOOKUP(A166,'Données projet'!$A$191:$I$211,6,0)),0%,VLOOKUP(A166,'Données projet'!$A$191:$I$211,6,0)*VLOOKUP('Données projet'!$B$15,Paramètres!$A$1:$I$89,7,0))</f>
        <v>0</v>
      </c>
      <c r="EU166" s="122" t="n">
        <f aca="false">IF(ISNA(VLOOKUP(A166,'Données projet'!$A$191:$I$211,7,0)),0%,VLOOKUP(A166,'Données projet'!$A$191:$I$211,7,0))</f>
        <v>0</v>
      </c>
      <c r="EV166" s="129" t="e">
        <f aca="false">EXP(-LN(2)/35)*EV165+(1-EXP(-LN(2)/35))/(LN(2)/35)*ER166*ES166*VLOOKUP('Données projet'!$B$15,Paramètres!$A$1:$I$89,3,0)*0.475*44/12</f>
        <v>#N/A</v>
      </c>
      <c r="EW166" s="129" t="e">
        <f aca="false">EXP(-LN(2)/25)*EW165+(1-EXP(-LN(2)/25))/(LN(2)/25)*Calculateur!ER166*Calculateur!ET166*VLOOKUP('Données projet'!$B$15,Paramètres!$A$1:$I$89,3,0)*0.475*44/12</f>
        <v>#N/A</v>
      </c>
      <c r="EX166" s="129" t="e">
        <f aca="false">EXP(-LN(2)/2)*EX165+(1-EXP(-LN(2)/2))/(LN(2)/2)*ER166*EU166*VLOOKUP('Données projet'!$B$15,Paramètres!$A$1:$I$89,3,0)*0.475*44/12</f>
        <v>#N/A</v>
      </c>
      <c r="EY166" s="130" t="e">
        <f aca="false">SUM(EV166:EX166)</f>
        <v>#N/A</v>
      </c>
      <c r="EZ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8" t="e">
        <f aca="false">VLOOKUP(A166,'Données projet'!$A$217:$I$237,2,0)</f>
        <v>#N/A</v>
      </c>
      <c r="FC166" s="118" t="e">
        <f aca="false">VLOOKUP(A166,'Données projet'!$A$217:$I$237,9,0)</f>
        <v>#N/A</v>
      </c>
      <c r="FD166" s="118" t="e">
        <f aca="false" t="array" ref="FD166:FD166">INDEX(FC:FC,MIN(IF(ISNUMBER(FC166:FC362),ROW(FC166:FC362),"")))</f>
        <v>#N/A</v>
      </c>
      <c r="FE166" s="118" t="n">
        <f aca="false">IF('Données projet'!$A$218&gt;35,FE165+FD166-FM165,IF(A166&lt;'Données projet'!$A$218,$FB$205^A166,IF(A166='Données projet'!$A$218,'Données projet'!$B$218,FE165+FD166-FM165)))</f>
        <v>0</v>
      </c>
      <c r="FF166" s="125" t="e">
        <f aca="false">FE166*VLOOKUP('Données projet'!$B$16,Paramètres!$A$1:$I$89,3,0)*VLOOKUP('Données projet'!$B$16,Paramètres!$A$1:$I$89,5,0)</f>
        <v>#N/A</v>
      </c>
      <c r="FG166" s="117" t="e">
        <f aca="false">EXP(-1.0587+0.8836*LN(FF166)+0.284)</f>
        <v>#N/A</v>
      </c>
      <c r="FH166" s="128" t="e">
        <f aca="false">(FF166+FG166)*0.475*44/12</f>
        <v>#N/A</v>
      </c>
      <c r="FI166" s="120" t="e">
        <f aca="false">FH166+(EZ166+FA166)*44/12</f>
        <v>#N/A</v>
      </c>
      <c r="FJ166" s="120" t="e">
        <f aca="true">AVERAGE(OFFSET($FI$3,0,0,'Données projet'!$E$16+1,1))-AVERAGE(OFFSET($H$3,0,0,'Données projet'!$E$16+1,1))</f>
        <v>#N/A</v>
      </c>
      <c r="FK166" s="120" t="e">
        <f aca="false">$FK$3</f>
        <v>#N/A</v>
      </c>
      <c r="FL166" s="121" t="n">
        <f aca="false">IF(ISNA(VLOOKUP(A166,'Données projet'!$A$217:$I$237,3,0)),0,VLOOKUP(A166,'Données projet'!$A$217:$I$237,3,0))</f>
        <v>0</v>
      </c>
      <c r="FM166" s="121" t="n">
        <f aca="false">IF(ISNA(VLOOKUP(A166,'Données projet'!$A$217:$I$237,4,0)),0,VLOOKUP(A166,'Données projet'!$A$217:$I$237,4,0))</f>
        <v>0</v>
      </c>
      <c r="FN166" s="122" t="n">
        <f aca="false">IF(ISNA(VLOOKUP(A166,'Données projet'!$A$217:$I$237,5,0)),0%,VLOOKUP(A166,'Données projet'!$A$217:$I$237,5,0)*VLOOKUP('Données projet'!$B$16,Paramètres!$A$1:$I$89,7,0))</f>
        <v>0</v>
      </c>
      <c r="FO166" s="122" t="n">
        <f aca="false">IF(ISNA(VLOOKUP(A166,'Données projet'!$A$217:$I$237,6,0)),0%,VLOOKUP(A166,'Données projet'!$A$217:$I$237,6,0)*VLOOKUP('Données projet'!$B$16,Paramètres!$A$1:$I$89,7,0))</f>
        <v>0</v>
      </c>
      <c r="FP166" s="122" t="n">
        <f aca="false">IF(ISNA(VLOOKUP(A166,'Données projet'!$A$217:$I$237,7,0)),0%,VLOOKUP(A166,'Données projet'!$A$217:$I$237,7,0))</f>
        <v>0</v>
      </c>
      <c r="FQ166" s="129" t="e">
        <f aca="false">EXP(-LN(2)/35)*FQ165+(1-EXP(-LN(2)/35))/(LN(2)/35)*FM166*FN166*VLOOKUP('Données projet'!$B$16,Paramètres!$A$1:$I$89,3,0)*0.475*44/12</f>
        <v>#N/A</v>
      </c>
      <c r="FR166" s="129" t="e">
        <f aca="false">EXP(-LN(2)/25)*FR165+(1-EXP(-LN(2)/25))/(LN(2)/25)*Calculateur!FM166*Calculateur!FO166*VLOOKUP('Données projet'!$B$16,Paramètres!$A$1:$I$89,3,0)*0.475*44/12</f>
        <v>#N/A</v>
      </c>
      <c r="FS166" s="129" t="e">
        <f aca="false">EXP(-LN(2)/2)*FS165+(1-EXP(-LN(2)/2))/(LN(2)/2)*FM166*FP166*VLOOKUP('Données projet'!$B$16,Paramètres!$A$1:$I$89,3,0)*0.475*44/12</f>
        <v>#N/A</v>
      </c>
      <c r="FT166" s="130" t="e">
        <f aca="false">SUM(FQ166:FS166)</f>
        <v>#N/A</v>
      </c>
      <c r="FU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8" t="e">
        <f aca="false">VLOOKUP(A166,'Données projet'!$A$243:$I$263,2,0)</f>
        <v>#N/A</v>
      </c>
      <c r="FX166" s="118" t="e">
        <f aca="false">VLOOKUP(A166,'Données projet'!$A$243:$I$263,9,0)</f>
        <v>#N/A</v>
      </c>
      <c r="FY166" s="118" t="e">
        <f aca="false" t="array" ref="FY166:FY166">INDEX(FX:FX,MIN(IF(ISNUMBER(FX166:FX362),ROW(FX166:FX362),"")))</f>
        <v>#N/A</v>
      </c>
      <c r="FZ166" s="118" t="n">
        <f aca="false">IF('Données projet'!$A$244&gt;35,FZ165+FY166-GH165,IF(A166&lt;'Données projet'!$A$244,$FW$205^A166,IF(A166='Données projet'!$A$244,'Données projet'!$B$244,FZ165+FY166-GH165)))</f>
        <v>0</v>
      </c>
      <c r="GA166" s="125" t="e">
        <f aca="false">FZ166*VLOOKUP('Données projet'!$B$17,Paramètres!$A$1:$I$89,3,0)*VLOOKUP('Données projet'!$B$17,Paramètres!$A$1:$I$89,5,0)</f>
        <v>#N/A</v>
      </c>
      <c r="GB166" s="117" t="e">
        <f aca="false">EXP(-1.0587+0.8836*LN(GA166)+0.284)</f>
        <v>#N/A</v>
      </c>
      <c r="GC166" s="128" t="e">
        <f aca="false">(GA166+GB166)*0.475*44/12</f>
        <v>#N/A</v>
      </c>
      <c r="GD166" s="120" t="e">
        <f aca="false">GC166+(FU166+FV166)*44/12</f>
        <v>#N/A</v>
      </c>
      <c r="GE166" s="120" t="e">
        <f aca="true">AVERAGE(OFFSET($GD$3,0,0,'Données projet'!$E$17+1,1))-AVERAGE(OFFSET($H$3,0,0,'Données projet'!$E$17+1,1))</f>
        <v>#N/A</v>
      </c>
      <c r="GF166" s="120" t="e">
        <f aca="false">$GF$3</f>
        <v>#N/A</v>
      </c>
      <c r="GG166" s="121" t="n">
        <f aca="false">IF(ISNA(VLOOKUP(A166,'Données projet'!$A$243:$I$263,3,0)),0,VLOOKUP(A166,'Données projet'!$A$243:$I$263,3,0))</f>
        <v>0</v>
      </c>
      <c r="GH166" s="121" t="n">
        <f aca="false">IF(ISNA(VLOOKUP(A166,'Données projet'!$A$243:$I$263,4,0)),0,VLOOKUP(A166,'Données projet'!$A$243:$I$263,4,0))</f>
        <v>0</v>
      </c>
      <c r="GI166" s="122" t="n">
        <f aca="false">IF(ISNA(VLOOKUP(A166,'Données projet'!$A$243:$I$263,5,0)),0%,VLOOKUP(A166,'Données projet'!$A$243:$I$263,5,0)*VLOOKUP('Données projet'!$B$17,Paramètres!$A$1:$I$89,7,0))</f>
        <v>0</v>
      </c>
      <c r="GJ166" s="122" t="n">
        <f aca="false">IF(ISNA(VLOOKUP(A166,'Données projet'!$A$243:$I$263,6,0)),0%,VLOOKUP(A166,'Données projet'!$A$243:$I$263,6,0)*VLOOKUP('Données projet'!$B$17,Paramètres!$A$1:$I$89,7,0))</f>
        <v>0</v>
      </c>
      <c r="GK166" s="122" t="n">
        <f aca="false">IF(ISNA(VLOOKUP(A166,'Données projet'!$A$243:$I$263,7,0)),0%,VLOOKUP(A166,'Données projet'!$A$243:$I$263,7,0))</f>
        <v>0</v>
      </c>
      <c r="GL166" s="129" t="e">
        <f aca="false">EXP(-LN(2)/35)*GL165+(1-EXP(-LN(2)/35))/(LN(2)/35)*GH166*GI166*VLOOKUP('Données projet'!$B$17,Paramètres!$A$1:$I$89,3,0)*0.475*44/12</f>
        <v>#N/A</v>
      </c>
      <c r="GM166" s="129" t="e">
        <f aca="false">EXP(-LN(2)/25)*GM165+(1-EXP(-LN(2)/25))/(LN(2)/25)*Calculateur!GH166*Calculateur!GJ166*VLOOKUP('Données projet'!$B$17,Paramètres!$A$1:$I$89,3,0)*0.475*44/12</f>
        <v>#N/A</v>
      </c>
      <c r="GN166" s="129" t="e">
        <f aca="false">EXP(-LN(2)/2)*GN165+(1-EXP(-LN(2)/2))/(LN(2)/2)*GH166*GK166*VLOOKUP('Données projet'!$B$17,Paramètres!$A$1:$I$89,3,0)*0.475*44/12</f>
        <v>#N/A</v>
      </c>
      <c r="GO166" s="129" t="e">
        <f aca="false">SUM(GL166:GN166)</f>
        <v>#N/A</v>
      </c>
      <c r="GP166" s="126" t="n">
        <f aca="false"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8" t="n">
        <f aca="false"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8" t="e">
        <f aca="false">VLOOKUP(A166,'Données projet'!$A$269:$I$289,2,0)</f>
        <v>#N/A</v>
      </c>
      <c r="GS166" s="118" t="e">
        <f aca="false">VLOOKUP(A166,'Données projet'!$A$269:$I$289,9,0)</f>
        <v>#N/A</v>
      </c>
      <c r="GT166" s="118" t="e">
        <f aca="false" t="array" ref="GT166:GT166">INDEX(GS:GS,MIN(IF(ISNUMBER(GS166:GS362),ROW(GS166:GS362),"")))</f>
        <v>#N/A</v>
      </c>
      <c r="GU166" s="118" t="n">
        <f aca="false">IF('Données projet'!$A$270&gt;35,GU165+GT166-HC165,IF(A166&lt;'Données projet'!$A$270,$GR$205^A166,IF(A166='Données projet'!$A$270,'Données projet'!$B$270,GU165+GT166-HC165)))</f>
        <v>0</v>
      </c>
      <c r="GV166" s="125" t="e">
        <f aca="false">GU166*VLOOKUP('Données projet'!$B$18,Paramètres!$A$1:$I$89,3,0)*VLOOKUP('Données projet'!$B$18,Paramètres!$A$1:$I$89,5,0)</f>
        <v>#N/A</v>
      </c>
      <c r="GW166" s="117" t="e">
        <f aca="false">EXP(-1.0587+0.8836*LN(GV166)+0.284)</f>
        <v>#N/A</v>
      </c>
      <c r="GX166" s="128" t="e">
        <f aca="false">(GV166+GW166)*0.475*44/12</f>
        <v>#N/A</v>
      </c>
      <c r="GY166" s="120" t="e">
        <f aca="false">GX166+(GP166+GQ166)*44/12</f>
        <v>#N/A</v>
      </c>
      <c r="GZ166" s="120" t="e">
        <f aca="true">AVERAGE(OFFSET($GY$3,0,0,'Données projet'!$E$18+1,1))-AVERAGE(OFFSET($H$3,0,0,'Données projet'!$E$18+1,1))</f>
        <v>#N/A</v>
      </c>
      <c r="HA166" s="120" t="e">
        <f aca="false">$HA$3</f>
        <v>#N/A</v>
      </c>
      <c r="HB166" s="121" t="n">
        <f aca="false">IF(ISNA(VLOOKUP(A166,'Données projet'!$A$269:$I$289,3,0)),0,VLOOKUP(A166,'Données projet'!$A$269:$I$289,3,0))</f>
        <v>0</v>
      </c>
      <c r="HC166" s="121" t="n">
        <f aca="false">IF(ISNA(VLOOKUP(A166,'Données projet'!$A$269:$I$289,4,0)),0,VLOOKUP(A166,'Données projet'!$A$269:$I$289,4,0))</f>
        <v>0</v>
      </c>
      <c r="HD166" s="122" t="n">
        <f aca="false">IF(ISNA(VLOOKUP(A166,'Données projet'!$A$269:$I$289,5,0)),0%,VLOOKUP(A166,'Données projet'!$A$269:$I$289,5,0)*VLOOKUP('Données projet'!$B$18,Paramètres!$A$1:$I$89,7,0))</f>
        <v>0</v>
      </c>
      <c r="HE166" s="122" t="n">
        <f aca="false">IF(ISNA(VLOOKUP(A166,'Données projet'!$A$269:$I$289,6,0)),0%,VLOOKUP(A166,'Données projet'!$A$269:$I$289,6,0)*VLOOKUP('Données projet'!$B$18,Paramètres!$A$1:$I$89,7,0))</f>
        <v>0</v>
      </c>
      <c r="HF166" s="122" t="n">
        <f aca="false">IF(ISNA(VLOOKUP(A166,'Données projet'!$A$269:$I$289,7,0)),0%,VLOOKUP(A166,'Données projet'!$A$269:$I$289,7,0))</f>
        <v>0</v>
      </c>
      <c r="HG166" s="129" t="e">
        <f aca="false">EXP(-LN(2)/35)*HG165+(1-EXP(-LN(2)/35))/(LN(2)/35)*HC166*HD166*VLOOKUP('Données projet'!$B$18,Paramètres!$A$1:$I$89,3,0)*0.475*44/12</f>
        <v>#N/A</v>
      </c>
      <c r="HH166" s="129" t="e">
        <f aca="false">EXP(-LN(2)/25)*HH165+(1-EXP(-LN(2)/25))/(LN(2)/25)*Calculateur!HC166*Calculateur!HE166*VLOOKUP('Données projet'!$B$18,Paramètres!$A$1:$I$89,3,0)*0.475*44/12</f>
        <v>#N/A</v>
      </c>
      <c r="HI166" s="129" t="e">
        <f aca="false">EXP(-LN(2)/2)*HI165+(1-EXP(-LN(2)/2))/(LN(2)/2)*HC166*HF166*VLOOKUP('Données projet'!$B$18,Paramètres!$A$1:$I$89,3,0)*0.475*44/12</f>
        <v>#N/A</v>
      </c>
      <c r="HJ166" s="130" t="e">
        <f aca="false">SUM(HG166:HI166)</f>
        <v>#N/A</v>
      </c>
    </row>
    <row r="167" customFormat="false" ht="14.25" hidden="false" customHeight="false" outlineLevel="0" collapsed="false">
      <c r="A167" s="112" t="n">
        <f aca="false">A166+1</f>
        <v>164</v>
      </c>
      <c r="B167" s="113" t="n">
        <f aca="false">'Scénario référence'!$B$16*5+'Scénario référence'!$B$17*0+'Scénario référence'!$B$18*5</f>
        <v>0</v>
      </c>
      <c r="C167" s="127" t="n">
        <f aca="false"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4" t="n">
        <f aca="false">IFERROR(EXP(-1.0587+0.8836*LN(C167)+0.284),0)</f>
        <v>0</v>
      </c>
      <c r="E16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7" s="114" t="n">
        <f aca="false">IF(OR('Scénario référence'!$F$8&gt;0,'Scénario référence'!$F$9&gt;0),('Scénario référence'!$F$8+'Scénario référence'!$F$9)*10,0)</f>
        <v>0</v>
      </c>
      <c r="G167" s="114" t="n">
        <f aca="false"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15" t="n">
        <f aca="false">(B167+E167+F167)*44/12+(C167+D167)*0.475*44/12</f>
        <v>256.666666666667</v>
      </c>
      <c r="I167" s="11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7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8" t="e">
        <f aca="false">VLOOKUP(A167,'Données projet'!$A$35:$I$55,2,0)</f>
        <v>#N/A</v>
      </c>
      <c r="L167" s="118" t="e">
        <f aca="false">VLOOKUP(A167,'Données projet'!$A$35:$I$55,9,0)</f>
        <v>#N/A</v>
      </c>
      <c r="M167" s="118" t="e">
        <f aca="false" t="array" ref="M167:M167">INDEX(L:L,MIN(IF(ISNUMBER(L167:L363),ROW(L167:L363),"")))</f>
        <v>#N/A</v>
      </c>
      <c r="N167" s="117" t="n">
        <f aca="false">IF('Données projet'!$A$36&gt;35,N166+M167-V166,IF(A167&lt;'Données projet'!$A$36,$K$205^A167,IF(A167='Données projet'!$A$36,'Données projet'!$B$36,N166+M167-V166)))</f>
        <v>-1.13686837721616E-013</v>
      </c>
      <c r="O167" s="117" t="n">
        <f aca="false">N167*VLOOKUP('Données projet'!$B$9,Paramètres!$A$1:$I$89,3,0)*VLOOKUP('Données projet'!$B$9,Paramètres!$A$1:$I$89,5,0)</f>
        <v>-5.32054400537163E-014</v>
      </c>
      <c r="P167" s="117" t="e">
        <f aca="false">EXP(-1.0587+0.8836*LN(O167)+0.284)</f>
        <v>#VALUE!</v>
      </c>
      <c r="Q167" s="128" t="e">
        <f aca="false">(O167+P167)*0.475*44/12</f>
        <v>#VALUE!</v>
      </c>
      <c r="R167" s="120" t="e">
        <f aca="false">Q167+(I167+J167)*44/12</f>
        <v>#VALUE!</v>
      </c>
      <c r="S167" s="120" t="n">
        <f aca="true">AVERAGE(OFFSET($R$3,0,0,'Données projet'!$E$9+1,1))-AVERAGE(OFFSET($H$3,0,0,'Données projet'!$E$9+1,1))</f>
        <v>319.229030946746</v>
      </c>
      <c r="T167" s="120" t="n">
        <f aca="false">$T$3</f>
        <v>254.586909731428</v>
      </c>
      <c r="U167" s="121" t="n">
        <f aca="false">IF(ISNA(VLOOKUP(A167,'Données projet'!$A$35:$I$55,3,0)),0,VLOOKUP(A167,'Données projet'!$A$35:$I$55,3,0))</f>
        <v>0</v>
      </c>
      <c r="V167" s="121" t="n">
        <f aca="false">IF(ISNA(VLOOKUP(A167,'Données projet'!$A$35:$I$55,4,0)),0,VLOOKUP(A167,'Données projet'!$A$35:$I$55,4,0))</f>
        <v>0</v>
      </c>
      <c r="W167" s="122" t="n">
        <f aca="false">IF(ISNA(VLOOKUP(A167,'Données projet'!$A$35:$I$55,5,0)),0%,VLOOKUP(A167,'Données projet'!$A$35:$I$55,5,0)*VLOOKUP('Données projet'!$B$9,Paramètres!$A$1:$I$89,7,0))</f>
        <v>0</v>
      </c>
      <c r="X167" s="122" t="n">
        <f aca="false">IF(ISNA(VLOOKUP(A167,'Données projet'!$A$35:$I$55,6,0)),0%,VLOOKUP(A167,'Données projet'!$A$35:$I$55,6,0)*VLOOKUP('Données projet'!$B$9,Paramètres!$A$1:$I$89,7,0))</f>
        <v>0</v>
      </c>
      <c r="Y167" s="122" t="n">
        <f aca="false">IF(ISNA(VLOOKUP(A167,'Données projet'!$A$35:$I$55,7,0)),0%,VLOOKUP(A167,'Données projet'!$A$35:$I$55,7,0))</f>
        <v>0</v>
      </c>
      <c r="Z167" s="129" t="n">
        <f aca="false">EXP(-LN(2)/35)*Z166+(1-EXP(-LN(2)/35))/(LN(2)/35)*V167*W167*VLOOKUP('Données projet'!$B$9,Paramètres!$A$1:$I$89,3,0)*0.475*44/12</f>
        <v>0.638833444069691</v>
      </c>
      <c r="AA167" s="129" t="n">
        <f aca="false">EXP(-LN(2)/25)*AA166+(1-EXP(-LN(2)/25))/(LN(2)/25)*Calculateur!V167*Calculateur!X167*VLOOKUP('Données projet'!$B$9,Paramètres!$A$1:$I$89,3,0)*0.475*44/12</f>
        <v>0.271522304040526</v>
      </c>
      <c r="AB167" s="129" t="n">
        <f aca="false">EXP(-LN(2)/2)*AB166+(1-EXP(-LN(2)/2))/(LN(2)/2)*V167*Y167*VLOOKUP('Données projet'!$B$9,Paramètres!$A$1:$I$89,3,0)*0.475*44/12</f>
        <v>7.48311504151648E-020</v>
      </c>
      <c r="AC167" s="130" t="n">
        <f aca="false">SUM(Z167:AB167)</f>
        <v>0.910355748110217</v>
      </c>
      <c r="AD167" s="117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7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8" t="e">
        <f aca="false">VLOOKUP(A167,'Données projet'!$A$61:$I$81,2,0)</f>
        <v>#N/A</v>
      </c>
      <c r="AG167" s="118" t="e">
        <f aca="false">VLOOKUP(A167,'Données projet'!$A$61:$I$81,9,0)</f>
        <v>#N/A</v>
      </c>
      <c r="AH167" s="118" t="e">
        <f aca="false" t="array" ref="AH167:AH167">INDEX(AG:AG,MIN(IF(ISNUMBER(AG167:AG363),ROW(AG167:AG363),"")))</f>
        <v>#N/A</v>
      </c>
      <c r="AI167" s="117" t="n">
        <f aca="false">IF('Données projet'!$A$62&gt;35,AI166+AH167-AQ166,IF(A167&lt;'Données projet'!$A$62,$AF$205^A167,IF(A167='Données projet'!$A$62,'Données projet'!$B$62,AI166+AH167-AQ166)))</f>
        <v>1.13686837721616E-013</v>
      </c>
      <c r="AJ167" s="117" t="n">
        <f aca="false">AI167*VLOOKUP('Données projet'!$B$10,Paramètres!$A$1:$I$89,3,0)*VLOOKUP('Données projet'!$B$10,Paramètres!$A$1:$I$89,5,0)</f>
        <v>6.35509422863834E-014</v>
      </c>
      <c r="AK167" s="117" t="n">
        <f aca="false">EXP(-1.0587+0.8836*LN(AJ167)+0.284)</f>
        <v>1.0064464192544E-012</v>
      </c>
      <c r="AL167" s="128" t="n">
        <f aca="false">(AJ167+AK167)*0.475*44/12</f>
        <v>1.86357873801686E-012</v>
      </c>
      <c r="AM167" s="120" t="n">
        <f aca="false">AL167+(AD167+AE167)*44/12</f>
        <v>293.333333333335</v>
      </c>
      <c r="AN167" s="120" t="n">
        <f aca="true">AVERAGE(OFFSET($AM$3,0,0,'Données projet'!$E$10+1,1))-AVERAGE(OFFSET($H$3,0,0,'Données projet'!$E$10+1,1))</f>
        <v>365.705101827279</v>
      </c>
      <c r="AO167" s="120" t="n">
        <f aca="false">$AO$3</f>
        <v>436.238338449625</v>
      </c>
      <c r="AP167" s="121" t="n">
        <f aca="false">IF(ISNA(VLOOKUP(A167,'Données projet'!$A$61:$I$81,3,0)),0,VLOOKUP(A167,'Données projet'!$A$61:$I$81,3,0))</f>
        <v>0</v>
      </c>
      <c r="AQ167" s="121" t="n">
        <f aca="false">IF(ISNA(VLOOKUP(A167,'Données projet'!$A$61:$I$81,4,0)),0,VLOOKUP(A167,'Données projet'!$A$61:$I$81,4,0))</f>
        <v>0</v>
      </c>
      <c r="AR167" s="122" t="n">
        <f aca="false">IF(ISNA(VLOOKUP(A167,'Données projet'!$A$61:$I$81,5,0)),0%,VLOOKUP(A167,'Données projet'!$A$61:$I$81,5,0)*VLOOKUP('Données projet'!$B$10,Paramètres!$A$1:$I$89,7,0))</f>
        <v>0</v>
      </c>
      <c r="AS167" s="122" t="n">
        <f aca="false">IF(ISNA(VLOOKUP(A167,'Données projet'!$A$61:$I$81,6,0)),0%,VLOOKUP(A167,'Données projet'!$A$61:$I$81,6,0)*VLOOKUP('Données projet'!$B$10,Paramètres!$A$1:$I$89,7,0))</f>
        <v>0</v>
      </c>
      <c r="AT167" s="122" t="n">
        <f aca="false">IF(ISNA(VLOOKUP(A167,'Données projet'!$A$61:$I$81,7,0)),0%,VLOOKUP(A167,'Données projet'!$A$61:$I$81,7,0))</f>
        <v>0</v>
      </c>
      <c r="AU167" s="129" t="n">
        <f aca="false">EXP(-LN(2)/35)*AU166+(1-EXP(-LN(2)/35))/(LN(2)/35)*AQ167*AR167*VLOOKUP('Données projet'!$B$10,Paramètres!$A$1:$I$89,3,0)*0.475*44/12</f>
        <v>0.241138913255512</v>
      </c>
      <c r="AV167" s="129" t="n">
        <f aca="false">EXP(-LN(2)/25)*AV166+(1-EXP(-LN(2)/25))/(LN(2)/25)*Calculateur!AQ167*Calculateur!AS167*VLOOKUP('Données projet'!$B$10,Paramètres!$A$1:$I$89,3,0)*0.475*44/12</f>
        <v>0.321603487958445</v>
      </c>
      <c r="AW167" s="129" t="n">
        <f aca="false">EXP(-LN(2)/2)*AW166+(1-EXP(-LN(2)/2))/(LN(2)/2)*AQ167*AT167*VLOOKUP('Données projet'!$B$10,Paramètres!$A$1:$I$89,3,0)*0.475*44/12</f>
        <v>4.02717863239745E-020</v>
      </c>
      <c r="AX167" s="129" t="n">
        <f aca="false">SUM(AU167:AW167)</f>
        <v>0.562742401213957</v>
      </c>
      <c r="AY167" s="124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8" t="e">
        <f aca="false">VLOOKUP(A167,'Données projet'!$A$87:$I$107,2,0)</f>
        <v>#N/A</v>
      </c>
      <c r="BB167" s="118" t="e">
        <f aca="false">VLOOKUP(A167,'Données projet'!$A$87:$I$107,9,0)</f>
        <v>#N/A</v>
      </c>
      <c r="BC167" s="118" t="e">
        <f aca="false" t="array" ref="BC167:BC167">INDEX(BB:BB,MIN(IF(ISNUMBER(BB167:BB363),ROW(BB167:BB363),"")))</f>
        <v>#N/A</v>
      </c>
      <c r="BD167" s="118" t="n">
        <f aca="false">IF('Données projet'!$A$88&gt;35,BD166+BC167-BL166,IF(A167&lt;'Données projet'!$A$88,$BA$205^A167,IF(A167='Données projet'!$A$88,'Données projet'!$B$88,BD166+BC167-BL166)))</f>
        <v>1.98951966012828E-013</v>
      </c>
      <c r="BE167" s="117" t="n">
        <f aca="false">BD167*VLOOKUP('Données projet'!$B$11,Paramètres!$A$1:$I$89,3,0)*VLOOKUP('Données projet'!$B$11,Paramètres!$A$1:$I$89,5,0)</f>
        <v>1.73804437508807E-013</v>
      </c>
      <c r="BF167" s="117" t="n">
        <f aca="false">EXP(-1.0587+0.8836*LN(BE167)+0.284)</f>
        <v>2.44832936339505E-012</v>
      </c>
      <c r="BG167" s="128" t="n">
        <f aca="false">(BE167+BF167)*0.475*44/12</f>
        <v>4.56688303657421E-012</v>
      </c>
      <c r="BH167" s="120" t="n">
        <f aca="false">BG167+(AY167+AZ167)*44/12</f>
        <v>293.333333333338</v>
      </c>
      <c r="BI167" s="120" t="n">
        <f aca="true">AVERAGE(OFFSET($BH$3,0,0,'Données projet'!$E$11+1,1))-AVERAGE(OFFSET($H$3,0,0,'Données projet'!$E$11+1,1))</f>
        <v>321.235999689929</v>
      </c>
      <c r="BJ167" s="120" t="n">
        <f aca="false">$BJ$3</f>
        <v>388.051958478005</v>
      </c>
      <c r="BK167" s="121" t="n">
        <f aca="false">IF(ISNA(VLOOKUP(A167,'Données projet'!$A$87:$I$107,3,0)),0,VLOOKUP(A167,'Données projet'!$A$87:$I$107,3,0))</f>
        <v>0</v>
      </c>
      <c r="BL167" s="121" t="n">
        <f aca="false">IF(ISNA(VLOOKUP(A167,'Données projet'!$A$87:$I$107,4,0)),0,VLOOKUP(A167,'Données projet'!$A$87:$I$107,4,0))</f>
        <v>0</v>
      </c>
      <c r="BM167" s="122" t="n">
        <f aca="false">IF(ISNA(VLOOKUP(A167,'Données projet'!$A$87:$I$107,5,0)),0%,VLOOKUP(A167,'Données projet'!$A$87:$I$107,5,0)*VLOOKUP('Données projet'!$B$11,Paramètres!$A$1:$I$89,7,0))</f>
        <v>0</v>
      </c>
      <c r="BN167" s="122" t="n">
        <f aca="false">IF(ISNA(VLOOKUP(A167,'Données projet'!$A$87:$I$107,6,0)),0%,VLOOKUP(A167,'Données projet'!$A$87:$I$107,6,0)*VLOOKUP('Données projet'!$B$11,Paramètres!$A$1:$I$89,7,0))</f>
        <v>0</v>
      </c>
      <c r="BO167" s="122" t="n">
        <f aca="false">IF(ISNA(VLOOKUP(A167,'Données projet'!$A$87:$I$107,7,0)),0%,VLOOKUP(A167,'Données projet'!$A$87:$I$107,7,0))</f>
        <v>0</v>
      </c>
      <c r="BP167" s="129" t="n">
        <f aca="false">EXP(-LN(2)/35)*BP166+(1-EXP(-LN(2)/35))/(LN(2)/35)*BL167*BM167*VLOOKUP('Données projet'!$B$11,Paramètres!$A$1:$I$89,3,0)*0.475*44/12</f>
        <v>0.605408504405498</v>
      </c>
      <c r="BQ167" s="129" t="n">
        <f aca="false">EXP(-LN(2)/25)*BQ166+(1-EXP(-LN(2)/25))/(LN(2)/25)*Calculateur!BL167*Calculateur!BN167*VLOOKUP('Données projet'!$B$11,Paramètres!$A$1:$I$89,3,0)*0.475*44/12</f>
        <v>0.328273738441821</v>
      </c>
      <c r="BR167" s="129" t="n">
        <f aca="false">EXP(-LN(2)/2)*BR166+(1-EXP(-LN(2)/2))/(LN(2)/2)*BL167*BO167*VLOOKUP('Données projet'!$B$11,Paramètres!$A$1:$I$89,3,0)*0.475*44/12</f>
        <v>4.09354337353253E-020</v>
      </c>
      <c r="BS167" s="130" t="n">
        <f aca="false">SUM(BP167:BR167)</f>
        <v>0.933682242847319</v>
      </c>
      <c r="BT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8" t="e">
        <f aca="false">VLOOKUP(A167,'Données projet'!$A$113:$I$133,2,0)</f>
        <v>#N/A</v>
      </c>
      <c r="BW167" s="118" t="e">
        <f aca="false">VLOOKUP(A167,'Données projet'!$A$113:$I$133,9,0)</f>
        <v>#N/A</v>
      </c>
      <c r="BX167" s="118" t="e">
        <f aca="false" t="array" ref="BX167:BX167">INDEX(BW:BW,MIN(IF(ISNUMBER(BW167:BW363),ROW(BW167:BW363),"")))</f>
        <v>#N/A</v>
      </c>
      <c r="BY167" s="118" t="n">
        <f aca="false">IF('Données projet'!$A$114&gt;35,BY166+BX167-CG166,IF(A167&lt;'Données projet'!$A$114,$BV$205^A167,IF(A167='Données projet'!$A$114,'Données projet'!$B$114,BY166+BX167-CG166)))</f>
        <v>0</v>
      </c>
      <c r="BZ167" s="117" t="n">
        <f aca="false">BY167*VLOOKUP('Données projet'!$B$12,Paramètres!$A$1:$I$89,3,0)*VLOOKUP('Données projet'!$B$12,Paramètres!$A$1:$I$89,5,0)</f>
        <v>0</v>
      </c>
      <c r="CA167" s="117" t="e">
        <f aca="false">EXP(-1.0587+0.8836*LN(BZ167)+0.284)</f>
        <v>#VALUE!</v>
      </c>
      <c r="CB167" s="128" t="e">
        <f aca="false">(BZ167+CA167)*0.475*44/12</f>
        <v>#VALUE!</v>
      </c>
      <c r="CC167" s="120" t="e">
        <f aca="false">CB167+(BT167+BU167)*44/12</f>
        <v>#VALUE!</v>
      </c>
      <c r="CD167" s="120" t="n">
        <f aca="true">AVERAGE(OFFSET($CC$3,0,0,'Données projet'!$E$12+1,1))-AVERAGE(OFFSET($H$3,0,0,'Données projet'!$E$12+1,1))</f>
        <v>240.228848647662</v>
      </c>
      <c r="CE167" s="120" t="n">
        <f aca="false">$CE$3</f>
        <v>343.237768841432</v>
      </c>
      <c r="CF167" s="121" t="n">
        <f aca="false">IF(ISNA(VLOOKUP(A167,'Données projet'!$A$113:$I$133,3,0)),0,VLOOKUP(A167,'Données projet'!$A$113:$I$133,3,0))</f>
        <v>0</v>
      </c>
      <c r="CG167" s="121" t="n">
        <f aca="false">IF(ISNA(VLOOKUP(A167,'Données projet'!$A$113:$I$133,4,0)),0,VLOOKUP(A167,'Données projet'!$A$113:$I$133,4,0))</f>
        <v>0</v>
      </c>
      <c r="CH167" s="122" t="n">
        <f aca="false">IF(ISNA(VLOOKUP(A167,'Données projet'!$A$113:$I$133,5,0)),0%,VLOOKUP(A167,'Données projet'!$A$113:$I$133,5,0)*VLOOKUP('Données projet'!$B$12,Paramètres!$A$1:$I$89,7,0))</f>
        <v>0</v>
      </c>
      <c r="CI167" s="122" t="n">
        <f aca="false">IF(ISNA(VLOOKUP(A167,'Données projet'!$A$113:$I$133,6,0)),0%,VLOOKUP(A167,'Données projet'!$A$113:$I$133,6,0)*VLOOKUP('Données projet'!$B$12,Paramètres!$A$1:$I$89,7,0))</f>
        <v>0</v>
      </c>
      <c r="CJ167" s="122" t="n">
        <f aca="false">IF(ISNA(VLOOKUP(A167,'Données projet'!$A$113:$I$133,7,0)),0%,VLOOKUP(A167,'Données projet'!$A$113:$I$133,7,0))</f>
        <v>0</v>
      </c>
      <c r="CK167" s="129" t="n">
        <f aca="false">EXP(-LN(2)/35)*CK166+(1-EXP(-LN(2)/35))/(LN(2)/35)*CG167*CH167*VLOOKUP('Données projet'!$B$12,Paramètres!$A$1:$I$89,3,0)*0.475*44/12</f>
        <v>0.37055717023378</v>
      </c>
      <c r="CL167" s="129" t="n">
        <f aca="false">EXP(-LN(2)/25)*CL166+(1-EXP(-LN(2)/25))/(LN(2)/25)*Calculateur!CG167*Calculateur!CI167*VLOOKUP('Données projet'!$B$12,Paramètres!$A$1:$I$89,3,0)*0.475*44/12</f>
        <v>0.579750425817774</v>
      </c>
      <c r="CM167" s="129" t="n">
        <f aca="false">EXP(-LN(2)/2)*CM166+(1-EXP(-LN(2)/2))/(LN(2)/2)*CG167*CJ167*VLOOKUP('Données projet'!$B$12,Paramètres!$A$1:$I$89,3,0)*0.475*44/12</f>
        <v>6.53220388612005E-020</v>
      </c>
      <c r="CN167" s="130" t="n">
        <f aca="false">SUM(CK167:CM167)</f>
        <v>0.950307596051554</v>
      </c>
      <c r="CO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8" t="e">
        <f aca="false">VLOOKUP(A167,'Données projet'!$A$139:$I$159,2,0)</f>
        <v>#N/A</v>
      </c>
      <c r="CR167" s="118" t="e">
        <f aca="false">VLOOKUP(A167,'Données projet'!$A$139:$I$159,9,0)</f>
        <v>#N/A</v>
      </c>
      <c r="CS167" s="118" t="e">
        <f aca="false" t="array" ref="CS167:CS167">INDEX(CR:CR,MIN(IF(ISNUMBER(CR167:CR363),ROW(CR167:CR363),"")))</f>
        <v>#N/A</v>
      </c>
      <c r="CT167" s="118" t="n">
        <f aca="false">IF('Données projet'!$A$140&gt;35,CT166+CS167-DB166,IF(A167&lt;'Données projet'!$A$140,$CQ$205^A167,IF(A167='Données projet'!$A$140,'Données projet'!$B$140,CT166+CS167-DB166)))</f>
        <v>-5.6843418860808E-014</v>
      </c>
      <c r="CU167" s="125" t="n">
        <f aca="false">CT167*VLOOKUP('Données projet'!$B$13,Paramètres!$A$1:$I$89,3,0)*VLOOKUP('Données projet'!$B$13,Paramètres!$A$1:$I$89,5,0)</f>
        <v>-3.10365066980012E-014</v>
      </c>
      <c r="CV167" s="117" t="e">
        <f aca="false">EXP(-1.0587+0.8836*LN(CU167)+0.284)</f>
        <v>#VALUE!</v>
      </c>
      <c r="CW167" s="128" t="e">
        <f aca="false">(CU167+CV167)*0.475*44/12</f>
        <v>#VALUE!</v>
      </c>
      <c r="CX167" s="120" t="e">
        <f aca="false">CW167+(CO167+CP167)*44/12</f>
        <v>#VALUE!</v>
      </c>
      <c r="CY167" s="120" t="n">
        <f aca="true">AVERAGE(OFFSET($CX$3,0,0,'Données projet'!$E$13+1,1))-AVERAGE(OFFSET($H$3,0,0,'Données projet'!$E$13+1,1))</f>
        <v>207.023069645676</v>
      </c>
      <c r="CZ167" s="120" t="n">
        <f aca="false">$CZ$3</f>
        <v>342.068879333518</v>
      </c>
      <c r="DA167" s="121" t="n">
        <f aca="false">IF(ISNA(VLOOKUP(A167,'Données projet'!$A$139:$I$159,3,0)),0,VLOOKUP(A167,'Données projet'!$A$139:$I$159,3,0))</f>
        <v>0</v>
      </c>
      <c r="DB167" s="121" t="n">
        <f aca="false">IF(ISNA(VLOOKUP(A167,'Données projet'!$A$139:$I$159,4,0)),0,VLOOKUP(A167,'Données projet'!$A$139:$I$159,4,0))</f>
        <v>0</v>
      </c>
      <c r="DC167" s="122" t="n">
        <f aca="false">IF(ISNA(VLOOKUP(A167,'Données projet'!$A$139:$I$159,5,0)),0%,VLOOKUP(A167,'Données projet'!$A$139:$I$159,5,0)*VLOOKUP('Données projet'!$B$13,Paramètres!$A$1:$I$89,7,0))</f>
        <v>0</v>
      </c>
      <c r="DD167" s="122" t="n">
        <f aca="false">IF(ISNA(VLOOKUP(A167,'Données projet'!$A$139:$I$159,6,0)),0%,VLOOKUP(A167,'Données projet'!$A$139:$I$159,6,0)*VLOOKUP('Données projet'!$B$13,Paramètres!$A$1:$I$89,7,0))</f>
        <v>0</v>
      </c>
      <c r="DE167" s="122" t="n">
        <f aca="false">IF(ISNA(VLOOKUP(A167,'Données projet'!$A$139:$I$159,7,0)),0%,VLOOKUP(A167,'Données projet'!$A$139:$I$159,7,0))</f>
        <v>0</v>
      </c>
      <c r="DF167" s="129" t="n">
        <f aca="false">EXP(-LN(2)/35)*DF166+(1-EXP(-LN(2)/35))/(LN(2)/35)*DB167*DC167*VLOOKUP('Données projet'!$B$13,Paramètres!$A$1:$I$89,3,0)*0.475*44/12</f>
        <v>0.464944373972573</v>
      </c>
      <c r="DG167" s="129" t="n">
        <f aca="false">EXP(-LN(2)/25)*DG166+(1-EXP(-LN(2)/25))/(LN(2)/25)*Calculateur!DB167*Calculateur!DD167*VLOOKUP('Données projet'!$B$13,Paramètres!$A$1:$I$89,3,0)*0.475*44/12</f>
        <v>0.947650486637537</v>
      </c>
      <c r="DH167" s="129" t="n">
        <f aca="false">EXP(-LN(2)/2)*DH166+(1-EXP(-LN(2)/2))/(LN(2)/2)*DB167*DE167*VLOOKUP('Données projet'!$B$13,Paramètres!$A$1:$I$89,3,0)*0.475*44/12</f>
        <v>8.99484777968157E-020</v>
      </c>
      <c r="DI167" s="130" t="n">
        <f aca="false">SUM(DF167:DH167)</f>
        <v>1.41259486061011</v>
      </c>
      <c r="DJ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8" t="e">
        <f aca="false">VLOOKUP(A167,'Données projet'!$A$165:$I$185,2,0)</f>
        <v>#N/A</v>
      </c>
      <c r="DM167" s="118" t="e">
        <f aca="false">VLOOKUP(A167,'Données projet'!$A$165:$I$185,9,0)</f>
        <v>#N/A</v>
      </c>
      <c r="DN167" s="118" t="e">
        <f aca="false" t="array" ref="DN167:DN167">INDEX(DM:DM,MIN(IF(ISNUMBER(DM167:DM363),ROW(DM167:DM363),"")))</f>
        <v>#N/A</v>
      </c>
      <c r="DO167" s="118" t="n">
        <f aca="false">IF('Données projet'!$A$166&gt;35,DO166+DN167-DW166,IF(A167&lt;'Données projet'!$A$166,$DL$205^A167,IF(A167='Données projet'!$A$166,'Données projet'!$B$166,DO166+DN167-DW166)))</f>
        <v>0</v>
      </c>
      <c r="DP167" s="125" t="n">
        <f aca="false">DO167*VLOOKUP('Données projet'!$B$14,Paramètres!$A$1:$I$89,3,0)*VLOOKUP('Données projet'!$B$14,Paramètres!$A$1:$I$89,5,0)</f>
        <v>0</v>
      </c>
      <c r="DQ167" s="117" t="e">
        <f aca="false">EXP(-1.0587+0.8836*LN(DP167)+0.284)</f>
        <v>#VALUE!</v>
      </c>
      <c r="DR167" s="128" t="e">
        <f aca="false">(DP167+DQ167)*0.475*44/12</f>
        <v>#VALUE!</v>
      </c>
      <c r="DS167" s="120" t="e">
        <f aca="false">DR167+(DJ167+DK167)*44/12</f>
        <v>#VALUE!</v>
      </c>
      <c r="DT167" s="120" t="n">
        <f aca="true">AVERAGE(OFFSET($DS$3,0,0,'Données projet'!$E$14+1,1))-AVERAGE(OFFSET($H$3,0,0,'Données projet'!$E$14+1,1))</f>
        <v>549.432320957297</v>
      </c>
      <c r="DU167" s="120" t="n">
        <f aca="false">$DU$3</f>
        <v>280.26155987301</v>
      </c>
      <c r="DV167" s="121" t="n">
        <f aca="false">IF(ISNA(VLOOKUP(A167,'Données projet'!$A$165:$I$185,3,0)),0,VLOOKUP(A167,'Données projet'!$A$165:$I$185,3,0))</f>
        <v>0</v>
      </c>
      <c r="DW167" s="121" t="n">
        <f aca="false">IF(ISNA(VLOOKUP(A167,'Données projet'!$A$165:$I$185,4,0)),0,VLOOKUP(A167,'Données projet'!$A$165:$I$185,4,0))</f>
        <v>0</v>
      </c>
      <c r="DX167" s="122" t="n">
        <f aca="false">IF(ISNA(VLOOKUP(A167,'Données projet'!$A$165:$I$185,5,0)),0%,VLOOKUP(A167,'Données projet'!$A$165:$I$185,5,0)*VLOOKUP('Données projet'!$B$14,Paramètres!$A$1:$I$89,7,0))</f>
        <v>0</v>
      </c>
      <c r="DY167" s="122" t="n">
        <f aca="false">IF(ISNA(VLOOKUP(A167,'Données projet'!$A$165:$I$185,6,0)),0%,VLOOKUP(A167,'Données projet'!$A$165:$I$185,6,0)*VLOOKUP('Données projet'!$B$14,Paramètres!$A$1:$I$89,7,0))</f>
        <v>0</v>
      </c>
      <c r="DZ167" s="122" t="n">
        <f aca="false">IF(ISNA(VLOOKUP(A167,'Données projet'!$A$165:$I$185,7,0)),0%,VLOOKUP(A167,'Données projet'!$A$165:$I$185,7,0))</f>
        <v>0</v>
      </c>
      <c r="EA167" s="129" t="n">
        <f aca="false">EXP(-LN(2)/35)*EA166+(1-EXP(-LN(2)/35))/(LN(2)/35)*DW167*DX167*VLOOKUP('Données projet'!$B$14,Paramètres!$A$1:$I$89,3,0)*0.475*44/12</f>
        <v>0.169053255943078</v>
      </c>
      <c r="EB167" s="129" t="n">
        <f aca="false">EXP(-LN(2)/25)*EB166+(1-EXP(-LN(2)/25))/(LN(2)/25)*Calculateur!DW167*Calculateur!DY167*VLOOKUP('Données projet'!$B$14,Paramètres!$A$1:$I$89,3,0)*0.475*44/12</f>
        <v>0.188790673753678</v>
      </c>
      <c r="EC167" s="129" t="n">
        <f aca="false">EXP(-LN(2)/2)*EC166+(1-EXP(-LN(2)/2))/(LN(2)/2)*DW167*DZ167*VLOOKUP('Données projet'!$B$14,Paramètres!$A$1:$I$89,3,0)*0.475*44/12</f>
        <v>4.14643941371774E-020</v>
      </c>
      <c r="ED167" s="130" t="n">
        <f aca="false">SUM(EA167:EC167)</f>
        <v>0.357843929696755</v>
      </c>
      <c r="EE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8" t="e">
        <f aca="false">VLOOKUP(A167,'Données projet'!$A$191:$I$211,2,0)</f>
        <v>#N/A</v>
      </c>
      <c r="EH167" s="118" t="e">
        <f aca="false">VLOOKUP(A167,'Données projet'!$A$191:$I$211,9,0)</f>
        <v>#N/A</v>
      </c>
      <c r="EI167" s="118" t="e">
        <f aca="false" t="array" ref="EI167:EI167">INDEX(EH:EH,MIN(IF(ISNUMBER(EH167:EH363),ROW(EH167:EH363),"")))</f>
        <v>#N/A</v>
      </c>
      <c r="EJ167" s="118" t="n">
        <f aca="false">IF('Données projet'!$A$192&gt;35,EJ166+EI167-ER166,IF(A167&lt;'Données projet'!$A$192,$EG$205^A167,IF(A167='Données projet'!$A$192,'Données projet'!$B$192,EJ166+EI167-ER166)))</f>
        <v>0</v>
      </c>
      <c r="EK167" s="125" t="e">
        <f aca="false">EJ167*VLOOKUP('Données projet'!$B$15,Paramètres!$A$1:$I$89,3,0)*VLOOKUP('Données projet'!$B$15,Paramètres!$A$1:$I$89,5,0)</f>
        <v>#N/A</v>
      </c>
      <c r="EL167" s="117" t="e">
        <f aca="false">EXP(-1.0587+0.8836*LN(EK167)+0.284)</f>
        <v>#N/A</v>
      </c>
      <c r="EM167" s="128" t="e">
        <f aca="false">(EK167+EL167)*0.475*44/12</f>
        <v>#N/A</v>
      </c>
      <c r="EN167" s="120" t="e">
        <f aca="false">EM167+(EE167+EF167)*44/12</f>
        <v>#N/A</v>
      </c>
      <c r="EO167" s="120" t="e">
        <f aca="true">AVERAGE(OFFSET($EN$3,0,0,'Données projet'!$E$15+1,1))-AVERAGE(OFFSET($H$3,0,0,'Données projet'!$E$15+1,1))</f>
        <v>#N/A</v>
      </c>
      <c r="EP167" s="120" t="e">
        <f aca="false">$EP$3</f>
        <v>#N/A</v>
      </c>
      <c r="EQ167" s="121" t="n">
        <f aca="false">IF(ISNA(VLOOKUP(A167,'Données projet'!$A$191:$I$211,3,0)),0,VLOOKUP(A167,'Données projet'!$A$191:$I$211,3,0))</f>
        <v>0</v>
      </c>
      <c r="ER167" s="121" t="n">
        <f aca="false">IF(ISNA(VLOOKUP(A167,'Données projet'!$A$191:$I$211,4,0)),0,VLOOKUP(A167,'Données projet'!$A$191:$I$211,4,0))</f>
        <v>0</v>
      </c>
      <c r="ES167" s="122" t="n">
        <f aca="false">IF(ISNA(VLOOKUP(A167,'Données projet'!$A$191:$I$211,5,0)),0%,VLOOKUP(A167,'Données projet'!$A$191:$I$211,5,0)*VLOOKUP('Données projet'!$B$15,Paramètres!$A$1:$I$89,7,0))</f>
        <v>0</v>
      </c>
      <c r="ET167" s="122" t="n">
        <f aca="false">IF(ISNA(VLOOKUP(A167,'Données projet'!$A$191:$I$211,6,0)),0%,VLOOKUP(A167,'Données projet'!$A$191:$I$211,6,0)*VLOOKUP('Données projet'!$B$15,Paramètres!$A$1:$I$89,7,0))</f>
        <v>0</v>
      </c>
      <c r="EU167" s="122" t="n">
        <f aca="false">IF(ISNA(VLOOKUP(A167,'Données projet'!$A$191:$I$211,7,0)),0%,VLOOKUP(A167,'Données projet'!$A$191:$I$211,7,0))</f>
        <v>0</v>
      </c>
      <c r="EV167" s="129" t="e">
        <f aca="false">EXP(-LN(2)/35)*EV166+(1-EXP(-LN(2)/35))/(LN(2)/35)*ER167*ES167*VLOOKUP('Données projet'!$B$15,Paramètres!$A$1:$I$89,3,0)*0.475*44/12</f>
        <v>#N/A</v>
      </c>
      <c r="EW167" s="129" t="e">
        <f aca="false">EXP(-LN(2)/25)*EW166+(1-EXP(-LN(2)/25))/(LN(2)/25)*Calculateur!ER167*Calculateur!ET167*VLOOKUP('Données projet'!$B$15,Paramètres!$A$1:$I$89,3,0)*0.475*44/12</f>
        <v>#N/A</v>
      </c>
      <c r="EX167" s="129" t="e">
        <f aca="false">EXP(-LN(2)/2)*EX166+(1-EXP(-LN(2)/2))/(LN(2)/2)*ER167*EU167*VLOOKUP('Données projet'!$B$15,Paramètres!$A$1:$I$89,3,0)*0.475*44/12</f>
        <v>#N/A</v>
      </c>
      <c r="EY167" s="130" t="e">
        <f aca="false">SUM(EV167:EX167)</f>
        <v>#N/A</v>
      </c>
      <c r="EZ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8" t="e">
        <f aca="false">VLOOKUP(A167,'Données projet'!$A$217:$I$237,2,0)</f>
        <v>#N/A</v>
      </c>
      <c r="FC167" s="118" t="e">
        <f aca="false">VLOOKUP(A167,'Données projet'!$A$217:$I$237,9,0)</f>
        <v>#N/A</v>
      </c>
      <c r="FD167" s="118" t="e">
        <f aca="false" t="array" ref="FD167:FD167">INDEX(FC:FC,MIN(IF(ISNUMBER(FC167:FC363),ROW(FC167:FC363),"")))</f>
        <v>#N/A</v>
      </c>
      <c r="FE167" s="118" t="n">
        <f aca="false">IF('Données projet'!$A$218&gt;35,FE166+FD167-FM166,IF(A167&lt;'Données projet'!$A$218,$FB$205^A167,IF(A167='Données projet'!$A$218,'Données projet'!$B$218,FE166+FD167-FM166)))</f>
        <v>0</v>
      </c>
      <c r="FF167" s="125" t="e">
        <f aca="false">FE167*VLOOKUP('Données projet'!$B$16,Paramètres!$A$1:$I$89,3,0)*VLOOKUP('Données projet'!$B$16,Paramètres!$A$1:$I$89,5,0)</f>
        <v>#N/A</v>
      </c>
      <c r="FG167" s="117" t="e">
        <f aca="false">EXP(-1.0587+0.8836*LN(FF167)+0.284)</f>
        <v>#N/A</v>
      </c>
      <c r="FH167" s="128" t="e">
        <f aca="false">(FF167+FG167)*0.475*44/12</f>
        <v>#N/A</v>
      </c>
      <c r="FI167" s="120" t="e">
        <f aca="false">FH167+(EZ167+FA167)*44/12</f>
        <v>#N/A</v>
      </c>
      <c r="FJ167" s="120" t="e">
        <f aca="true">AVERAGE(OFFSET($FI$3,0,0,'Données projet'!$E$16+1,1))-AVERAGE(OFFSET($H$3,0,0,'Données projet'!$E$16+1,1))</f>
        <v>#N/A</v>
      </c>
      <c r="FK167" s="120" t="e">
        <f aca="false">$FK$3</f>
        <v>#N/A</v>
      </c>
      <c r="FL167" s="121" t="n">
        <f aca="false">IF(ISNA(VLOOKUP(A167,'Données projet'!$A$217:$I$237,3,0)),0,VLOOKUP(A167,'Données projet'!$A$217:$I$237,3,0))</f>
        <v>0</v>
      </c>
      <c r="FM167" s="121" t="n">
        <f aca="false">IF(ISNA(VLOOKUP(A167,'Données projet'!$A$217:$I$237,4,0)),0,VLOOKUP(A167,'Données projet'!$A$217:$I$237,4,0))</f>
        <v>0</v>
      </c>
      <c r="FN167" s="122" t="n">
        <f aca="false">IF(ISNA(VLOOKUP(A167,'Données projet'!$A$217:$I$237,5,0)),0%,VLOOKUP(A167,'Données projet'!$A$217:$I$237,5,0)*VLOOKUP('Données projet'!$B$16,Paramètres!$A$1:$I$89,7,0))</f>
        <v>0</v>
      </c>
      <c r="FO167" s="122" t="n">
        <f aca="false">IF(ISNA(VLOOKUP(A167,'Données projet'!$A$217:$I$237,6,0)),0%,VLOOKUP(A167,'Données projet'!$A$217:$I$237,6,0)*VLOOKUP('Données projet'!$B$16,Paramètres!$A$1:$I$89,7,0))</f>
        <v>0</v>
      </c>
      <c r="FP167" s="122" t="n">
        <f aca="false">IF(ISNA(VLOOKUP(A167,'Données projet'!$A$217:$I$237,7,0)),0%,VLOOKUP(A167,'Données projet'!$A$217:$I$237,7,0))</f>
        <v>0</v>
      </c>
      <c r="FQ167" s="129" t="e">
        <f aca="false">EXP(-LN(2)/35)*FQ166+(1-EXP(-LN(2)/35))/(LN(2)/35)*FM167*FN167*VLOOKUP('Données projet'!$B$16,Paramètres!$A$1:$I$89,3,0)*0.475*44/12</f>
        <v>#N/A</v>
      </c>
      <c r="FR167" s="129" t="e">
        <f aca="false">EXP(-LN(2)/25)*FR166+(1-EXP(-LN(2)/25))/(LN(2)/25)*Calculateur!FM167*Calculateur!FO167*VLOOKUP('Données projet'!$B$16,Paramètres!$A$1:$I$89,3,0)*0.475*44/12</f>
        <v>#N/A</v>
      </c>
      <c r="FS167" s="129" t="e">
        <f aca="false">EXP(-LN(2)/2)*FS166+(1-EXP(-LN(2)/2))/(LN(2)/2)*FM167*FP167*VLOOKUP('Données projet'!$B$16,Paramètres!$A$1:$I$89,3,0)*0.475*44/12</f>
        <v>#N/A</v>
      </c>
      <c r="FT167" s="130" t="e">
        <f aca="false">SUM(FQ167:FS167)</f>
        <v>#N/A</v>
      </c>
      <c r="FU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8" t="e">
        <f aca="false">VLOOKUP(A167,'Données projet'!$A$243:$I$263,2,0)</f>
        <v>#N/A</v>
      </c>
      <c r="FX167" s="118" t="e">
        <f aca="false">VLOOKUP(A167,'Données projet'!$A$243:$I$263,9,0)</f>
        <v>#N/A</v>
      </c>
      <c r="FY167" s="118" t="e">
        <f aca="false" t="array" ref="FY167:FY167">INDEX(FX:FX,MIN(IF(ISNUMBER(FX167:FX363),ROW(FX167:FX363),"")))</f>
        <v>#N/A</v>
      </c>
      <c r="FZ167" s="118" t="n">
        <f aca="false">IF('Données projet'!$A$244&gt;35,FZ166+FY167-GH166,IF(A167&lt;'Données projet'!$A$244,$FW$205^A167,IF(A167='Données projet'!$A$244,'Données projet'!$B$244,FZ166+FY167-GH166)))</f>
        <v>0</v>
      </c>
      <c r="GA167" s="125" t="e">
        <f aca="false">FZ167*VLOOKUP('Données projet'!$B$17,Paramètres!$A$1:$I$89,3,0)*VLOOKUP('Données projet'!$B$17,Paramètres!$A$1:$I$89,5,0)</f>
        <v>#N/A</v>
      </c>
      <c r="GB167" s="117" t="e">
        <f aca="false">EXP(-1.0587+0.8836*LN(GA167)+0.284)</f>
        <v>#N/A</v>
      </c>
      <c r="GC167" s="128" t="e">
        <f aca="false">(GA167+GB167)*0.475*44/12</f>
        <v>#N/A</v>
      </c>
      <c r="GD167" s="120" t="e">
        <f aca="false">GC167+(FU167+FV167)*44/12</f>
        <v>#N/A</v>
      </c>
      <c r="GE167" s="120" t="e">
        <f aca="true">AVERAGE(OFFSET($GD$3,0,0,'Données projet'!$E$17+1,1))-AVERAGE(OFFSET($H$3,0,0,'Données projet'!$E$17+1,1))</f>
        <v>#N/A</v>
      </c>
      <c r="GF167" s="120" t="e">
        <f aca="false">$GF$3</f>
        <v>#N/A</v>
      </c>
      <c r="GG167" s="121" t="n">
        <f aca="false">IF(ISNA(VLOOKUP(A167,'Données projet'!$A$243:$I$263,3,0)),0,VLOOKUP(A167,'Données projet'!$A$243:$I$263,3,0))</f>
        <v>0</v>
      </c>
      <c r="GH167" s="121" t="n">
        <f aca="false">IF(ISNA(VLOOKUP(A167,'Données projet'!$A$243:$I$263,4,0)),0,VLOOKUP(A167,'Données projet'!$A$243:$I$263,4,0))</f>
        <v>0</v>
      </c>
      <c r="GI167" s="122" t="n">
        <f aca="false">IF(ISNA(VLOOKUP(A167,'Données projet'!$A$243:$I$263,5,0)),0%,VLOOKUP(A167,'Données projet'!$A$243:$I$263,5,0)*VLOOKUP('Données projet'!$B$17,Paramètres!$A$1:$I$89,7,0))</f>
        <v>0</v>
      </c>
      <c r="GJ167" s="122" t="n">
        <f aca="false">IF(ISNA(VLOOKUP(A167,'Données projet'!$A$243:$I$263,6,0)),0%,VLOOKUP(A167,'Données projet'!$A$243:$I$263,6,0)*VLOOKUP('Données projet'!$B$17,Paramètres!$A$1:$I$89,7,0))</f>
        <v>0</v>
      </c>
      <c r="GK167" s="122" t="n">
        <f aca="false">IF(ISNA(VLOOKUP(A167,'Données projet'!$A$243:$I$263,7,0)),0%,VLOOKUP(A167,'Données projet'!$A$243:$I$263,7,0))</f>
        <v>0</v>
      </c>
      <c r="GL167" s="129" t="e">
        <f aca="false">EXP(-LN(2)/35)*GL166+(1-EXP(-LN(2)/35))/(LN(2)/35)*GH167*GI167*VLOOKUP('Données projet'!$B$17,Paramètres!$A$1:$I$89,3,0)*0.475*44/12</f>
        <v>#N/A</v>
      </c>
      <c r="GM167" s="129" t="e">
        <f aca="false">EXP(-LN(2)/25)*GM166+(1-EXP(-LN(2)/25))/(LN(2)/25)*Calculateur!GH167*Calculateur!GJ167*VLOOKUP('Données projet'!$B$17,Paramètres!$A$1:$I$89,3,0)*0.475*44/12</f>
        <v>#N/A</v>
      </c>
      <c r="GN167" s="129" t="e">
        <f aca="false">EXP(-LN(2)/2)*GN166+(1-EXP(-LN(2)/2))/(LN(2)/2)*GH167*GK167*VLOOKUP('Données projet'!$B$17,Paramètres!$A$1:$I$89,3,0)*0.475*44/12</f>
        <v>#N/A</v>
      </c>
      <c r="GO167" s="129" t="e">
        <f aca="false">SUM(GL167:GN167)</f>
        <v>#N/A</v>
      </c>
      <c r="GP167" s="126" t="n">
        <f aca="false"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8" t="n">
        <f aca="false"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8" t="e">
        <f aca="false">VLOOKUP(A167,'Données projet'!$A$269:$I$289,2,0)</f>
        <v>#N/A</v>
      </c>
      <c r="GS167" s="118" t="e">
        <f aca="false">VLOOKUP(A167,'Données projet'!$A$269:$I$289,9,0)</f>
        <v>#N/A</v>
      </c>
      <c r="GT167" s="118" t="e">
        <f aca="false" t="array" ref="GT167:GT167">INDEX(GS:GS,MIN(IF(ISNUMBER(GS167:GS363),ROW(GS167:GS363),"")))</f>
        <v>#N/A</v>
      </c>
      <c r="GU167" s="118" t="n">
        <f aca="false">IF('Données projet'!$A$270&gt;35,GU166+GT167-HC166,IF(A167&lt;'Données projet'!$A$270,$GR$205^A167,IF(A167='Données projet'!$A$270,'Données projet'!$B$270,GU166+GT167-HC166)))</f>
        <v>0</v>
      </c>
      <c r="GV167" s="125" t="e">
        <f aca="false">GU167*VLOOKUP('Données projet'!$B$18,Paramètres!$A$1:$I$89,3,0)*VLOOKUP('Données projet'!$B$18,Paramètres!$A$1:$I$89,5,0)</f>
        <v>#N/A</v>
      </c>
      <c r="GW167" s="117" t="e">
        <f aca="false">EXP(-1.0587+0.8836*LN(GV167)+0.284)</f>
        <v>#N/A</v>
      </c>
      <c r="GX167" s="128" t="e">
        <f aca="false">(GV167+GW167)*0.475*44/12</f>
        <v>#N/A</v>
      </c>
      <c r="GY167" s="120" t="e">
        <f aca="false">GX167+(GP167+GQ167)*44/12</f>
        <v>#N/A</v>
      </c>
      <c r="GZ167" s="120" t="e">
        <f aca="true">AVERAGE(OFFSET($GY$3,0,0,'Données projet'!$E$18+1,1))-AVERAGE(OFFSET($H$3,0,0,'Données projet'!$E$18+1,1))</f>
        <v>#N/A</v>
      </c>
      <c r="HA167" s="120" t="e">
        <f aca="false">$HA$3</f>
        <v>#N/A</v>
      </c>
      <c r="HB167" s="121" t="n">
        <f aca="false">IF(ISNA(VLOOKUP(A167,'Données projet'!$A$269:$I$289,3,0)),0,VLOOKUP(A167,'Données projet'!$A$269:$I$289,3,0))</f>
        <v>0</v>
      </c>
      <c r="HC167" s="121" t="n">
        <f aca="false">IF(ISNA(VLOOKUP(A167,'Données projet'!$A$269:$I$289,4,0)),0,VLOOKUP(A167,'Données projet'!$A$269:$I$289,4,0))</f>
        <v>0</v>
      </c>
      <c r="HD167" s="122" t="n">
        <f aca="false">IF(ISNA(VLOOKUP(A167,'Données projet'!$A$269:$I$289,5,0)),0%,VLOOKUP(A167,'Données projet'!$A$269:$I$289,5,0)*VLOOKUP('Données projet'!$B$18,Paramètres!$A$1:$I$89,7,0))</f>
        <v>0</v>
      </c>
      <c r="HE167" s="122" t="n">
        <f aca="false">IF(ISNA(VLOOKUP(A167,'Données projet'!$A$269:$I$289,6,0)),0%,VLOOKUP(A167,'Données projet'!$A$269:$I$289,6,0)*VLOOKUP('Données projet'!$B$18,Paramètres!$A$1:$I$89,7,0))</f>
        <v>0</v>
      </c>
      <c r="HF167" s="122" t="n">
        <f aca="false">IF(ISNA(VLOOKUP(A167,'Données projet'!$A$269:$I$289,7,0)),0%,VLOOKUP(A167,'Données projet'!$A$269:$I$289,7,0))</f>
        <v>0</v>
      </c>
      <c r="HG167" s="129" t="e">
        <f aca="false">EXP(-LN(2)/35)*HG166+(1-EXP(-LN(2)/35))/(LN(2)/35)*HC167*HD167*VLOOKUP('Données projet'!$B$18,Paramètres!$A$1:$I$89,3,0)*0.475*44/12</f>
        <v>#N/A</v>
      </c>
      <c r="HH167" s="129" t="e">
        <f aca="false">EXP(-LN(2)/25)*HH166+(1-EXP(-LN(2)/25))/(LN(2)/25)*Calculateur!HC167*Calculateur!HE167*VLOOKUP('Données projet'!$B$18,Paramètres!$A$1:$I$89,3,0)*0.475*44/12</f>
        <v>#N/A</v>
      </c>
      <c r="HI167" s="129" t="e">
        <f aca="false">EXP(-LN(2)/2)*HI166+(1-EXP(-LN(2)/2))/(LN(2)/2)*HC167*HF167*VLOOKUP('Données projet'!$B$18,Paramètres!$A$1:$I$89,3,0)*0.475*44/12</f>
        <v>#N/A</v>
      </c>
      <c r="HJ167" s="130" t="e">
        <f aca="false">SUM(HG167:HI167)</f>
        <v>#N/A</v>
      </c>
    </row>
    <row r="168" customFormat="false" ht="14.25" hidden="false" customHeight="false" outlineLevel="0" collapsed="false">
      <c r="A168" s="112" t="n">
        <f aca="false">A167+1</f>
        <v>165</v>
      </c>
      <c r="B168" s="113" t="n">
        <f aca="false">'Scénario référence'!$B$16*5+'Scénario référence'!$B$17*0+'Scénario référence'!$B$18*5</f>
        <v>0</v>
      </c>
      <c r="C168" s="127" t="n">
        <f aca="false"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4" t="n">
        <f aca="false">IFERROR(EXP(-1.0587+0.8836*LN(C168)+0.284),0)</f>
        <v>0</v>
      </c>
      <c r="E16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8" s="114" t="n">
        <f aca="false">IF(OR('Scénario référence'!$F$8&gt;0,'Scénario référence'!$F$9&gt;0),('Scénario référence'!$F$8+'Scénario référence'!$F$9)*10,0)</f>
        <v>0</v>
      </c>
      <c r="G168" s="114" t="n">
        <f aca="false"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15" t="n">
        <f aca="false">(B168+E168+F168)*44/12+(C168+D168)*0.475*44/12</f>
        <v>256.666666666667</v>
      </c>
      <c r="I168" s="11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7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8" t="e">
        <f aca="false">VLOOKUP(A168,'Données projet'!$A$35:$I$55,2,0)</f>
        <v>#N/A</v>
      </c>
      <c r="L168" s="118" t="e">
        <f aca="false">VLOOKUP(A168,'Données projet'!$A$35:$I$55,9,0)</f>
        <v>#N/A</v>
      </c>
      <c r="M168" s="118" t="e">
        <f aca="false" t="array" ref="M168:M168">INDEX(L:L,MIN(IF(ISNUMBER(L168:L364),ROW(L168:L364),"")))</f>
        <v>#N/A</v>
      </c>
      <c r="N168" s="117" t="n">
        <f aca="false">IF('Données projet'!$A$36&gt;35,N167+M168-V167,IF(A168&lt;'Données projet'!$A$36,$K$205^A168,IF(A168='Données projet'!$A$36,'Données projet'!$B$36,N167+M168-V167)))</f>
        <v>-1.13686837721616E-013</v>
      </c>
      <c r="O168" s="117" t="n">
        <f aca="false">N168*VLOOKUP('Données projet'!$B$9,Paramètres!$A$1:$I$89,3,0)*VLOOKUP('Données projet'!$B$9,Paramètres!$A$1:$I$89,5,0)</f>
        <v>-5.32054400537163E-014</v>
      </c>
      <c r="P168" s="117" t="e">
        <f aca="false">EXP(-1.0587+0.8836*LN(O168)+0.284)</f>
        <v>#VALUE!</v>
      </c>
      <c r="Q168" s="128" t="e">
        <f aca="false">(O168+P168)*0.475*44/12</f>
        <v>#VALUE!</v>
      </c>
      <c r="R168" s="120" t="e">
        <f aca="false">Q168+(I168+J168)*44/12</f>
        <v>#VALUE!</v>
      </c>
      <c r="S168" s="120" t="n">
        <f aca="true">AVERAGE(OFFSET($R$3,0,0,'Données projet'!$E$9+1,1))-AVERAGE(OFFSET($H$3,0,0,'Données projet'!$E$9+1,1))</f>
        <v>319.229030946746</v>
      </c>
      <c r="T168" s="120" t="n">
        <f aca="false">$T$3</f>
        <v>254.586909731428</v>
      </c>
      <c r="U168" s="121" t="n">
        <f aca="false">IF(ISNA(VLOOKUP(A168,'Données projet'!$A$35:$I$55,3,0)),0,VLOOKUP(A168,'Données projet'!$A$35:$I$55,3,0))</f>
        <v>0</v>
      </c>
      <c r="V168" s="121" t="n">
        <f aca="false">IF(ISNA(VLOOKUP(A168,'Données projet'!$A$35:$I$55,4,0)),0,VLOOKUP(A168,'Données projet'!$A$35:$I$55,4,0))</f>
        <v>0</v>
      </c>
      <c r="W168" s="122" t="n">
        <f aca="false">IF(ISNA(VLOOKUP(A168,'Données projet'!$A$35:$I$55,5,0)),0%,VLOOKUP(A168,'Données projet'!$A$35:$I$55,5,0)*VLOOKUP('Données projet'!$B$9,Paramètres!$A$1:$I$89,7,0))</f>
        <v>0</v>
      </c>
      <c r="X168" s="122" t="n">
        <f aca="false">IF(ISNA(VLOOKUP(A168,'Données projet'!$A$35:$I$55,6,0)),0%,VLOOKUP(A168,'Données projet'!$A$35:$I$55,6,0)*VLOOKUP('Données projet'!$B$9,Paramètres!$A$1:$I$89,7,0))</f>
        <v>0</v>
      </c>
      <c r="Y168" s="122" t="n">
        <f aca="false">IF(ISNA(VLOOKUP(A168,'Données projet'!$A$35:$I$55,7,0)),0%,VLOOKUP(A168,'Données projet'!$A$35:$I$55,7,0))</f>
        <v>0</v>
      </c>
      <c r="Z168" s="129" t="n">
        <f aca="false">EXP(-LN(2)/35)*Z167+(1-EXP(-LN(2)/35))/(LN(2)/35)*V168*W168*VLOOKUP('Données projet'!$B$9,Paramètres!$A$1:$I$89,3,0)*0.475*44/12</f>
        <v>0.62630630988141</v>
      </c>
      <c r="AA168" s="129" t="n">
        <f aca="false">EXP(-LN(2)/25)*AA167+(1-EXP(-LN(2)/25))/(LN(2)/25)*Calculateur!V168*Calculateur!X168*VLOOKUP('Données projet'!$B$9,Paramètres!$A$1:$I$89,3,0)*0.475*44/12</f>
        <v>0.264097512357801</v>
      </c>
      <c r="AB168" s="129" t="n">
        <f aca="false">EXP(-LN(2)/2)*AB167+(1-EXP(-LN(2)/2))/(LN(2)/2)*V168*Y168*VLOOKUP('Données projet'!$B$9,Paramètres!$A$1:$I$89,3,0)*0.475*44/12</f>
        <v>5.29136139025535E-020</v>
      </c>
      <c r="AC168" s="130" t="n">
        <f aca="false">SUM(Z168:AB168)</f>
        <v>0.890403822239211</v>
      </c>
      <c r="AD168" s="117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7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8" t="e">
        <f aca="false">VLOOKUP(A168,'Données projet'!$A$61:$I$81,2,0)</f>
        <v>#N/A</v>
      </c>
      <c r="AG168" s="118" t="e">
        <f aca="false">VLOOKUP(A168,'Données projet'!$A$61:$I$81,9,0)</f>
        <v>#N/A</v>
      </c>
      <c r="AH168" s="118" t="e">
        <f aca="false" t="array" ref="AH168:AH168">INDEX(AG:AG,MIN(IF(ISNUMBER(AG168:AG364),ROW(AG168:AG364),"")))</f>
        <v>#N/A</v>
      </c>
      <c r="AI168" s="117" t="n">
        <f aca="false">IF('Données projet'!$A$62&gt;35,AI167+AH168-AQ167,IF(A168&lt;'Données projet'!$A$62,$AF$205^A168,IF(A168='Données projet'!$A$62,'Données projet'!$B$62,AI167+AH168-AQ167)))</f>
        <v>1.13686837721616E-013</v>
      </c>
      <c r="AJ168" s="117" t="n">
        <f aca="false">AI168*VLOOKUP('Données projet'!$B$10,Paramètres!$A$1:$I$89,3,0)*VLOOKUP('Données projet'!$B$10,Paramètres!$A$1:$I$89,5,0)</f>
        <v>6.35509422863834E-014</v>
      </c>
      <c r="AK168" s="117" t="n">
        <f aca="false">EXP(-1.0587+0.8836*LN(AJ168)+0.284)</f>
        <v>1.0064464192544E-012</v>
      </c>
      <c r="AL168" s="128" t="n">
        <f aca="false">(AJ168+AK168)*0.475*44/12</f>
        <v>1.86357873801686E-012</v>
      </c>
      <c r="AM168" s="120" t="n">
        <f aca="false">AL168+(AD168+AE168)*44/12</f>
        <v>293.333333333335</v>
      </c>
      <c r="AN168" s="120" t="n">
        <f aca="true">AVERAGE(OFFSET($AM$3,0,0,'Données projet'!$E$10+1,1))-AVERAGE(OFFSET($H$3,0,0,'Données projet'!$E$10+1,1))</f>
        <v>365.705101827279</v>
      </c>
      <c r="AO168" s="120" t="n">
        <f aca="false">$AO$3</f>
        <v>436.238338449625</v>
      </c>
      <c r="AP168" s="121" t="n">
        <f aca="false">IF(ISNA(VLOOKUP(A168,'Données projet'!$A$61:$I$81,3,0)),0,VLOOKUP(A168,'Données projet'!$A$61:$I$81,3,0))</f>
        <v>0</v>
      </c>
      <c r="AQ168" s="121" t="n">
        <f aca="false">IF(ISNA(VLOOKUP(A168,'Données projet'!$A$61:$I$81,4,0)),0,VLOOKUP(A168,'Données projet'!$A$61:$I$81,4,0))</f>
        <v>0</v>
      </c>
      <c r="AR168" s="122" t="n">
        <f aca="false">IF(ISNA(VLOOKUP(A168,'Données projet'!$A$61:$I$81,5,0)),0%,VLOOKUP(A168,'Données projet'!$A$61:$I$81,5,0)*VLOOKUP('Données projet'!$B$10,Paramètres!$A$1:$I$89,7,0))</f>
        <v>0</v>
      </c>
      <c r="AS168" s="122" t="n">
        <f aca="false">IF(ISNA(VLOOKUP(A168,'Données projet'!$A$61:$I$81,6,0)),0%,VLOOKUP(A168,'Données projet'!$A$61:$I$81,6,0)*VLOOKUP('Données projet'!$B$10,Paramètres!$A$1:$I$89,7,0))</f>
        <v>0</v>
      </c>
      <c r="AT168" s="122" t="n">
        <f aca="false">IF(ISNA(VLOOKUP(A168,'Données projet'!$A$61:$I$81,7,0)),0%,VLOOKUP(A168,'Données projet'!$A$61:$I$81,7,0))</f>
        <v>0</v>
      </c>
      <c r="AU168" s="129" t="n">
        <f aca="false">EXP(-LN(2)/35)*AU167+(1-EXP(-LN(2)/35))/(LN(2)/35)*AQ168*AR168*VLOOKUP('Données projet'!$B$10,Paramètres!$A$1:$I$89,3,0)*0.475*44/12</f>
        <v>0.236410326246786</v>
      </c>
      <c r="AV168" s="129" t="n">
        <f aca="false">EXP(-LN(2)/25)*AV167+(1-EXP(-LN(2)/25))/(LN(2)/25)*Calculateur!AQ168*Calculateur!AS168*VLOOKUP('Données projet'!$B$10,Paramètres!$A$1:$I$89,3,0)*0.475*44/12</f>
        <v>0.312809223667829</v>
      </c>
      <c r="AW168" s="129" t="n">
        <f aca="false">EXP(-LN(2)/2)*AW167+(1-EXP(-LN(2)/2))/(LN(2)/2)*AQ168*AT168*VLOOKUP('Données projet'!$B$10,Paramètres!$A$1:$I$89,3,0)*0.475*44/12</f>
        <v>2.8476453200178E-020</v>
      </c>
      <c r="AX168" s="129" t="n">
        <f aca="false">SUM(AU168:AW168)</f>
        <v>0.549219549914615</v>
      </c>
      <c r="AY168" s="124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8" t="e">
        <f aca="false">VLOOKUP(A168,'Données projet'!$A$87:$I$107,2,0)</f>
        <v>#N/A</v>
      </c>
      <c r="BB168" s="118" t="e">
        <f aca="false">VLOOKUP(A168,'Données projet'!$A$87:$I$107,9,0)</f>
        <v>#N/A</v>
      </c>
      <c r="BC168" s="118" t="e">
        <f aca="false" t="array" ref="BC168:BC168">INDEX(BB:BB,MIN(IF(ISNUMBER(BB168:BB364),ROW(BB168:BB364),"")))</f>
        <v>#N/A</v>
      </c>
      <c r="BD168" s="118" t="n">
        <f aca="false">IF('Données projet'!$A$88&gt;35,BD167+BC168-BL167,IF(A168&lt;'Données projet'!$A$88,$BA$205^A168,IF(A168='Données projet'!$A$88,'Données projet'!$B$88,BD167+BC168-BL167)))</f>
        <v>1.98951966012828E-013</v>
      </c>
      <c r="BE168" s="117" t="n">
        <f aca="false">BD168*VLOOKUP('Données projet'!$B$11,Paramètres!$A$1:$I$89,3,0)*VLOOKUP('Données projet'!$B$11,Paramètres!$A$1:$I$89,5,0)</f>
        <v>1.73804437508807E-013</v>
      </c>
      <c r="BF168" s="117" t="n">
        <f aca="false">EXP(-1.0587+0.8836*LN(BE168)+0.284)</f>
        <v>2.44832936339505E-012</v>
      </c>
      <c r="BG168" s="128" t="n">
        <f aca="false">(BE168+BF168)*0.475*44/12</f>
        <v>4.56688303657421E-012</v>
      </c>
      <c r="BH168" s="120" t="n">
        <f aca="false">BG168+(AY168+AZ168)*44/12</f>
        <v>293.333333333338</v>
      </c>
      <c r="BI168" s="120" t="n">
        <f aca="true">AVERAGE(OFFSET($BH$3,0,0,'Données projet'!$E$11+1,1))-AVERAGE(OFFSET($H$3,0,0,'Données projet'!$E$11+1,1))</f>
        <v>321.235999689929</v>
      </c>
      <c r="BJ168" s="120" t="n">
        <f aca="false">$BJ$3</f>
        <v>388.051958478005</v>
      </c>
      <c r="BK168" s="121" t="n">
        <f aca="false">IF(ISNA(VLOOKUP(A168,'Données projet'!$A$87:$I$107,3,0)),0,VLOOKUP(A168,'Données projet'!$A$87:$I$107,3,0))</f>
        <v>0</v>
      </c>
      <c r="BL168" s="121" t="n">
        <f aca="false">IF(ISNA(VLOOKUP(A168,'Données projet'!$A$87:$I$107,4,0)),0,VLOOKUP(A168,'Données projet'!$A$87:$I$107,4,0))</f>
        <v>0</v>
      </c>
      <c r="BM168" s="122" t="n">
        <f aca="false">IF(ISNA(VLOOKUP(A168,'Données projet'!$A$87:$I$107,5,0)),0%,VLOOKUP(A168,'Données projet'!$A$87:$I$107,5,0)*VLOOKUP('Données projet'!$B$11,Paramètres!$A$1:$I$89,7,0))</f>
        <v>0</v>
      </c>
      <c r="BN168" s="122" t="n">
        <f aca="false">IF(ISNA(VLOOKUP(A168,'Données projet'!$A$87:$I$107,6,0)),0%,VLOOKUP(A168,'Données projet'!$A$87:$I$107,6,0)*VLOOKUP('Données projet'!$B$11,Paramètres!$A$1:$I$89,7,0))</f>
        <v>0</v>
      </c>
      <c r="BO168" s="122" t="n">
        <f aca="false">IF(ISNA(VLOOKUP(A168,'Données projet'!$A$87:$I$107,7,0)),0%,VLOOKUP(A168,'Données projet'!$A$87:$I$107,7,0))</f>
        <v>0</v>
      </c>
      <c r="BP168" s="129" t="n">
        <f aca="false">EXP(-LN(2)/35)*BP167+(1-EXP(-LN(2)/35))/(LN(2)/35)*BL168*BM168*VLOOKUP('Données projet'!$B$11,Paramètres!$A$1:$I$89,3,0)*0.475*44/12</f>
        <v>0.593536812896833</v>
      </c>
      <c r="BQ168" s="129" t="n">
        <f aca="false">EXP(-LN(2)/25)*BQ167+(1-EXP(-LN(2)/25))/(LN(2)/25)*Calculateur!BL168*Calculateur!BN168*VLOOKUP('Données projet'!$B$11,Paramètres!$A$1:$I$89,3,0)*0.475*44/12</f>
        <v>0.319297075800964</v>
      </c>
      <c r="BR168" s="129" t="n">
        <f aca="false">EXP(-LN(2)/2)*BR167+(1-EXP(-LN(2)/2))/(LN(2)/2)*BL168*BO168*VLOOKUP('Données projet'!$B$11,Paramètres!$A$1:$I$89,3,0)*0.475*44/12</f>
        <v>2.89457227850611E-020</v>
      </c>
      <c r="BS168" s="130" t="n">
        <f aca="false">SUM(BP168:BR168)</f>
        <v>0.912833888697796</v>
      </c>
      <c r="BT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8" t="e">
        <f aca="false">VLOOKUP(A168,'Données projet'!$A$113:$I$133,2,0)</f>
        <v>#N/A</v>
      </c>
      <c r="BW168" s="118" t="e">
        <f aca="false">VLOOKUP(A168,'Données projet'!$A$113:$I$133,9,0)</f>
        <v>#N/A</v>
      </c>
      <c r="BX168" s="118" t="e">
        <f aca="false" t="array" ref="BX168:BX168">INDEX(BW:BW,MIN(IF(ISNUMBER(BW168:BW364),ROW(BW168:BW364),"")))</f>
        <v>#N/A</v>
      </c>
      <c r="BY168" s="118" t="n">
        <f aca="false">IF('Données projet'!$A$114&gt;35,BY167+BX168-CG167,IF(A168&lt;'Données projet'!$A$114,$BV$205^A168,IF(A168='Données projet'!$A$114,'Données projet'!$B$114,BY167+BX168-CG167)))</f>
        <v>0</v>
      </c>
      <c r="BZ168" s="117" t="n">
        <f aca="false">BY168*VLOOKUP('Données projet'!$B$12,Paramètres!$A$1:$I$89,3,0)*VLOOKUP('Données projet'!$B$12,Paramètres!$A$1:$I$89,5,0)</f>
        <v>0</v>
      </c>
      <c r="CA168" s="117" t="e">
        <f aca="false">EXP(-1.0587+0.8836*LN(BZ168)+0.284)</f>
        <v>#VALUE!</v>
      </c>
      <c r="CB168" s="128" t="e">
        <f aca="false">(BZ168+CA168)*0.475*44/12</f>
        <v>#VALUE!</v>
      </c>
      <c r="CC168" s="120" t="e">
        <f aca="false">CB168+(BT168+BU168)*44/12</f>
        <v>#VALUE!</v>
      </c>
      <c r="CD168" s="120" t="n">
        <f aca="true">AVERAGE(OFFSET($CC$3,0,0,'Données projet'!$E$12+1,1))-AVERAGE(OFFSET($H$3,0,0,'Données projet'!$E$12+1,1))</f>
        <v>240.228848647662</v>
      </c>
      <c r="CE168" s="120" t="n">
        <f aca="false">$CE$3</f>
        <v>343.237768841432</v>
      </c>
      <c r="CF168" s="121" t="n">
        <f aca="false">IF(ISNA(VLOOKUP(A168,'Données projet'!$A$113:$I$133,3,0)),0,VLOOKUP(A168,'Données projet'!$A$113:$I$133,3,0))</f>
        <v>0</v>
      </c>
      <c r="CG168" s="121" t="n">
        <f aca="false">IF(ISNA(VLOOKUP(A168,'Données projet'!$A$113:$I$133,4,0)),0,VLOOKUP(A168,'Données projet'!$A$113:$I$133,4,0))</f>
        <v>0</v>
      </c>
      <c r="CH168" s="122" t="n">
        <f aca="false">IF(ISNA(VLOOKUP(A168,'Données projet'!$A$113:$I$133,5,0)),0%,VLOOKUP(A168,'Données projet'!$A$113:$I$133,5,0)*VLOOKUP('Données projet'!$B$12,Paramètres!$A$1:$I$89,7,0))</f>
        <v>0</v>
      </c>
      <c r="CI168" s="122" t="n">
        <f aca="false">IF(ISNA(VLOOKUP(A168,'Données projet'!$A$113:$I$133,6,0)),0%,VLOOKUP(A168,'Données projet'!$A$113:$I$133,6,0)*VLOOKUP('Données projet'!$B$12,Paramètres!$A$1:$I$89,7,0))</f>
        <v>0</v>
      </c>
      <c r="CJ168" s="122" t="n">
        <f aca="false">IF(ISNA(VLOOKUP(A168,'Données projet'!$A$113:$I$133,7,0)),0%,VLOOKUP(A168,'Données projet'!$A$113:$I$133,7,0))</f>
        <v>0</v>
      </c>
      <c r="CK168" s="129" t="n">
        <f aca="false">EXP(-LN(2)/35)*CK167+(1-EXP(-LN(2)/35))/(LN(2)/35)*CG168*CH168*VLOOKUP('Données projet'!$B$12,Paramètres!$A$1:$I$89,3,0)*0.475*44/12</f>
        <v>0.363290770143052</v>
      </c>
      <c r="CL168" s="129" t="n">
        <f aca="false">EXP(-LN(2)/25)*CL167+(1-EXP(-LN(2)/25))/(LN(2)/25)*Calculateur!CG168*Calculateur!CI168*VLOOKUP('Données projet'!$B$12,Paramètres!$A$1:$I$89,3,0)*0.475*44/12</f>
        <v>0.563897119936037</v>
      </c>
      <c r="CM168" s="129" t="n">
        <f aca="false">EXP(-LN(2)/2)*CM167+(1-EXP(-LN(2)/2))/(LN(2)/2)*CG168*CJ168*VLOOKUP('Données projet'!$B$12,Paramètres!$A$1:$I$89,3,0)*0.475*44/12</f>
        <v>4.61896566396861E-020</v>
      </c>
      <c r="CN168" s="130" t="n">
        <f aca="false">SUM(CK168:CM168)</f>
        <v>0.927187890079089</v>
      </c>
      <c r="CO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8" t="e">
        <f aca="false">VLOOKUP(A168,'Données projet'!$A$139:$I$159,2,0)</f>
        <v>#N/A</v>
      </c>
      <c r="CR168" s="118" t="e">
        <f aca="false">VLOOKUP(A168,'Données projet'!$A$139:$I$159,9,0)</f>
        <v>#N/A</v>
      </c>
      <c r="CS168" s="118" t="e">
        <f aca="false" t="array" ref="CS168:CS168">INDEX(CR:CR,MIN(IF(ISNUMBER(CR168:CR364),ROW(CR168:CR364),"")))</f>
        <v>#N/A</v>
      </c>
      <c r="CT168" s="118" t="n">
        <f aca="false">IF('Données projet'!$A$140&gt;35,CT167+CS168-DB167,IF(A168&lt;'Données projet'!$A$140,$CQ$205^A168,IF(A168='Données projet'!$A$140,'Données projet'!$B$140,CT167+CS168-DB167)))</f>
        <v>-5.6843418860808E-014</v>
      </c>
      <c r="CU168" s="125" t="n">
        <f aca="false">CT168*VLOOKUP('Données projet'!$B$13,Paramètres!$A$1:$I$89,3,0)*VLOOKUP('Données projet'!$B$13,Paramètres!$A$1:$I$89,5,0)</f>
        <v>-3.10365066980012E-014</v>
      </c>
      <c r="CV168" s="117" t="e">
        <f aca="false">EXP(-1.0587+0.8836*LN(CU168)+0.284)</f>
        <v>#VALUE!</v>
      </c>
      <c r="CW168" s="128" t="e">
        <f aca="false">(CU168+CV168)*0.475*44/12</f>
        <v>#VALUE!</v>
      </c>
      <c r="CX168" s="120" t="e">
        <f aca="false">CW168+(CO168+CP168)*44/12</f>
        <v>#VALUE!</v>
      </c>
      <c r="CY168" s="120" t="n">
        <f aca="true">AVERAGE(OFFSET($CX$3,0,0,'Données projet'!$E$13+1,1))-AVERAGE(OFFSET($H$3,0,0,'Données projet'!$E$13+1,1))</f>
        <v>207.023069645676</v>
      </c>
      <c r="CZ168" s="120" t="n">
        <f aca="false">$CZ$3</f>
        <v>342.068879333518</v>
      </c>
      <c r="DA168" s="121" t="n">
        <f aca="false">IF(ISNA(VLOOKUP(A168,'Données projet'!$A$139:$I$159,3,0)),0,VLOOKUP(A168,'Données projet'!$A$139:$I$159,3,0))</f>
        <v>0</v>
      </c>
      <c r="DB168" s="121" t="n">
        <f aca="false">IF(ISNA(VLOOKUP(A168,'Données projet'!$A$139:$I$159,4,0)),0,VLOOKUP(A168,'Données projet'!$A$139:$I$159,4,0))</f>
        <v>0</v>
      </c>
      <c r="DC168" s="122" t="n">
        <f aca="false">IF(ISNA(VLOOKUP(A168,'Données projet'!$A$139:$I$159,5,0)),0%,VLOOKUP(A168,'Données projet'!$A$139:$I$159,5,0)*VLOOKUP('Données projet'!$B$13,Paramètres!$A$1:$I$89,7,0))</f>
        <v>0</v>
      </c>
      <c r="DD168" s="122" t="n">
        <f aca="false">IF(ISNA(VLOOKUP(A168,'Données projet'!$A$139:$I$159,6,0)),0%,VLOOKUP(A168,'Données projet'!$A$139:$I$159,6,0)*VLOOKUP('Données projet'!$B$13,Paramètres!$A$1:$I$89,7,0))</f>
        <v>0</v>
      </c>
      <c r="DE168" s="122" t="n">
        <f aca="false">IF(ISNA(VLOOKUP(A168,'Données projet'!$A$139:$I$159,7,0)),0%,VLOOKUP(A168,'Données projet'!$A$139:$I$159,7,0))</f>
        <v>0</v>
      </c>
      <c r="DF168" s="129" t="n">
        <f aca="false">EXP(-LN(2)/35)*DF167+(1-EXP(-LN(2)/35))/(LN(2)/35)*DB168*DC168*VLOOKUP('Données projet'!$B$13,Paramètres!$A$1:$I$89,3,0)*0.475*44/12</f>
        <v>0.455827098387037</v>
      </c>
      <c r="DG168" s="129" t="n">
        <f aca="false">EXP(-LN(2)/25)*DG167+(1-EXP(-LN(2)/25))/(LN(2)/25)*Calculateur!DB168*Calculateur!DD168*VLOOKUP('Données projet'!$B$13,Paramètres!$A$1:$I$89,3,0)*0.475*44/12</f>
        <v>0.92173693424566</v>
      </c>
      <c r="DH168" s="129" t="n">
        <f aca="false">EXP(-LN(2)/2)*DH167+(1-EXP(-LN(2)/2))/(LN(2)/2)*DB168*DE168*VLOOKUP('Données projet'!$B$13,Paramètres!$A$1:$I$89,3,0)*0.475*44/12</f>
        <v>6.3603178607536E-020</v>
      </c>
      <c r="DI168" s="130" t="n">
        <f aca="false">SUM(DF168:DH168)</f>
        <v>1.3775640326327</v>
      </c>
      <c r="DJ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8" t="e">
        <f aca="false">VLOOKUP(A168,'Données projet'!$A$165:$I$185,2,0)</f>
        <v>#N/A</v>
      </c>
      <c r="DM168" s="118" t="e">
        <f aca="false">VLOOKUP(A168,'Données projet'!$A$165:$I$185,9,0)</f>
        <v>#N/A</v>
      </c>
      <c r="DN168" s="118" t="e">
        <f aca="false" t="array" ref="DN168:DN168">INDEX(DM:DM,MIN(IF(ISNUMBER(DM168:DM364),ROW(DM168:DM364),"")))</f>
        <v>#N/A</v>
      </c>
      <c r="DO168" s="118" t="n">
        <f aca="false">IF('Données projet'!$A$166&gt;35,DO167+DN168-DW167,IF(A168&lt;'Données projet'!$A$166,$DL$205^A168,IF(A168='Données projet'!$A$166,'Données projet'!$B$166,DO167+DN168-DW167)))</f>
        <v>0</v>
      </c>
      <c r="DP168" s="125" t="n">
        <f aca="false">DO168*VLOOKUP('Données projet'!$B$14,Paramètres!$A$1:$I$89,3,0)*VLOOKUP('Données projet'!$B$14,Paramètres!$A$1:$I$89,5,0)</f>
        <v>0</v>
      </c>
      <c r="DQ168" s="117" t="e">
        <f aca="false">EXP(-1.0587+0.8836*LN(DP168)+0.284)</f>
        <v>#VALUE!</v>
      </c>
      <c r="DR168" s="128" t="e">
        <f aca="false">(DP168+DQ168)*0.475*44/12</f>
        <v>#VALUE!</v>
      </c>
      <c r="DS168" s="120" t="e">
        <f aca="false">DR168+(DJ168+DK168)*44/12</f>
        <v>#VALUE!</v>
      </c>
      <c r="DT168" s="120" t="n">
        <f aca="true">AVERAGE(OFFSET($DS$3,0,0,'Données projet'!$E$14+1,1))-AVERAGE(OFFSET($H$3,0,0,'Données projet'!$E$14+1,1))</f>
        <v>549.432320957297</v>
      </c>
      <c r="DU168" s="120" t="n">
        <f aca="false">$DU$3</f>
        <v>280.26155987301</v>
      </c>
      <c r="DV168" s="121" t="n">
        <f aca="false">IF(ISNA(VLOOKUP(A168,'Données projet'!$A$165:$I$185,3,0)),0,VLOOKUP(A168,'Données projet'!$A$165:$I$185,3,0))</f>
        <v>0</v>
      </c>
      <c r="DW168" s="121" t="n">
        <f aca="false">IF(ISNA(VLOOKUP(A168,'Données projet'!$A$165:$I$185,4,0)),0,VLOOKUP(A168,'Données projet'!$A$165:$I$185,4,0))</f>
        <v>0</v>
      </c>
      <c r="DX168" s="122" t="n">
        <f aca="false">IF(ISNA(VLOOKUP(A168,'Données projet'!$A$165:$I$185,5,0)),0%,VLOOKUP(A168,'Données projet'!$A$165:$I$185,5,0)*VLOOKUP('Données projet'!$B$14,Paramètres!$A$1:$I$89,7,0))</f>
        <v>0</v>
      </c>
      <c r="DY168" s="122" t="n">
        <f aca="false">IF(ISNA(VLOOKUP(A168,'Données projet'!$A$165:$I$185,6,0)),0%,VLOOKUP(A168,'Données projet'!$A$165:$I$185,6,0)*VLOOKUP('Données projet'!$B$14,Paramètres!$A$1:$I$89,7,0))</f>
        <v>0</v>
      </c>
      <c r="DZ168" s="122" t="n">
        <f aca="false">IF(ISNA(VLOOKUP(A168,'Données projet'!$A$165:$I$185,7,0)),0%,VLOOKUP(A168,'Données projet'!$A$165:$I$185,7,0))</f>
        <v>0</v>
      </c>
      <c r="EA168" s="129" t="n">
        <f aca="false">EXP(-LN(2)/35)*EA167+(1-EXP(-LN(2)/35))/(LN(2)/35)*DW168*DX168*VLOOKUP('Données projet'!$B$14,Paramètres!$A$1:$I$89,3,0)*0.475*44/12</f>
        <v>0.165738224706338</v>
      </c>
      <c r="EB168" s="129" t="n">
        <f aca="false">EXP(-LN(2)/25)*EB167+(1-EXP(-LN(2)/25))/(LN(2)/25)*Calculateur!DW168*Calculateur!DY168*VLOOKUP('Données projet'!$B$14,Paramètres!$A$1:$I$89,3,0)*0.475*44/12</f>
        <v>0.183628182851813</v>
      </c>
      <c r="EC168" s="129" t="n">
        <f aca="false">EXP(-LN(2)/2)*EC167+(1-EXP(-LN(2)/2))/(LN(2)/2)*DW168*DZ168*VLOOKUP('Données projet'!$B$14,Paramètres!$A$1:$I$89,3,0)*0.475*44/12</f>
        <v>2.93197542721899E-020</v>
      </c>
      <c r="ED168" s="130" t="n">
        <f aca="false">SUM(EA168:EC168)</f>
        <v>0.349366407558152</v>
      </c>
      <c r="EE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8" t="e">
        <f aca="false">VLOOKUP(A168,'Données projet'!$A$191:$I$211,2,0)</f>
        <v>#N/A</v>
      </c>
      <c r="EH168" s="118" t="e">
        <f aca="false">VLOOKUP(A168,'Données projet'!$A$191:$I$211,9,0)</f>
        <v>#N/A</v>
      </c>
      <c r="EI168" s="118" t="e">
        <f aca="false" t="array" ref="EI168:EI168">INDEX(EH:EH,MIN(IF(ISNUMBER(EH168:EH364),ROW(EH168:EH364),"")))</f>
        <v>#N/A</v>
      </c>
      <c r="EJ168" s="118" t="n">
        <f aca="false">IF('Données projet'!$A$192&gt;35,EJ167+EI168-ER167,IF(A168&lt;'Données projet'!$A$192,$EG$205^A168,IF(A168='Données projet'!$A$192,'Données projet'!$B$192,EJ167+EI168-ER167)))</f>
        <v>0</v>
      </c>
      <c r="EK168" s="125" t="e">
        <f aca="false">EJ168*VLOOKUP('Données projet'!$B$15,Paramètres!$A$1:$I$89,3,0)*VLOOKUP('Données projet'!$B$15,Paramètres!$A$1:$I$89,5,0)</f>
        <v>#N/A</v>
      </c>
      <c r="EL168" s="117" t="e">
        <f aca="false">EXP(-1.0587+0.8836*LN(EK168)+0.284)</f>
        <v>#N/A</v>
      </c>
      <c r="EM168" s="128" t="e">
        <f aca="false">(EK168+EL168)*0.475*44/12</f>
        <v>#N/A</v>
      </c>
      <c r="EN168" s="120" t="e">
        <f aca="false">EM168+(EE168+EF168)*44/12</f>
        <v>#N/A</v>
      </c>
      <c r="EO168" s="120" t="e">
        <f aca="true">AVERAGE(OFFSET($EN$3,0,0,'Données projet'!$E$15+1,1))-AVERAGE(OFFSET($H$3,0,0,'Données projet'!$E$15+1,1))</f>
        <v>#N/A</v>
      </c>
      <c r="EP168" s="120" t="e">
        <f aca="false">$EP$3</f>
        <v>#N/A</v>
      </c>
      <c r="EQ168" s="121" t="n">
        <f aca="false">IF(ISNA(VLOOKUP(A168,'Données projet'!$A$191:$I$211,3,0)),0,VLOOKUP(A168,'Données projet'!$A$191:$I$211,3,0))</f>
        <v>0</v>
      </c>
      <c r="ER168" s="121" t="n">
        <f aca="false">IF(ISNA(VLOOKUP(A168,'Données projet'!$A$191:$I$211,4,0)),0,VLOOKUP(A168,'Données projet'!$A$191:$I$211,4,0))</f>
        <v>0</v>
      </c>
      <c r="ES168" s="122" t="n">
        <f aca="false">IF(ISNA(VLOOKUP(A168,'Données projet'!$A$191:$I$211,5,0)),0%,VLOOKUP(A168,'Données projet'!$A$191:$I$211,5,0)*VLOOKUP('Données projet'!$B$15,Paramètres!$A$1:$I$89,7,0))</f>
        <v>0</v>
      </c>
      <c r="ET168" s="122" t="n">
        <f aca="false">IF(ISNA(VLOOKUP(A168,'Données projet'!$A$191:$I$211,6,0)),0%,VLOOKUP(A168,'Données projet'!$A$191:$I$211,6,0)*VLOOKUP('Données projet'!$B$15,Paramètres!$A$1:$I$89,7,0))</f>
        <v>0</v>
      </c>
      <c r="EU168" s="122" t="n">
        <f aca="false">IF(ISNA(VLOOKUP(A168,'Données projet'!$A$191:$I$211,7,0)),0%,VLOOKUP(A168,'Données projet'!$A$191:$I$211,7,0))</f>
        <v>0</v>
      </c>
      <c r="EV168" s="129" t="e">
        <f aca="false">EXP(-LN(2)/35)*EV167+(1-EXP(-LN(2)/35))/(LN(2)/35)*ER168*ES168*VLOOKUP('Données projet'!$B$15,Paramètres!$A$1:$I$89,3,0)*0.475*44/12</f>
        <v>#N/A</v>
      </c>
      <c r="EW168" s="129" t="e">
        <f aca="false">EXP(-LN(2)/25)*EW167+(1-EXP(-LN(2)/25))/(LN(2)/25)*Calculateur!ER168*Calculateur!ET168*VLOOKUP('Données projet'!$B$15,Paramètres!$A$1:$I$89,3,0)*0.475*44/12</f>
        <v>#N/A</v>
      </c>
      <c r="EX168" s="129" t="e">
        <f aca="false">EXP(-LN(2)/2)*EX167+(1-EXP(-LN(2)/2))/(LN(2)/2)*ER168*EU168*VLOOKUP('Données projet'!$B$15,Paramètres!$A$1:$I$89,3,0)*0.475*44/12</f>
        <v>#N/A</v>
      </c>
      <c r="EY168" s="130" t="e">
        <f aca="false">SUM(EV168:EX168)</f>
        <v>#N/A</v>
      </c>
      <c r="EZ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8" t="e">
        <f aca="false">VLOOKUP(A168,'Données projet'!$A$217:$I$237,2,0)</f>
        <v>#N/A</v>
      </c>
      <c r="FC168" s="118" t="e">
        <f aca="false">VLOOKUP(A168,'Données projet'!$A$217:$I$237,9,0)</f>
        <v>#N/A</v>
      </c>
      <c r="FD168" s="118" t="e">
        <f aca="false" t="array" ref="FD168:FD168">INDEX(FC:FC,MIN(IF(ISNUMBER(FC168:FC364),ROW(FC168:FC364),"")))</f>
        <v>#N/A</v>
      </c>
      <c r="FE168" s="118" t="n">
        <f aca="false">IF('Données projet'!$A$218&gt;35,FE167+FD168-FM167,IF(A168&lt;'Données projet'!$A$218,$FB$205^A168,IF(A168='Données projet'!$A$218,'Données projet'!$B$218,FE167+FD168-FM167)))</f>
        <v>0</v>
      </c>
      <c r="FF168" s="125" t="e">
        <f aca="false">FE168*VLOOKUP('Données projet'!$B$16,Paramètres!$A$1:$I$89,3,0)*VLOOKUP('Données projet'!$B$16,Paramètres!$A$1:$I$89,5,0)</f>
        <v>#N/A</v>
      </c>
      <c r="FG168" s="117" t="e">
        <f aca="false">EXP(-1.0587+0.8836*LN(FF168)+0.284)</f>
        <v>#N/A</v>
      </c>
      <c r="FH168" s="128" t="e">
        <f aca="false">(FF168+FG168)*0.475*44/12</f>
        <v>#N/A</v>
      </c>
      <c r="FI168" s="120" t="e">
        <f aca="false">FH168+(EZ168+FA168)*44/12</f>
        <v>#N/A</v>
      </c>
      <c r="FJ168" s="120" t="e">
        <f aca="true">AVERAGE(OFFSET($FI$3,0,0,'Données projet'!$E$16+1,1))-AVERAGE(OFFSET($H$3,0,0,'Données projet'!$E$16+1,1))</f>
        <v>#N/A</v>
      </c>
      <c r="FK168" s="120" t="e">
        <f aca="false">$FK$3</f>
        <v>#N/A</v>
      </c>
      <c r="FL168" s="121" t="n">
        <f aca="false">IF(ISNA(VLOOKUP(A168,'Données projet'!$A$217:$I$237,3,0)),0,VLOOKUP(A168,'Données projet'!$A$217:$I$237,3,0))</f>
        <v>0</v>
      </c>
      <c r="FM168" s="121" t="n">
        <f aca="false">IF(ISNA(VLOOKUP(A168,'Données projet'!$A$217:$I$237,4,0)),0,VLOOKUP(A168,'Données projet'!$A$217:$I$237,4,0))</f>
        <v>0</v>
      </c>
      <c r="FN168" s="122" t="n">
        <f aca="false">IF(ISNA(VLOOKUP(A168,'Données projet'!$A$217:$I$237,5,0)),0%,VLOOKUP(A168,'Données projet'!$A$217:$I$237,5,0)*VLOOKUP('Données projet'!$B$16,Paramètres!$A$1:$I$89,7,0))</f>
        <v>0</v>
      </c>
      <c r="FO168" s="122" t="n">
        <f aca="false">IF(ISNA(VLOOKUP(A168,'Données projet'!$A$217:$I$237,6,0)),0%,VLOOKUP(A168,'Données projet'!$A$217:$I$237,6,0)*VLOOKUP('Données projet'!$B$16,Paramètres!$A$1:$I$89,7,0))</f>
        <v>0</v>
      </c>
      <c r="FP168" s="122" t="n">
        <f aca="false">IF(ISNA(VLOOKUP(A168,'Données projet'!$A$217:$I$237,7,0)),0%,VLOOKUP(A168,'Données projet'!$A$217:$I$237,7,0))</f>
        <v>0</v>
      </c>
      <c r="FQ168" s="129" t="e">
        <f aca="false">EXP(-LN(2)/35)*FQ167+(1-EXP(-LN(2)/35))/(LN(2)/35)*FM168*FN168*VLOOKUP('Données projet'!$B$16,Paramètres!$A$1:$I$89,3,0)*0.475*44/12</f>
        <v>#N/A</v>
      </c>
      <c r="FR168" s="129" t="e">
        <f aca="false">EXP(-LN(2)/25)*FR167+(1-EXP(-LN(2)/25))/(LN(2)/25)*Calculateur!FM168*Calculateur!FO168*VLOOKUP('Données projet'!$B$16,Paramètres!$A$1:$I$89,3,0)*0.475*44/12</f>
        <v>#N/A</v>
      </c>
      <c r="FS168" s="129" t="e">
        <f aca="false">EXP(-LN(2)/2)*FS167+(1-EXP(-LN(2)/2))/(LN(2)/2)*FM168*FP168*VLOOKUP('Données projet'!$B$16,Paramètres!$A$1:$I$89,3,0)*0.475*44/12</f>
        <v>#N/A</v>
      </c>
      <c r="FT168" s="130" t="e">
        <f aca="false">SUM(FQ168:FS168)</f>
        <v>#N/A</v>
      </c>
      <c r="FU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8" t="e">
        <f aca="false">VLOOKUP(A168,'Données projet'!$A$243:$I$263,2,0)</f>
        <v>#N/A</v>
      </c>
      <c r="FX168" s="118" t="e">
        <f aca="false">VLOOKUP(A168,'Données projet'!$A$243:$I$263,9,0)</f>
        <v>#N/A</v>
      </c>
      <c r="FY168" s="118" t="e">
        <f aca="false" t="array" ref="FY168:FY168">INDEX(FX:FX,MIN(IF(ISNUMBER(FX168:FX364),ROW(FX168:FX364),"")))</f>
        <v>#N/A</v>
      </c>
      <c r="FZ168" s="118" t="n">
        <f aca="false">IF('Données projet'!$A$244&gt;35,FZ167+FY168-GH167,IF(A168&lt;'Données projet'!$A$244,$FW$205^A168,IF(A168='Données projet'!$A$244,'Données projet'!$B$244,FZ167+FY168-GH167)))</f>
        <v>0</v>
      </c>
      <c r="GA168" s="125" t="e">
        <f aca="false">FZ168*VLOOKUP('Données projet'!$B$17,Paramètres!$A$1:$I$89,3,0)*VLOOKUP('Données projet'!$B$17,Paramètres!$A$1:$I$89,5,0)</f>
        <v>#N/A</v>
      </c>
      <c r="GB168" s="117" t="e">
        <f aca="false">EXP(-1.0587+0.8836*LN(GA168)+0.284)</f>
        <v>#N/A</v>
      </c>
      <c r="GC168" s="128" t="e">
        <f aca="false">(GA168+GB168)*0.475*44/12</f>
        <v>#N/A</v>
      </c>
      <c r="GD168" s="120" t="e">
        <f aca="false">GC168+(FU168+FV168)*44/12</f>
        <v>#N/A</v>
      </c>
      <c r="GE168" s="120" t="e">
        <f aca="true">AVERAGE(OFFSET($GD$3,0,0,'Données projet'!$E$17+1,1))-AVERAGE(OFFSET($H$3,0,0,'Données projet'!$E$17+1,1))</f>
        <v>#N/A</v>
      </c>
      <c r="GF168" s="120" t="e">
        <f aca="false">$GF$3</f>
        <v>#N/A</v>
      </c>
      <c r="GG168" s="121" t="n">
        <f aca="false">IF(ISNA(VLOOKUP(A168,'Données projet'!$A$243:$I$263,3,0)),0,VLOOKUP(A168,'Données projet'!$A$243:$I$263,3,0))</f>
        <v>0</v>
      </c>
      <c r="GH168" s="121" t="n">
        <f aca="false">IF(ISNA(VLOOKUP(A168,'Données projet'!$A$243:$I$263,4,0)),0,VLOOKUP(A168,'Données projet'!$A$243:$I$263,4,0))</f>
        <v>0</v>
      </c>
      <c r="GI168" s="122" t="n">
        <f aca="false">IF(ISNA(VLOOKUP(A168,'Données projet'!$A$243:$I$263,5,0)),0%,VLOOKUP(A168,'Données projet'!$A$243:$I$263,5,0)*VLOOKUP('Données projet'!$B$17,Paramètres!$A$1:$I$89,7,0))</f>
        <v>0</v>
      </c>
      <c r="GJ168" s="122" t="n">
        <f aca="false">IF(ISNA(VLOOKUP(A168,'Données projet'!$A$243:$I$263,6,0)),0%,VLOOKUP(A168,'Données projet'!$A$243:$I$263,6,0)*VLOOKUP('Données projet'!$B$17,Paramètres!$A$1:$I$89,7,0))</f>
        <v>0</v>
      </c>
      <c r="GK168" s="122" t="n">
        <f aca="false">IF(ISNA(VLOOKUP(A168,'Données projet'!$A$243:$I$263,7,0)),0%,VLOOKUP(A168,'Données projet'!$A$243:$I$263,7,0))</f>
        <v>0</v>
      </c>
      <c r="GL168" s="129" t="e">
        <f aca="false">EXP(-LN(2)/35)*GL167+(1-EXP(-LN(2)/35))/(LN(2)/35)*GH168*GI168*VLOOKUP('Données projet'!$B$17,Paramètres!$A$1:$I$89,3,0)*0.475*44/12</f>
        <v>#N/A</v>
      </c>
      <c r="GM168" s="129" t="e">
        <f aca="false">EXP(-LN(2)/25)*GM167+(1-EXP(-LN(2)/25))/(LN(2)/25)*Calculateur!GH168*Calculateur!GJ168*VLOOKUP('Données projet'!$B$17,Paramètres!$A$1:$I$89,3,0)*0.475*44/12</f>
        <v>#N/A</v>
      </c>
      <c r="GN168" s="129" t="e">
        <f aca="false">EXP(-LN(2)/2)*GN167+(1-EXP(-LN(2)/2))/(LN(2)/2)*GH168*GK168*VLOOKUP('Données projet'!$B$17,Paramètres!$A$1:$I$89,3,0)*0.475*44/12</f>
        <v>#N/A</v>
      </c>
      <c r="GO168" s="129" t="e">
        <f aca="false">SUM(GL168:GN168)</f>
        <v>#N/A</v>
      </c>
      <c r="GP168" s="126" t="n">
        <f aca="false"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8" t="n">
        <f aca="false"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8" t="e">
        <f aca="false">VLOOKUP(A168,'Données projet'!$A$269:$I$289,2,0)</f>
        <v>#N/A</v>
      </c>
      <c r="GS168" s="118" t="e">
        <f aca="false">VLOOKUP(A168,'Données projet'!$A$269:$I$289,9,0)</f>
        <v>#N/A</v>
      </c>
      <c r="GT168" s="118" t="e">
        <f aca="false" t="array" ref="GT168:GT168">INDEX(GS:GS,MIN(IF(ISNUMBER(GS168:GS364),ROW(GS168:GS364),"")))</f>
        <v>#N/A</v>
      </c>
      <c r="GU168" s="118" t="n">
        <f aca="false">IF('Données projet'!$A$270&gt;35,GU167+GT168-HC167,IF(A168&lt;'Données projet'!$A$270,$GR$205^A168,IF(A168='Données projet'!$A$270,'Données projet'!$B$270,GU167+GT168-HC167)))</f>
        <v>0</v>
      </c>
      <c r="GV168" s="125" t="e">
        <f aca="false">GU168*VLOOKUP('Données projet'!$B$18,Paramètres!$A$1:$I$89,3,0)*VLOOKUP('Données projet'!$B$18,Paramètres!$A$1:$I$89,5,0)</f>
        <v>#N/A</v>
      </c>
      <c r="GW168" s="117" t="e">
        <f aca="false">EXP(-1.0587+0.8836*LN(GV168)+0.284)</f>
        <v>#N/A</v>
      </c>
      <c r="GX168" s="128" t="e">
        <f aca="false">(GV168+GW168)*0.475*44/12</f>
        <v>#N/A</v>
      </c>
      <c r="GY168" s="120" t="e">
        <f aca="false">GX168+(GP168+GQ168)*44/12</f>
        <v>#N/A</v>
      </c>
      <c r="GZ168" s="120" t="e">
        <f aca="true">AVERAGE(OFFSET($GY$3,0,0,'Données projet'!$E$18+1,1))-AVERAGE(OFFSET($H$3,0,0,'Données projet'!$E$18+1,1))</f>
        <v>#N/A</v>
      </c>
      <c r="HA168" s="120" t="e">
        <f aca="false">$HA$3</f>
        <v>#N/A</v>
      </c>
      <c r="HB168" s="121" t="n">
        <f aca="false">IF(ISNA(VLOOKUP(A168,'Données projet'!$A$269:$I$289,3,0)),0,VLOOKUP(A168,'Données projet'!$A$269:$I$289,3,0))</f>
        <v>0</v>
      </c>
      <c r="HC168" s="121" t="n">
        <f aca="false">IF(ISNA(VLOOKUP(A168,'Données projet'!$A$269:$I$289,4,0)),0,VLOOKUP(A168,'Données projet'!$A$269:$I$289,4,0))</f>
        <v>0</v>
      </c>
      <c r="HD168" s="122" t="n">
        <f aca="false">IF(ISNA(VLOOKUP(A168,'Données projet'!$A$269:$I$289,5,0)),0%,VLOOKUP(A168,'Données projet'!$A$269:$I$289,5,0)*VLOOKUP('Données projet'!$B$18,Paramètres!$A$1:$I$89,7,0))</f>
        <v>0</v>
      </c>
      <c r="HE168" s="122" t="n">
        <f aca="false">IF(ISNA(VLOOKUP(A168,'Données projet'!$A$269:$I$289,6,0)),0%,VLOOKUP(A168,'Données projet'!$A$269:$I$289,6,0)*VLOOKUP('Données projet'!$B$18,Paramètres!$A$1:$I$89,7,0))</f>
        <v>0</v>
      </c>
      <c r="HF168" s="122" t="n">
        <f aca="false">IF(ISNA(VLOOKUP(A168,'Données projet'!$A$269:$I$289,7,0)),0%,VLOOKUP(A168,'Données projet'!$A$269:$I$289,7,0))</f>
        <v>0</v>
      </c>
      <c r="HG168" s="129" t="e">
        <f aca="false">EXP(-LN(2)/35)*HG167+(1-EXP(-LN(2)/35))/(LN(2)/35)*HC168*HD168*VLOOKUP('Données projet'!$B$18,Paramètres!$A$1:$I$89,3,0)*0.475*44/12</f>
        <v>#N/A</v>
      </c>
      <c r="HH168" s="129" t="e">
        <f aca="false">EXP(-LN(2)/25)*HH167+(1-EXP(-LN(2)/25))/(LN(2)/25)*Calculateur!HC168*Calculateur!HE168*VLOOKUP('Données projet'!$B$18,Paramètres!$A$1:$I$89,3,0)*0.475*44/12</f>
        <v>#N/A</v>
      </c>
      <c r="HI168" s="129" t="e">
        <f aca="false">EXP(-LN(2)/2)*HI167+(1-EXP(-LN(2)/2))/(LN(2)/2)*HC168*HF168*VLOOKUP('Données projet'!$B$18,Paramètres!$A$1:$I$89,3,0)*0.475*44/12</f>
        <v>#N/A</v>
      </c>
      <c r="HJ168" s="130" t="e">
        <f aca="false">SUM(HG168:HI168)</f>
        <v>#N/A</v>
      </c>
    </row>
    <row r="169" customFormat="false" ht="14.25" hidden="false" customHeight="false" outlineLevel="0" collapsed="false">
      <c r="A169" s="112" t="n">
        <f aca="false">A168+1</f>
        <v>166</v>
      </c>
      <c r="B169" s="113" t="n">
        <f aca="false">'Scénario référence'!$B$16*5+'Scénario référence'!$B$17*0+'Scénario référence'!$B$18*5</f>
        <v>0</v>
      </c>
      <c r="C169" s="127" t="n">
        <f aca="false"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4" t="n">
        <f aca="false">IFERROR(EXP(-1.0587+0.8836*LN(C169)+0.284),0)</f>
        <v>0</v>
      </c>
      <c r="E16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69" s="114" t="n">
        <f aca="false">IF(OR('Scénario référence'!$F$8&gt;0,'Scénario référence'!$F$9&gt;0),('Scénario référence'!$F$8+'Scénario référence'!$F$9)*10,0)</f>
        <v>0</v>
      </c>
      <c r="G169" s="114" t="n">
        <f aca="false"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15" t="n">
        <f aca="false">(B169+E169+F169)*44/12+(C169+D169)*0.475*44/12</f>
        <v>256.666666666667</v>
      </c>
      <c r="I169" s="11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7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8" t="e">
        <f aca="false">VLOOKUP(A169,'Données projet'!$A$35:$I$55,2,0)</f>
        <v>#N/A</v>
      </c>
      <c r="L169" s="118" t="e">
        <f aca="false">VLOOKUP(A169,'Données projet'!$A$35:$I$55,9,0)</f>
        <v>#N/A</v>
      </c>
      <c r="M169" s="118" t="e">
        <f aca="false" t="array" ref="M169:M169">INDEX(L:L,MIN(IF(ISNUMBER(L169:L365),ROW(L169:L365),"")))</f>
        <v>#N/A</v>
      </c>
      <c r="N169" s="117" t="n">
        <f aca="false">IF('Données projet'!$A$36&gt;35,N168+M169-V168,IF(A169&lt;'Données projet'!$A$36,$K$205^A169,IF(A169='Données projet'!$A$36,'Données projet'!$B$36,N168+M169-V168)))</f>
        <v>-1.13686837721616E-013</v>
      </c>
      <c r="O169" s="117" t="n">
        <f aca="false">N169*VLOOKUP('Données projet'!$B$9,Paramètres!$A$1:$I$89,3,0)*VLOOKUP('Données projet'!$B$9,Paramètres!$A$1:$I$89,5,0)</f>
        <v>-5.32054400537163E-014</v>
      </c>
      <c r="P169" s="117" t="e">
        <f aca="false">EXP(-1.0587+0.8836*LN(O169)+0.284)</f>
        <v>#VALUE!</v>
      </c>
      <c r="Q169" s="128" t="e">
        <f aca="false">(O169+P169)*0.475*44/12</f>
        <v>#VALUE!</v>
      </c>
      <c r="R169" s="120" t="e">
        <f aca="false">Q169+(I169+J169)*44/12</f>
        <v>#VALUE!</v>
      </c>
      <c r="S169" s="120" t="n">
        <f aca="true">AVERAGE(OFFSET($R$3,0,0,'Données projet'!$E$9+1,1))-AVERAGE(OFFSET($H$3,0,0,'Données projet'!$E$9+1,1))</f>
        <v>319.229030946746</v>
      </c>
      <c r="T169" s="120" t="n">
        <f aca="false">$T$3</f>
        <v>254.586909731428</v>
      </c>
      <c r="U169" s="121" t="n">
        <f aca="false">IF(ISNA(VLOOKUP(A169,'Données projet'!$A$35:$I$55,3,0)),0,VLOOKUP(A169,'Données projet'!$A$35:$I$55,3,0))</f>
        <v>0</v>
      </c>
      <c r="V169" s="121" t="n">
        <f aca="false">IF(ISNA(VLOOKUP(A169,'Données projet'!$A$35:$I$55,4,0)),0,VLOOKUP(A169,'Données projet'!$A$35:$I$55,4,0))</f>
        <v>0</v>
      </c>
      <c r="W169" s="122" t="n">
        <f aca="false">IF(ISNA(VLOOKUP(A169,'Données projet'!$A$35:$I$55,5,0)),0%,VLOOKUP(A169,'Données projet'!$A$35:$I$55,5,0)*VLOOKUP('Données projet'!$B$9,Paramètres!$A$1:$I$89,7,0))</f>
        <v>0</v>
      </c>
      <c r="X169" s="122" t="n">
        <f aca="false">IF(ISNA(VLOOKUP(A169,'Données projet'!$A$35:$I$55,6,0)),0%,VLOOKUP(A169,'Données projet'!$A$35:$I$55,6,0)*VLOOKUP('Données projet'!$B$9,Paramètres!$A$1:$I$89,7,0))</f>
        <v>0</v>
      </c>
      <c r="Y169" s="122" t="n">
        <f aca="false">IF(ISNA(VLOOKUP(A169,'Données projet'!$A$35:$I$55,7,0)),0%,VLOOKUP(A169,'Données projet'!$A$35:$I$55,7,0))</f>
        <v>0</v>
      </c>
      <c r="Z169" s="129" t="n">
        <f aca="false">EXP(-LN(2)/35)*Z168+(1-EXP(-LN(2)/35))/(LN(2)/35)*V169*W169*VLOOKUP('Données projet'!$B$9,Paramètres!$A$1:$I$89,3,0)*0.475*44/12</f>
        <v>0.614024825153765</v>
      </c>
      <c r="AA169" s="129" t="n">
        <f aca="false">EXP(-LN(2)/25)*AA168+(1-EXP(-LN(2)/25))/(LN(2)/25)*Calculateur!V169*Calculateur!X169*VLOOKUP('Données projet'!$B$9,Paramètres!$A$1:$I$89,3,0)*0.475*44/12</f>
        <v>0.256875751994092</v>
      </c>
      <c r="AB169" s="129" t="n">
        <f aca="false">EXP(-LN(2)/2)*AB168+(1-EXP(-LN(2)/2))/(LN(2)/2)*V169*Y169*VLOOKUP('Données projet'!$B$9,Paramètres!$A$1:$I$89,3,0)*0.475*44/12</f>
        <v>3.74155752075824E-020</v>
      </c>
      <c r="AC169" s="130" t="n">
        <f aca="false">SUM(Z169:AB169)</f>
        <v>0.870900577147857</v>
      </c>
      <c r="AD169" s="117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7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8" t="e">
        <f aca="false">VLOOKUP(A169,'Données projet'!$A$61:$I$81,2,0)</f>
        <v>#N/A</v>
      </c>
      <c r="AG169" s="118" t="e">
        <f aca="false">VLOOKUP(A169,'Données projet'!$A$61:$I$81,9,0)</f>
        <v>#N/A</v>
      </c>
      <c r="AH169" s="118" t="e">
        <f aca="false" t="array" ref="AH169:AH169">INDEX(AG:AG,MIN(IF(ISNUMBER(AG169:AG365),ROW(AG169:AG365),"")))</f>
        <v>#N/A</v>
      </c>
      <c r="AI169" s="117" t="n">
        <f aca="false">IF('Données projet'!$A$62&gt;35,AI168+AH169-AQ168,IF(A169&lt;'Données projet'!$A$62,$AF$205^A169,IF(A169='Données projet'!$A$62,'Données projet'!$B$62,AI168+AH169-AQ168)))</f>
        <v>1.13686837721616E-013</v>
      </c>
      <c r="AJ169" s="117" t="n">
        <f aca="false">AI169*VLOOKUP('Données projet'!$B$10,Paramètres!$A$1:$I$89,3,0)*VLOOKUP('Données projet'!$B$10,Paramètres!$A$1:$I$89,5,0)</f>
        <v>6.35509422863834E-014</v>
      </c>
      <c r="AK169" s="117" t="n">
        <f aca="false">EXP(-1.0587+0.8836*LN(AJ169)+0.284)</f>
        <v>1.0064464192544E-012</v>
      </c>
      <c r="AL169" s="128" t="n">
        <f aca="false">(AJ169+AK169)*0.475*44/12</f>
        <v>1.86357873801686E-012</v>
      </c>
      <c r="AM169" s="120" t="n">
        <f aca="false">AL169+(AD169+AE169)*44/12</f>
        <v>293.333333333335</v>
      </c>
      <c r="AN169" s="120" t="n">
        <f aca="true">AVERAGE(OFFSET($AM$3,0,0,'Données projet'!$E$10+1,1))-AVERAGE(OFFSET($H$3,0,0,'Données projet'!$E$10+1,1))</f>
        <v>365.705101827279</v>
      </c>
      <c r="AO169" s="120" t="n">
        <f aca="false">$AO$3</f>
        <v>436.238338449625</v>
      </c>
      <c r="AP169" s="121" t="n">
        <f aca="false">IF(ISNA(VLOOKUP(A169,'Données projet'!$A$61:$I$81,3,0)),0,VLOOKUP(A169,'Données projet'!$A$61:$I$81,3,0))</f>
        <v>0</v>
      </c>
      <c r="AQ169" s="121" t="n">
        <f aca="false">IF(ISNA(VLOOKUP(A169,'Données projet'!$A$61:$I$81,4,0)),0,VLOOKUP(A169,'Données projet'!$A$61:$I$81,4,0))</f>
        <v>0</v>
      </c>
      <c r="AR169" s="122" t="n">
        <f aca="false">IF(ISNA(VLOOKUP(A169,'Données projet'!$A$61:$I$81,5,0)),0%,VLOOKUP(A169,'Données projet'!$A$61:$I$81,5,0)*VLOOKUP('Données projet'!$B$10,Paramètres!$A$1:$I$89,7,0))</f>
        <v>0</v>
      </c>
      <c r="AS169" s="122" t="n">
        <f aca="false">IF(ISNA(VLOOKUP(A169,'Données projet'!$A$61:$I$81,6,0)),0%,VLOOKUP(A169,'Données projet'!$A$61:$I$81,6,0)*VLOOKUP('Données projet'!$B$10,Paramètres!$A$1:$I$89,7,0))</f>
        <v>0</v>
      </c>
      <c r="AT169" s="122" t="n">
        <f aca="false">IF(ISNA(VLOOKUP(A169,'Données projet'!$A$61:$I$81,7,0)),0%,VLOOKUP(A169,'Données projet'!$A$61:$I$81,7,0))</f>
        <v>0</v>
      </c>
      <c r="AU169" s="129" t="n">
        <f aca="false">EXP(-LN(2)/35)*AU168+(1-EXP(-LN(2)/35))/(LN(2)/35)*AQ169*AR169*VLOOKUP('Données projet'!$B$10,Paramètres!$A$1:$I$89,3,0)*0.475*44/12</f>
        <v>0.231774463945147</v>
      </c>
      <c r="AV169" s="129" t="n">
        <f aca="false">EXP(-LN(2)/25)*AV168+(1-EXP(-LN(2)/25))/(LN(2)/25)*Calculateur!AQ169*Calculateur!AS169*VLOOKUP('Données projet'!$B$10,Paramètres!$A$1:$I$89,3,0)*0.475*44/12</f>
        <v>0.30425543899671</v>
      </c>
      <c r="AW169" s="129" t="n">
        <f aca="false">EXP(-LN(2)/2)*AW168+(1-EXP(-LN(2)/2))/(LN(2)/2)*AQ169*AT169*VLOOKUP('Données projet'!$B$10,Paramètres!$A$1:$I$89,3,0)*0.475*44/12</f>
        <v>2.01358931619872E-020</v>
      </c>
      <c r="AX169" s="129" t="n">
        <f aca="false">SUM(AU169:AW169)</f>
        <v>0.536029902941857</v>
      </c>
      <c r="AY169" s="124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8" t="e">
        <f aca="false">VLOOKUP(A169,'Données projet'!$A$87:$I$107,2,0)</f>
        <v>#N/A</v>
      </c>
      <c r="BB169" s="118" t="e">
        <f aca="false">VLOOKUP(A169,'Données projet'!$A$87:$I$107,9,0)</f>
        <v>#N/A</v>
      </c>
      <c r="BC169" s="118" t="e">
        <f aca="false" t="array" ref="BC169:BC169">INDEX(BB:BB,MIN(IF(ISNUMBER(BB169:BB365),ROW(BB169:BB365),"")))</f>
        <v>#N/A</v>
      </c>
      <c r="BD169" s="118" t="n">
        <f aca="false">IF('Données projet'!$A$88&gt;35,BD168+BC169-BL168,IF(A169&lt;'Données projet'!$A$88,$BA$205^A169,IF(A169='Données projet'!$A$88,'Données projet'!$B$88,BD168+BC169-BL168)))</f>
        <v>1.98951966012828E-013</v>
      </c>
      <c r="BE169" s="117" t="n">
        <f aca="false">BD169*VLOOKUP('Données projet'!$B$11,Paramètres!$A$1:$I$89,3,0)*VLOOKUP('Données projet'!$B$11,Paramètres!$A$1:$I$89,5,0)</f>
        <v>1.73804437508807E-013</v>
      </c>
      <c r="BF169" s="117" t="n">
        <f aca="false">EXP(-1.0587+0.8836*LN(BE169)+0.284)</f>
        <v>2.44832936339505E-012</v>
      </c>
      <c r="BG169" s="128" t="n">
        <f aca="false">(BE169+BF169)*0.475*44/12</f>
        <v>4.56688303657421E-012</v>
      </c>
      <c r="BH169" s="120" t="n">
        <f aca="false">BG169+(AY169+AZ169)*44/12</f>
        <v>293.333333333338</v>
      </c>
      <c r="BI169" s="120" t="n">
        <f aca="true">AVERAGE(OFFSET($BH$3,0,0,'Données projet'!$E$11+1,1))-AVERAGE(OFFSET($H$3,0,0,'Données projet'!$E$11+1,1))</f>
        <v>321.235999689929</v>
      </c>
      <c r="BJ169" s="120" t="n">
        <f aca="false">$BJ$3</f>
        <v>388.051958478005</v>
      </c>
      <c r="BK169" s="121" t="n">
        <f aca="false">IF(ISNA(VLOOKUP(A169,'Données projet'!$A$87:$I$107,3,0)),0,VLOOKUP(A169,'Données projet'!$A$87:$I$107,3,0))</f>
        <v>0</v>
      </c>
      <c r="BL169" s="121" t="n">
        <f aca="false">IF(ISNA(VLOOKUP(A169,'Données projet'!$A$87:$I$107,4,0)),0,VLOOKUP(A169,'Données projet'!$A$87:$I$107,4,0))</f>
        <v>0</v>
      </c>
      <c r="BM169" s="122" t="n">
        <f aca="false">IF(ISNA(VLOOKUP(A169,'Données projet'!$A$87:$I$107,5,0)),0%,VLOOKUP(A169,'Données projet'!$A$87:$I$107,5,0)*VLOOKUP('Données projet'!$B$11,Paramètres!$A$1:$I$89,7,0))</f>
        <v>0</v>
      </c>
      <c r="BN169" s="122" t="n">
        <f aca="false">IF(ISNA(VLOOKUP(A169,'Données projet'!$A$87:$I$107,6,0)),0%,VLOOKUP(A169,'Données projet'!$A$87:$I$107,6,0)*VLOOKUP('Données projet'!$B$11,Paramètres!$A$1:$I$89,7,0))</f>
        <v>0</v>
      </c>
      <c r="BO169" s="122" t="n">
        <f aca="false">IF(ISNA(VLOOKUP(A169,'Données projet'!$A$87:$I$107,7,0)),0%,VLOOKUP(A169,'Données projet'!$A$87:$I$107,7,0))</f>
        <v>0</v>
      </c>
      <c r="BP169" s="129" t="n">
        <f aca="false">EXP(-LN(2)/35)*BP168+(1-EXP(-LN(2)/35))/(LN(2)/35)*BL169*BM169*VLOOKUP('Données projet'!$B$11,Paramètres!$A$1:$I$89,3,0)*0.475*44/12</f>
        <v>0.581897918017635</v>
      </c>
      <c r="BQ169" s="129" t="n">
        <f aca="false">EXP(-LN(2)/25)*BQ168+(1-EXP(-LN(2)/25))/(LN(2)/25)*Calculateur!BL169*Calculateur!BN169*VLOOKUP('Données projet'!$B$11,Paramètres!$A$1:$I$89,3,0)*0.475*44/12</f>
        <v>0.310565880472083</v>
      </c>
      <c r="BR169" s="129" t="n">
        <f aca="false">EXP(-LN(2)/2)*BR168+(1-EXP(-LN(2)/2))/(LN(2)/2)*BL169*BO169*VLOOKUP('Données projet'!$B$11,Paramètres!$A$1:$I$89,3,0)*0.475*44/12</f>
        <v>2.04677168676626E-020</v>
      </c>
      <c r="BS169" s="130" t="n">
        <f aca="false">SUM(BP169:BR169)</f>
        <v>0.892463798489718</v>
      </c>
      <c r="BT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8" t="e">
        <f aca="false">VLOOKUP(A169,'Données projet'!$A$113:$I$133,2,0)</f>
        <v>#N/A</v>
      </c>
      <c r="BW169" s="118" t="e">
        <f aca="false">VLOOKUP(A169,'Données projet'!$A$113:$I$133,9,0)</f>
        <v>#N/A</v>
      </c>
      <c r="BX169" s="118" t="e">
        <f aca="false" t="array" ref="BX169:BX169">INDEX(BW:BW,MIN(IF(ISNUMBER(BW169:BW365),ROW(BW169:BW365),"")))</f>
        <v>#N/A</v>
      </c>
      <c r="BY169" s="118" t="n">
        <f aca="false">IF('Données projet'!$A$114&gt;35,BY168+BX169-CG168,IF(A169&lt;'Données projet'!$A$114,$BV$205^A169,IF(A169='Données projet'!$A$114,'Données projet'!$B$114,BY168+BX169-CG168)))</f>
        <v>0</v>
      </c>
      <c r="BZ169" s="117" t="n">
        <f aca="false">BY169*VLOOKUP('Données projet'!$B$12,Paramètres!$A$1:$I$89,3,0)*VLOOKUP('Données projet'!$B$12,Paramètres!$A$1:$I$89,5,0)</f>
        <v>0</v>
      </c>
      <c r="CA169" s="117" t="e">
        <f aca="false">EXP(-1.0587+0.8836*LN(BZ169)+0.284)</f>
        <v>#VALUE!</v>
      </c>
      <c r="CB169" s="128" t="e">
        <f aca="false">(BZ169+CA169)*0.475*44/12</f>
        <v>#VALUE!</v>
      </c>
      <c r="CC169" s="120" t="e">
        <f aca="false">CB169+(BT169+BU169)*44/12</f>
        <v>#VALUE!</v>
      </c>
      <c r="CD169" s="120" t="n">
        <f aca="true">AVERAGE(OFFSET($CC$3,0,0,'Données projet'!$E$12+1,1))-AVERAGE(OFFSET($H$3,0,0,'Données projet'!$E$12+1,1))</f>
        <v>240.228848647662</v>
      </c>
      <c r="CE169" s="120" t="n">
        <f aca="false">$CE$3</f>
        <v>343.237768841432</v>
      </c>
      <c r="CF169" s="121" t="n">
        <f aca="false">IF(ISNA(VLOOKUP(A169,'Données projet'!$A$113:$I$133,3,0)),0,VLOOKUP(A169,'Données projet'!$A$113:$I$133,3,0))</f>
        <v>0</v>
      </c>
      <c r="CG169" s="121" t="n">
        <f aca="false">IF(ISNA(VLOOKUP(A169,'Données projet'!$A$113:$I$133,4,0)),0,VLOOKUP(A169,'Données projet'!$A$113:$I$133,4,0))</f>
        <v>0</v>
      </c>
      <c r="CH169" s="122" t="n">
        <f aca="false">IF(ISNA(VLOOKUP(A169,'Données projet'!$A$113:$I$133,5,0)),0%,VLOOKUP(A169,'Données projet'!$A$113:$I$133,5,0)*VLOOKUP('Données projet'!$B$12,Paramètres!$A$1:$I$89,7,0))</f>
        <v>0</v>
      </c>
      <c r="CI169" s="122" t="n">
        <f aca="false">IF(ISNA(VLOOKUP(A169,'Données projet'!$A$113:$I$133,6,0)),0%,VLOOKUP(A169,'Données projet'!$A$113:$I$133,6,0)*VLOOKUP('Données projet'!$B$12,Paramètres!$A$1:$I$89,7,0))</f>
        <v>0</v>
      </c>
      <c r="CJ169" s="122" t="n">
        <f aca="false">IF(ISNA(VLOOKUP(A169,'Données projet'!$A$113:$I$133,7,0)),0%,VLOOKUP(A169,'Données projet'!$A$113:$I$133,7,0))</f>
        <v>0</v>
      </c>
      <c r="CK169" s="129" t="n">
        <f aca="false">EXP(-LN(2)/35)*CK168+(1-EXP(-LN(2)/35))/(LN(2)/35)*CG169*CH169*VLOOKUP('Données projet'!$B$12,Paramètres!$A$1:$I$89,3,0)*0.475*44/12</f>
        <v>0.356166859726037</v>
      </c>
      <c r="CL169" s="129" t="n">
        <f aca="false">EXP(-LN(2)/25)*CL168+(1-EXP(-LN(2)/25))/(LN(2)/25)*Calculateur!CG169*Calculateur!CI169*VLOOKUP('Données projet'!$B$12,Paramètres!$A$1:$I$89,3,0)*0.475*44/12</f>
        <v>0.548477323537325</v>
      </c>
      <c r="CM169" s="129" t="n">
        <f aca="false">EXP(-LN(2)/2)*CM168+(1-EXP(-LN(2)/2))/(LN(2)/2)*CG169*CJ169*VLOOKUP('Données projet'!$B$12,Paramètres!$A$1:$I$89,3,0)*0.475*44/12</f>
        <v>3.26610194306003E-020</v>
      </c>
      <c r="CN169" s="130" t="n">
        <f aca="false">SUM(CK169:CM169)</f>
        <v>0.904644183263362</v>
      </c>
      <c r="CO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8" t="e">
        <f aca="false">VLOOKUP(A169,'Données projet'!$A$139:$I$159,2,0)</f>
        <v>#N/A</v>
      </c>
      <c r="CR169" s="118" t="e">
        <f aca="false">VLOOKUP(A169,'Données projet'!$A$139:$I$159,9,0)</f>
        <v>#N/A</v>
      </c>
      <c r="CS169" s="118" t="e">
        <f aca="false" t="array" ref="CS169:CS169">INDEX(CR:CR,MIN(IF(ISNUMBER(CR169:CR365),ROW(CR169:CR365),"")))</f>
        <v>#N/A</v>
      </c>
      <c r="CT169" s="118" t="n">
        <f aca="false">IF('Données projet'!$A$140&gt;35,CT168+CS169-DB168,IF(A169&lt;'Données projet'!$A$140,$CQ$205^A169,IF(A169='Données projet'!$A$140,'Données projet'!$B$140,CT168+CS169-DB168)))</f>
        <v>-5.6843418860808E-014</v>
      </c>
      <c r="CU169" s="125" t="n">
        <f aca="false">CT169*VLOOKUP('Données projet'!$B$13,Paramètres!$A$1:$I$89,3,0)*VLOOKUP('Données projet'!$B$13,Paramètres!$A$1:$I$89,5,0)</f>
        <v>-3.10365066980012E-014</v>
      </c>
      <c r="CV169" s="117" t="e">
        <f aca="false">EXP(-1.0587+0.8836*LN(CU169)+0.284)</f>
        <v>#VALUE!</v>
      </c>
      <c r="CW169" s="128" t="e">
        <f aca="false">(CU169+CV169)*0.475*44/12</f>
        <v>#VALUE!</v>
      </c>
      <c r="CX169" s="120" t="e">
        <f aca="false">CW169+(CO169+CP169)*44/12</f>
        <v>#VALUE!</v>
      </c>
      <c r="CY169" s="120" t="n">
        <f aca="true">AVERAGE(OFFSET($CX$3,0,0,'Données projet'!$E$13+1,1))-AVERAGE(OFFSET($H$3,0,0,'Données projet'!$E$13+1,1))</f>
        <v>207.023069645676</v>
      </c>
      <c r="CZ169" s="120" t="n">
        <f aca="false">$CZ$3</f>
        <v>342.068879333518</v>
      </c>
      <c r="DA169" s="121" t="n">
        <f aca="false">IF(ISNA(VLOOKUP(A169,'Données projet'!$A$139:$I$159,3,0)),0,VLOOKUP(A169,'Données projet'!$A$139:$I$159,3,0))</f>
        <v>0</v>
      </c>
      <c r="DB169" s="121" t="n">
        <f aca="false">IF(ISNA(VLOOKUP(A169,'Données projet'!$A$139:$I$159,4,0)),0,VLOOKUP(A169,'Données projet'!$A$139:$I$159,4,0))</f>
        <v>0</v>
      </c>
      <c r="DC169" s="122" t="n">
        <f aca="false">IF(ISNA(VLOOKUP(A169,'Données projet'!$A$139:$I$159,5,0)),0%,VLOOKUP(A169,'Données projet'!$A$139:$I$159,5,0)*VLOOKUP('Données projet'!$B$13,Paramètres!$A$1:$I$89,7,0))</f>
        <v>0</v>
      </c>
      <c r="DD169" s="122" t="n">
        <f aca="false">IF(ISNA(VLOOKUP(A169,'Données projet'!$A$139:$I$159,6,0)),0%,VLOOKUP(A169,'Données projet'!$A$139:$I$159,6,0)*VLOOKUP('Données projet'!$B$13,Paramètres!$A$1:$I$89,7,0))</f>
        <v>0</v>
      </c>
      <c r="DE169" s="122" t="n">
        <f aca="false">IF(ISNA(VLOOKUP(A169,'Données projet'!$A$139:$I$159,7,0)),0%,VLOOKUP(A169,'Données projet'!$A$139:$I$159,7,0))</f>
        <v>0</v>
      </c>
      <c r="DF169" s="129" t="n">
        <f aca="false">EXP(-LN(2)/35)*DF168+(1-EXP(-LN(2)/35))/(LN(2)/35)*DB169*DC169*VLOOKUP('Données projet'!$B$13,Paramètres!$A$1:$I$89,3,0)*0.475*44/12</f>
        <v>0.446888607014744</v>
      </c>
      <c r="DG169" s="129" t="n">
        <f aca="false">EXP(-LN(2)/25)*DG168+(1-EXP(-LN(2)/25))/(LN(2)/25)*Calculateur!DB169*Calculateur!DD169*VLOOKUP('Données projet'!$B$13,Paramètres!$A$1:$I$89,3,0)*0.475*44/12</f>
        <v>0.896531989306674</v>
      </c>
      <c r="DH169" s="129" t="n">
        <f aca="false">EXP(-LN(2)/2)*DH168+(1-EXP(-LN(2)/2))/(LN(2)/2)*DB169*DE169*VLOOKUP('Données projet'!$B$13,Paramètres!$A$1:$I$89,3,0)*0.475*44/12</f>
        <v>4.49742388984078E-020</v>
      </c>
      <c r="DI169" s="130" t="n">
        <f aca="false">SUM(DF169:DH169)</f>
        <v>1.34342059632142</v>
      </c>
      <c r="DJ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8" t="e">
        <f aca="false">VLOOKUP(A169,'Données projet'!$A$165:$I$185,2,0)</f>
        <v>#N/A</v>
      </c>
      <c r="DM169" s="118" t="e">
        <f aca="false">VLOOKUP(A169,'Données projet'!$A$165:$I$185,9,0)</f>
        <v>#N/A</v>
      </c>
      <c r="DN169" s="118" t="e">
        <f aca="false" t="array" ref="DN169:DN169">INDEX(DM:DM,MIN(IF(ISNUMBER(DM169:DM365),ROW(DM169:DM365),"")))</f>
        <v>#N/A</v>
      </c>
      <c r="DO169" s="118" t="n">
        <f aca="false">IF('Données projet'!$A$166&gt;35,DO168+DN169-DW168,IF(A169&lt;'Données projet'!$A$166,$DL$205^A169,IF(A169='Données projet'!$A$166,'Données projet'!$B$166,DO168+DN169-DW168)))</f>
        <v>0</v>
      </c>
      <c r="DP169" s="125" t="n">
        <f aca="false">DO169*VLOOKUP('Données projet'!$B$14,Paramètres!$A$1:$I$89,3,0)*VLOOKUP('Données projet'!$B$14,Paramètres!$A$1:$I$89,5,0)</f>
        <v>0</v>
      </c>
      <c r="DQ169" s="117" t="e">
        <f aca="false">EXP(-1.0587+0.8836*LN(DP169)+0.284)</f>
        <v>#VALUE!</v>
      </c>
      <c r="DR169" s="128" t="e">
        <f aca="false">(DP169+DQ169)*0.475*44/12</f>
        <v>#VALUE!</v>
      </c>
      <c r="DS169" s="120" t="e">
        <f aca="false">DR169+(DJ169+DK169)*44/12</f>
        <v>#VALUE!</v>
      </c>
      <c r="DT169" s="120" t="n">
        <f aca="true">AVERAGE(OFFSET($DS$3,0,0,'Données projet'!$E$14+1,1))-AVERAGE(OFFSET($H$3,0,0,'Données projet'!$E$14+1,1))</f>
        <v>549.432320957297</v>
      </c>
      <c r="DU169" s="120" t="n">
        <f aca="false">$DU$3</f>
        <v>280.26155987301</v>
      </c>
      <c r="DV169" s="121" t="n">
        <f aca="false">IF(ISNA(VLOOKUP(A169,'Données projet'!$A$165:$I$185,3,0)),0,VLOOKUP(A169,'Données projet'!$A$165:$I$185,3,0))</f>
        <v>0</v>
      </c>
      <c r="DW169" s="121" t="n">
        <f aca="false">IF(ISNA(VLOOKUP(A169,'Données projet'!$A$165:$I$185,4,0)),0,VLOOKUP(A169,'Données projet'!$A$165:$I$185,4,0))</f>
        <v>0</v>
      </c>
      <c r="DX169" s="122" t="n">
        <f aca="false">IF(ISNA(VLOOKUP(A169,'Données projet'!$A$165:$I$185,5,0)),0%,VLOOKUP(A169,'Données projet'!$A$165:$I$185,5,0)*VLOOKUP('Données projet'!$B$14,Paramètres!$A$1:$I$89,7,0))</f>
        <v>0</v>
      </c>
      <c r="DY169" s="122" t="n">
        <f aca="false">IF(ISNA(VLOOKUP(A169,'Données projet'!$A$165:$I$185,6,0)),0%,VLOOKUP(A169,'Données projet'!$A$165:$I$185,6,0)*VLOOKUP('Données projet'!$B$14,Paramètres!$A$1:$I$89,7,0))</f>
        <v>0</v>
      </c>
      <c r="DZ169" s="122" t="n">
        <f aca="false">IF(ISNA(VLOOKUP(A169,'Données projet'!$A$165:$I$185,7,0)),0%,VLOOKUP(A169,'Données projet'!$A$165:$I$185,7,0))</f>
        <v>0</v>
      </c>
      <c r="EA169" s="129" t="n">
        <f aca="false">EXP(-LN(2)/35)*EA168+(1-EXP(-LN(2)/35))/(LN(2)/35)*DW169*DX169*VLOOKUP('Données projet'!$B$14,Paramètres!$A$1:$I$89,3,0)*0.475*44/12</f>
        <v>0.162488199210182</v>
      </c>
      <c r="EB169" s="129" t="n">
        <f aca="false">EXP(-LN(2)/25)*EB168+(1-EXP(-LN(2)/25))/(LN(2)/25)*Calculateur!DW169*Calculateur!DY169*VLOOKUP('Données projet'!$B$14,Paramètres!$A$1:$I$89,3,0)*0.475*44/12</f>
        <v>0.178606860535144</v>
      </c>
      <c r="EC169" s="129" t="n">
        <f aca="false">EXP(-LN(2)/2)*EC168+(1-EXP(-LN(2)/2))/(LN(2)/2)*DW169*DZ169*VLOOKUP('Données projet'!$B$14,Paramètres!$A$1:$I$89,3,0)*0.475*44/12</f>
        <v>2.07321970685887E-020</v>
      </c>
      <c r="ED169" s="130" t="n">
        <f aca="false">SUM(EA169:EC169)</f>
        <v>0.341095059745327</v>
      </c>
      <c r="EE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8" t="e">
        <f aca="false">VLOOKUP(A169,'Données projet'!$A$191:$I$211,2,0)</f>
        <v>#N/A</v>
      </c>
      <c r="EH169" s="118" t="e">
        <f aca="false">VLOOKUP(A169,'Données projet'!$A$191:$I$211,9,0)</f>
        <v>#N/A</v>
      </c>
      <c r="EI169" s="118" t="e">
        <f aca="false" t="array" ref="EI169:EI169">INDEX(EH:EH,MIN(IF(ISNUMBER(EH169:EH365),ROW(EH169:EH365),"")))</f>
        <v>#N/A</v>
      </c>
      <c r="EJ169" s="118" t="n">
        <f aca="false">IF('Données projet'!$A$192&gt;35,EJ168+EI169-ER168,IF(A169&lt;'Données projet'!$A$192,$EG$205^A169,IF(A169='Données projet'!$A$192,'Données projet'!$B$192,EJ168+EI169-ER168)))</f>
        <v>0</v>
      </c>
      <c r="EK169" s="125" t="e">
        <f aca="false">EJ169*VLOOKUP('Données projet'!$B$15,Paramètres!$A$1:$I$89,3,0)*VLOOKUP('Données projet'!$B$15,Paramètres!$A$1:$I$89,5,0)</f>
        <v>#N/A</v>
      </c>
      <c r="EL169" s="117" t="e">
        <f aca="false">EXP(-1.0587+0.8836*LN(EK169)+0.284)</f>
        <v>#N/A</v>
      </c>
      <c r="EM169" s="128" t="e">
        <f aca="false">(EK169+EL169)*0.475*44/12</f>
        <v>#N/A</v>
      </c>
      <c r="EN169" s="120" t="e">
        <f aca="false">EM169+(EE169+EF169)*44/12</f>
        <v>#N/A</v>
      </c>
      <c r="EO169" s="120" t="e">
        <f aca="true">AVERAGE(OFFSET($EN$3,0,0,'Données projet'!$E$15+1,1))-AVERAGE(OFFSET($H$3,0,0,'Données projet'!$E$15+1,1))</f>
        <v>#N/A</v>
      </c>
      <c r="EP169" s="120" t="e">
        <f aca="false">$EP$3</f>
        <v>#N/A</v>
      </c>
      <c r="EQ169" s="121" t="n">
        <f aca="false">IF(ISNA(VLOOKUP(A169,'Données projet'!$A$191:$I$211,3,0)),0,VLOOKUP(A169,'Données projet'!$A$191:$I$211,3,0))</f>
        <v>0</v>
      </c>
      <c r="ER169" s="121" t="n">
        <f aca="false">IF(ISNA(VLOOKUP(A169,'Données projet'!$A$191:$I$211,4,0)),0,VLOOKUP(A169,'Données projet'!$A$191:$I$211,4,0))</f>
        <v>0</v>
      </c>
      <c r="ES169" s="122" t="n">
        <f aca="false">IF(ISNA(VLOOKUP(A169,'Données projet'!$A$191:$I$211,5,0)),0%,VLOOKUP(A169,'Données projet'!$A$191:$I$211,5,0)*VLOOKUP('Données projet'!$B$15,Paramètres!$A$1:$I$89,7,0))</f>
        <v>0</v>
      </c>
      <c r="ET169" s="122" t="n">
        <f aca="false">IF(ISNA(VLOOKUP(A169,'Données projet'!$A$191:$I$211,6,0)),0%,VLOOKUP(A169,'Données projet'!$A$191:$I$211,6,0)*VLOOKUP('Données projet'!$B$15,Paramètres!$A$1:$I$89,7,0))</f>
        <v>0</v>
      </c>
      <c r="EU169" s="122" t="n">
        <f aca="false">IF(ISNA(VLOOKUP(A169,'Données projet'!$A$191:$I$211,7,0)),0%,VLOOKUP(A169,'Données projet'!$A$191:$I$211,7,0))</f>
        <v>0</v>
      </c>
      <c r="EV169" s="129" t="e">
        <f aca="false">EXP(-LN(2)/35)*EV168+(1-EXP(-LN(2)/35))/(LN(2)/35)*ER169*ES169*VLOOKUP('Données projet'!$B$15,Paramètres!$A$1:$I$89,3,0)*0.475*44/12</f>
        <v>#N/A</v>
      </c>
      <c r="EW169" s="129" t="e">
        <f aca="false">EXP(-LN(2)/25)*EW168+(1-EXP(-LN(2)/25))/(LN(2)/25)*Calculateur!ER169*Calculateur!ET169*VLOOKUP('Données projet'!$B$15,Paramètres!$A$1:$I$89,3,0)*0.475*44/12</f>
        <v>#N/A</v>
      </c>
      <c r="EX169" s="129" t="e">
        <f aca="false">EXP(-LN(2)/2)*EX168+(1-EXP(-LN(2)/2))/(LN(2)/2)*ER169*EU169*VLOOKUP('Données projet'!$B$15,Paramètres!$A$1:$I$89,3,0)*0.475*44/12</f>
        <v>#N/A</v>
      </c>
      <c r="EY169" s="130" t="e">
        <f aca="false">SUM(EV169:EX169)</f>
        <v>#N/A</v>
      </c>
      <c r="EZ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8" t="e">
        <f aca="false">VLOOKUP(A169,'Données projet'!$A$217:$I$237,2,0)</f>
        <v>#N/A</v>
      </c>
      <c r="FC169" s="118" t="e">
        <f aca="false">VLOOKUP(A169,'Données projet'!$A$217:$I$237,9,0)</f>
        <v>#N/A</v>
      </c>
      <c r="FD169" s="118" t="e">
        <f aca="false" t="array" ref="FD169:FD169">INDEX(FC:FC,MIN(IF(ISNUMBER(FC169:FC365),ROW(FC169:FC365),"")))</f>
        <v>#N/A</v>
      </c>
      <c r="FE169" s="118" t="n">
        <f aca="false">IF('Données projet'!$A$218&gt;35,FE168+FD169-FM168,IF(A169&lt;'Données projet'!$A$218,$FB$205^A169,IF(A169='Données projet'!$A$218,'Données projet'!$B$218,FE168+FD169-FM168)))</f>
        <v>0</v>
      </c>
      <c r="FF169" s="125" t="e">
        <f aca="false">FE169*VLOOKUP('Données projet'!$B$16,Paramètres!$A$1:$I$89,3,0)*VLOOKUP('Données projet'!$B$16,Paramètres!$A$1:$I$89,5,0)</f>
        <v>#N/A</v>
      </c>
      <c r="FG169" s="117" t="e">
        <f aca="false">EXP(-1.0587+0.8836*LN(FF169)+0.284)</f>
        <v>#N/A</v>
      </c>
      <c r="FH169" s="128" t="e">
        <f aca="false">(FF169+FG169)*0.475*44/12</f>
        <v>#N/A</v>
      </c>
      <c r="FI169" s="120" t="e">
        <f aca="false">FH169+(EZ169+FA169)*44/12</f>
        <v>#N/A</v>
      </c>
      <c r="FJ169" s="120" t="e">
        <f aca="true">AVERAGE(OFFSET($FI$3,0,0,'Données projet'!$E$16+1,1))-AVERAGE(OFFSET($H$3,0,0,'Données projet'!$E$16+1,1))</f>
        <v>#N/A</v>
      </c>
      <c r="FK169" s="120" t="e">
        <f aca="false">$FK$3</f>
        <v>#N/A</v>
      </c>
      <c r="FL169" s="121" t="n">
        <f aca="false">IF(ISNA(VLOOKUP(A169,'Données projet'!$A$217:$I$237,3,0)),0,VLOOKUP(A169,'Données projet'!$A$217:$I$237,3,0))</f>
        <v>0</v>
      </c>
      <c r="FM169" s="121" t="n">
        <f aca="false">IF(ISNA(VLOOKUP(A169,'Données projet'!$A$217:$I$237,4,0)),0,VLOOKUP(A169,'Données projet'!$A$217:$I$237,4,0))</f>
        <v>0</v>
      </c>
      <c r="FN169" s="122" t="n">
        <f aca="false">IF(ISNA(VLOOKUP(A169,'Données projet'!$A$217:$I$237,5,0)),0%,VLOOKUP(A169,'Données projet'!$A$217:$I$237,5,0)*VLOOKUP('Données projet'!$B$16,Paramètres!$A$1:$I$89,7,0))</f>
        <v>0</v>
      </c>
      <c r="FO169" s="122" t="n">
        <f aca="false">IF(ISNA(VLOOKUP(A169,'Données projet'!$A$217:$I$237,6,0)),0%,VLOOKUP(A169,'Données projet'!$A$217:$I$237,6,0)*VLOOKUP('Données projet'!$B$16,Paramètres!$A$1:$I$89,7,0))</f>
        <v>0</v>
      </c>
      <c r="FP169" s="122" t="n">
        <f aca="false">IF(ISNA(VLOOKUP(A169,'Données projet'!$A$217:$I$237,7,0)),0%,VLOOKUP(A169,'Données projet'!$A$217:$I$237,7,0))</f>
        <v>0</v>
      </c>
      <c r="FQ169" s="129" t="e">
        <f aca="false">EXP(-LN(2)/35)*FQ168+(1-EXP(-LN(2)/35))/(LN(2)/35)*FM169*FN169*VLOOKUP('Données projet'!$B$16,Paramètres!$A$1:$I$89,3,0)*0.475*44/12</f>
        <v>#N/A</v>
      </c>
      <c r="FR169" s="129" t="e">
        <f aca="false">EXP(-LN(2)/25)*FR168+(1-EXP(-LN(2)/25))/(LN(2)/25)*Calculateur!FM169*Calculateur!FO169*VLOOKUP('Données projet'!$B$16,Paramètres!$A$1:$I$89,3,0)*0.475*44/12</f>
        <v>#N/A</v>
      </c>
      <c r="FS169" s="129" t="e">
        <f aca="false">EXP(-LN(2)/2)*FS168+(1-EXP(-LN(2)/2))/(LN(2)/2)*FM169*FP169*VLOOKUP('Données projet'!$B$16,Paramètres!$A$1:$I$89,3,0)*0.475*44/12</f>
        <v>#N/A</v>
      </c>
      <c r="FT169" s="130" t="e">
        <f aca="false">SUM(FQ169:FS169)</f>
        <v>#N/A</v>
      </c>
      <c r="FU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8" t="e">
        <f aca="false">VLOOKUP(A169,'Données projet'!$A$243:$I$263,2,0)</f>
        <v>#N/A</v>
      </c>
      <c r="FX169" s="118" t="e">
        <f aca="false">VLOOKUP(A169,'Données projet'!$A$243:$I$263,9,0)</f>
        <v>#N/A</v>
      </c>
      <c r="FY169" s="118" t="e">
        <f aca="false" t="array" ref="FY169:FY169">INDEX(FX:FX,MIN(IF(ISNUMBER(FX169:FX365),ROW(FX169:FX365),"")))</f>
        <v>#N/A</v>
      </c>
      <c r="FZ169" s="118" t="n">
        <f aca="false">IF('Données projet'!$A$244&gt;35,FZ168+FY169-GH168,IF(A169&lt;'Données projet'!$A$244,$FW$205^A169,IF(A169='Données projet'!$A$244,'Données projet'!$B$244,FZ168+FY169-GH168)))</f>
        <v>0</v>
      </c>
      <c r="GA169" s="125" t="e">
        <f aca="false">FZ169*VLOOKUP('Données projet'!$B$17,Paramètres!$A$1:$I$89,3,0)*VLOOKUP('Données projet'!$B$17,Paramètres!$A$1:$I$89,5,0)</f>
        <v>#N/A</v>
      </c>
      <c r="GB169" s="117" t="e">
        <f aca="false">EXP(-1.0587+0.8836*LN(GA169)+0.284)</f>
        <v>#N/A</v>
      </c>
      <c r="GC169" s="128" t="e">
        <f aca="false">(GA169+GB169)*0.475*44/12</f>
        <v>#N/A</v>
      </c>
      <c r="GD169" s="120" t="e">
        <f aca="false">GC169+(FU169+FV169)*44/12</f>
        <v>#N/A</v>
      </c>
      <c r="GE169" s="120" t="e">
        <f aca="true">AVERAGE(OFFSET($GD$3,0,0,'Données projet'!$E$17+1,1))-AVERAGE(OFFSET($H$3,0,0,'Données projet'!$E$17+1,1))</f>
        <v>#N/A</v>
      </c>
      <c r="GF169" s="120" t="e">
        <f aca="false">$GF$3</f>
        <v>#N/A</v>
      </c>
      <c r="GG169" s="121" t="n">
        <f aca="false">IF(ISNA(VLOOKUP(A169,'Données projet'!$A$243:$I$263,3,0)),0,VLOOKUP(A169,'Données projet'!$A$243:$I$263,3,0))</f>
        <v>0</v>
      </c>
      <c r="GH169" s="121" t="n">
        <f aca="false">IF(ISNA(VLOOKUP(A169,'Données projet'!$A$243:$I$263,4,0)),0,VLOOKUP(A169,'Données projet'!$A$243:$I$263,4,0))</f>
        <v>0</v>
      </c>
      <c r="GI169" s="122" t="n">
        <f aca="false">IF(ISNA(VLOOKUP(A169,'Données projet'!$A$243:$I$263,5,0)),0%,VLOOKUP(A169,'Données projet'!$A$243:$I$263,5,0)*VLOOKUP('Données projet'!$B$17,Paramètres!$A$1:$I$89,7,0))</f>
        <v>0</v>
      </c>
      <c r="GJ169" s="122" t="n">
        <f aca="false">IF(ISNA(VLOOKUP(A169,'Données projet'!$A$243:$I$263,6,0)),0%,VLOOKUP(A169,'Données projet'!$A$243:$I$263,6,0)*VLOOKUP('Données projet'!$B$17,Paramètres!$A$1:$I$89,7,0))</f>
        <v>0</v>
      </c>
      <c r="GK169" s="122" t="n">
        <f aca="false">IF(ISNA(VLOOKUP(A169,'Données projet'!$A$243:$I$263,7,0)),0%,VLOOKUP(A169,'Données projet'!$A$243:$I$263,7,0))</f>
        <v>0</v>
      </c>
      <c r="GL169" s="129" t="e">
        <f aca="false">EXP(-LN(2)/35)*GL168+(1-EXP(-LN(2)/35))/(LN(2)/35)*GH169*GI169*VLOOKUP('Données projet'!$B$17,Paramètres!$A$1:$I$89,3,0)*0.475*44/12</f>
        <v>#N/A</v>
      </c>
      <c r="GM169" s="129" t="e">
        <f aca="false">EXP(-LN(2)/25)*GM168+(1-EXP(-LN(2)/25))/(LN(2)/25)*Calculateur!GH169*Calculateur!GJ169*VLOOKUP('Données projet'!$B$17,Paramètres!$A$1:$I$89,3,0)*0.475*44/12</f>
        <v>#N/A</v>
      </c>
      <c r="GN169" s="129" t="e">
        <f aca="false">EXP(-LN(2)/2)*GN168+(1-EXP(-LN(2)/2))/(LN(2)/2)*GH169*GK169*VLOOKUP('Données projet'!$B$17,Paramètres!$A$1:$I$89,3,0)*0.475*44/12</f>
        <v>#N/A</v>
      </c>
      <c r="GO169" s="129" t="e">
        <f aca="false">SUM(GL169:GN169)</f>
        <v>#N/A</v>
      </c>
      <c r="GP169" s="126" t="n">
        <f aca="false"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8" t="n">
        <f aca="false"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8" t="e">
        <f aca="false">VLOOKUP(A169,'Données projet'!$A$269:$I$289,2,0)</f>
        <v>#N/A</v>
      </c>
      <c r="GS169" s="118" t="e">
        <f aca="false">VLOOKUP(A169,'Données projet'!$A$269:$I$289,9,0)</f>
        <v>#N/A</v>
      </c>
      <c r="GT169" s="118" t="e">
        <f aca="false" t="array" ref="GT169:GT169">INDEX(GS:GS,MIN(IF(ISNUMBER(GS169:GS365),ROW(GS169:GS365),"")))</f>
        <v>#N/A</v>
      </c>
      <c r="GU169" s="118" t="n">
        <f aca="false">IF('Données projet'!$A$270&gt;35,GU168+GT169-HC168,IF(A169&lt;'Données projet'!$A$270,$GR$205^A169,IF(A169='Données projet'!$A$270,'Données projet'!$B$270,GU168+GT169-HC168)))</f>
        <v>0</v>
      </c>
      <c r="GV169" s="125" t="e">
        <f aca="false">GU169*VLOOKUP('Données projet'!$B$18,Paramètres!$A$1:$I$89,3,0)*VLOOKUP('Données projet'!$B$18,Paramètres!$A$1:$I$89,5,0)</f>
        <v>#N/A</v>
      </c>
      <c r="GW169" s="117" t="e">
        <f aca="false">EXP(-1.0587+0.8836*LN(GV169)+0.284)</f>
        <v>#N/A</v>
      </c>
      <c r="GX169" s="128" t="e">
        <f aca="false">(GV169+GW169)*0.475*44/12</f>
        <v>#N/A</v>
      </c>
      <c r="GY169" s="120" t="e">
        <f aca="false">GX169+(GP169+GQ169)*44/12</f>
        <v>#N/A</v>
      </c>
      <c r="GZ169" s="120" t="e">
        <f aca="true">AVERAGE(OFFSET($GY$3,0,0,'Données projet'!$E$18+1,1))-AVERAGE(OFFSET($H$3,0,0,'Données projet'!$E$18+1,1))</f>
        <v>#N/A</v>
      </c>
      <c r="HA169" s="120" t="e">
        <f aca="false">$HA$3</f>
        <v>#N/A</v>
      </c>
      <c r="HB169" s="121" t="n">
        <f aca="false">IF(ISNA(VLOOKUP(A169,'Données projet'!$A$269:$I$289,3,0)),0,VLOOKUP(A169,'Données projet'!$A$269:$I$289,3,0))</f>
        <v>0</v>
      </c>
      <c r="HC169" s="121" t="n">
        <f aca="false">IF(ISNA(VLOOKUP(A169,'Données projet'!$A$269:$I$289,4,0)),0,VLOOKUP(A169,'Données projet'!$A$269:$I$289,4,0))</f>
        <v>0</v>
      </c>
      <c r="HD169" s="122" t="n">
        <f aca="false">IF(ISNA(VLOOKUP(A169,'Données projet'!$A$269:$I$289,5,0)),0%,VLOOKUP(A169,'Données projet'!$A$269:$I$289,5,0)*VLOOKUP('Données projet'!$B$18,Paramètres!$A$1:$I$89,7,0))</f>
        <v>0</v>
      </c>
      <c r="HE169" s="122" t="n">
        <f aca="false">IF(ISNA(VLOOKUP(A169,'Données projet'!$A$269:$I$289,6,0)),0%,VLOOKUP(A169,'Données projet'!$A$269:$I$289,6,0)*VLOOKUP('Données projet'!$B$18,Paramètres!$A$1:$I$89,7,0))</f>
        <v>0</v>
      </c>
      <c r="HF169" s="122" t="n">
        <f aca="false">IF(ISNA(VLOOKUP(A169,'Données projet'!$A$269:$I$289,7,0)),0%,VLOOKUP(A169,'Données projet'!$A$269:$I$289,7,0))</f>
        <v>0</v>
      </c>
      <c r="HG169" s="129" t="e">
        <f aca="false">EXP(-LN(2)/35)*HG168+(1-EXP(-LN(2)/35))/(LN(2)/35)*HC169*HD169*VLOOKUP('Données projet'!$B$18,Paramètres!$A$1:$I$89,3,0)*0.475*44/12</f>
        <v>#N/A</v>
      </c>
      <c r="HH169" s="129" t="e">
        <f aca="false">EXP(-LN(2)/25)*HH168+(1-EXP(-LN(2)/25))/(LN(2)/25)*Calculateur!HC169*Calculateur!HE169*VLOOKUP('Données projet'!$B$18,Paramètres!$A$1:$I$89,3,0)*0.475*44/12</f>
        <v>#N/A</v>
      </c>
      <c r="HI169" s="129" t="e">
        <f aca="false">EXP(-LN(2)/2)*HI168+(1-EXP(-LN(2)/2))/(LN(2)/2)*HC169*HF169*VLOOKUP('Données projet'!$B$18,Paramètres!$A$1:$I$89,3,0)*0.475*44/12</f>
        <v>#N/A</v>
      </c>
      <c r="HJ169" s="130" t="e">
        <f aca="false">SUM(HG169:HI169)</f>
        <v>#N/A</v>
      </c>
    </row>
    <row r="170" customFormat="false" ht="14.25" hidden="false" customHeight="false" outlineLevel="0" collapsed="false">
      <c r="A170" s="112" t="n">
        <f aca="false">A169+1</f>
        <v>167</v>
      </c>
      <c r="B170" s="113" t="n">
        <f aca="false">'Scénario référence'!$B$16*5+'Scénario référence'!$B$17*0+'Scénario référence'!$B$18*5</f>
        <v>0</v>
      </c>
      <c r="C170" s="127" t="n">
        <f aca="false"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4" t="n">
        <f aca="false">IFERROR(EXP(-1.0587+0.8836*LN(C170)+0.284),0)</f>
        <v>0</v>
      </c>
      <c r="E17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0" s="114" t="n">
        <f aca="false">IF(OR('Scénario référence'!$F$8&gt;0,'Scénario référence'!$F$9&gt;0),('Scénario référence'!$F$8+'Scénario référence'!$F$9)*10,0)</f>
        <v>0</v>
      </c>
      <c r="G170" s="114" t="n">
        <f aca="false"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15" t="n">
        <f aca="false">(B170+E170+F170)*44/12+(C170+D170)*0.475*44/12</f>
        <v>256.666666666667</v>
      </c>
      <c r="I170" s="11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7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8" t="e">
        <f aca="false">VLOOKUP(A170,'Données projet'!$A$35:$I$55,2,0)</f>
        <v>#N/A</v>
      </c>
      <c r="L170" s="118" t="e">
        <f aca="false">VLOOKUP(A170,'Données projet'!$A$35:$I$55,9,0)</f>
        <v>#N/A</v>
      </c>
      <c r="M170" s="118" t="e">
        <f aca="false" t="array" ref="M170:M170">INDEX(L:L,MIN(IF(ISNUMBER(L170:L366),ROW(L170:L366),"")))</f>
        <v>#N/A</v>
      </c>
      <c r="N170" s="117" t="n">
        <f aca="false">IF('Données projet'!$A$36&gt;35,N169+M170-V169,IF(A170&lt;'Données projet'!$A$36,$K$205^A170,IF(A170='Données projet'!$A$36,'Données projet'!$B$36,N169+M170-V169)))</f>
        <v>-1.13686837721616E-013</v>
      </c>
      <c r="O170" s="117" t="n">
        <f aca="false">N170*VLOOKUP('Données projet'!$B$9,Paramètres!$A$1:$I$89,3,0)*VLOOKUP('Données projet'!$B$9,Paramètres!$A$1:$I$89,5,0)</f>
        <v>-5.32054400537163E-014</v>
      </c>
      <c r="P170" s="117" t="e">
        <f aca="false">EXP(-1.0587+0.8836*LN(O170)+0.284)</f>
        <v>#VALUE!</v>
      </c>
      <c r="Q170" s="128" t="e">
        <f aca="false">(O170+P170)*0.475*44/12</f>
        <v>#VALUE!</v>
      </c>
      <c r="R170" s="120" t="e">
        <f aca="false">Q170+(I170+J170)*44/12</f>
        <v>#VALUE!</v>
      </c>
      <c r="S170" s="120" t="n">
        <f aca="true">AVERAGE(OFFSET($R$3,0,0,'Données projet'!$E$9+1,1))-AVERAGE(OFFSET($H$3,0,0,'Données projet'!$E$9+1,1))</f>
        <v>319.229030946746</v>
      </c>
      <c r="T170" s="120" t="n">
        <f aca="false">$T$3</f>
        <v>254.586909731428</v>
      </c>
      <c r="U170" s="121" t="n">
        <f aca="false">IF(ISNA(VLOOKUP(A170,'Données projet'!$A$35:$I$55,3,0)),0,VLOOKUP(A170,'Données projet'!$A$35:$I$55,3,0))</f>
        <v>0</v>
      </c>
      <c r="V170" s="121" t="n">
        <f aca="false">IF(ISNA(VLOOKUP(A170,'Données projet'!$A$35:$I$55,4,0)),0,VLOOKUP(A170,'Données projet'!$A$35:$I$55,4,0))</f>
        <v>0</v>
      </c>
      <c r="W170" s="122" t="n">
        <f aca="false">IF(ISNA(VLOOKUP(A170,'Données projet'!$A$35:$I$55,5,0)),0%,VLOOKUP(A170,'Données projet'!$A$35:$I$55,5,0)*VLOOKUP('Données projet'!$B$9,Paramètres!$A$1:$I$89,7,0))</f>
        <v>0</v>
      </c>
      <c r="X170" s="122" t="n">
        <f aca="false">IF(ISNA(VLOOKUP(A170,'Données projet'!$A$35:$I$55,6,0)),0%,VLOOKUP(A170,'Données projet'!$A$35:$I$55,6,0)*VLOOKUP('Données projet'!$B$9,Paramètres!$A$1:$I$89,7,0))</f>
        <v>0</v>
      </c>
      <c r="Y170" s="122" t="n">
        <f aca="false">IF(ISNA(VLOOKUP(A170,'Données projet'!$A$35:$I$55,7,0)),0%,VLOOKUP(A170,'Données projet'!$A$35:$I$55,7,0))</f>
        <v>0</v>
      </c>
      <c r="Z170" s="129" t="n">
        <f aca="false">EXP(-LN(2)/35)*Z169+(1-EXP(-LN(2)/35))/(LN(2)/35)*V170*W170*VLOOKUP('Données projet'!$B$9,Paramètres!$A$1:$I$89,3,0)*0.475*44/12</f>
        <v>0.601984172850662</v>
      </c>
      <c r="AA170" s="129" t="n">
        <f aca="false">EXP(-LN(2)/25)*AA169+(1-EXP(-LN(2)/25))/(LN(2)/25)*Calculateur!V170*Calculateur!X170*VLOOKUP('Données projet'!$B$9,Paramètres!$A$1:$I$89,3,0)*0.475*44/12</f>
        <v>0.249851471047305</v>
      </c>
      <c r="AB170" s="129" t="n">
        <f aca="false">EXP(-LN(2)/2)*AB169+(1-EXP(-LN(2)/2))/(LN(2)/2)*V170*Y170*VLOOKUP('Données projet'!$B$9,Paramètres!$A$1:$I$89,3,0)*0.475*44/12</f>
        <v>2.64568069512768E-020</v>
      </c>
      <c r="AC170" s="130" t="n">
        <f aca="false">SUM(Z170:AB170)</f>
        <v>0.851835643897967</v>
      </c>
      <c r="AD170" s="117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7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8" t="e">
        <f aca="false">VLOOKUP(A170,'Données projet'!$A$61:$I$81,2,0)</f>
        <v>#N/A</v>
      </c>
      <c r="AG170" s="118" t="e">
        <f aca="false">VLOOKUP(A170,'Données projet'!$A$61:$I$81,9,0)</f>
        <v>#N/A</v>
      </c>
      <c r="AH170" s="118" t="e">
        <f aca="false" t="array" ref="AH170:AH170">INDEX(AG:AG,MIN(IF(ISNUMBER(AG170:AG366),ROW(AG170:AG366),"")))</f>
        <v>#N/A</v>
      </c>
      <c r="AI170" s="117" t="n">
        <f aca="false">IF('Données projet'!$A$62&gt;35,AI169+AH170-AQ169,IF(A170&lt;'Données projet'!$A$62,$AF$205^A170,IF(A170='Données projet'!$A$62,'Données projet'!$B$62,AI169+AH170-AQ169)))</f>
        <v>1.13686837721616E-013</v>
      </c>
      <c r="AJ170" s="117" t="n">
        <f aca="false">AI170*VLOOKUP('Données projet'!$B$10,Paramètres!$A$1:$I$89,3,0)*VLOOKUP('Données projet'!$B$10,Paramètres!$A$1:$I$89,5,0)</f>
        <v>6.35509422863834E-014</v>
      </c>
      <c r="AK170" s="117" t="n">
        <f aca="false">EXP(-1.0587+0.8836*LN(AJ170)+0.284)</f>
        <v>1.0064464192544E-012</v>
      </c>
      <c r="AL170" s="128" t="n">
        <f aca="false">(AJ170+AK170)*0.475*44/12</f>
        <v>1.86357873801686E-012</v>
      </c>
      <c r="AM170" s="120" t="n">
        <f aca="false">AL170+(AD170+AE170)*44/12</f>
        <v>293.333333333335</v>
      </c>
      <c r="AN170" s="120" t="n">
        <f aca="true">AVERAGE(OFFSET($AM$3,0,0,'Données projet'!$E$10+1,1))-AVERAGE(OFFSET($H$3,0,0,'Données projet'!$E$10+1,1))</f>
        <v>365.705101827279</v>
      </c>
      <c r="AO170" s="120" t="n">
        <f aca="false">$AO$3</f>
        <v>436.238338449625</v>
      </c>
      <c r="AP170" s="121" t="n">
        <f aca="false">IF(ISNA(VLOOKUP(A170,'Données projet'!$A$61:$I$81,3,0)),0,VLOOKUP(A170,'Données projet'!$A$61:$I$81,3,0))</f>
        <v>0</v>
      </c>
      <c r="AQ170" s="121" t="n">
        <f aca="false">IF(ISNA(VLOOKUP(A170,'Données projet'!$A$61:$I$81,4,0)),0,VLOOKUP(A170,'Données projet'!$A$61:$I$81,4,0))</f>
        <v>0</v>
      </c>
      <c r="AR170" s="122" t="n">
        <f aca="false">IF(ISNA(VLOOKUP(A170,'Données projet'!$A$61:$I$81,5,0)),0%,VLOOKUP(A170,'Données projet'!$A$61:$I$81,5,0)*VLOOKUP('Données projet'!$B$10,Paramètres!$A$1:$I$89,7,0))</f>
        <v>0</v>
      </c>
      <c r="AS170" s="122" t="n">
        <f aca="false">IF(ISNA(VLOOKUP(A170,'Données projet'!$A$61:$I$81,6,0)),0%,VLOOKUP(A170,'Données projet'!$A$61:$I$81,6,0)*VLOOKUP('Données projet'!$B$10,Paramètres!$A$1:$I$89,7,0))</f>
        <v>0</v>
      </c>
      <c r="AT170" s="122" t="n">
        <f aca="false">IF(ISNA(VLOOKUP(A170,'Données projet'!$A$61:$I$81,7,0)),0%,VLOOKUP(A170,'Données projet'!$A$61:$I$81,7,0))</f>
        <v>0</v>
      </c>
      <c r="AU170" s="129" t="n">
        <f aca="false">EXP(-LN(2)/35)*AU169+(1-EXP(-LN(2)/35))/(LN(2)/35)*AQ170*AR170*VLOOKUP('Données projet'!$B$10,Paramètres!$A$1:$I$89,3,0)*0.475*44/12</f>
        <v>0.227229508075647</v>
      </c>
      <c r="AV170" s="129" t="n">
        <f aca="false">EXP(-LN(2)/25)*AV169+(1-EXP(-LN(2)/25))/(LN(2)/25)*Calculateur!AQ170*Calculateur!AS170*VLOOKUP('Données projet'!$B$10,Paramètres!$A$1:$I$89,3,0)*0.475*44/12</f>
        <v>0.295935558017247</v>
      </c>
      <c r="AW170" s="129" t="n">
        <f aca="false">EXP(-LN(2)/2)*AW169+(1-EXP(-LN(2)/2))/(LN(2)/2)*AQ170*AT170*VLOOKUP('Données projet'!$B$10,Paramètres!$A$1:$I$89,3,0)*0.475*44/12</f>
        <v>1.4238226600089E-020</v>
      </c>
      <c r="AX170" s="129" t="n">
        <f aca="false">SUM(AU170:AW170)</f>
        <v>0.523165066092894</v>
      </c>
      <c r="AY170" s="124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8" t="e">
        <f aca="false">VLOOKUP(A170,'Données projet'!$A$87:$I$107,2,0)</f>
        <v>#N/A</v>
      </c>
      <c r="BB170" s="118" t="e">
        <f aca="false">VLOOKUP(A170,'Données projet'!$A$87:$I$107,9,0)</f>
        <v>#N/A</v>
      </c>
      <c r="BC170" s="118" t="e">
        <f aca="false" t="array" ref="BC170:BC170">INDEX(BB:BB,MIN(IF(ISNUMBER(BB170:BB366),ROW(BB170:BB366),"")))</f>
        <v>#N/A</v>
      </c>
      <c r="BD170" s="118" t="n">
        <f aca="false">IF('Données projet'!$A$88&gt;35,BD169+BC170-BL169,IF(A170&lt;'Données projet'!$A$88,$BA$205^A170,IF(A170='Données projet'!$A$88,'Données projet'!$B$88,BD169+BC170-BL169)))</f>
        <v>1.98951966012828E-013</v>
      </c>
      <c r="BE170" s="117" t="n">
        <f aca="false">BD170*VLOOKUP('Données projet'!$B$11,Paramètres!$A$1:$I$89,3,0)*VLOOKUP('Données projet'!$B$11,Paramètres!$A$1:$I$89,5,0)</f>
        <v>1.73804437508807E-013</v>
      </c>
      <c r="BF170" s="117" t="n">
        <f aca="false">EXP(-1.0587+0.8836*LN(BE170)+0.284)</f>
        <v>2.44832936339505E-012</v>
      </c>
      <c r="BG170" s="128" t="n">
        <f aca="false">(BE170+BF170)*0.475*44/12</f>
        <v>4.56688303657421E-012</v>
      </c>
      <c r="BH170" s="120" t="n">
        <f aca="false">BG170+(AY170+AZ170)*44/12</f>
        <v>293.333333333338</v>
      </c>
      <c r="BI170" s="120" t="n">
        <f aca="true">AVERAGE(OFFSET($BH$3,0,0,'Données projet'!$E$11+1,1))-AVERAGE(OFFSET($H$3,0,0,'Données projet'!$E$11+1,1))</f>
        <v>321.235999689929</v>
      </c>
      <c r="BJ170" s="120" t="n">
        <f aca="false">$BJ$3</f>
        <v>388.051958478005</v>
      </c>
      <c r="BK170" s="121" t="n">
        <f aca="false">IF(ISNA(VLOOKUP(A170,'Données projet'!$A$87:$I$107,3,0)),0,VLOOKUP(A170,'Données projet'!$A$87:$I$107,3,0))</f>
        <v>0</v>
      </c>
      <c r="BL170" s="121" t="n">
        <f aca="false">IF(ISNA(VLOOKUP(A170,'Données projet'!$A$87:$I$107,4,0)),0,VLOOKUP(A170,'Données projet'!$A$87:$I$107,4,0))</f>
        <v>0</v>
      </c>
      <c r="BM170" s="122" t="n">
        <f aca="false">IF(ISNA(VLOOKUP(A170,'Données projet'!$A$87:$I$107,5,0)),0%,VLOOKUP(A170,'Données projet'!$A$87:$I$107,5,0)*VLOOKUP('Données projet'!$B$11,Paramètres!$A$1:$I$89,7,0))</f>
        <v>0</v>
      </c>
      <c r="BN170" s="122" t="n">
        <f aca="false">IF(ISNA(VLOOKUP(A170,'Données projet'!$A$87:$I$107,6,0)),0%,VLOOKUP(A170,'Données projet'!$A$87:$I$107,6,0)*VLOOKUP('Données projet'!$B$11,Paramètres!$A$1:$I$89,7,0))</f>
        <v>0</v>
      </c>
      <c r="BO170" s="122" t="n">
        <f aca="false">IF(ISNA(VLOOKUP(A170,'Données projet'!$A$87:$I$107,7,0)),0%,VLOOKUP(A170,'Données projet'!$A$87:$I$107,7,0))</f>
        <v>0</v>
      </c>
      <c r="BP170" s="129" t="n">
        <f aca="false">EXP(-LN(2)/35)*BP169+(1-EXP(-LN(2)/35))/(LN(2)/35)*BL170*BM170*VLOOKUP('Données projet'!$B$11,Paramètres!$A$1:$I$89,3,0)*0.475*44/12</f>
        <v>0.570487254767993</v>
      </c>
      <c r="BQ170" s="129" t="n">
        <f aca="false">EXP(-LN(2)/25)*BQ169+(1-EXP(-LN(2)/25))/(LN(2)/25)*Calculateur!BL170*Calculateur!BN170*VLOOKUP('Données projet'!$B$11,Paramètres!$A$1:$I$89,3,0)*0.475*44/12</f>
        <v>0.302073440138624</v>
      </c>
      <c r="BR170" s="129" t="n">
        <f aca="false">EXP(-LN(2)/2)*BR169+(1-EXP(-LN(2)/2))/(LN(2)/2)*BL170*BO170*VLOOKUP('Données projet'!$B$11,Paramètres!$A$1:$I$89,3,0)*0.475*44/12</f>
        <v>1.44728613925305E-020</v>
      </c>
      <c r="BS170" s="130" t="n">
        <f aca="false">SUM(BP170:BR170)</f>
        <v>0.872560694906617</v>
      </c>
      <c r="BT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8" t="e">
        <f aca="false">VLOOKUP(A170,'Données projet'!$A$113:$I$133,2,0)</f>
        <v>#N/A</v>
      </c>
      <c r="BW170" s="118" t="e">
        <f aca="false">VLOOKUP(A170,'Données projet'!$A$113:$I$133,9,0)</f>
        <v>#N/A</v>
      </c>
      <c r="BX170" s="118" t="e">
        <f aca="false" t="array" ref="BX170:BX170">INDEX(BW:BW,MIN(IF(ISNUMBER(BW170:BW366),ROW(BW170:BW366),"")))</f>
        <v>#N/A</v>
      </c>
      <c r="BY170" s="118" t="n">
        <f aca="false">IF('Données projet'!$A$114&gt;35,BY169+BX170-CG169,IF(A170&lt;'Données projet'!$A$114,$BV$205^A170,IF(A170='Données projet'!$A$114,'Données projet'!$B$114,BY169+BX170-CG169)))</f>
        <v>0</v>
      </c>
      <c r="BZ170" s="117" t="n">
        <f aca="false">BY170*VLOOKUP('Données projet'!$B$12,Paramètres!$A$1:$I$89,3,0)*VLOOKUP('Données projet'!$B$12,Paramètres!$A$1:$I$89,5,0)</f>
        <v>0</v>
      </c>
      <c r="CA170" s="117" t="e">
        <f aca="false">EXP(-1.0587+0.8836*LN(BZ170)+0.284)</f>
        <v>#VALUE!</v>
      </c>
      <c r="CB170" s="128" t="e">
        <f aca="false">(BZ170+CA170)*0.475*44/12</f>
        <v>#VALUE!</v>
      </c>
      <c r="CC170" s="120" t="e">
        <f aca="false">CB170+(BT170+BU170)*44/12</f>
        <v>#VALUE!</v>
      </c>
      <c r="CD170" s="120" t="n">
        <f aca="true">AVERAGE(OFFSET($CC$3,0,0,'Données projet'!$E$12+1,1))-AVERAGE(OFFSET($H$3,0,0,'Données projet'!$E$12+1,1))</f>
        <v>240.228848647662</v>
      </c>
      <c r="CE170" s="120" t="n">
        <f aca="false">$CE$3</f>
        <v>343.237768841432</v>
      </c>
      <c r="CF170" s="121" t="n">
        <f aca="false">IF(ISNA(VLOOKUP(A170,'Données projet'!$A$113:$I$133,3,0)),0,VLOOKUP(A170,'Données projet'!$A$113:$I$133,3,0))</f>
        <v>0</v>
      </c>
      <c r="CG170" s="121" t="n">
        <f aca="false">IF(ISNA(VLOOKUP(A170,'Données projet'!$A$113:$I$133,4,0)),0,VLOOKUP(A170,'Données projet'!$A$113:$I$133,4,0))</f>
        <v>0</v>
      </c>
      <c r="CH170" s="122" t="n">
        <f aca="false">IF(ISNA(VLOOKUP(A170,'Données projet'!$A$113:$I$133,5,0)),0%,VLOOKUP(A170,'Données projet'!$A$113:$I$133,5,0)*VLOOKUP('Données projet'!$B$12,Paramètres!$A$1:$I$89,7,0))</f>
        <v>0</v>
      </c>
      <c r="CI170" s="122" t="n">
        <f aca="false">IF(ISNA(VLOOKUP(A170,'Données projet'!$A$113:$I$133,6,0)),0%,VLOOKUP(A170,'Données projet'!$A$113:$I$133,6,0)*VLOOKUP('Données projet'!$B$12,Paramètres!$A$1:$I$89,7,0))</f>
        <v>0</v>
      </c>
      <c r="CJ170" s="122" t="n">
        <f aca="false">IF(ISNA(VLOOKUP(A170,'Données projet'!$A$113:$I$133,7,0)),0%,VLOOKUP(A170,'Données projet'!$A$113:$I$133,7,0))</f>
        <v>0</v>
      </c>
      <c r="CK170" s="129" t="n">
        <f aca="false">EXP(-LN(2)/35)*CK169+(1-EXP(-LN(2)/35))/(LN(2)/35)*CG170*CH170*VLOOKUP('Données projet'!$B$12,Paramètres!$A$1:$I$89,3,0)*0.475*44/12</f>
        <v>0.349182644847143</v>
      </c>
      <c r="CL170" s="129" t="n">
        <f aca="false">EXP(-LN(2)/25)*CL169+(1-EXP(-LN(2)/25))/(LN(2)/25)*Calculateur!CG170*Calculateur!CI170*VLOOKUP('Données projet'!$B$12,Paramètres!$A$1:$I$89,3,0)*0.475*44/12</f>
        <v>0.533479182282028</v>
      </c>
      <c r="CM170" s="129" t="n">
        <f aca="false">EXP(-LN(2)/2)*CM169+(1-EXP(-LN(2)/2))/(LN(2)/2)*CG170*CJ170*VLOOKUP('Données projet'!$B$12,Paramètres!$A$1:$I$89,3,0)*0.475*44/12</f>
        <v>2.3094828319843E-020</v>
      </c>
      <c r="CN170" s="130" t="n">
        <f aca="false">SUM(CK170:CM170)</f>
        <v>0.882661827129171</v>
      </c>
      <c r="CO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8" t="e">
        <f aca="false">VLOOKUP(A170,'Données projet'!$A$139:$I$159,2,0)</f>
        <v>#N/A</v>
      </c>
      <c r="CR170" s="118" t="e">
        <f aca="false">VLOOKUP(A170,'Données projet'!$A$139:$I$159,9,0)</f>
        <v>#N/A</v>
      </c>
      <c r="CS170" s="118" t="e">
        <f aca="false" t="array" ref="CS170:CS170">INDEX(CR:CR,MIN(IF(ISNUMBER(CR170:CR366),ROW(CR170:CR366),"")))</f>
        <v>#N/A</v>
      </c>
      <c r="CT170" s="118" t="n">
        <f aca="false">IF('Données projet'!$A$140&gt;35,CT169+CS170-DB169,IF(A170&lt;'Données projet'!$A$140,$CQ$205^A170,IF(A170='Données projet'!$A$140,'Données projet'!$B$140,CT169+CS170-DB169)))</f>
        <v>-5.6843418860808E-014</v>
      </c>
      <c r="CU170" s="125" t="n">
        <f aca="false">CT170*VLOOKUP('Données projet'!$B$13,Paramètres!$A$1:$I$89,3,0)*VLOOKUP('Données projet'!$B$13,Paramètres!$A$1:$I$89,5,0)</f>
        <v>-3.10365066980012E-014</v>
      </c>
      <c r="CV170" s="117" t="e">
        <f aca="false">EXP(-1.0587+0.8836*LN(CU170)+0.284)</f>
        <v>#VALUE!</v>
      </c>
      <c r="CW170" s="128" t="e">
        <f aca="false">(CU170+CV170)*0.475*44/12</f>
        <v>#VALUE!</v>
      </c>
      <c r="CX170" s="120" t="e">
        <f aca="false">CW170+(CO170+CP170)*44/12</f>
        <v>#VALUE!</v>
      </c>
      <c r="CY170" s="120" t="n">
        <f aca="true">AVERAGE(OFFSET($CX$3,0,0,'Données projet'!$E$13+1,1))-AVERAGE(OFFSET($H$3,0,0,'Données projet'!$E$13+1,1))</f>
        <v>207.023069645676</v>
      </c>
      <c r="CZ170" s="120" t="n">
        <f aca="false">$CZ$3</f>
        <v>342.068879333518</v>
      </c>
      <c r="DA170" s="121" t="n">
        <f aca="false">IF(ISNA(VLOOKUP(A170,'Données projet'!$A$139:$I$159,3,0)),0,VLOOKUP(A170,'Données projet'!$A$139:$I$159,3,0))</f>
        <v>0</v>
      </c>
      <c r="DB170" s="121" t="n">
        <f aca="false">IF(ISNA(VLOOKUP(A170,'Données projet'!$A$139:$I$159,4,0)),0,VLOOKUP(A170,'Données projet'!$A$139:$I$159,4,0))</f>
        <v>0</v>
      </c>
      <c r="DC170" s="122" t="n">
        <f aca="false">IF(ISNA(VLOOKUP(A170,'Données projet'!$A$139:$I$159,5,0)),0%,VLOOKUP(A170,'Données projet'!$A$139:$I$159,5,0)*VLOOKUP('Données projet'!$B$13,Paramètres!$A$1:$I$89,7,0))</f>
        <v>0</v>
      </c>
      <c r="DD170" s="122" t="n">
        <f aca="false">IF(ISNA(VLOOKUP(A170,'Données projet'!$A$139:$I$159,6,0)),0%,VLOOKUP(A170,'Données projet'!$A$139:$I$159,6,0)*VLOOKUP('Données projet'!$B$13,Paramètres!$A$1:$I$89,7,0))</f>
        <v>0</v>
      </c>
      <c r="DE170" s="122" t="n">
        <f aca="false">IF(ISNA(VLOOKUP(A170,'Données projet'!$A$139:$I$159,7,0)),0%,VLOOKUP(A170,'Données projet'!$A$139:$I$159,7,0))</f>
        <v>0</v>
      </c>
      <c r="DF170" s="129" t="n">
        <f aca="false">EXP(-LN(2)/35)*DF169+(1-EXP(-LN(2)/35))/(LN(2)/35)*DB170*DC170*VLOOKUP('Données projet'!$B$13,Paramètres!$A$1:$I$89,3,0)*0.475*44/12</f>
        <v>0.438125394006321</v>
      </c>
      <c r="DG170" s="129" t="n">
        <f aca="false">EXP(-LN(2)/25)*DG169+(1-EXP(-LN(2)/25))/(LN(2)/25)*Calculateur!DB170*Calculateur!DD170*VLOOKUP('Données projet'!$B$13,Paramètres!$A$1:$I$89,3,0)*0.475*44/12</f>
        <v>0.872016274912515</v>
      </c>
      <c r="DH170" s="129" t="n">
        <f aca="false">EXP(-LN(2)/2)*DH169+(1-EXP(-LN(2)/2))/(LN(2)/2)*DB170*DE170*VLOOKUP('Données projet'!$B$13,Paramètres!$A$1:$I$89,3,0)*0.475*44/12</f>
        <v>3.1801589303768E-020</v>
      </c>
      <c r="DI170" s="130" t="n">
        <f aca="false">SUM(DF170:DH170)</f>
        <v>1.31014166891884</v>
      </c>
      <c r="DJ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8" t="e">
        <f aca="false">VLOOKUP(A170,'Données projet'!$A$165:$I$185,2,0)</f>
        <v>#N/A</v>
      </c>
      <c r="DM170" s="118" t="e">
        <f aca="false">VLOOKUP(A170,'Données projet'!$A$165:$I$185,9,0)</f>
        <v>#N/A</v>
      </c>
      <c r="DN170" s="118" t="e">
        <f aca="false" t="array" ref="DN170:DN170">INDEX(DM:DM,MIN(IF(ISNUMBER(DM170:DM366),ROW(DM170:DM366),"")))</f>
        <v>#N/A</v>
      </c>
      <c r="DO170" s="118" t="n">
        <f aca="false">IF('Données projet'!$A$166&gt;35,DO169+DN170-DW169,IF(A170&lt;'Données projet'!$A$166,$DL$205^A170,IF(A170='Données projet'!$A$166,'Données projet'!$B$166,DO169+DN170-DW169)))</f>
        <v>0</v>
      </c>
      <c r="DP170" s="125" t="n">
        <f aca="false">DO170*VLOOKUP('Données projet'!$B$14,Paramètres!$A$1:$I$89,3,0)*VLOOKUP('Données projet'!$B$14,Paramètres!$A$1:$I$89,5,0)</f>
        <v>0</v>
      </c>
      <c r="DQ170" s="117" t="e">
        <f aca="false">EXP(-1.0587+0.8836*LN(DP170)+0.284)</f>
        <v>#VALUE!</v>
      </c>
      <c r="DR170" s="128" t="e">
        <f aca="false">(DP170+DQ170)*0.475*44/12</f>
        <v>#VALUE!</v>
      </c>
      <c r="DS170" s="120" t="e">
        <f aca="false">DR170+(DJ170+DK170)*44/12</f>
        <v>#VALUE!</v>
      </c>
      <c r="DT170" s="120" t="n">
        <f aca="true">AVERAGE(OFFSET($DS$3,0,0,'Données projet'!$E$14+1,1))-AVERAGE(OFFSET($H$3,0,0,'Données projet'!$E$14+1,1))</f>
        <v>549.432320957297</v>
      </c>
      <c r="DU170" s="120" t="n">
        <f aca="false">$DU$3</f>
        <v>280.26155987301</v>
      </c>
      <c r="DV170" s="121" t="n">
        <f aca="false">IF(ISNA(VLOOKUP(A170,'Données projet'!$A$165:$I$185,3,0)),0,VLOOKUP(A170,'Données projet'!$A$165:$I$185,3,0))</f>
        <v>0</v>
      </c>
      <c r="DW170" s="121" t="n">
        <f aca="false">IF(ISNA(VLOOKUP(A170,'Données projet'!$A$165:$I$185,4,0)),0,VLOOKUP(A170,'Données projet'!$A$165:$I$185,4,0))</f>
        <v>0</v>
      </c>
      <c r="DX170" s="122" t="n">
        <f aca="false">IF(ISNA(VLOOKUP(A170,'Données projet'!$A$165:$I$185,5,0)),0%,VLOOKUP(A170,'Données projet'!$A$165:$I$185,5,0)*VLOOKUP('Données projet'!$B$14,Paramètres!$A$1:$I$89,7,0))</f>
        <v>0</v>
      </c>
      <c r="DY170" s="122" t="n">
        <f aca="false">IF(ISNA(VLOOKUP(A170,'Données projet'!$A$165:$I$185,6,0)),0%,VLOOKUP(A170,'Données projet'!$A$165:$I$185,6,0)*VLOOKUP('Données projet'!$B$14,Paramètres!$A$1:$I$89,7,0))</f>
        <v>0</v>
      </c>
      <c r="DZ170" s="122" t="n">
        <f aca="false">IF(ISNA(VLOOKUP(A170,'Données projet'!$A$165:$I$185,7,0)),0%,VLOOKUP(A170,'Données projet'!$A$165:$I$185,7,0))</f>
        <v>0</v>
      </c>
      <c r="EA170" s="129" t="n">
        <f aca="false">EXP(-LN(2)/35)*EA169+(1-EXP(-LN(2)/35))/(LN(2)/35)*DW170*DX170*VLOOKUP('Données projet'!$B$14,Paramètres!$A$1:$I$89,3,0)*0.475*44/12</f>
        <v>0.159301904731686</v>
      </c>
      <c r="EB170" s="129" t="n">
        <f aca="false">EXP(-LN(2)/25)*EB169+(1-EXP(-LN(2)/25))/(LN(2)/25)*Calculateur!DW170*Calculateur!DY170*VLOOKUP('Données projet'!$B$14,Paramètres!$A$1:$I$89,3,0)*0.475*44/12</f>
        <v>0.173722846541284</v>
      </c>
      <c r="EC170" s="129" t="n">
        <f aca="false">EXP(-LN(2)/2)*EC169+(1-EXP(-LN(2)/2))/(LN(2)/2)*DW170*DZ170*VLOOKUP('Données projet'!$B$14,Paramètres!$A$1:$I$89,3,0)*0.475*44/12</f>
        <v>1.46598771360949E-020</v>
      </c>
      <c r="ED170" s="130" t="n">
        <f aca="false">SUM(EA170:EC170)</f>
        <v>0.33302475127297</v>
      </c>
      <c r="EE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8" t="e">
        <f aca="false">VLOOKUP(A170,'Données projet'!$A$191:$I$211,2,0)</f>
        <v>#N/A</v>
      </c>
      <c r="EH170" s="118" t="e">
        <f aca="false">VLOOKUP(A170,'Données projet'!$A$191:$I$211,9,0)</f>
        <v>#N/A</v>
      </c>
      <c r="EI170" s="118" t="e">
        <f aca="false" t="array" ref="EI170:EI170">INDEX(EH:EH,MIN(IF(ISNUMBER(EH170:EH366),ROW(EH170:EH366),"")))</f>
        <v>#N/A</v>
      </c>
      <c r="EJ170" s="118" t="n">
        <f aca="false">IF('Données projet'!$A$192&gt;35,EJ169+EI170-ER169,IF(A170&lt;'Données projet'!$A$192,$EG$205^A170,IF(A170='Données projet'!$A$192,'Données projet'!$B$192,EJ169+EI170-ER169)))</f>
        <v>0</v>
      </c>
      <c r="EK170" s="125" t="e">
        <f aca="false">EJ170*VLOOKUP('Données projet'!$B$15,Paramètres!$A$1:$I$89,3,0)*VLOOKUP('Données projet'!$B$15,Paramètres!$A$1:$I$89,5,0)</f>
        <v>#N/A</v>
      </c>
      <c r="EL170" s="117" t="e">
        <f aca="false">EXP(-1.0587+0.8836*LN(EK170)+0.284)</f>
        <v>#N/A</v>
      </c>
      <c r="EM170" s="128" t="e">
        <f aca="false">(EK170+EL170)*0.475*44/12</f>
        <v>#N/A</v>
      </c>
      <c r="EN170" s="120" t="e">
        <f aca="false">EM170+(EE170+EF170)*44/12</f>
        <v>#N/A</v>
      </c>
      <c r="EO170" s="120" t="e">
        <f aca="true">AVERAGE(OFFSET($EN$3,0,0,'Données projet'!$E$15+1,1))-AVERAGE(OFFSET($H$3,0,0,'Données projet'!$E$15+1,1))</f>
        <v>#N/A</v>
      </c>
      <c r="EP170" s="120" t="e">
        <f aca="false">$EP$3</f>
        <v>#N/A</v>
      </c>
      <c r="EQ170" s="121" t="n">
        <f aca="false">IF(ISNA(VLOOKUP(A170,'Données projet'!$A$191:$I$211,3,0)),0,VLOOKUP(A170,'Données projet'!$A$191:$I$211,3,0))</f>
        <v>0</v>
      </c>
      <c r="ER170" s="121" t="n">
        <f aca="false">IF(ISNA(VLOOKUP(A170,'Données projet'!$A$191:$I$211,4,0)),0,VLOOKUP(A170,'Données projet'!$A$191:$I$211,4,0))</f>
        <v>0</v>
      </c>
      <c r="ES170" s="122" t="n">
        <f aca="false">IF(ISNA(VLOOKUP(A170,'Données projet'!$A$191:$I$211,5,0)),0%,VLOOKUP(A170,'Données projet'!$A$191:$I$211,5,0)*VLOOKUP('Données projet'!$B$15,Paramètres!$A$1:$I$89,7,0))</f>
        <v>0</v>
      </c>
      <c r="ET170" s="122" t="n">
        <f aca="false">IF(ISNA(VLOOKUP(A170,'Données projet'!$A$191:$I$211,6,0)),0%,VLOOKUP(A170,'Données projet'!$A$191:$I$211,6,0)*VLOOKUP('Données projet'!$B$15,Paramètres!$A$1:$I$89,7,0))</f>
        <v>0</v>
      </c>
      <c r="EU170" s="122" t="n">
        <f aca="false">IF(ISNA(VLOOKUP(A170,'Données projet'!$A$191:$I$211,7,0)),0%,VLOOKUP(A170,'Données projet'!$A$191:$I$211,7,0))</f>
        <v>0</v>
      </c>
      <c r="EV170" s="129" t="e">
        <f aca="false">EXP(-LN(2)/35)*EV169+(1-EXP(-LN(2)/35))/(LN(2)/35)*ER170*ES170*VLOOKUP('Données projet'!$B$15,Paramètres!$A$1:$I$89,3,0)*0.475*44/12</f>
        <v>#N/A</v>
      </c>
      <c r="EW170" s="129" t="e">
        <f aca="false">EXP(-LN(2)/25)*EW169+(1-EXP(-LN(2)/25))/(LN(2)/25)*Calculateur!ER170*Calculateur!ET170*VLOOKUP('Données projet'!$B$15,Paramètres!$A$1:$I$89,3,0)*0.475*44/12</f>
        <v>#N/A</v>
      </c>
      <c r="EX170" s="129" t="e">
        <f aca="false">EXP(-LN(2)/2)*EX169+(1-EXP(-LN(2)/2))/(LN(2)/2)*ER170*EU170*VLOOKUP('Données projet'!$B$15,Paramètres!$A$1:$I$89,3,0)*0.475*44/12</f>
        <v>#N/A</v>
      </c>
      <c r="EY170" s="130" t="e">
        <f aca="false">SUM(EV170:EX170)</f>
        <v>#N/A</v>
      </c>
      <c r="EZ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8" t="e">
        <f aca="false">VLOOKUP(A170,'Données projet'!$A$217:$I$237,2,0)</f>
        <v>#N/A</v>
      </c>
      <c r="FC170" s="118" t="e">
        <f aca="false">VLOOKUP(A170,'Données projet'!$A$217:$I$237,9,0)</f>
        <v>#N/A</v>
      </c>
      <c r="FD170" s="118" t="e">
        <f aca="false" t="array" ref="FD170:FD170">INDEX(FC:FC,MIN(IF(ISNUMBER(FC170:FC366),ROW(FC170:FC366),"")))</f>
        <v>#N/A</v>
      </c>
      <c r="FE170" s="118" t="n">
        <f aca="false">IF('Données projet'!$A$218&gt;35,FE169+FD170-FM169,IF(A170&lt;'Données projet'!$A$218,$FB$205^A170,IF(A170='Données projet'!$A$218,'Données projet'!$B$218,FE169+FD170-FM169)))</f>
        <v>0</v>
      </c>
      <c r="FF170" s="125" t="e">
        <f aca="false">FE170*VLOOKUP('Données projet'!$B$16,Paramètres!$A$1:$I$89,3,0)*VLOOKUP('Données projet'!$B$16,Paramètres!$A$1:$I$89,5,0)</f>
        <v>#N/A</v>
      </c>
      <c r="FG170" s="117" t="e">
        <f aca="false">EXP(-1.0587+0.8836*LN(FF170)+0.284)</f>
        <v>#N/A</v>
      </c>
      <c r="FH170" s="128" t="e">
        <f aca="false">(FF170+FG170)*0.475*44/12</f>
        <v>#N/A</v>
      </c>
      <c r="FI170" s="120" t="e">
        <f aca="false">FH170+(EZ170+FA170)*44/12</f>
        <v>#N/A</v>
      </c>
      <c r="FJ170" s="120" t="e">
        <f aca="true">AVERAGE(OFFSET($FI$3,0,0,'Données projet'!$E$16+1,1))-AVERAGE(OFFSET($H$3,0,0,'Données projet'!$E$16+1,1))</f>
        <v>#N/A</v>
      </c>
      <c r="FK170" s="120" t="e">
        <f aca="false">$FK$3</f>
        <v>#N/A</v>
      </c>
      <c r="FL170" s="121" t="n">
        <f aca="false">IF(ISNA(VLOOKUP(A170,'Données projet'!$A$217:$I$237,3,0)),0,VLOOKUP(A170,'Données projet'!$A$217:$I$237,3,0))</f>
        <v>0</v>
      </c>
      <c r="FM170" s="121" t="n">
        <f aca="false">IF(ISNA(VLOOKUP(A170,'Données projet'!$A$217:$I$237,4,0)),0,VLOOKUP(A170,'Données projet'!$A$217:$I$237,4,0))</f>
        <v>0</v>
      </c>
      <c r="FN170" s="122" t="n">
        <f aca="false">IF(ISNA(VLOOKUP(A170,'Données projet'!$A$217:$I$237,5,0)),0%,VLOOKUP(A170,'Données projet'!$A$217:$I$237,5,0)*VLOOKUP('Données projet'!$B$16,Paramètres!$A$1:$I$89,7,0))</f>
        <v>0</v>
      </c>
      <c r="FO170" s="122" t="n">
        <f aca="false">IF(ISNA(VLOOKUP(A170,'Données projet'!$A$217:$I$237,6,0)),0%,VLOOKUP(A170,'Données projet'!$A$217:$I$237,6,0)*VLOOKUP('Données projet'!$B$16,Paramètres!$A$1:$I$89,7,0))</f>
        <v>0</v>
      </c>
      <c r="FP170" s="122" t="n">
        <f aca="false">IF(ISNA(VLOOKUP(A170,'Données projet'!$A$217:$I$237,7,0)),0%,VLOOKUP(A170,'Données projet'!$A$217:$I$237,7,0))</f>
        <v>0</v>
      </c>
      <c r="FQ170" s="129" t="e">
        <f aca="false">EXP(-LN(2)/35)*FQ169+(1-EXP(-LN(2)/35))/(LN(2)/35)*FM170*FN170*VLOOKUP('Données projet'!$B$16,Paramètres!$A$1:$I$89,3,0)*0.475*44/12</f>
        <v>#N/A</v>
      </c>
      <c r="FR170" s="129" t="e">
        <f aca="false">EXP(-LN(2)/25)*FR169+(1-EXP(-LN(2)/25))/(LN(2)/25)*Calculateur!FM170*Calculateur!FO170*VLOOKUP('Données projet'!$B$16,Paramètres!$A$1:$I$89,3,0)*0.475*44/12</f>
        <v>#N/A</v>
      </c>
      <c r="FS170" s="129" t="e">
        <f aca="false">EXP(-LN(2)/2)*FS169+(1-EXP(-LN(2)/2))/(LN(2)/2)*FM170*FP170*VLOOKUP('Données projet'!$B$16,Paramètres!$A$1:$I$89,3,0)*0.475*44/12</f>
        <v>#N/A</v>
      </c>
      <c r="FT170" s="130" t="e">
        <f aca="false">SUM(FQ170:FS170)</f>
        <v>#N/A</v>
      </c>
      <c r="FU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8" t="e">
        <f aca="false">VLOOKUP(A170,'Données projet'!$A$243:$I$263,2,0)</f>
        <v>#N/A</v>
      </c>
      <c r="FX170" s="118" t="e">
        <f aca="false">VLOOKUP(A170,'Données projet'!$A$243:$I$263,9,0)</f>
        <v>#N/A</v>
      </c>
      <c r="FY170" s="118" t="e">
        <f aca="false" t="array" ref="FY170:FY170">INDEX(FX:FX,MIN(IF(ISNUMBER(FX170:FX366),ROW(FX170:FX366),"")))</f>
        <v>#N/A</v>
      </c>
      <c r="FZ170" s="118" t="n">
        <f aca="false">IF('Données projet'!$A$244&gt;35,FZ169+FY170-GH169,IF(A170&lt;'Données projet'!$A$244,$FW$205^A170,IF(A170='Données projet'!$A$244,'Données projet'!$B$244,FZ169+FY170-GH169)))</f>
        <v>0</v>
      </c>
      <c r="GA170" s="125" t="e">
        <f aca="false">FZ170*VLOOKUP('Données projet'!$B$17,Paramètres!$A$1:$I$89,3,0)*VLOOKUP('Données projet'!$B$17,Paramètres!$A$1:$I$89,5,0)</f>
        <v>#N/A</v>
      </c>
      <c r="GB170" s="117" t="e">
        <f aca="false">EXP(-1.0587+0.8836*LN(GA170)+0.284)</f>
        <v>#N/A</v>
      </c>
      <c r="GC170" s="128" t="e">
        <f aca="false">(GA170+GB170)*0.475*44/12</f>
        <v>#N/A</v>
      </c>
      <c r="GD170" s="120" t="e">
        <f aca="false">GC170+(FU170+FV170)*44/12</f>
        <v>#N/A</v>
      </c>
      <c r="GE170" s="120" t="e">
        <f aca="true">AVERAGE(OFFSET($GD$3,0,0,'Données projet'!$E$17+1,1))-AVERAGE(OFFSET($H$3,0,0,'Données projet'!$E$17+1,1))</f>
        <v>#N/A</v>
      </c>
      <c r="GF170" s="120" t="e">
        <f aca="false">$GF$3</f>
        <v>#N/A</v>
      </c>
      <c r="GG170" s="121" t="n">
        <f aca="false">IF(ISNA(VLOOKUP(A170,'Données projet'!$A$243:$I$263,3,0)),0,VLOOKUP(A170,'Données projet'!$A$243:$I$263,3,0))</f>
        <v>0</v>
      </c>
      <c r="GH170" s="121" t="n">
        <f aca="false">IF(ISNA(VLOOKUP(A170,'Données projet'!$A$243:$I$263,4,0)),0,VLOOKUP(A170,'Données projet'!$A$243:$I$263,4,0))</f>
        <v>0</v>
      </c>
      <c r="GI170" s="122" t="n">
        <f aca="false">IF(ISNA(VLOOKUP(A170,'Données projet'!$A$243:$I$263,5,0)),0%,VLOOKUP(A170,'Données projet'!$A$243:$I$263,5,0)*VLOOKUP('Données projet'!$B$17,Paramètres!$A$1:$I$89,7,0))</f>
        <v>0</v>
      </c>
      <c r="GJ170" s="122" t="n">
        <f aca="false">IF(ISNA(VLOOKUP(A170,'Données projet'!$A$243:$I$263,6,0)),0%,VLOOKUP(A170,'Données projet'!$A$243:$I$263,6,0)*VLOOKUP('Données projet'!$B$17,Paramètres!$A$1:$I$89,7,0))</f>
        <v>0</v>
      </c>
      <c r="GK170" s="122" t="n">
        <f aca="false">IF(ISNA(VLOOKUP(A170,'Données projet'!$A$243:$I$263,7,0)),0%,VLOOKUP(A170,'Données projet'!$A$243:$I$263,7,0))</f>
        <v>0</v>
      </c>
      <c r="GL170" s="129" t="e">
        <f aca="false">EXP(-LN(2)/35)*GL169+(1-EXP(-LN(2)/35))/(LN(2)/35)*GH170*GI170*VLOOKUP('Données projet'!$B$17,Paramètres!$A$1:$I$89,3,0)*0.475*44/12</f>
        <v>#N/A</v>
      </c>
      <c r="GM170" s="129" t="e">
        <f aca="false">EXP(-LN(2)/25)*GM169+(1-EXP(-LN(2)/25))/(LN(2)/25)*Calculateur!GH170*Calculateur!GJ170*VLOOKUP('Données projet'!$B$17,Paramètres!$A$1:$I$89,3,0)*0.475*44/12</f>
        <v>#N/A</v>
      </c>
      <c r="GN170" s="129" t="e">
        <f aca="false">EXP(-LN(2)/2)*GN169+(1-EXP(-LN(2)/2))/(LN(2)/2)*GH170*GK170*VLOOKUP('Données projet'!$B$17,Paramètres!$A$1:$I$89,3,0)*0.475*44/12</f>
        <v>#N/A</v>
      </c>
      <c r="GO170" s="129" t="e">
        <f aca="false">SUM(GL170:GN170)</f>
        <v>#N/A</v>
      </c>
      <c r="GP170" s="126" t="n">
        <f aca="false"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8" t="n">
        <f aca="false"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8" t="e">
        <f aca="false">VLOOKUP(A170,'Données projet'!$A$269:$I$289,2,0)</f>
        <v>#N/A</v>
      </c>
      <c r="GS170" s="118" t="e">
        <f aca="false">VLOOKUP(A170,'Données projet'!$A$269:$I$289,9,0)</f>
        <v>#N/A</v>
      </c>
      <c r="GT170" s="118" t="e">
        <f aca="false" t="array" ref="GT170:GT170">INDEX(GS:GS,MIN(IF(ISNUMBER(GS170:GS366),ROW(GS170:GS366),"")))</f>
        <v>#N/A</v>
      </c>
      <c r="GU170" s="118" t="n">
        <f aca="false">IF('Données projet'!$A$270&gt;35,GU169+GT170-HC169,IF(A170&lt;'Données projet'!$A$270,$GR$205^A170,IF(A170='Données projet'!$A$270,'Données projet'!$B$270,GU169+GT170-HC169)))</f>
        <v>0</v>
      </c>
      <c r="GV170" s="125" t="e">
        <f aca="false">GU170*VLOOKUP('Données projet'!$B$18,Paramètres!$A$1:$I$89,3,0)*VLOOKUP('Données projet'!$B$18,Paramètres!$A$1:$I$89,5,0)</f>
        <v>#N/A</v>
      </c>
      <c r="GW170" s="117" t="e">
        <f aca="false">EXP(-1.0587+0.8836*LN(GV170)+0.284)</f>
        <v>#N/A</v>
      </c>
      <c r="GX170" s="128" t="e">
        <f aca="false">(GV170+GW170)*0.475*44/12</f>
        <v>#N/A</v>
      </c>
      <c r="GY170" s="120" t="e">
        <f aca="false">GX170+(GP170+GQ170)*44/12</f>
        <v>#N/A</v>
      </c>
      <c r="GZ170" s="120" t="e">
        <f aca="true">AVERAGE(OFFSET($GY$3,0,0,'Données projet'!$E$18+1,1))-AVERAGE(OFFSET($H$3,0,0,'Données projet'!$E$18+1,1))</f>
        <v>#N/A</v>
      </c>
      <c r="HA170" s="120" t="e">
        <f aca="false">$HA$3</f>
        <v>#N/A</v>
      </c>
      <c r="HB170" s="121" t="n">
        <f aca="false">IF(ISNA(VLOOKUP(A170,'Données projet'!$A$269:$I$289,3,0)),0,VLOOKUP(A170,'Données projet'!$A$269:$I$289,3,0))</f>
        <v>0</v>
      </c>
      <c r="HC170" s="121" t="n">
        <f aca="false">IF(ISNA(VLOOKUP(A170,'Données projet'!$A$269:$I$289,4,0)),0,VLOOKUP(A170,'Données projet'!$A$269:$I$289,4,0))</f>
        <v>0</v>
      </c>
      <c r="HD170" s="122" t="n">
        <f aca="false">IF(ISNA(VLOOKUP(A170,'Données projet'!$A$269:$I$289,5,0)),0%,VLOOKUP(A170,'Données projet'!$A$269:$I$289,5,0)*VLOOKUP('Données projet'!$B$18,Paramètres!$A$1:$I$89,7,0))</f>
        <v>0</v>
      </c>
      <c r="HE170" s="122" t="n">
        <f aca="false">IF(ISNA(VLOOKUP(A170,'Données projet'!$A$269:$I$289,6,0)),0%,VLOOKUP(A170,'Données projet'!$A$269:$I$289,6,0)*VLOOKUP('Données projet'!$B$18,Paramètres!$A$1:$I$89,7,0))</f>
        <v>0</v>
      </c>
      <c r="HF170" s="122" t="n">
        <f aca="false">IF(ISNA(VLOOKUP(A170,'Données projet'!$A$269:$I$289,7,0)),0%,VLOOKUP(A170,'Données projet'!$A$269:$I$289,7,0))</f>
        <v>0</v>
      </c>
      <c r="HG170" s="129" t="e">
        <f aca="false">EXP(-LN(2)/35)*HG169+(1-EXP(-LN(2)/35))/(LN(2)/35)*HC170*HD170*VLOOKUP('Données projet'!$B$18,Paramètres!$A$1:$I$89,3,0)*0.475*44/12</f>
        <v>#N/A</v>
      </c>
      <c r="HH170" s="129" t="e">
        <f aca="false">EXP(-LN(2)/25)*HH169+(1-EXP(-LN(2)/25))/(LN(2)/25)*Calculateur!HC170*Calculateur!HE170*VLOOKUP('Données projet'!$B$18,Paramètres!$A$1:$I$89,3,0)*0.475*44/12</f>
        <v>#N/A</v>
      </c>
      <c r="HI170" s="129" t="e">
        <f aca="false">EXP(-LN(2)/2)*HI169+(1-EXP(-LN(2)/2))/(LN(2)/2)*HC170*HF170*VLOOKUP('Données projet'!$B$18,Paramètres!$A$1:$I$89,3,0)*0.475*44/12</f>
        <v>#N/A</v>
      </c>
      <c r="HJ170" s="130" t="e">
        <f aca="false">SUM(HG170:HI170)</f>
        <v>#N/A</v>
      </c>
    </row>
    <row r="171" customFormat="false" ht="14.25" hidden="false" customHeight="false" outlineLevel="0" collapsed="false">
      <c r="A171" s="112" t="n">
        <f aca="false">A170+1</f>
        <v>168</v>
      </c>
      <c r="B171" s="113" t="n">
        <f aca="false">'Scénario référence'!$B$16*5+'Scénario référence'!$B$17*0+'Scénario référence'!$B$18*5</f>
        <v>0</v>
      </c>
      <c r="C171" s="127" t="n">
        <f aca="false"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4" t="n">
        <f aca="false">IFERROR(EXP(-1.0587+0.8836*LN(C171)+0.284),0)</f>
        <v>0</v>
      </c>
      <c r="E17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1" s="114" t="n">
        <f aca="false">IF(OR('Scénario référence'!$F$8&gt;0,'Scénario référence'!$F$9&gt;0),('Scénario référence'!$F$8+'Scénario référence'!$F$9)*10,0)</f>
        <v>0</v>
      </c>
      <c r="G171" s="114" t="n">
        <f aca="false"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15" t="n">
        <f aca="false">(B171+E171+F171)*44/12+(C171+D171)*0.475*44/12</f>
        <v>256.666666666667</v>
      </c>
      <c r="I171" s="11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7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8" t="e">
        <f aca="false">VLOOKUP(A171,'Données projet'!$A$35:$I$55,2,0)</f>
        <v>#N/A</v>
      </c>
      <c r="L171" s="118" t="e">
        <f aca="false">VLOOKUP(A171,'Données projet'!$A$35:$I$55,9,0)</f>
        <v>#N/A</v>
      </c>
      <c r="M171" s="118" t="e">
        <f aca="false" t="array" ref="M171:M171">INDEX(L:L,MIN(IF(ISNUMBER(L171:L367),ROW(L171:L367),"")))</f>
        <v>#N/A</v>
      </c>
      <c r="N171" s="117" t="n">
        <f aca="false">IF('Données projet'!$A$36&gt;35,N170+M171-V170,IF(A171&lt;'Données projet'!$A$36,$K$205^A171,IF(A171='Données projet'!$A$36,'Données projet'!$B$36,N170+M171-V170)))</f>
        <v>-1.13686837721616E-013</v>
      </c>
      <c r="O171" s="117" t="n">
        <f aca="false">N171*VLOOKUP('Données projet'!$B$9,Paramètres!$A$1:$I$89,3,0)*VLOOKUP('Données projet'!$B$9,Paramètres!$A$1:$I$89,5,0)</f>
        <v>-5.32054400537163E-014</v>
      </c>
      <c r="P171" s="117" t="e">
        <f aca="false">EXP(-1.0587+0.8836*LN(O171)+0.284)</f>
        <v>#VALUE!</v>
      </c>
      <c r="Q171" s="128" t="e">
        <f aca="false">(O171+P171)*0.475*44/12</f>
        <v>#VALUE!</v>
      </c>
      <c r="R171" s="120" t="e">
        <f aca="false">Q171+(I171+J171)*44/12</f>
        <v>#VALUE!</v>
      </c>
      <c r="S171" s="120" t="n">
        <f aca="true">AVERAGE(OFFSET($R$3,0,0,'Données projet'!$E$9+1,1))-AVERAGE(OFFSET($H$3,0,0,'Données projet'!$E$9+1,1))</f>
        <v>319.229030946746</v>
      </c>
      <c r="T171" s="120" t="n">
        <f aca="false">$T$3</f>
        <v>254.586909731428</v>
      </c>
      <c r="U171" s="121" t="n">
        <f aca="false">IF(ISNA(VLOOKUP(A171,'Données projet'!$A$35:$I$55,3,0)),0,VLOOKUP(A171,'Données projet'!$A$35:$I$55,3,0))</f>
        <v>0</v>
      </c>
      <c r="V171" s="121" t="n">
        <f aca="false">IF(ISNA(VLOOKUP(A171,'Données projet'!$A$35:$I$55,4,0)),0,VLOOKUP(A171,'Données projet'!$A$35:$I$55,4,0))</f>
        <v>0</v>
      </c>
      <c r="W171" s="122" t="n">
        <f aca="false">IF(ISNA(VLOOKUP(A171,'Données projet'!$A$35:$I$55,5,0)),0%,VLOOKUP(A171,'Données projet'!$A$35:$I$55,5,0)*VLOOKUP('Données projet'!$B$9,Paramètres!$A$1:$I$89,7,0))</f>
        <v>0</v>
      </c>
      <c r="X171" s="122" t="n">
        <f aca="false">IF(ISNA(VLOOKUP(A171,'Données projet'!$A$35:$I$55,6,0)),0%,VLOOKUP(A171,'Données projet'!$A$35:$I$55,6,0)*VLOOKUP('Données projet'!$B$9,Paramètres!$A$1:$I$89,7,0))</f>
        <v>0</v>
      </c>
      <c r="Y171" s="122" t="n">
        <f aca="false">IF(ISNA(VLOOKUP(A171,'Données projet'!$A$35:$I$55,7,0)),0%,VLOOKUP(A171,'Données projet'!$A$35:$I$55,7,0))</f>
        <v>0</v>
      </c>
      <c r="Z171" s="129" t="n">
        <f aca="false">EXP(-LN(2)/35)*Z170+(1-EXP(-LN(2)/35))/(LN(2)/35)*V171*W171*VLOOKUP('Données projet'!$B$9,Paramètres!$A$1:$I$89,3,0)*0.475*44/12</f>
        <v>0.590179630395151</v>
      </c>
      <c r="AA171" s="129" t="n">
        <f aca="false">EXP(-LN(2)/25)*AA170+(1-EXP(-LN(2)/25))/(LN(2)/25)*Calculateur!V171*Calculateur!X171*VLOOKUP('Données projet'!$B$9,Paramètres!$A$1:$I$89,3,0)*0.475*44/12</f>
        <v>0.243019269432399</v>
      </c>
      <c r="AB171" s="129" t="n">
        <f aca="false">EXP(-LN(2)/2)*AB170+(1-EXP(-LN(2)/2))/(LN(2)/2)*V171*Y171*VLOOKUP('Données projet'!$B$9,Paramètres!$A$1:$I$89,3,0)*0.475*44/12</f>
        <v>1.87077876037912E-020</v>
      </c>
      <c r="AC171" s="130" t="n">
        <f aca="false">SUM(Z171:AB171)</f>
        <v>0.833198899827549</v>
      </c>
      <c r="AD171" s="117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7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8" t="e">
        <f aca="false">VLOOKUP(A171,'Données projet'!$A$61:$I$81,2,0)</f>
        <v>#N/A</v>
      </c>
      <c r="AG171" s="118" t="e">
        <f aca="false">VLOOKUP(A171,'Données projet'!$A$61:$I$81,9,0)</f>
        <v>#N/A</v>
      </c>
      <c r="AH171" s="118" t="e">
        <f aca="false" t="array" ref="AH171:AH171">INDEX(AG:AG,MIN(IF(ISNUMBER(AG171:AG367),ROW(AG171:AG367),"")))</f>
        <v>#N/A</v>
      </c>
      <c r="AI171" s="117" t="n">
        <f aca="false">IF('Données projet'!$A$62&gt;35,AI170+AH171-AQ170,IF(A171&lt;'Données projet'!$A$62,$AF$205^A171,IF(A171='Données projet'!$A$62,'Données projet'!$B$62,AI170+AH171-AQ170)))</f>
        <v>1.13686837721616E-013</v>
      </c>
      <c r="AJ171" s="117" t="n">
        <f aca="false">AI171*VLOOKUP('Données projet'!$B$10,Paramètres!$A$1:$I$89,3,0)*VLOOKUP('Données projet'!$B$10,Paramètres!$A$1:$I$89,5,0)</f>
        <v>6.35509422863834E-014</v>
      </c>
      <c r="AK171" s="117" t="n">
        <f aca="false">EXP(-1.0587+0.8836*LN(AJ171)+0.284)</f>
        <v>1.0064464192544E-012</v>
      </c>
      <c r="AL171" s="128" t="n">
        <f aca="false">(AJ171+AK171)*0.475*44/12</f>
        <v>1.86357873801686E-012</v>
      </c>
      <c r="AM171" s="120" t="n">
        <f aca="false">AL171+(AD171+AE171)*44/12</f>
        <v>293.333333333335</v>
      </c>
      <c r="AN171" s="120" t="n">
        <f aca="true">AVERAGE(OFFSET($AM$3,0,0,'Données projet'!$E$10+1,1))-AVERAGE(OFFSET($H$3,0,0,'Données projet'!$E$10+1,1))</f>
        <v>365.705101827279</v>
      </c>
      <c r="AO171" s="120" t="n">
        <f aca="false">$AO$3</f>
        <v>436.238338449625</v>
      </c>
      <c r="AP171" s="121" t="n">
        <f aca="false">IF(ISNA(VLOOKUP(A171,'Données projet'!$A$61:$I$81,3,0)),0,VLOOKUP(A171,'Données projet'!$A$61:$I$81,3,0))</f>
        <v>0</v>
      </c>
      <c r="AQ171" s="121" t="n">
        <f aca="false">IF(ISNA(VLOOKUP(A171,'Données projet'!$A$61:$I$81,4,0)),0,VLOOKUP(A171,'Données projet'!$A$61:$I$81,4,0))</f>
        <v>0</v>
      </c>
      <c r="AR171" s="122" t="n">
        <f aca="false">IF(ISNA(VLOOKUP(A171,'Données projet'!$A$61:$I$81,5,0)),0%,VLOOKUP(A171,'Données projet'!$A$61:$I$81,5,0)*VLOOKUP('Données projet'!$B$10,Paramètres!$A$1:$I$89,7,0))</f>
        <v>0</v>
      </c>
      <c r="AS171" s="122" t="n">
        <f aca="false">IF(ISNA(VLOOKUP(A171,'Données projet'!$A$61:$I$81,6,0)),0%,VLOOKUP(A171,'Données projet'!$A$61:$I$81,6,0)*VLOOKUP('Données projet'!$B$10,Paramètres!$A$1:$I$89,7,0))</f>
        <v>0</v>
      </c>
      <c r="AT171" s="122" t="n">
        <f aca="false">IF(ISNA(VLOOKUP(A171,'Données projet'!$A$61:$I$81,7,0)),0%,VLOOKUP(A171,'Données projet'!$A$61:$I$81,7,0))</f>
        <v>0</v>
      </c>
      <c r="AU171" s="129" t="n">
        <f aca="false">EXP(-LN(2)/35)*AU170+(1-EXP(-LN(2)/35))/(LN(2)/35)*AQ171*AR171*VLOOKUP('Données projet'!$B$10,Paramètres!$A$1:$I$89,3,0)*0.475*44/12</f>
        <v>0.222773676018598</v>
      </c>
      <c r="AV171" s="129" t="n">
        <f aca="false">EXP(-LN(2)/25)*AV170+(1-EXP(-LN(2)/25))/(LN(2)/25)*Calculateur!AQ171*Calculateur!AS171*VLOOKUP('Données projet'!$B$10,Paramètres!$A$1:$I$89,3,0)*0.475*44/12</f>
        <v>0.287843184620691</v>
      </c>
      <c r="AW171" s="129" t="n">
        <f aca="false">EXP(-LN(2)/2)*AW170+(1-EXP(-LN(2)/2))/(LN(2)/2)*AQ171*AT171*VLOOKUP('Données projet'!$B$10,Paramètres!$A$1:$I$89,3,0)*0.475*44/12</f>
        <v>1.00679465809936E-020</v>
      </c>
      <c r="AX171" s="129" t="n">
        <f aca="false">SUM(AU171:AW171)</f>
        <v>0.510616860639289</v>
      </c>
      <c r="AY171" s="124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8" t="e">
        <f aca="false">VLOOKUP(A171,'Données projet'!$A$87:$I$107,2,0)</f>
        <v>#N/A</v>
      </c>
      <c r="BB171" s="118" t="e">
        <f aca="false">VLOOKUP(A171,'Données projet'!$A$87:$I$107,9,0)</f>
        <v>#N/A</v>
      </c>
      <c r="BC171" s="118" t="e">
        <f aca="false" t="array" ref="BC171:BC171">INDEX(BB:BB,MIN(IF(ISNUMBER(BB171:BB367),ROW(BB171:BB367),"")))</f>
        <v>#N/A</v>
      </c>
      <c r="BD171" s="118" t="n">
        <f aca="false">IF('Données projet'!$A$88&gt;35,BD170+BC171-BL170,IF(A171&lt;'Données projet'!$A$88,$BA$205^A171,IF(A171='Données projet'!$A$88,'Données projet'!$B$88,BD170+BC171-BL170)))</f>
        <v>1.98951966012828E-013</v>
      </c>
      <c r="BE171" s="117" t="n">
        <f aca="false">BD171*VLOOKUP('Données projet'!$B$11,Paramètres!$A$1:$I$89,3,0)*VLOOKUP('Données projet'!$B$11,Paramètres!$A$1:$I$89,5,0)</f>
        <v>1.73804437508807E-013</v>
      </c>
      <c r="BF171" s="117" t="n">
        <f aca="false">EXP(-1.0587+0.8836*LN(BE171)+0.284)</f>
        <v>2.44832936339505E-012</v>
      </c>
      <c r="BG171" s="128" t="n">
        <f aca="false">(BE171+BF171)*0.475*44/12</f>
        <v>4.56688303657421E-012</v>
      </c>
      <c r="BH171" s="120" t="n">
        <f aca="false">BG171+(AY171+AZ171)*44/12</f>
        <v>293.333333333338</v>
      </c>
      <c r="BI171" s="120" t="n">
        <f aca="true">AVERAGE(OFFSET($BH$3,0,0,'Données projet'!$E$11+1,1))-AVERAGE(OFFSET($H$3,0,0,'Données projet'!$E$11+1,1))</f>
        <v>321.235999689929</v>
      </c>
      <c r="BJ171" s="120" t="n">
        <f aca="false">$BJ$3</f>
        <v>388.051958478005</v>
      </c>
      <c r="BK171" s="121" t="n">
        <f aca="false">IF(ISNA(VLOOKUP(A171,'Données projet'!$A$87:$I$107,3,0)),0,VLOOKUP(A171,'Données projet'!$A$87:$I$107,3,0))</f>
        <v>0</v>
      </c>
      <c r="BL171" s="121" t="n">
        <f aca="false">IF(ISNA(VLOOKUP(A171,'Données projet'!$A$87:$I$107,4,0)),0,VLOOKUP(A171,'Données projet'!$A$87:$I$107,4,0))</f>
        <v>0</v>
      </c>
      <c r="BM171" s="122" t="n">
        <f aca="false">IF(ISNA(VLOOKUP(A171,'Données projet'!$A$87:$I$107,5,0)),0%,VLOOKUP(A171,'Données projet'!$A$87:$I$107,5,0)*VLOOKUP('Données projet'!$B$11,Paramètres!$A$1:$I$89,7,0))</f>
        <v>0</v>
      </c>
      <c r="BN171" s="122" t="n">
        <f aca="false">IF(ISNA(VLOOKUP(A171,'Données projet'!$A$87:$I$107,6,0)),0%,VLOOKUP(A171,'Données projet'!$A$87:$I$107,6,0)*VLOOKUP('Données projet'!$B$11,Paramètres!$A$1:$I$89,7,0))</f>
        <v>0</v>
      </c>
      <c r="BO171" s="122" t="n">
        <f aca="false">IF(ISNA(VLOOKUP(A171,'Données projet'!$A$87:$I$107,7,0)),0%,VLOOKUP(A171,'Données projet'!$A$87:$I$107,7,0))</f>
        <v>0</v>
      </c>
      <c r="BP171" s="129" t="n">
        <f aca="false">EXP(-LN(2)/35)*BP170+(1-EXP(-LN(2)/35))/(LN(2)/35)*BL171*BM171*VLOOKUP('Données projet'!$B$11,Paramètres!$A$1:$I$89,3,0)*0.475*44/12</f>
        <v>0.55930034766486</v>
      </c>
      <c r="BQ171" s="129" t="n">
        <f aca="false">EXP(-LN(2)/25)*BQ170+(1-EXP(-LN(2)/25))/(LN(2)/25)*Calculateur!BL171*Calculateur!BN171*VLOOKUP('Données projet'!$B$11,Paramètres!$A$1:$I$89,3,0)*0.475*44/12</f>
        <v>0.293813226032681</v>
      </c>
      <c r="BR171" s="129" t="n">
        <f aca="false">EXP(-LN(2)/2)*BR170+(1-EXP(-LN(2)/2))/(LN(2)/2)*BL171*BO171*VLOOKUP('Données projet'!$B$11,Paramètres!$A$1:$I$89,3,0)*0.475*44/12</f>
        <v>1.02338584338313E-020</v>
      </c>
      <c r="BS171" s="130" t="n">
        <f aca="false">SUM(BP171:BR171)</f>
        <v>0.853113573697542</v>
      </c>
      <c r="BT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8" t="e">
        <f aca="false">VLOOKUP(A171,'Données projet'!$A$113:$I$133,2,0)</f>
        <v>#N/A</v>
      </c>
      <c r="BW171" s="118" t="e">
        <f aca="false">VLOOKUP(A171,'Données projet'!$A$113:$I$133,9,0)</f>
        <v>#N/A</v>
      </c>
      <c r="BX171" s="118" t="e">
        <f aca="false" t="array" ref="BX171:BX171">INDEX(BW:BW,MIN(IF(ISNUMBER(BW171:BW367),ROW(BW171:BW367),"")))</f>
        <v>#N/A</v>
      </c>
      <c r="BY171" s="118" t="n">
        <f aca="false">IF('Données projet'!$A$114&gt;35,BY170+BX171-CG170,IF(A171&lt;'Données projet'!$A$114,$BV$205^A171,IF(A171='Données projet'!$A$114,'Données projet'!$B$114,BY170+BX171-CG170)))</f>
        <v>0</v>
      </c>
      <c r="BZ171" s="117" t="n">
        <f aca="false">BY171*VLOOKUP('Données projet'!$B$12,Paramètres!$A$1:$I$89,3,0)*VLOOKUP('Données projet'!$B$12,Paramètres!$A$1:$I$89,5,0)</f>
        <v>0</v>
      </c>
      <c r="CA171" s="117" t="e">
        <f aca="false">EXP(-1.0587+0.8836*LN(BZ171)+0.284)</f>
        <v>#VALUE!</v>
      </c>
      <c r="CB171" s="128" t="e">
        <f aca="false">(BZ171+CA171)*0.475*44/12</f>
        <v>#VALUE!</v>
      </c>
      <c r="CC171" s="120" t="e">
        <f aca="false">CB171+(BT171+BU171)*44/12</f>
        <v>#VALUE!</v>
      </c>
      <c r="CD171" s="120" t="n">
        <f aca="true">AVERAGE(OFFSET($CC$3,0,0,'Données projet'!$E$12+1,1))-AVERAGE(OFFSET($H$3,0,0,'Données projet'!$E$12+1,1))</f>
        <v>240.228848647662</v>
      </c>
      <c r="CE171" s="120" t="n">
        <f aca="false">$CE$3</f>
        <v>343.237768841432</v>
      </c>
      <c r="CF171" s="121" t="n">
        <f aca="false">IF(ISNA(VLOOKUP(A171,'Données projet'!$A$113:$I$133,3,0)),0,VLOOKUP(A171,'Données projet'!$A$113:$I$133,3,0))</f>
        <v>0</v>
      </c>
      <c r="CG171" s="121" t="n">
        <f aca="false">IF(ISNA(VLOOKUP(A171,'Données projet'!$A$113:$I$133,4,0)),0,VLOOKUP(A171,'Données projet'!$A$113:$I$133,4,0))</f>
        <v>0</v>
      </c>
      <c r="CH171" s="122" t="n">
        <f aca="false">IF(ISNA(VLOOKUP(A171,'Données projet'!$A$113:$I$133,5,0)),0%,VLOOKUP(A171,'Données projet'!$A$113:$I$133,5,0)*VLOOKUP('Données projet'!$B$12,Paramètres!$A$1:$I$89,7,0))</f>
        <v>0</v>
      </c>
      <c r="CI171" s="122" t="n">
        <f aca="false">IF(ISNA(VLOOKUP(A171,'Données projet'!$A$113:$I$133,6,0)),0%,VLOOKUP(A171,'Données projet'!$A$113:$I$133,6,0)*VLOOKUP('Données projet'!$B$12,Paramètres!$A$1:$I$89,7,0))</f>
        <v>0</v>
      </c>
      <c r="CJ171" s="122" t="n">
        <f aca="false">IF(ISNA(VLOOKUP(A171,'Données projet'!$A$113:$I$133,7,0)),0%,VLOOKUP(A171,'Données projet'!$A$113:$I$133,7,0))</f>
        <v>0</v>
      </c>
      <c r="CK171" s="129" t="n">
        <f aca="false">EXP(-LN(2)/35)*CK170+(1-EXP(-LN(2)/35))/(LN(2)/35)*CG171*CH171*VLOOKUP('Données projet'!$B$12,Paramètres!$A$1:$I$89,3,0)*0.475*44/12</f>
        <v>0.342335386162074</v>
      </c>
      <c r="CL171" s="129" t="n">
        <f aca="false">EXP(-LN(2)/25)*CL170+(1-EXP(-LN(2)/25))/(LN(2)/25)*Calculateur!CG171*Calculateur!CI171*VLOOKUP('Données projet'!$B$12,Paramètres!$A$1:$I$89,3,0)*0.475*44/12</f>
        <v>0.518891165988075</v>
      </c>
      <c r="CM171" s="129" t="n">
        <f aca="false">EXP(-LN(2)/2)*CM170+(1-EXP(-LN(2)/2))/(LN(2)/2)*CG171*CJ171*VLOOKUP('Données projet'!$B$12,Paramètres!$A$1:$I$89,3,0)*0.475*44/12</f>
        <v>1.63305097153001E-020</v>
      </c>
      <c r="CN171" s="130" t="n">
        <f aca="false">SUM(CK171:CM171)</f>
        <v>0.861226552150149</v>
      </c>
      <c r="CO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8" t="e">
        <f aca="false">VLOOKUP(A171,'Données projet'!$A$139:$I$159,2,0)</f>
        <v>#N/A</v>
      </c>
      <c r="CR171" s="118" t="e">
        <f aca="false">VLOOKUP(A171,'Données projet'!$A$139:$I$159,9,0)</f>
        <v>#N/A</v>
      </c>
      <c r="CS171" s="118" t="e">
        <f aca="false" t="array" ref="CS171:CS171">INDEX(CR:CR,MIN(IF(ISNUMBER(CR171:CR367),ROW(CR171:CR367),"")))</f>
        <v>#N/A</v>
      </c>
      <c r="CT171" s="118" t="n">
        <f aca="false">IF('Données projet'!$A$140&gt;35,CT170+CS171-DB170,IF(A171&lt;'Données projet'!$A$140,$CQ$205^A171,IF(A171='Données projet'!$A$140,'Données projet'!$B$140,CT170+CS171-DB170)))</f>
        <v>-5.6843418860808E-014</v>
      </c>
      <c r="CU171" s="125" t="n">
        <f aca="false">CT171*VLOOKUP('Données projet'!$B$13,Paramètres!$A$1:$I$89,3,0)*VLOOKUP('Données projet'!$B$13,Paramètres!$A$1:$I$89,5,0)</f>
        <v>-3.10365066980012E-014</v>
      </c>
      <c r="CV171" s="117" t="e">
        <f aca="false">EXP(-1.0587+0.8836*LN(CU171)+0.284)</f>
        <v>#VALUE!</v>
      </c>
      <c r="CW171" s="128" t="e">
        <f aca="false">(CU171+CV171)*0.475*44/12</f>
        <v>#VALUE!</v>
      </c>
      <c r="CX171" s="120" t="e">
        <f aca="false">CW171+(CO171+CP171)*44/12</f>
        <v>#VALUE!</v>
      </c>
      <c r="CY171" s="120" t="n">
        <f aca="true">AVERAGE(OFFSET($CX$3,0,0,'Données projet'!$E$13+1,1))-AVERAGE(OFFSET($H$3,0,0,'Données projet'!$E$13+1,1))</f>
        <v>207.023069645676</v>
      </c>
      <c r="CZ171" s="120" t="n">
        <f aca="false">$CZ$3</f>
        <v>342.068879333518</v>
      </c>
      <c r="DA171" s="121" t="n">
        <f aca="false">IF(ISNA(VLOOKUP(A171,'Données projet'!$A$139:$I$159,3,0)),0,VLOOKUP(A171,'Données projet'!$A$139:$I$159,3,0))</f>
        <v>0</v>
      </c>
      <c r="DB171" s="121" t="n">
        <f aca="false">IF(ISNA(VLOOKUP(A171,'Données projet'!$A$139:$I$159,4,0)),0,VLOOKUP(A171,'Données projet'!$A$139:$I$159,4,0))</f>
        <v>0</v>
      </c>
      <c r="DC171" s="122" t="n">
        <f aca="false">IF(ISNA(VLOOKUP(A171,'Données projet'!$A$139:$I$159,5,0)),0%,VLOOKUP(A171,'Données projet'!$A$139:$I$159,5,0)*VLOOKUP('Données projet'!$B$13,Paramètres!$A$1:$I$89,7,0))</f>
        <v>0</v>
      </c>
      <c r="DD171" s="122" t="n">
        <f aca="false">IF(ISNA(VLOOKUP(A171,'Données projet'!$A$139:$I$159,6,0)),0%,VLOOKUP(A171,'Données projet'!$A$139:$I$159,6,0)*VLOOKUP('Données projet'!$B$13,Paramètres!$A$1:$I$89,7,0))</f>
        <v>0</v>
      </c>
      <c r="DE171" s="122" t="n">
        <f aca="false">IF(ISNA(VLOOKUP(A171,'Données projet'!$A$139:$I$159,7,0)),0%,VLOOKUP(A171,'Données projet'!$A$139:$I$159,7,0))</f>
        <v>0</v>
      </c>
      <c r="DF171" s="129" t="n">
        <f aca="false">EXP(-LN(2)/35)*DF170+(1-EXP(-LN(2)/35))/(LN(2)/35)*DB171*DC171*VLOOKUP('Données projet'!$B$13,Paramètres!$A$1:$I$89,3,0)*0.475*44/12</f>
        <v>0.42953402225996</v>
      </c>
      <c r="DG171" s="129" t="n">
        <f aca="false">EXP(-LN(2)/25)*DG170+(1-EXP(-LN(2)/25))/(LN(2)/25)*Calculateur!DB171*Calculateur!DD171*VLOOKUP('Données projet'!$B$13,Paramètres!$A$1:$I$89,3,0)*0.475*44/12</f>
        <v>0.848170944017689</v>
      </c>
      <c r="DH171" s="129" t="n">
        <f aca="false">EXP(-LN(2)/2)*DH170+(1-EXP(-LN(2)/2))/(LN(2)/2)*DB171*DE171*VLOOKUP('Données projet'!$B$13,Paramètres!$A$1:$I$89,3,0)*0.475*44/12</f>
        <v>2.24871194492039E-020</v>
      </c>
      <c r="DI171" s="130" t="n">
        <f aca="false">SUM(DF171:DH171)</f>
        <v>1.27770496627765</v>
      </c>
      <c r="DJ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8" t="e">
        <f aca="false">VLOOKUP(A171,'Données projet'!$A$165:$I$185,2,0)</f>
        <v>#N/A</v>
      </c>
      <c r="DM171" s="118" t="e">
        <f aca="false">VLOOKUP(A171,'Données projet'!$A$165:$I$185,9,0)</f>
        <v>#N/A</v>
      </c>
      <c r="DN171" s="118" t="e">
        <f aca="false" t="array" ref="DN171:DN171">INDEX(DM:DM,MIN(IF(ISNUMBER(DM171:DM367),ROW(DM171:DM367),"")))</f>
        <v>#N/A</v>
      </c>
      <c r="DO171" s="118" t="n">
        <f aca="false">IF('Données projet'!$A$166&gt;35,DO170+DN171-DW170,IF(A171&lt;'Données projet'!$A$166,$DL$205^A171,IF(A171='Données projet'!$A$166,'Données projet'!$B$166,DO170+DN171-DW170)))</f>
        <v>0</v>
      </c>
      <c r="DP171" s="125" t="n">
        <f aca="false">DO171*VLOOKUP('Données projet'!$B$14,Paramètres!$A$1:$I$89,3,0)*VLOOKUP('Données projet'!$B$14,Paramètres!$A$1:$I$89,5,0)</f>
        <v>0</v>
      </c>
      <c r="DQ171" s="117" t="e">
        <f aca="false">EXP(-1.0587+0.8836*LN(DP171)+0.284)</f>
        <v>#VALUE!</v>
      </c>
      <c r="DR171" s="128" t="e">
        <f aca="false">(DP171+DQ171)*0.475*44/12</f>
        <v>#VALUE!</v>
      </c>
      <c r="DS171" s="120" t="e">
        <f aca="false">DR171+(DJ171+DK171)*44/12</f>
        <v>#VALUE!</v>
      </c>
      <c r="DT171" s="120" t="n">
        <f aca="true">AVERAGE(OFFSET($DS$3,0,0,'Données projet'!$E$14+1,1))-AVERAGE(OFFSET($H$3,0,0,'Données projet'!$E$14+1,1))</f>
        <v>549.432320957297</v>
      </c>
      <c r="DU171" s="120" t="n">
        <f aca="false">$DU$3</f>
        <v>280.26155987301</v>
      </c>
      <c r="DV171" s="121" t="n">
        <f aca="false">IF(ISNA(VLOOKUP(A171,'Données projet'!$A$165:$I$185,3,0)),0,VLOOKUP(A171,'Données projet'!$A$165:$I$185,3,0))</f>
        <v>0</v>
      </c>
      <c r="DW171" s="121" t="n">
        <f aca="false">IF(ISNA(VLOOKUP(A171,'Données projet'!$A$165:$I$185,4,0)),0,VLOOKUP(A171,'Données projet'!$A$165:$I$185,4,0))</f>
        <v>0</v>
      </c>
      <c r="DX171" s="122" t="n">
        <f aca="false">IF(ISNA(VLOOKUP(A171,'Données projet'!$A$165:$I$185,5,0)),0%,VLOOKUP(A171,'Données projet'!$A$165:$I$185,5,0)*VLOOKUP('Données projet'!$B$14,Paramètres!$A$1:$I$89,7,0))</f>
        <v>0</v>
      </c>
      <c r="DY171" s="122" t="n">
        <f aca="false">IF(ISNA(VLOOKUP(A171,'Données projet'!$A$165:$I$185,6,0)),0%,VLOOKUP(A171,'Données projet'!$A$165:$I$185,6,0)*VLOOKUP('Données projet'!$B$14,Paramètres!$A$1:$I$89,7,0))</f>
        <v>0</v>
      </c>
      <c r="DZ171" s="122" t="n">
        <f aca="false">IF(ISNA(VLOOKUP(A171,'Données projet'!$A$165:$I$185,7,0)),0%,VLOOKUP(A171,'Données projet'!$A$165:$I$185,7,0))</f>
        <v>0</v>
      </c>
      <c r="EA171" s="129" t="n">
        <f aca="false">EXP(-LN(2)/35)*EA170+(1-EXP(-LN(2)/35))/(LN(2)/35)*DW171*DX171*VLOOKUP('Données projet'!$B$14,Paramètres!$A$1:$I$89,3,0)*0.475*44/12</f>
        <v>0.156178091544465</v>
      </c>
      <c r="EB171" s="129" t="n">
        <f aca="false">EXP(-LN(2)/25)*EB170+(1-EXP(-LN(2)/25))/(LN(2)/25)*Calculateur!DW171*Calculateur!DY171*VLOOKUP('Données projet'!$B$14,Paramètres!$A$1:$I$89,3,0)*0.475*44/12</f>
        <v>0.168972386166925</v>
      </c>
      <c r="EC171" s="129" t="n">
        <f aca="false">EXP(-LN(2)/2)*EC170+(1-EXP(-LN(2)/2))/(LN(2)/2)*DW171*DZ171*VLOOKUP('Données projet'!$B$14,Paramètres!$A$1:$I$89,3,0)*0.475*44/12</f>
        <v>1.03660985342944E-020</v>
      </c>
      <c r="ED171" s="130" t="n">
        <f aca="false">SUM(EA171:EC171)</f>
        <v>0.325150477711391</v>
      </c>
      <c r="EE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8" t="e">
        <f aca="false">VLOOKUP(A171,'Données projet'!$A$191:$I$211,2,0)</f>
        <v>#N/A</v>
      </c>
      <c r="EH171" s="118" t="e">
        <f aca="false">VLOOKUP(A171,'Données projet'!$A$191:$I$211,9,0)</f>
        <v>#N/A</v>
      </c>
      <c r="EI171" s="118" t="e">
        <f aca="false" t="array" ref="EI171:EI171">INDEX(EH:EH,MIN(IF(ISNUMBER(EH171:EH367),ROW(EH171:EH367),"")))</f>
        <v>#N/A</v>
      </c>
      <c r="EJ171" s="118" t="n">
        <f aca="false">IF('Données projet'!$A$192&gt;35,EJ170+EI171-ER170,IF(A171&lt;'Données projet'!$A$192,$EG$205^A171,IF(A171='Données projet'!$A$192,'Données projet'!$B$192,EJ170+EI171-ER170)))</f>
        <v>0</v>
      </c>
      <c r="EK171" s="125" t="e">
        <f aca="false">EJ171*VLOOKUP('Données projet'!$B$15,Paramètres!$A$1:$I$89,3,0)*VLOOKUP('Données projet'!$B$15,Paramètres!$A$1:$I$89,5,0)</f>
        <v>#N/A</v>
      </c>
      <c r="EL171" s="117" t="e">
        <f aca="false">EXP(-1.0587+0.8836*LN(EK171)+0.284)</f>
        <v>#N/A</v>
      </c>
      <c r="EM171" s="128" t="e">
        <f aca="false">(EK171+EL171)*0.475*44/12</f>
        <v>#N/A</v>
      </c>
      <c r="EN171" s="120" t="e">
        <f aca="false">EM171+(EE171+EF171)*44/12</f>
        <v>#N/A</v>
      </c>
      <c r="EO171" s="120" t="e">
        <f aca="true">AVERAGE(OFFSET($EN$3,0,0,'Données projet'!$E$15+1,1))-AVERAGE(OFFSET($H$3,0,0,'Données projet'!$E$15+1,1))</f>
        <v>#N/A</v>
      </c>
      <c r="EP171" s="120" t="e">
        <f aca="false">$EP$3</f>
        <v>#N/A</v>
      </c>
      <c r="EQ171" s="121" t="n">
        <f aca="false">IF(ISNA(VLOOKUP(A171,'Données projet'!$A$191:$I$211,3,0)),0,VLOOKUP(A171,'Données projet'!$A$191:$I$211,3,0))</f>
        <v>0</v>
      </c>
      <c r="ER171" s="121" t="n">
        <f aca="false">IF(ISNA(VLOOKUP(A171,'Données projet'!$A$191:$I$211,4,0)),0,VLOOKUP(A171,'Données projet'!$A$191:$I$211,4,0))</f>
        <v>0</v>
      </c>
      <c r="ES171" s="122" t="n">
        <f aca="false">IF(ISNA(VLOOKUP(A171,'Données projet'!$A$191:$I$211,5,0)),0%,VLOOKUP(A171,'Données projet'!$A$191:$I$211,5,0)*VLOOKUP('Données projet'!$B$15,Paramètres!$A$1:$I$89,7,0))</f>
        <v>0</v>
      </c>
      <c r="ET171" s="122" t="n">
        <f aca="false">IF(ISNA(VLOOKUP(A171,'Données projet'!$A$191:$I$211,6,0)),0%,VLOOKUP(A171,'Données projet'!$A$191:$I$211,6,0)*VLOOKUP('Données projet'!$B$15,Paramètres!$A$1:$I$89,7,0))</f>
        <v>0</v>
      </c>
      <c r="EU171" s="122" t="n">
        <f aca="false">IF(ISNA(VLOOKUP(A171,'Données projet'!$A$191:$I$211,7,0)),0%,VLOOKUP(A171,'Données projet'!$A$191:$I$211,7,0))</f>
        <v>0</v>
      </c>
      <c r="EV171" s="129" t="e">
        <f aca="false">EXP(-LN(2)/35)*EV170+(1-EXP(-LN(2)/35))/(LN(2)/35)*ER171*ES171*VLOOKUP('Données projet'!$B$15,Paramètres!$A$1:$I$89,3,0)*0.475*44/12</f>
        <v>#N/A</v>
      </c>
      <c r="EW171" s="129" t="e">
        <f aca="false">EXP(-LN(2)/25)*EW170+(1-EXP(-LN(2)/25))/(LN(2)/25)*Calculateur!ER171*Calculateur!ET171*VLOOKUP('Données projet'!$B$15,Paramètres!$A$1:$I$89,3,0)*0.475*44/12</f>
        <v>#N/A</v>
      </c>
      <c r="EX171" s="129" t="e">
        <f aca="false">EXP(-LN(2)/2)*EX170+(1-EXP(-LN(2)/2))/(LN(2)/2)*ER171*EU171*VLOOKUP('Données projet'!$B$15,Paramètres!$A$1:$I$89,3,0)*0.475*44/12</f>
        <v>#N/A</v>
      </c>
      <c r="EY171" s="130" t="e">
        <f aca="false">SUM(EV171:EX171)</f>
        <v>#N/A</v>
      </c>
      <c r="EZ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8" t="e">
        <f aca="false">VLOOKUP(A171,'Données projet'!$A$217:$I$237,2,0)</f>
        <v>#N/A</v>
      </c>
      <c r="FC171" s="118" t="e">
        <f aca="false">VLOOKUP(A171,'Données projet'!$A$217:$I$237,9,0)</f>
        <v>#N/A</v>
      </c>
      <c r="FD171" s="118" t="e">
        <f aca="false" t="array" ref="FD171:FD171">INDEX(FC:FC,MIN(IF(ISNUMBER(FC171:FC367),ROW(FC171:FC367),"")))</f>
        <v>#N/A</v>
      </c>
      <c r="FE171" s="118" t="n">
        <f aca="false">IF('Données projet'!$A$218&gt;35,FE170+FD171-FM170,IF(A171&lt;'Données projet'!$A$218,$FB$205^A171,IF(A171='Données projet'!$A$218,'Données projet'!$B$218,FE170+FD171-FM170)))</f>
        <v>0</v>
      </c>
      <c r="FF171" s="125" t="e">
        <f aca="false">FE171*VLOOKUP('Données projet'!$B$16,Paramètres!$A$1:$I$89,3,0)*VLOOKUP('Données projet'!$B$16,Paramètres!$A$1:$I$89,5,0)</f>
        <v>#N/A</v>
      </c>
      <c r="FG171" s="117" t="e">
        <f aca="false">EXP(-1.0587+0.8836*LN(FF171)+0.284)</f>
        <v>#N/A</v>
      </c>
      <c r="FH171" s="128" t="e">
        <f aca="false">(FF171+FG171)*0.475*44/12</f>
        <v>#N/A</v>
      </c>
      <c r="FI171" s="120" t="e">
        <f aca="false">FH171+(EZ171+FA171)*44/12</f>
        <v>#N/A</v>
      </c>
      <c r="FJ171" s="120" t="e">
        <f aca="true">AVERAGE(OFFSET($FI$3,0,0,'Données projet'!$E$16+1,1))-AVERAGE(OFFSET($H$3,0,0,'Données projet'!$E$16+1,1))</f>
        <v>#N/A</v>
      </c>
      <c r="FK171" s="120" t="e">
        <f aca="false">$FK$3</f>
        <v>#N/A</v>
      </c>
      <c r="FL171" s="121" t="n">
        <f aca="false">IF(ISNA(VLOOKUP(A171,'Données projet'!$A$217:$I$237,3,0)),0,VLOOKUP(A171,'Données projet'!$A$217:$I$237,3,0))</f>
        <v>0</v>
      </c>
      <c r="FM171" s="121" t="n">
        <f aca="false">IF(ISNA(VLOOKUP(A171,'Données projet'!$A$217:$I$237,4,0)),0,VLOOKUP(A171,'Données projet'!$A$217:$I$237,4,0))</f>
        <v>0</v>
      </c>
      <c r="FN171" s="122" t="n">
        <f aca="false">IF(ISNA(VLOOKUP(A171,'Données projet'!$A$217:$I$237,5,0)),0%,VLOOKUP(A171,'Données projet'!$A$217:$I$237,5,0)*VLOOKUP('Données projet'!$B$16,Paramètres!$A$1:$I$89,7,0))</f>
        <v>0</v>
      </c>
      <c r="FO171" s="122" t="n">
        <f aca="false">IF(ISNA(VLOOKUP(A171,'Données projet'!$A$217:$I$237,6,0)),0%,VLOOKUP(A171,'Données projet'!$A$217:$I$237,6,0)*VLOOKUP('Données projet'!$B$16,Paramètres!$A$1:$I$89,7,0))</f>
        <v>0</v>
      </c>
      <c r="FP171" s="122" t="n">
        <f aca="false">IF(ISNA(VLOOKUP(A171,'Données projet'!$A$217:$I$237,7,0)),0%,VLOOKUP(A171,'Données projet'!$A$217:$I$237,7,0))</f>
        <v>0</v>
      </c>
      <c r="FQ171" s="129" t="e">
        <f aca="false">EXP(-LN(2)/35)*FQ170+(1-EXP(-LN(2)/35))/(LN(2)/35)*FM171*FN171*VLOOKUP('Données projet'!$B$16,Paramètres!$A$1:$I$89,3,0)*0.475*44/12</f>
        <v>#N/A</v>
      </c>
      <c r="FR171" s="129" t="e">
        <f aca="false">EXP(-LN(2)/25)*FR170+(1-EXP(-LN(2)/25))/(LN(2)/25)*Calculateur!FM171*Calculateur!FO171*VLOOKUP('Données projet'!$B$16,Paramètres!$A$1:$I$89,3,0)*0.475*44/12</f>
        <v>#N/A</v>
      </c>
      <c r="FS171" s="129" t="e">
        <f aca="false">EXP(-LN(2)/2)*FS170+(1-EXP(-LN(2)/2))/(LN(2)/2)*FM171*FP171*VLOOKUP('Données projet'!$B$16,Paramètres!$A$1:$I$89,3,0)*0.475*44/12</f>
        <v>#N/A</v>
      </c>
      <c r="FT171" s="130" t="e">
        <f aca="false">SUM(FQ171:FS171)</f>
        <v>#N/A</v>
      </c>
      <c r="FU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8" t="e">
        <f aca="false">VLOOKUP(A171,'Données projet'!$A$243:$I$263,2,0)</f>
        <v>#N/A</v>
      </c>
      <c r="FX171" s="118" t="e">
        <f aca="false">VLOOKUP(A171,'Données projet'!$A$243:$I$263,9,0)</f>
        <v>#N/A</v>
      </c>
      <c r="FY171" s="118" t="e">
        <f aca="false" t="array" ref="FY171:FY171">INDEX(FX:FX,MIN(IF(ISNUMBER(FX171:FX367),ROW(FX171:FX367),"")))</f>
        <v>#N/A</v>
      </c>
      <c r="FZ171" s="118" t="n">
        <f aca="false">IF('Données projet'!$A$244&gt;35,FZ170+FY171-GH170,IF(A171&lt;'Données projet'!$A$244,$FW$205^A171,IF(A171='Données projet'!$A$244,'Données projet'!$B$244,FZ170+FY171-GH170)))</f>
        <v>0</v>
      </c>
      <c r="GA171" s="125" t="e">
        <f aca="false">FZ171*VLOOKUP('Données projet'!$B$17,Paramètres!$A$1:$I$89,3,0)*VLOOKUP('Données projet'!$B$17,Paramètres!$A$1:$I$89,5,0)</f>
        <v>#N/A</v>
      </c>
      <c r="GB171" s="117" t="e">
        <f aca="false">EXP(-1.0587+0.8836*LN(GA171)+0.284)</f>
        <v>#N/A</v>
      </c>
      <c r="GC171" s="128" t="e">
        <f aca="false">(GA171+GB171)*0.475*44/12</f>
        <v>#N/A</v>
      </c>
      <c r="GD171" s="120" t="e">
        <f aca="false">GC171+(FU171+FV171)*44/12</f>
        <v>#N/A</v>
      </c>
      <c r="GE171" s="120" t="e">
        <f aca="true">AVERAGE(OFFSET($GD$3,0,0,'Données projet'!$E$17+1,1))-AVERAGE(OFFSET($H$3,0,0,'Données projet'!$E$17+1,1))</f>
        <v>#N/A</v>
      </c>
      <c r="GF171" s="120" t="e">
        <f aca="false">$GF$3</f>
        <v>#N/A</v>
      </c>
      <c r="GG171" s="121" t="n">
        <f aca="false">IF(ISNA(VLOOKUP(A171,'Données projet'!$A$243:$I$263,3,0)),0,VLOOKUP(A171,'Données projet'!$A$243:$I$263,3,0))</f>
        <v>0</v>
      </c>
      <c r="GH171" s="121" t="n">
        <f aca="false">IF(ISNA(VLOOKUP(A171,'Données projet'!$A$243:$I$263,4,0)),0,VLOOKUP(A171,'Données projet'!$A$243:$I$263,4,0))</f>
        <v>0</v>
      </c>
      <c r="GI171" s="122" t="n">
        <f aca="false">IF(ISNA(VLOOKUP(A171,'Données projet'!$A$243:$I$263,5,0)),0%,VLOOKUP(A171,'Données projet'!$A$243:$I$263,5,0)*VLOOKUP('Données projet'!$B$17,Paramètres!$A$1:$I$89,7,0))</f>
        <v>0</v>
      </c>
      <c r="GJ171" s="122" t="n">
        <f aca="false">IF(ISNA(VLOOKUP(A171,'Données projet'!$A$243:$I$263,6,0)),0%,VLOOKUP(A171,'Données projet'!$A$243:$I$263,6,0)*VLOOKUP('Données projet'!$B$17,Paramètres!$A$1:$I$89,7,0))</f>
        <v>0</v>
      </c>
      <c r="GK171" s="122" t="n">
        <f aca="false">IF(ISNA(VLOOKUP(A171,'Données projet'!$A$243:$I$263,7,0)),0%,VLOOKUP(A171,'Données projet'!$A$243:$I$263,7,0))</f>
        <v>0</v>
      </c>
      <c r="GL171" s="129" t="e">
        <f aca="false">EXP(-LN(2)/35)*GL170+(1-EXP(-LN(2)/35))/(LN(2)/35)*GH171*GI171*VLOOKUP('Données projet'!$B$17,Paramètres!$A$1:$I$89,3,0)*0.475*44/12</f>
        <v>#N/A</v>
      </c>
      <c r="GM171" s="129" t="e">
        <f aca="false">EXP(-LN(2)/25)*GM170+(1-EXP(-LN(2)/25))/(LN(2)/25)*Calculateur!GH171*Calculateur!GJ171*VLOOKUP('Données projet'!$B$17,Paramètres!$A$1:$I$89,3,0)*0.475*44/12</f>
        <v>#N/A</v>
      </c>
      <c r="GN171" s="129" t="e">
        <f aca="false">EXP(-LN(2)/2)*GN170+(1-EXP(-LN(2)/2))/(LN(2)/2)*GH171*GK171*VLOOKUP('Données projet'!$B$17,Paramètres!$A$1:$I$89,3,0)*0.475*44/12</f>
        <v>#N/A</v>
      </c>
      <c r="GO171" s="129" t="e">
        <f aca="false">SUM(GL171:GN171)</f>
        <v>#N/A</v>
      </c>
      <c r="GP171" s="126" t="n">
        <f aca="false"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8" t="n">
        <f aca="false"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8" t="e">
        <f aca="false">VLOOKUP(A171,'Données projet'!$A$269:$I$289,2,0)</f>
        <v>#N/A</v>
      </c>
      <c r="GS171" s="118" t="e">
        <f aca="false">VLOOKUP(A171,'Données projet'!$A$269:$I$289,9,0)</f>
        <v>#N/A</v>
      </c>
      <c r="GT171" s="118" t="e">
        <f aca="false" t="array" ref="GT171:GT171">INDEX(GS:GS,MIN(IF(ISNUMBER(GS171:GS367),ROW(GS171:GS367),"")))</f>
        <v>#N/A</v>
      </c>
      <c r="GU171" s="118" t="n">
        <f aca="false">IF('Données projet'!$A$270&gt;35,GU170+GT171-HC170,IF(A171&lt;'Données projet'!$A$270,$GR$205^A171,IF(A171='Données projet'!$A$270,'Données projet'!$B$270,GU170+GT171-HC170)))</f>
        <v>0</v>
      </c>
      <c r="GV171" s="125" t="e">
        <f aca="false">GU171*VLOOKUP('Données projet'!$B$18,Paramètres!$A$1:$I$89,3,0)*VLOOKUP('Données projet'!$B$18,Paramètres!$A$1:$I$89,5,0)</f>
        <v>#N/A</v>
      </c>
      <c r="GW171" s="117" t="e">
        <f aca="false">EXP(-1.0587+0.8836*LN(GV171)+0.284)</f>
        <v>#N/A</v>
      </c>
      <c r="GX171" s="128" t="e">
        <f aca="false">(GV171+GW171)*0.475*44/12</f>
        <v>#N/A</v>
      </c>
      <c r="GY171" s="120" t="e">
        <f aca="false">GX171+(GP171+GQ171)*44/12</f>
        <v>#N/A</v>
      </c>
      <c r="GZ171" s="120" t="e">
        <f aca="true">AVERAGE(OFFSET($GY$3,0,0,'Données projet'!$E$18+1,1))-AVERAGE(OFFSET($H$3,0,0,'Données projet'!$E$18+1,1))</f>
        <v>#N/A</v>
      </c>
      <c r="HA171" s="120" t="e">
        <f aca="false">$HA$3</f>
        <v>#N/A</v>
      </c>
      <c r="HB171" s="121" t="n">
        <f aca="false">IF(ISNA(VLOOKUP(A171,'Données projet'!$A$269:$I$289,3,0)),0,VLOOKUP(A171,'Données projet'!$A$269:$I$289,3,0))</f>
        <v>0</v>
      </c>
      <c r="HC171" s="121" t="n">
        <f aca="false">IF(ISNA(VLOOKUP(A171,'Données projet'!$A$269:$I$289,4,0)),0,VLOOKUP(A171,'Données projet'!$A$269:$I$289,4,0))</f>
        <v>0</v>
      </c>
      <c r="HD171" s="122" t="n">
        <f aca="false">IF(ISNA(VLOOKUP(A171,'Données projet'!$A$269:$I$289,5,0)),0%,VLOOKUP(A171,'Données projet'!$A$269:$I$289,5,0)*VLOOKUP('Données projet'!$B$18,Paramètres!$A$1:$I$89,7,0))</f>
        <v>0</v>
      </c>
      <c r="HE171" s="122" t="n">
        <f aca="false">IF(ISNA(VLOOKUP(A171,'Données projet'!$A$269:$I$289,6,0)),0%,VLOOKUP(A171,'Données projet'!$A$269:$I$289,6,0)*VLOOKUP('Données projet'!$B$18,Paramètres!$A$1:$I$89,7,0))</f>
        <v>0</v>
      </c>
      <c r="HF171" s="122" t="n">
        <f aca="false">IF(ISNA(VLOOKUP(A171,'Données projet'!$A$269:$I$289,7,0)),0%,VLOOKUP(A171,'Données projet'!$A$269:$I$289,7,0))</f>
        <v>0</v>
      </c>
      <c r="HG171" s="129" t="e">
        <f aca="false">EXP(-LN(2)/35)*HG170+(1-EXP(-LN(2)/35))/(LN(2)/35)*HC171*HD171*VLOOKUP('Données projet'!$B$18,Paramètres!$A$1:$I$89,3,0)*0.475*44/12</f>
        <v>#N/A</v>
      </c>
      <c r="HH171" s="129" t="e">
        <f aca="false">EXP(-LN(2)/25)*HH170+(1-EXP(-LN(2)/25))/(LN(2)/25)*Calculateur!HC171*Calculateur!HE171*VLOOKUP('Données projet'!$B$18,Paramètres!$A$1:$I$89,3,0)*0.475*44/12</f>
        <v>#N/A</v>
      </c>
      <c r="HI171" s="129" t="e">
        <f aca="false">EXP(-LN(2)/2)*HI170+(1-EXP(-LN(2)/2))/(LN(2)/2)*HC171*HF171*VLOOKUP('Données projet'!$B$18,Paramètres!$A$1:$I$89,3,0)*0.475*44/12</f>
        <v>#N/A</v>
      </c>
      <c r="HJ171" s="130" t="e">
        <f aca="false">SUM(HG171:HI171)</f>
        <v>#N/A</v>
      </c>
    </row>
    <row r="172" customFormat="false" ht="14.25" hidden="false" customHeight="false" outlineLevel="0" collapsed="false">
      <c r="A172" s="112" t="n">
        <f aca="false">A171+1</f>
        <v>169</v>
      </c>
      <c r="B172" s="113" t="n">
        <f aca="false">'Scénario référence'!$B$16*5+'Scénario référence'!$B$17*0+'Scénario référence'!$B$18*5</f>
        <v>0</v>
      </c>
      <c r="C172" s="127" t="n">
        <f aca="false"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4" t="n">
        <f aca="false">IFERROR(EXP(-1.0587+0.8836*LN(C172)+0.284),0)</f>
        <v>0</v>
      </c>
      <c r="E17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2" s="114" t="n">
        <f aca="false">IF(OR('Scénario référence'!$F$8&gt;0,'Scénario référence'!$F$9&gt;0),('Scénario référence'!$F$8+'Scénario référence'!$F$9)*10,0)</f>
        <v>0</v>
      </c>
      <c r="G172" s="114" t="n">
        <f aca="false"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15" t="n">
        <f aca="false">(B172+E172+F172)*44/12+(C172+D172)*0.475*44/12</f>
        <v>256.666666666667</v>
      </c>
      <c r="I172" s="11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7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8" t="e">
        <f aca="false">VLOOKUP(A172,'Données projet'!$A$35:$I$55,2,0)</f>
        <v>#N/A</v>
      </c>
      <c r="L172" s="118" t="e">
        <f aca="false">VLOOKUP(A172,'Données projet'!$A$35:$I$55,9,0)</f>
        <v>#N/A</v>
      </c>
      <c r="M172" s="118" t="e">
        <f aca="false" t="array" ref="M172:M172">INDEX(L:L,MIN(IF(ISNUMBER(L172:L368),ROW(L172:L368),"")))</f>
        <v>#N/A</v>
      </c>
      <c r="N172" s="117" t="n">
        <f aca="false">IF('Données projet'!$A$36&gt;35,N171+M172-V171,IF(A172&lt;'Données projet'!$A$36,$K$205^A172,IF(A172='Données projet'!$A$36,'Données projet'!$B$36,N171+M172-V171)))</f>
        <v>-1.13686837721616E-013</v>
      </c>
      <c r="O172" s="117" t="n">
        <f aca="false">N172*VLOOKUP('Données projet'!$B$9,Paramètres!$A$1:$I$89,3,0)*VLOOKUP('Données projet'!$B$9,Paramètres!$A$1:$I$89,5,0)</f>
        <v>-5.32054400537163E-014</v>
      </c>
      <c r="P172" s="117" t="e">
        <f aca="false">EXP(-1.0587+0.8836*LN(O172)+0.284)</f>
        <v>#VALUE!</v>
      </c>
      <c r="Q172" s="128" t="e">
        <f aca="false">(O172+P172)*0.475*44/12</f>
        <v>#VALUE!</v>
      </c>
      <c r="R172" s="120" t="e">
        <f aca="false">Q172+(I172+J172)*44/12</f>
        <v>#VALUE!</v>
      </c>
      <c r="S172" s="120" t="n">
        <f aca="true">AVERAGE(OFFSET($R$3,0,0,'Données projet'!$E$9+1,1))-AVERAGE(OFFSET($H$3,0,0,'Données projet'!$E$9+1,1))</f>
        <v>319.229030946746</v>
      </c>
      <c r="T172" s="120" t="n">
        <f aca="false">$T$3</f>
        <v>254.586909731428</v>
      </c>
      <c r="U172" s="121" t="n">
        <f aca="false">IF(ISNA(VLOOKUP(A172,'Données projet'!$A$35:$I$55,3,0)),0,VLOOKUP(A172,'Données projet'!$A$35:$I$55,3,0))</f>
        <v>0</v>
      </c>
      <c r="V172" s="121" t="n">
        <f aca="false">IF(ISNA(VLOOKUP(A172,'Données projet'!$A$35:$I$55,4,0)),0,VLOOKUP(A172,'Données projet'!$A$35:$I$55,4,0))</f>
        <v>0</v>
      </c>
      <c r="W172" s="122" t="n">
        <f aca="false">IF(ISNA(VLOOKUP(A172,'Données projet'!$A$35:$I$55,5,0)),0%,VLOOKUP(A172,'Données projet'!$A$35:$I$55,5,0)*VLOOKUP('Données projet'!$B$9,Paramètres!$A$1:$I$89,7,0))</f>
        <v>0</v>
      </c>
      <c r="X172" s="122" t="n">
        <f aca="false">IF(ISNA(VLOOKUP(A172,'Données projet'!$A$35:$I$55,6,0)),0%,VLOOKUP(A172,'Données projet'!$A$35:$I$55,6,0)*VLOOKUP('Données projet'!$B$9,Paramètres!$A$1:$I$89,7,0))</f>
        <v>0</v>
      </c>
      <c r="Y172" s="122" t="n">
        <f aca="false">IF(ISNA(VLOOKUP(A172,'Données projet'!$A$35:$I$55,7,0)),0%,VLOOKUP(A172,'Données projet'!$A$35:$I$55,7,0))</f>
        <v>0</v>
      </c>
      <c r="Z172" s="129" t="n">
        <f aca="false">EXP(-LN(2)/35)*Z171+(1-EXP(-LN(2)/35))/(LN(2)/35)*V172*W172*VLOOKUP('Données projet'!$B$9,Paramètres!$A$1:$I$89,3,0)*0.475*44/12</f>
        <v>0.578606567817132</v>
      </c>
      <c r="AA172" s="129" t="n">
        <f aca="false">EXP(-LN(2)/25)*AA171+(1-EXP(-LN(2)/25))/(LN(2)/25)*Calculateur!V172*Calculateur!X172*VLOOKUP('Données projet'!$B$9,Paramètres!$A$1:$I$89,3,0)*0.475*44/12</f>
        <v>0.236373894729942</v>
      </c>
      <c r="AB172" s="129" t="n">
        <f aca="false">EXP(-LN(2)/2)*AB171+(1-EXP(-LN(2)/2))/(LN(2)/2)*V172*Y172*VLOOKUP('Données projet'!$B$9,Paramètres!$A$1:$I$89,3,0)*0.475*44/12</f>
        <v>1.32284034756384E-020</v>
      </c>
      <c r="AC172" s="130" t="n">
        <f aca="false">SUM(Z172:AB172)</f>
        <v>0.814980462547074</v>
      </c>
      <c r="AD172" s="117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7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8" t="e">
        <f aca="false">VLOOKUP(A172,'Données projet'!$A$61:$I$81,2,0)</f>
        <v>#N/A</v>
      </c>
      <c r="AG172" s="118" t="e">
        <f aca="false">VLOOKUP(A172,'Données projet'!$A$61:$I$81,9,0)</f>
        <v>#N/A</v>
      </c>
      <c r="AH172" s="118" t="e">
        <f aca="false" t="array" ref="AH172:AH172">INDEX(AG:AG,MIN(IF(ISNUMBER(AG172:AG368),ROW(AG172:AG368),"")))</f>
        <v>#N/A</v>
      </c>
      <c r="AI172" s="117" t="n">
        <f aca="false">IF('Données projet'!$A$62&gt;35,AI171+AH172-AQ171,IF(A172&lt;'Données projet'!$A$62,$AF$205^A172,IF(A172='Données projet'!$A$62,'Données projet'!$B$62,AI171+AH172-AQ171)))</f>
        <v>1.13686837721616E-013</v>
      </c>
      <c r="AJ172" s="117" t="n">
        <f aca="false">AI172*VLOOKUP('Données projet'!$B$10,Paramètres!$A$1:$I$89,3,0)*VLOOKUP('Données projet'!$B$10,Paramètres!$A$1:$I$89,5,0)</f>
        <v>6.35509422863834E-014</v>
      </c>
      <c r="AK172" s="117" t="n">
        <f aca="false">EXP(-1.0587+0.8836*LN(AJ172)+0.284)</f>
        <v>1.0064464192544E-012</v>
      </c>
      <c r="AL172" s="128" t="n">
        <f aca="false">(AJ172+AK172)*0.475*44/12</f>
        <v>1.86357873801686E-012</v>
      </c>
      <c r="AM172" s="120" t="n">
        <f aca="false">AL172+(AD172+AE172)*44/12</f>
        <v>293.333333333335</v>
      </c>
      <c r="AN172" s="120" t="n">
        <f aca="true">AVERAGE(OFFSET($AM$3,0,0,'Données projet'!$E$10+1,1))-AVERAGE(OFFSET($H$3,0,0,'Données projet'!$E$10+1,1))</f>
        <v>365.705101827279</v>
      </c>
      <c r="AO172" s="120" t="n">
        <f aca="false">$AO$3</f>
        <v>436.238338449625</v>
      </c>
      <c r="AP172" s="121" t="n">
        <f aca="false">IF(ISNA(VLOOKUP(A172,'Données projet'!$A$61:$I$81,3,0)),0,VLOOKUP(A172,'Données projet'!$A$61:$I$81,3,0))</f>
        <v>0</v>
      </c>
      <c r="AQ172" s="121" t="n">
        <f aca="false">IF(ISNA(VLOOKUP(A172,'Données projet'!$A$61:$I$81,4,0)),0,VLOOKUP(A172,'Données projet'!$A$61:$I$81,4,0))</f>
        <v>0</v>
      </c>
      <c r="AR172" s="122" t="n">
        <f aca="false">IF(ISNA(VLOOKUP(A172,'Données projet'!$A$61:$I$81,5,0)),0%,VLOOKUP(A172,'Données projet'!$A$61:$I$81,5,0)*VLOOKUP('Données projet'!$B$10,Paramètres!$A$1:$I$89,7,0))</f>
        <v>0</v>
      </c>
      <c r="AS172" s="122" t="n">
        <f aca="false">IF(ISNA(VLOOKUP(A172,'Données projet'!$A$61:$I$81,6,0)),0%,VLOOKUP(A172,'Données projet'!$A$61:$I$81,6,0)*VLOOKUP('Données projet'!$B$10,Paramètres!$A$1:$I$89,7,0))</f>
        <v>0</v>
      </c>
      <c r="AT172" s="122" t="n">
        <f aca="false">IF(ISNA(VLOOKUP(A172,'Données projet'!$A$61:$I$81,7,0)),0%,VLOOKUP(A172,'Données projet'!$A$61:$I$81,7,0))</f>
        <v>0</v>
      </c>
      <c r="AU172" s="129" t="n">
        <f aca="false">EXP(-LN(2)/35)*AU171+(1-EXP(-LN(2)/35))/(LN(2)/35)*AQ172*AR172*VLOOKUP('Données projet'!$B$10,Paramètres!$A$1:$I$89,3,0)*0.475*44/12</f>
        <v>0.218405220110399</v>
      </c>
      <c r="AV172" s="129" t="n">
        <f aca="false">EXP(-LN(2)/25)*AV171+(1-EXP(-LN(2)/25))/(LN(2)/25)*Calculateur!AQ172*Calculateur!AS172*VLOOKUP('Données projet'!$B$10,Paramètres!$A$1:$I$89,3,0)*0.475*44/12</f>
        <v>0.279972097600223</v>
      </c>
      <c r="AW172" s="129" t="n">
        <f aca="false">EXP(-LN(2)/2)*AW171+(1-EXP(-LN(2)/2))/(LN(2)/2)*AQ172*AT172*VLOOKUP('Données projet'!$B$10,Paramètres!$A$1:$I$89,3,0)*0.475*44/12</f>
        <v>7.11911330004451E-021</v>
      </c>
      <c r="AX172" s="129" t="n">
        <f aca="false">SUM(AU172:AW172)</f>
        <v>0.498377317710622</v>
      </c>
      <c r="AY172" s="124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8" t="e">
        <f aca="false">VLOOKUP(A172,'Données projet'!$A$87:$I$107,2,0)</f>
        <v>#N/A</v>
      </c>
      <c r="BB172" s="118" t="e">
        <f aca="false">VLOOKUP(A172,'Données projet'!$A$87:$I$107,9,0)</f>
        <v>#N/A</v>
      </c>
      <c r="BC172" s="118" t="e">
        <f aca="false" t="array" ref="BC172:BC172">INDEX(BB:BB,MIN(IF(ISNUMBER(BB172:BB368),ROW(BB172:BB368),"")))</f>
        <v>#N/A</v>
      </c>
      <c r="BD172" s="118" t="n">
        <f aca="false">IF('Données projet'!$A$88&gt;35,BD171+BC172-BL171,IF(A172&lt;'Données projet'!$A$88,$BA$205^A172,IF(A172='Données projet'!$A$88,'Données projet'!$B$88,BD171+BC172-BL171)))</f>
        <v>1.98951966012828E-013</v>
      </c>
      <c r="BE172" s="117" t="n">
        <f aca="false">BD172*VLOOKUP('Données projet'!$B$11,Paramètres!$A$1:$I$89,3,0)*VLOOKUP('Données projet'!$B$11,Paramètres!$A$1:$I$89,5,0)</f>
        <v>1.73804437508807E-013</v>
      </c>
      <c r="BF172" s="117" t="n">
        <f aca="false">EXP(-1.0587+0.8836*LN(BE172)+0.284)</f>
        <v>2.44832936339505E-012</v>
      </c>
      <c r="BG172" s="128" t="n">
        <f aca="false">(BE172+BF172)*0.475*44/12</f>
        <v>4.56688303657421E-012</v>
      </c>
      <c r="BH172" s="120" t="n">
        <f aca="false">BG172+(AY172+AZ172)*44/12</f>
        <v>293.333333333338</v>
      </c>
      <c r="BI172" s="120" t="n">
        <f aca="true">AVERAGE(OFFSET($BH$3,0,0,'Données projet'!$E$11+1,1))-AVERAGE(OFFSET($H$3,0,0,'Données projet'!$E$11+1,1))</f>
        <v>321.235999689929</v>
      </c>
      <c r="BJ172" s="120" t="n">
        <f aca="false">$BJ$3</f>
        <v>388.051958478005</v>
      </c>
      <c r="BK172" s="121" t="n">
        <f aca="false">IF(ISNA(VLOOKUP(A172,'Données projet'!$A$87:$I$107,3,0)),0,VLOOKUP(A172,'Données projet'!$A$87:$I$107,3,0))</f>
        <v>0</v>
      </c>
      <c r="BL172" s="121" t="n">
        <f aca="false">IF(ISNA(VLOOKUP(A172,'Données projet'!$A$87:$I$107,4,0)),0,VLOOKUP(A172,'Données projet'!$A$87:$I$107,4,0))</f>
        <v>0</v>
      </c>
      <c r="BM172" s="122" t="n">
        <f aca="false">IF(ISNA(VLOOKUP(A172,'Données projet'!$A$87:$I$107,5,0)),0%,VLOOKUP(A172,'Données projet'!$A$87:$I$107,5,0)*VLOOKUP('Données projet'!$B$11,Paramètres!$A$1:$I$89,7,0))</f>
        <v>0</v>
      </c>
      <c r="BN172" s="122" t="n">
        <f aca="false">IF(ISNA(VLOOKUP(A172,'Données projet'!$A$87:$I$107,6,0)),0%,VLOOKUP(A172,'Données projet'!$A$87:$I$107,6,0)*VLOOKUP('Données projet'!$B$11,Paramètres!$A$1:$I$89,7,0))</f>
        <v>0</v>
      </c>
      <c r="BO172" s="122" t="n">
        <f aca="false">IF(ISNA(VLOOKUP(A172,'Données projet'!$A$87:$I$107,7,0)),0%,VLOOKUP(A172,'Données projet'!$A$87:$I$107,7,0))</f>
        <v>0</v>
      </c>
      <c r="BP172" s="129" t="n">
        <f aca="false">EXP(-LN(2)/35)*BP171+(1-EXP(-LN(2)/35))/(LN(2)/35)*BL172*BM172*VLOOKUP('Données projet'!$B$11,Paramètres!$A$1:$I$89,3,0)*0.475*44/12</f>
        <v>0.548332808986679</v>
      </c>
      <c r="BQ172" s="129" t="n">
        <f aca="false">EXP(-LN(2)/25)*BQ171+(1-EXP(-LN(2)/25))/(LN(2)/25)*Calculateur!BL172*Calculateur!BN172*VLOOKUP('Données projet'!$B$11,Paramètres!$A$1:$I$89,3,0)*0.475*44/12</f>
        <v>0.285778887915852</v>
      </c>
      <c r="BR172" s="129" t="n">
        <f aca="false">EXP(-LN(2)/2)*BR171+(1-EXP(-LN(2)/2))/(LN(2)/2)*BL172*BO172*VLOOKUP('Données projet'!$B$11,Paramètres!$A$1:$I$89,3,0)*0.475*44/12</f>
        <v>7.23643069626527E-021</v>
      </c>
      <c r="BS172" s="130" t="n">
        <f aca="false">SUM(BP172:BR172)</f>
        <v>0.834111696902531</v>
      </c>
      <c r="BT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8" t="e">
        <f aca="false">VLOOKUP(A172,'Données projet'!$A$113:$I$133,2,0)</f>
        <v>#N/A</v>
      </c>
      <c r="BW172" s="118" t="e">
        <f aca="false">VLOOKUP(A172,'Données projet'!$A$113:$I$133,9,0)</f>
        <v>#N/A</v>
      </c>
      <c r="BX172" s="118" t="e">
        <f aca="false" t="array" ref="BX172:BX172">INDEX(BW:BW,MIN(IF(ISNUMBER(BW172:BW368),ROW(BW172:BW368),"")))</f>
        <v>#N/A</v>
      </c>
      <c r="BY172" s="118" t="n">
        <f aca="false">IF('Données projet'!$A$114&gt;35,BY171+BX172-CG171,IF(A172&lt;'Données projet'!$A$114,$BV$205^A172,IF(A172='Données projet'!$A$114,'Données projet'!$B$114,BY171+BX172-CG171)))</f>
        <v>0</v>
      </c>
      <c r="BZ172" s="117" t="n">
        <f aca="false">BY172*VLOOKUP('Données projet'!$B$12,Paramètres!$A$1:$I$89,3,0)*VLOOKUP('Données projet'!$B$12,Paramètres!$A$1:$I$89,5,0)</f>
        <v>0</v>
      </c>
      <c r="CA172" s="117" t="e">
        <f aca="false">EXP(-1.0587+0.8836*LN(BZ172)+0.284)</f>
        <v>#VALUE!</v>
      </c>
      <c r="CB172" s="128" t="e">
        <f aca="false">(BZ172+CA172)*0.475*44/12</f>
        <v>#VALUE!</v>
      </c>
      <c r="CC172" s="120" t="e">
        <f aca="false">CB172+(BT172+BU172)*44/12</f>
        <v>#VALUE!</v>
      </c>
      <c r="CD172" s="120" t="n">
        <f aca="true">AVERAGE(OFFSET($CC$3,0,0,'Données projet'!$E$12+1,1))-AVERAGE(OFFSET($H$3,0,0,'Données projet'!$E$12+1,1))</f>
        <v>240.228848647662</v>
      </c>
      <c r="CE172" s="120" t="n">
        <f aca="false">$CE$3</f>
        <v>343.237768841432</v>
      </c>
      <c r="CF172" s="121" t="n">
        <f aca="false">IF(ISNA(VLOOKUP(A172,'Données projet'!$A$113:$I$133,3,0)),0,VLOOKUP(A172,'Données projet'!$A$113:$I$133,3,0))</f>
        <v>0</v>
      </c>
      <c r="CG172" s="121" t="n">
        <f aca="false">IF(ISNA(VLOOKUP(A172,'Données projet'!$A$113:$I$133,4,0)),0,VLOOKUP(A172,'Données projet'!$A$113:$I$133,4,0))</f>
        <v>0</v>
      </c>
      <c r="CH172" s="122" t="n">
        <f aca="false">IF(ISNA(VLOOKUP(A172,'Données projet'!$A$113:$I$133,5,0)),0%,VLOOKUP(A172,'Données projet'!$A$113:$I$133,5,0)*VLOOKUP('Données projet'!$B$12,Paramètres!$A$1:$I$89,7,0))</f>
        <v>0</v>
      </c>
      <c r="CI172" s="122" t="n">
        <f aca="false">IF(ISNA(VLOOKUP(A172,'Données projet'!$A$113:$I$133,6,0)),0%,VLOOKUP(A172,'Données projet'!$A$113:$I$133,6,0)*VLOOKUP('Données projet'!$B$12,Paramètres!$A$1:$I$89,7,0))</f>
        <v>0</v>
      </c>
      <c r="CJ172" s="122" t="n">
        <f aca="false">IF(ISNA(VLOOKUP(A172,'Données projet'!$A$113:$I$133,7,0)),0%,VLOOKUP(A172,'Données projet'!$A$113:$I$133,7,0))</f>
        <v>0</v>
      </c>
      <c r="CK172" s="129" t="n">
        <f aca="false">EXP(-LN(2)/35)*CK171+(1-EXP(-LN(2)/35))/(LN(2)/35)*CG172*CH172*VLOOKUP('Données projet'!$B$12,Paramètres!$A$1:$I$89,3,0)*0.475*44/12</f>
        <v>0.335622398043404</v>
      </c>
      <c r="CL172" s="129" t="n">
        <f aca="false">EXP(-LN(2)/25)*CL171+(1-EXP(-LN(2)/25))/(LN(2)/25)*Calculateur!CG172*Calculateur!CI172*VLOOKUP('Données projet'!$B$12,Paramètres!$A$1:$I$89,3,0)*0.475*44/12</f>
        <v>0.504702059766831</v>
      </c>
      <c r="CM172" s="129" t="n">
        <f aca="false">EXP(-LN(2)/2)*CM171+(1-EXP(-LN(2)/2))/(LN(2)/2)*CG172*CJ172*VLOOKUP('Données projet'!$B$12,Paramètres!$A$1:$I$89,3,0)*0.475*44/12</f>
        <v>1.15474141599215E-020</v>
      </c>
      <c r="CN172" s="130" t="n">
        <f aca="false">SUM(CK172:CM172)</f>
        <v>0.840324457810235</v>
      </c>
      <c r="CO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8" t="e">
        <f aca="false">VLOOKUP(A172,'Données projet'!$A$139:$I$159,2,0)</f>
        <v>#N/A</v>
      </c>
      <c r="CR172" s="118" t="e">
        <f aca="false">VLOOKUP(A172,'Données projet'!$A$139:$I$159,9,0)</f>
        <v>#N/A</v>
      </c>
      <c r="CS172" s="118" t="e">
        <f aca="false" t="array" ref="CS172:CS172">INDEX(CR:CR,MIN(IF(ISNUMBER(CR172:CR368),ROW(CR172:CR368),"")))</f>
        <v>#N/A</v>
      </c>
      <c r="CT172" s="118" t="n">
        <f aca="false">IF('Données projet'!$A$140&gt;35,CT171+CS172-DB171,IF(A172&lt;'Données projet'!$A$140,$CQ$205^A172,IF(A172='Données projet'!$A$140,'Données projet'!$B$140,CT171+CS172-DB171)))</f>
        <v>-5.6843418860808E-014</v>
      </c>
      <c r="CU172" s="125" t="n">
        <f aca="false">CT172*VLOOKUP('Données projet'!$B$13,Paramètres!$A$1:$I$89,3,0)*VLOOKUP('Données projet'!$B$13,Paramètres!$A$1:$I$89,5,0)</f>
        <v>-3.10365066980012E-014</v>
      </c>
      <c r="CV172" s="117" t="e">
        <f aca="false">EXP(-1.0587+0.8836*LN(CU172)+0.284)</f>
        <v>#VALUE!</v>
      </c>
      <c r="CW172" s="128" t="e">
        <f aca="false">(CU172+CV172)*0.475*44/12</f>
        <v>#VALUE!</v>
      </c>
      <c r="CX172" s="120" t="e">
        <f aca="false">CW172+(CO172+CP172)*44/12</f>
        <v>#VALUE!</v>
      </c>
      <c r="CY172" s="120" t="n">
        <f aca="true">AVERAGE(OFFSET($CX$3,0,0,'Données projet'!$E$13+1,1))-AVERAGE(OFFSET($H$3,0,0,'Données projet'!$E$13+1,1))</f>
        <v>207.023069645676</v>
      </c>
      <c r="CZ172" s="120" t="n">
        <f aca="false">$CZ$3</f>
        <v>342.068879333518</v>
      </c>
      <c r="DA172" s="121" t="n">
        <f aca="false">IF(ISNA(VLOOKUP(A172,'Données projet'!$A$139:$I$159,3,0)),0,VLOOKUP(A172,'Données projet'!$A$139:$I$159,3,0))</f>
        <v>0</v>
      </c>
      <c r="DB172" s="121" t="n">
        <f aca="false">IF(ISNA(VLOOKUP(A172,'Données projet'!$A$139:$I$159,4,0)),0,VLOOKUP(A172,'Données projet'!$A$139:$I$159,4,0))</f>
        <v>0</v>
      </c>
      <c r="DC172" s="122" t="n">
        <f aca="false">IF(ISNA(VLOOKUP(A172,'Données projet'!$A$139:$I$159,5,0)),0%,VLOOKUP(A172,'Données projet'!$A$139:$I$159,5,0)*VLOOKUP('Données projet'!$B$13,Paramètres!$A$1:$I$89,7,0))</f>
        <v>0</v>
      </c>
      <c r="DD172" s="122" t="n">
        <f aca="false">IF(ISNA(VLOOKUP(A172,'Données projet'!$A$139:$I$159,6,0)),0%,VLOOKUP(A172,'Données projet'!$A$139:$I$159,6,0)*VLOOKUP('Données projet'!$B$13,Paramètres!$A$1:$I$89,7,0))</f>
        <v>0</v>
      </c>
      <c r="DE172" s="122" t="n">
        <f aca="false">IF(ISNA(VLOOKUP(A172,'Données projet'!$A$139:$I$159,7,0)),0%,VLOOKUP(A172,'Données projet'!$A$139:$I$159,7,0))</f>
        <v>0</v>
      </c>
      <c r="DF172" s="129" t="n">
        <f aca="false">EXP(-LN(2)/35)*DF171+(1-EXP(-LN(2)/35))/(LN(2)/35)*DB172*DC172*VLOOKUP('Données projet'!$B$13,Paramètres!$A$1:$I$89,3,0)*0.475*44/12</f>
        <v>0.421111122073327</v>
      </c>
      <c r="DG172" s="129" t="n">
        <f aca="false">EXP(-LN(2)/25)*DG171+(1-EXP(-LN(2)/25))/(LN(2)/25)*Calculateur!DB172*Calculateur!DD172*VLOOKUP('Données projet'!$B$13,Paramètres!$A$1:$I$89,3,0)*0.475*44/12</f>
        <v>0.824977664950154</v>
      </c>
      <c r="DH172" s="129" t="n">
        <f aca="false">EXP(-LN(2)/2)*DH171+(1-EXP(-LN(2)/2))/(LN(2)/2)*DB172*DE172*VLOOKUP('Données projet'!$B$13,Paramètres!$A$1:$I$89,3,0)*0.475*44/12</f>
        <v>1.5900794651884E-020</v>
      </c>
      <c r="DI172" s="130" t="n">
        <f aca="false">SUM(DF172:DH172)</f>
        <v>1.24608878702348</v>
      </c>
      <c r="DJ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8" t="e">
        <f aca="false">VLOOKUP(A172,'Données projet'!$A$165:$I$185,2,0)</f>
        <v>#N/A</v>
      </c>
      <c r="DM172" s="118" t="e">
        <f aca="false">VLOOKUP(A172,'Données projet'!$A$165:$I$185,9,0)</f>
        <v>#N/A</v>
      </c>
      <c r="DN172" s="118" t="e">
        <f aca="false" t="array" ref="DN172:DN172">INDEX(DM:DM,MIN(IF(ISNUMBER(DM172:DM368),ROW(DM172:DM368),"")))</f>
        <v>#N/A</v>
      </c>
      <c r="DO172" s="118" t="n">
        <f aca="false">IF('Données projet'!$A$166&gt;35,DO171+DN172-DW171,IF(A172&lt;'Données projet'!$A$166,$DL$205^A172,IF(A172='Données projet'!$A$166,'Données projet'!$B$166,DO171+DN172-DW171)))</f>
        <v>0</v>
      </c>
      <c r="DP172" s="125" t="n">
        <f aca="false">DO172*VLOOKUP('Données projet'!$B$14,Paramètres!$A$1:$I$89,3,0)*VLOOKUP('Données projet'!$B$14,Paramètres!$A$1:$I$89,5,0)</f>
        <v>0</v>
      </c>
      <c r="DQ172" s="117" t="e">
        <f aca="false">EXP(-1.0587+0.8836*LN(DP172)+0.284)</f>
        <v>#VALUE!</v>
      </c>
      <c r="DR172" s="128" t="e">
        <f aca="false">(DP172+DQ172)*0.475*44/12</f>
        <v>#VALUE!</v>
      </c>
      <c r="DS172" s="120" t="e">
        <f aca="false">DR172+(DJ172+DK172)*44/12</f>
        <v>#VALUE!</v>
      </c>
      <c r="DT172" s="120" t="n">
        <f aca="true">AVERAGE(OFFSET($DS$3,0,0,'Données projet'!$E$14+1,1))-AVERAGE(OFFSET($H$3,0,0,'Données projet'!$E$14+1,1))</f>
        <v>549.432320957297</v>
      </c>
      <c r="DU172" s="120" t="n">
        <f aca="false">$DU$3</f>
        <v>280.26155987301</v>
      </c>
      <c r="DV172" s="121" t="n">
        <f aca="false">IF(ISNA(VLOOKUP(A172,'Données projet'!$A$165:$I$185,3,0)),0,VLOOKUP(A172,'Données projet'!$A$165:$I$185,3,0))</f>
        <v>0</v>
      </c>
      <c r="DW172" s="121" t="n">
        <f aca="false">IF(ISNA(VLOOKUP(A172,'Données projet'!$A$165:$I$185,4,0)),0,VLOOKUP(A172,'Données projet'!$A$165:$I$185,4,0))</f>
        <v>0</v>
      </c>
      <c r="DX172" s="122" t="n">
        <f aca="false">IF(ISNA(VLOOKUP(A172,'Données projet'!$A$165:$I$185,5,0)),0%,VLOOKUP(A172,'Données projet'!$A$165:$I$185,5,0)*VLOOKUP('Données projet'!$B$14,Paramètres!$A$1:$I$89,7,0))</f>
        <v>0</v>
      </c>
      <c r="DY172" s="122" t="n">
        <f aca="false">IF(ISNA(VLOOKUP(A172,'Données projet'!$A$165:$I$185,6,0)),0%,VLOOKUP(A172,'Données projet'!$A$165:$I$185,6,0)*VLOOKUP('Données projet'!$B$14,Paramètres!$A$1:$I$89,7,0))</f>
        <v>0</v>
      </c>
      <c r="DZ172" s="122" t="n">
        <f aca="false">IF(ISNA(VLOOKUP(A172,'Données projet'!$A$165:$I$185,7,0)),0%,VLOOKUP(A172,'Données projet'!$A$165:$I$185,7,0))</f>
        <v>0</v>
      </c>
      <c r="EA172" s="129" t="n">
        <f aca="false">EXP(-LN(2)/35)*EA171+(1-EXP(-LN(2)/35))/(LN(2)/35)*DW172*DX172*VLOOKUP('Données projet'!$B$14,Paramètres!$A$1:$I$89,3,0)*0.475*44/12</f>
        <v>0.153115534428508</v>
      </c>
      <c r="EB172" s="129" t="n">
        <f aca="false">EXP(-LN(2)/25)*EB171+(1-EXP(-LN(2)/25))/(LN(2)/25)*Calculateur!DW172*Calculateur!DY172*VLOOKUP('Données projet'!$B$14,Paramètres!$A$1:$I$89,3,0)*0.475*44/12</f>
        <v>0.164351827381319</v>
      </c>
      <c r="EC172" s="129" t="n">
        <f aca="false">EXP(-LN(2)/2)*EC171+(1-EXP(-LN(2)/2))/(LN(2)/2)*DW172*DZ172*VLOOKUP('Données projet'!$B$14,Paramètres!$A$1:$I$89,3,0)*0.475*44/12</f>
        <v>7.32993856804747E-021</v>
      </c>
      <c r="ED172" s="130" t="n">
        <f aca="false">SUM(EA172:EC172)</f>
        <v>0.317467361809827</v>
      </c>
      <c r="EE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8" t="e">
        <f aca="false">VLOOKUP(A172,'Données projet'!$A$191:$I$211,2,0)</f>
        <v>#N/A</v>
      </c>
      <c r="EH172" s="118" t="e">
        <f aca="false">VLOOKUP(A172,'Données projet'!$A$191:$I$211,9,0)</f>
        <v>#N/A</v>
      </c>
      <c r="EI172" s="118" t="e">
        <f aca="false" t="array" ref="EI172:EI172">INDEX(EH:EH,MIN(IF(ISNUMBER(EH172:EH368),ROW(EH172:EH368),"")))</f>
        <v>#N/A</v>
      </c>
      <c r="EJ172" s="118" t="n">
        <f aca="false">IF('Données projet'!$A$192&gt;35,EJ171+EI172-ER171,IF(A172&lt;'Données projet'!$A$192,$EG$205^A172,IF(A172='Données projet'!$A$192,'Données projet'!$B$192,EJ171+EI172-ER171)))</f>
        <v>0</v>
      </c>
      <c r="EK172" s="125" t="e">
        <f aca="false">EJ172*VLOOKUP('Données projet'!$B$15,Paramètres!$A$1:$I$89,3,0)*VLOOKUP('Données projet'!$B$15,Paramètres!$A$1:$I$89,5,0)</f>
        <v>#N/A</v>
      </c>
      <c r="EL172" s="117" t="e">
        <f aca="false">EXP(-1.0587+0.8836*LN(EK172)+0.284)</f>
        <v>#N/A</v>
      </c>
      <c r="EM172" s="128" t="e">
        <f aca="false">(EK172+EL172)*0.475*44/12</f>
        <v>#N/A</v>
      </c>
      <c r="EN172" s="120" t="e">
        <f aca="false">EM172+(EE172+EF172)*44/12</f>
        <v>#N/A</v>
      </c>
      <c r="EO172" s="120" t="e">
        <f aca="true">AVERAGE(OFFSET($EN$3,0,0,'Données projet'!$E$15+1,1))-AVERAGE(OFFSET($H$3,0,0,'Données projet'!$E$15+1,1))</f>
        <v>#N/A</v>
      </c>
      <c r="EP172" s="120" t="e">
        <f aca="false">$EP$3</f>
        <v>#N/A</v>
      </c>
      <c r="EQ172" s="121" t="n">
        <f aca="false">IF(ISNA(VLOOKUP(A172,'Données projet'!$A$191:$I$211,3,0)),0,VLOOKUP(A172,'Données projet'!$A$191:$I$211,3,0))</f>
        <v>0</v>
      </c>
      <c r="ER172" s="121" t="n">
        <f aca="false">IF(ISNA(VLOOKUP(A172,'Données projet'!$A$191:$I$211,4,0)),0,VLOOKUP(A172,'Données projet'!$A$191:$I$211,4,0))</f>
        <v>0</v>
      </c>
      <c r="ES172" s="122" t="n">
        <f aca="false">IF(ISNA(VLOOKUP(A172,'Données projet'!$A$191:$I$211,5,0)),0%,VLOOKUP(A172,'Données projet'!$A$191:$I$211,5,0)*VLOOKUP('Données projet'!$B$15,Paramètres!$A$1:$I$89,7,0))</f>
        <v>0</v>
      </c>
      <c r="ET172" s="122" t="n">
        <f aca="false">IF(ISNA(VLOOKUP(A172,'Données projet'!$A$191:$I$211,6,0)),0%,VLOOKUP(A172,'Données projet'!$A$191:$I$211,6,0)*VLOOKUP('Données projet'!$B$15,Paramètres!$A$1:$I$89,7,0))</f>
        <v>0</v>
      </c>
      <c r="EU172" s="122" t="n">
        <f aca="false">IF(ISNA(VLOOKUP(A172,'Données projet'!$A$191:$I$211,7,0)),0%,VLOOKUP(A172,'Données projet'!$A$191:$I$211,7,0))</f>
        <v>0</v>
      </c>
      <c r="EV172" s="129" t="e">
        <f aca="false">EXP(-LN(2)/35)*EV171+(1-EXP(-LN(2)/35))/(LN(2)/35)*ER172*ES172*VLOOKUP('Données projet'!$B$15,Paramètres!$A$1:$I$89,3,0)*0.475*44/12</f>
        <v>#N/A</v>
      </c>
      <c r="EW172" s="129" t="e">
        <f aca="false">EXP(-LN(2)/25)*EW171+(1-EXP(-LN(2)/25))/(LN(2)/25)*Calculateur!ER172*Calculateur!ET172*VLOOKUP('Données projet'!$B$15,Paramètres!$A$1:$I$89,3,0)*0.475*44/12</f>
        <v>#N/A</v>
      </c>
      <c r="EX172" s="129" t="e">
        <f aca="false">EXP(-LN(2)/2)*EX171+(1-EXP(-LN(2)/2))/(LN(2)/2)*ER172*EU172*VLOOKUP('Données projet'!$B$15,Paramètres!$A$1:$I$89,3,0)*0.475*44/12</f>
        <v>#N/A</v>
      </c>
      <c r="EY172" s="130" t="e">
        <f aca="false">SUM(EV172:EX172)</f>
        <v>#N/A</v>
      </c>
      <c r="EZ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8" t="e">
        <f aca="false">VLOOKUP(A172,'Données projet'!$A$217:$I$237,2,0)</f>
        <v>#N/A</v>
      </c>
      <c r="FC172" s="118" t="e">
        <f aca="false">VLOOKUP(A172,'Données projet'!$A$217:$I$237,9,0)</f>
        <v>#N/A</v>
      </c>
      <c r="FD172" s="118" t="e">
        <f aca="false" t="array" ref="FD172:FD172">INDEX(FC:FC,MIN(IF(ISNUMBER(FC172:FC368),ROW(FC172:FC368),"")))</f>
        <v>#N/A</v>
      </c>
      <c r="FE172" s="118" t="n">
        <f aca="false">IF('Données projet'!$A$218&gt;35,FE171+FD172-FM171,IF(A172&lt;'Données projet'!$A$218,$FB$205^A172,IF(A172='Données projet'!$A$218,'Données projet'!$B$218,FE171+FD172-FM171)))</f>
        <v>0</v>
      </c>
      <c r="FF172" s="125" t="e">
        <f aca="false">FE172*VLOOKUP('Données projet'!$B$16,Paramètres!$A$1:$I$89,3,0)*VLOOKUP('Données projet'!$B$16,Paramètres!$A$1:$I$89,5,0)</f>
        <v>#N/A</v>
      </c>
      <c r="FG172" s="117" t="e">
        <f aca="false">EXP(-1.0587+0.8836*LN(FF172)+0.284)</f>
        <v>#N/A</v>
      </c>
      <c r="FH172" s="128" t="e">
        <f aca="false">(FF172+FG172)*0.475*44/12</f>
        <v>#N/A</v>
      </c>
      <c r="FI172" s="120" t="e">
        <f aca="false">FH172+(EZ172+FA172)*44/12</f>
        <v>#N/A</v>
      </c>
      <c r="FJ172" s="120" t="e">
        <f aca="true">AVERAGE(OFFSET($FI$3,0,0,'Données projet'!$E$16+1,1))-AVERAGE(OFFSET($H$3,0,0,'Données projet'!$E$16+1,1))</f>
        <v>#N/A</v>
      </c>
      <c r="FK172" s="120" t="e">
        <f aca="false">$FK$3</f>
        <v>#N/A</v>
      </c>
      <c r="FL172" s="121" t="n">
        <f aca="false">IF(ISNA(VLOOKUP(A172,'Données projet'!$A$217:$I$237,3,0)),0,VLOOKUP(A172,'Données projet'!$A$217:$I$237,3,0))</f>
        <v>0</v>
      </c>
      <c r="FM172" s="121" t="n">
        <f aca="false">IF(ISNA(VLOOKUP(A172,'Données projet'!$A$217:$I$237,4,0)),0,VLOOKUP(A172,'Données projet'!$A$217:$I$237,4,0))</f>
        <v>0</v>
      </c>
      <c r="FN172" s="122" t="n">
        <f aca="false">IF(ISNA(VLOOKUP(A172,'Données projet'!$A$217:$I$237,5,0)),0%,VLOOKUP(A172,'Données projet'!$A$217:$I$237,5,0)*VLOOKUP('Données projet'!$B$16,Paramètres!$A$1:$I$89,7,0))</f>
        <v>0</v>
      </c>
      <c r="FO172" s="122" t="n">
        <f aca="false">IF(ISNA(VLOOKUP(A172,'Données projet'!$A$217:$I$237,6,0)),0%,VLOOKUP(A172,'Données projet'!$A$217:$I$237,6,0)*VLOOKUP('Données projet'!$B$16,Paramètres!$A$1:$I$89,7,0))</f>
        <v>0</v>
      </c>
      <c r="FP172" s="122" t="n">
        <f aca="false">IF(ISNA(VLOOKUP(A172,'Données projet'!$A$217:$I$237,7,0)),0%,VLOOKUP(A172,'Données projet'!$A$217:$I$237,7,0))</f>
        <v>0</v>
      </c>
      <c r="FQ172" s="129" t="e">
        <f aca="false">EXP(-LN(2)/35)*FQ171+(1-EXP(-LN(2)/35))/(LN(2)/35)*FM172*FN172*VLOOKUP('Données projet'!$B$16,Paramètres!$A$1:$I$89,3,0)*0.475*44/12</f>
        <v>#N/A</v>
      </c>
      <c r="FR172" s="129" t="e">
        <f aca="false">EXP(-LN(2)/25)*FR171+(1-EXP(-LN(2)/25))/(LN(2)/25)*Calculateur!FM172*Calculateur!FO172*VLOOKUP('Données projet'!$B$16,Paramètres!$A$1:$I$89,3,0)*0.475*44/12</f>
        <v>#N/A</v>
      </c>
      <c r="FS172" s="129" t="e">
        <f aca="false">EXP(-LN(2)/2)*FS171+(1-EXP(-LN(2)/2))/(LN(2)/2)*FM172*FP172*VLOOKUP('Données projet'!$B$16,Paramètres!$A$1:$I$89,3,0)*0.475*44/12</f>
        <v>#N/A</v>
      </c>
      <c r="FT172" s="130" t="e">
        <f aca="false">SUM(FQ172:FS172)</f>
        <v>#N/A</v>
      </c>
      <c r="FU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8" t="e">
        <f aca="false">VLOOKUP(A172,'Données projet'!$A$243:$I$263,2,0)</f>
        <v>#N/A</v>
      </c>
      <c r="FX172" s="118" t="e">
        <f aca="false">VLOOKUP(A172,'Données projet'!$A$243:$I$263,9,0)</f>
        <v>#N/A</v>
      </c>
      <c r="FY172" s="118" t="e">
        <f aca="false" t="array" ref="FY172:FY172">INDEX(FX:FX,MIN(IF(ISNUMBER(FX172:FX368),ROW(FX172:FX368),"")))</f>
        <v>#N/A</v>
      </c>
      <c r="FZ172" s="118" t="n">
        <f aca="false">IF('Données projet'!$A$244&gt;35,FZ171+FY172-GH171,IF(A172&lt;'Données projet'!$A$244,$FW$205^A172,IF(A172='Données projet'!$A$244,'Données projet'!$B$244,FZ171+FY172-GH171)))</f>
        <v>0</v>
      </c>
      <c r="GA172" s="125" t="e">
        <f aca="false">FZ172*VLOOKUP('Données projet'!$B$17,Paramètres!$A$1:$I$89,3,0)*VLOOKUP('Données projet'!$B$17,Paramètres!$A$1:$I$89,5,0)</f>
        <v>#N/A</v>
      </c>
      <c r="GB172" s="117" t="e">
        <f aca="false">EXP(-1.0587+0.8836*LN(GA172)+0.284)</f>
        <v>#N/A</v>
      </c>
      <c r="GC172" s="128" t="e">
        <f aca="false">(GA172+GB172)*0.475*44/12</f>
        <v>#N/A</v>
      </c>
      <c r="GD172" s="120" t="e">
        <f aca="false">GC172+(FU172+FV172)*44/12</f>
        <v>#N/A</v>
      </c>
      <c r="GE172" s="120" t="e">
        <f aca="true">AVERAGE(OFFSET($GD$3,0,0,'Données projet'!$E$17+1,1))-AVERAGE(OFFSET($H$3,0,0,'Données projet'!$E$17+1,1))</f>
        <v>#N/A</v>
      </c>
      <c r="GF172" s="120" t="e">
        <f aca="false">$GF$3</f>
        <v>#N/A</v>
      </c>
      <c r="GG172" s="121" t="n">
        <f aca="false">IF(ISNA(VLOOKUP(A172,'Données projet'!$A$243:$I$263,3,0)),0,VLOOKUP(A172,'Données projet'!$A$243:$I$263,3,0))</f>
        <v>0</v>
      </c>
      <c r="GH172" s="121" t="n">
        <f aca="false">IF(ISNA(VLOOKUP(A172,'Données projet'!$A$243:$I$263,4,0)),0,VLOOKUP(A172,'Données projet'!$A$243:$I$263,4,0))</f>
        <v>0</v>
      </c>
      <c r="GI172" s="122" t="n">
        <f aca="false">IF(ISNA(VLOOKUP(A172,'Données projet'!$A$243:$I$263,5,0)),0%,VLOOKUP(A172,'Données projet'!$A$243:$I$263,5,0)*VLOOKUP('Données projet'!$B$17,Paramètres!$A$1:$I$89,7,0))</f>
        <v>0</v>
      </c>
      <c r="GJ172" s="122" t="n">
        <f aca="false">IF(ISNA(VLOOKUP(A172,'Données projet'!$A$243:$I$263,6,0)),0%,VLOOKUP(A172,'Données projet'!$A$243:$I$263,6,0)*VLOOKUP('Données projet'!$B$17,Paramètres!$A$1:$I$89,7,0))</f>
        <v>0</v>
      </c>
      <c r="GK172" s="122" t="n">
        <f aca="false">IF(ISNA(VLOOKUP(A172,'Données projet'!$A$243:$I$263,7,0)),0%,VLOOKUP(A172,'Données projet'!$A$243:$I$263,7,0))</f>
        <v>0</v>
      </c>
      <c r="GL172" s="129" t="e">
        <f aca="false">EXP(-LN(2)/35)*GL171+(1-EXP(-LN(2)/35))/(LN(2)/35)*GH172*GI172*VLOOKUP('Données projet'!$B$17,Paramètres!$A$1:$I$89,3,0)*0.475*44/12</f>
        <v>#N/A</v>
      </c>
      <c r="GM172" s="129" t="e">
        <f aca="false">EXP(-LN(2)/25)*GM171+(1-EXP(-LN(2)/25))/(LN(2)/25)*Calculateur!GH172*Calculateur!GJ172*VLOOKUP('Données projet'!$B$17,Paramètres!$A$1:$I$89,3,0)*0.475*44/12</f>
        <v>#N/A</v>
      </c>
      <c r="GN172" s="129" t="e">
        <f aca="false">EXP(-LN(2)/2)*GN171+(1-EXP(-LN(2)/2))/(LN(2)/2)*GH172*GK172*VLOOKUP('Données projet'!$B$17,Paramètres!$A$1:$I$89,3,0)*0.475*44/12</f>
        <v>#N/A</v>
      </c>
      <c r="GO172" s="129" t="e">
        <f aca="false">SUM(GL172:GN172)</f>
        <v>#N/A</v>
      </c>
      <c r="GP172" s="126" t="n">
        <f aca="false"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8" t="n">
        <f aca="false"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8" t="e">
        <f aca="false">VLOOKUP(A172,'Données projet'!$A$269:$I$289,2,0)</f>
        <v>#N/A</v>
      </c>
      <c r="GS172" s="118" t="e">
        <f aca="false">VLOOKUP(A172,'Données projet'!$A$269:$I$289,9,0)</f>
        <v>#N/A</v>
      </c>
      <c r="GT172" s="118" t="e">
        <f aca="false" t="array" ref="GT172:GT172">INDEX(GS:GS,MIN(IF(ISNUMBER(GS172:GS368),ROW(GS172:GS368),"")))</f>
        <v>#N/A</v>
      </c>
      <c r="GU172" s="118" t="n">
        <f aca="false">IF('Données projet'!$A$270&gt;35,GU171+GT172-HC171,IF(A172&lt;'Données projet'!$A$270,$GR$205^A172,IF(A172='Données projet'!$A$270,'Données projet'!$B$270,GU171+GT172-HC171)))</f>
        <v>0</v>
      </c>
      <c r="GV172" s="125" t="e">
        <f aca="false">GU172*VLOOKUP('Données projet'!$B$18,Paramètres!$A$1:$I$89,3,0)*VLOOKUP('Données projet'!$B$18,Paramètres!$A$1:$I$89,5,0)</f>
        <v>#N/A</v>
      </c>
      <c r="GW172" s="117" t="e">
        <f aca="false">EXP(-1.0587+0.8836*LN(GV172)+0.284)</f>
        <v>#N/A</v>
      </c>
      <c r="GX172" s="128" t="e">
        <f aca="false">(GV172+GW172)*0.475*44/12</f>
        <v>#N/A</v>
      </c>
      <c r="GY172" s="120" t="e">
        <f aca="false">GX172+(GP172+GQ172)*44/12</f>
        <v>#N/A</v>
      </c>
      <c r="GZ172" s="120" t="e">
        <f aca="true">AVERAGE(OFFSET($GY$3,0,0,'Données projet'!$E$18+1,1))-AVERAGE(OFFSET($H$3,0,0,'Données projet'!$E$18+1,1))</f>
        <v>#N/A</v>
      </c>
      <c r="HA172" s="120" t="e">
        <f aca="false">$HA$3</f>
        <v>#N/A</v>
      </c>
      <c r="HB172" s="121" t="n">
        <f aca="false">IF(ISNA(VLOOKUP(A172,'Données projet'!$A$269:$I$289,3,0)),0,VLOOKUP(A172,'Données projet'!$A$269:$I$289,3,0))</f>
        <v>0</v>
      </c>
      <c r="HC172" s="121" t="n">
        <f aca="false">IF(ISNA(VLOOKUP(A172,'Données projet'!$A$269:$I$289,4,0)),0,VLOOKUP(A172,'Données projet'!$A$269:$I$289,4,0))</f>
        <v>0</v>
      </c>
      <c r="HD172" s="122" t="n">
        <f aca="false">IF(ISNA(VLOOKUP(A172,'Données projet'!$A$269:$I$289,5,0)),0%,VLOOKUP(A172,'Données projet'!$A$269:$I$289,5,0)*VLOOKUP('Données projet'!$B$18,Paramètres!$A$1:$I$89,7,0))</f>
        <v>0</v>
      </c>
      <c r="HE172" s="122" t="n">
        <f aca="false">IF(ISNA(VLOOKUP(A172,'Données projet'!$A$269:$I$289,6,0)),0%,VLOOKUP(A172,'Données projet'!$A$269:$I$289,6,0)*VLOOKUP('Données projet'!$B$18,Paramètres!$A$1:$I$89,7,0))</f>
        <v>0</v>
      </c>
      <c r="HF172" s="122" t="n">
        <f aca="false">IF(ISNA(VLOOKUP(A172,'Données projet'!$A$269:$I$289,7,0)),0%,VLOOKUP(A172,'Données projet'!$A$269:$I$289,7,0))</f>
        <v>0</v>
      </c>
      <c r="HG172" s="129" t="e">
        <f aca="false">EXP(-LN(2)/35)*HG171+(1-EXP(-LN(2)/35))/(LN(2)/35)*HC172*HD172*VLOOKUP('Données projet'!$B$18,Paramètres!$A$1:$I$89,3,0)*0.475*44/12</f>
        <v>#N/A</v>
      </c>
      <c r="HH172" s="129" t="e">
        <f aca="false">EXP(-LN(2)/25)*HH171+(1-EXP(-LN(2)/25))/(LN(2)/25)*Calculateur!HC172*Calculateur!HE172*VLOOKUP('Données projet'!$B$18,Paramètres!$A$1:$I$89,3,0)*0.475*44/12</f>
        <v>#N/A</v>
      </c>
      <c r="HI172" s="129" t="e">
        <f aca="false">EXP(-LN(2)/2)*HI171+(1-EXP(-LN(2)/2))/(LN(2)/2)*HC172*HF172*VLOOKUP('Données projet'!$B$18,Paramètres!$A$1:$I$89,3,0)*0.475*44/12</f>
        <v>#N/A</v>
      </c>
      <c r="HJ172" s="130" t="e">
        <f aca="false">SUM(HG172:HI172)</f>
        <v>#N/A</v>
      </c>
    </row>
    <row r="173" customFormat="false" ht="14.25" hidden="false" customHeight="false" outlineLevel="0" collapsed="false">
      <c r="A173" s="112" t="n">
        <f aca="false">A172+1</f>
        <v>170</v>
      </c>
      <c r="B173" s="113" t="n">
        <f aca="false">'Scénario référence'!$B$16*5+'Scénario référence'!$B$17*0+'Scénario référence'!$B$18*5</f>
        <v>0</v>
      </c>
      <c r="C173" s="127" t="n">
        <f aca="false"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4" t="n">
        <f aca="false">IFERROR(EXP(-1.0587+0.8836*LN(C173)+0.284),0)</f>
        <v>0</v>
      </c>
      <c r="E17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3" s="114" t="n">
        <f aca="false">IF(OR('Scénario référence'!$F$8&gt;0,'Scénario référence'!$F$9&gt;0),('Scénario référence'!$F$8+'Scénario référence'!$F$9)*10,0)</f>
        <v>0</v>
      </c>
      <c r="G173" s="114" t="n">
        <f aca="false"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15" t="n">
        <f aca="false">(B173+E173+F173)*44/12+(C173+D173)*0.475*44/12</f>
        <v>256.666666666667</v>
      </c>
      <c r="I173" s="11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7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8" t="e">
        <f aca="false">VLOOKUP(A173,'Données projet'!$A$35:$I$55,2,0)</f>
        <v>#N/A</v>
      </c>
      <c r="L173" s="118" t="e">
        <f aca="false">VLOOKUP(A173,'Données projet'!$A$35:$I$55,9,0)</f>
        <v>#N/A</v>
      </c>
      <c r="M173" s="118" t="e">
        <f aca="false" t="array" ref="M173:M173">INDEX(L:L,MIN(IF(ISNUMBER(L173:L369),ROW(L173:L369),"")))</f>
        <v>#N/A</v>
      </c>
      <c r="N173" s="117" t="n">
        <f aca="false">IF('Données projet'!$A$36&gt;35,N172+M173-V172,IF(A173&lt;'Données projet'!$A$36,$K$205^A173,IF(A173='Données projet'!$A$36,'Données projet'!$B$36,N172+M173-V172)))</f>
        <v>-1.13686837721616E-013</v>
      </c>
      <c r="O173" s="117" t="n">
        <f aca="false">N173*VLOOKUP('Données projet'!$B$9,Paramètres!$A$1:$I$89,3,0)*VLOOKUP('Données projet'!$B$9,Paramètres!$A$1:$I$89,5,0)</f>
        <v>-5.32054400537163E-014</v>
      </c>
      <c r="P173" s="117" t="e">
        <f aca="false">EXP(-1.0587+0.8836*LN(O173)+0.284)</f>
        <v>#VALUE!</v>
      </c>
      <c r="Q173" s="128" t="e">
        <f aca="false">(O173+P173)*0.475*44/12</f>
        <v>#VALUE!</v>
      </c>
      <c r="R173" s="120" t="e">
        <f aca="false">Q173+(I173+J173)*44/12</f>
        <v>#VALUE!</v>
      </c>
      <c r="S173" s="120" t="n">
        <f aca="true">AVERAGE(OFFSET($R$3,0,0,'Données projet'!$E$9+1,1))-AVERAGE(OFFSET($H$3,0,0,'Données projet'!$E$9+1,1))</f>
        <v>319.229030946746</v>
      </c>
      <c r="T173" s="120" t="n">
        <f aca="false">$T$3</f>
        <v>254.586909731428</v>
      </c>
      <c r="U173" s="121" t="n">
        <f aca="false">IF(ISNA(VLOOKUP(A173,'Données projet'!$A$35:$I$55,3,0)),0,VLOOKUP(A173,'Données projet'!$A$35:$I$55,3,0))</f>
        <v>0</v>
      </c>
      <c r="V173" s="121" t="n">
        <f aca="false">IF(ISNA(VLOOKUP(A173,'Données projet'!$A$35:$I$55,4,0)),0,VLOOKUP(A173,'Données projet'!$A$35:$I$55,4,0))</f>
        <v>0</v>
      </c>
      <c r="W173" s="122" t="n">
        <f aca="false">IF(ISNA(VLOOKUP(A173,'Données projet'!$A$35:$I$55,5,0)),0%,VLOOKUP(A173,'Données projet'!$A$35:$I$55,5,0)*VLOOKUP('Données projet'!$B$9,Paramètres!$A$1:$I$89,7,0))</f>
        <v>0</v>
      </c>
      <c r="X173" s="122" t="n">
        <f aca="false">IF(ISNA(VLOOKUP(A173,'Données projet'!$A$35:$I$55,6,0)),0%,VLOOKUP(A173,'Données projet'!$A$35:$I$55,6,0)*VLOOKUP('Données projet'!$B$9,Paramètres!$A$1:$I$89,7,0))</f>
        <v>0</v>
      </c>
      <c r="Y173" s="122" t="n">
        <f aca="false">IF(ISNA(VLOOKUP(A173,'Données projet'!$A$35:$I$55,7,0)),0%,VLOOKUP(A173,'Données projet'!$A$35:$I$55,7,0))</f>
        <v>0</v>
      </c>
      <c r="Z173" s="129" t="n">
        <f aca="false">EXP(-LN(2)/35)*Z172+(1-EXP(-LN(2)/35))/(LN(2)/35)*V173*W173*VLOOKUP('Données projet'!$B$9,Paramètres!$A$1:$I$89,3,0)*0.475*44/12</f>
        <v>0.567260445937397</v>
      </c>
      <c r="AA173" s="129" t="n">
        <f aca="false">EXP(-LN(2)/25)*AA172+(1-EXP(-LN(2)/25))/(LN(2)/25)*Calculateur!V173*Calculateur!X173*VLOOKUP('Données projet'!$B$9,Paramètres!$A$1:$I$89,3,0)*0.475*44/12</f>
        <v>0.229910238148189</v>
      </c>
      <c r="AB173" s="129" t="n">
        <f aca="false">EXP(-LN(2)/2)*AB172+(1-EXP(-LN(2)/2))/(LN(2)/2)*V173*Y173*VLOOKUP('Données projet'!$B$9,Paramètres!$A$1:$I$89,3,0)*0.475*44/12</f>
        <v>9.3538938018956E-021</v>
      </c>
      <c r="AC173" s="130" t="n">
        <f aca="false">SUM(Z173:AB173)</f>
        <v>0.797170684085585</v>
      </c>
      <c r="AD173" s="117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7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8" t="e">
        <f aca="false">VLOOKUP(A173,'Données projet'!$A$61:$I$81,2,0)</f>
        <v>#N/A</v>
      </c>
      <c r="AG173" s="118" t="e">
        <f aca="false">VLOOKUP(A173,'Données projet'!$A$61:$I$81,9,0)</f>
        <v>#N/A</v>
      </c>
      <c r="AH173" s="118" t="e">
        <f aca="false" t="array" ref="AH173:AH173">INDEX(AG:AG,MIN(IF(ISNUMBER(AG173:AG369),ROW(AG173:AG369),"")))</f>
        <v>#N/A</v>
      </c>
      <c r="AI173" s="117" t="n">
        <f aca="false">IF('Données projet'!$A$62&gt;35,AI172+AH173-AQ172,IF(A173&lt;'Données projet'!$A$62,$AF$205^A173,IF(A173='Données projet'!$A$62,'Données projet'!$B$62,AI172+AH173-AQ172)))</f>
        <v>1.13686837721616E-013</v>
      </c>
      <c r="AJ173" s="117" t="n">
        <f aca="false">AI173*VLOOKUP('Données projet'!$B$10,Paramètres!$A$1:$I$89,3,0)*VLOOKUP('Données projet'!$B$10,Paramètres!$A$1:$I$89,5,0)</f>
        <v>6.35509422863834E-014</v>
      </c>
      <c r="AK173" s="117" t="n">
        <f aca="false">EXP(-1.0587+0.8836*LN(AJ173)+0.284)</f>
        <v>1.0064464192544E-012</v>
      </c>
      <c r="AL173" s="128" t="n">
        <f aca="false">(AJ173+AK173)*0.475*44/12</f>
        <v>1.86357873801686E-012</v>
      </c>
      <c r="AM173" s="120" t="n">
        <f aca="false">AL173+(AD173+AE173)*44/12</f>
        <v>293.333333333335</v>
      </c>
      <c r="AN173" s="120" t="n">
        <f aca="true">AVERAGE(OFFSET($AM$3,0,0,'Données projet'!$E$10+1,1))-AVERAGE(OFFSET($H$3,0,0,'Données projet'!$E$10+1,1))</f>
        <v>365.705101827279</v>
      </c>
      <c r="AO173" s="120" t="n">
        <f aca="false">$AO$3</f>
        <v>436.238338449625</v>
      </c>
      <c r="AP173" s="121" t="n">
        <f aca="false">IF(ISNA(VLOOKUP(A173,'Données projet'!$A$61:$I$81,3,0)),0,VLOOKUP(A173,'Données projet'!$A$61:$I$81,3,0))</f>
        <v>0</v>
      </c>
      <c r="AQ173" s="121" t="n">
        <f aca="false">IF(ISNA(VLOOKUP(A173,'Données projet'!$A$61:$I$81,4,0)),0,VLOOKUP(A173,'Données projet'!$A$61:$I$81,4,0))</f>
        <v>0</v>
      </c>
      <c r="AR173" s="122" t="n">
        <f aca="false">IF(ISNA(VLOOKUP(A173,'Données projet'!$A$61:$I$81,5,0)),0%,VLOOKUP(A173,'Données projet'!$A$61:$I$81,5,0)*VLOOKUP('Données projet'!$B$10,Paramètres!$A$1:$I$89,7,0))</f>
        <v>0</v>
      </c>
      <c r="AS173" s="122" t="n">
        <f aca="false">IF(ISNA(VLOOKUP(A173,'Données projet'!$A$61:$I$81,6,0)),0%,VLOOKUP(A173,'Données projet'!$A$61:$I$81,6,0)*VLOOKUP('Données projet'!$B$10,Paramètres!$A$1:$I$89,7,0))</f>
        <v>0</v>
      </c>
      <c r="AT173" s="122" t="n">
        <f aca="false">IF(ISNA(VLOOKUP(A173,'Données projet'!$A$61:$I$81,7,0)),0%,VLOOKUP(A173,'Données projet'!$A$61:$I$81,7,0))</f>
        <v>0</v>
      </c>
      <c r="AU173" s="129" t="n">
        <f aca="false">EXP(-LN(2)/35)*AU172+(1-EXP(-LN(2)/35))/(LN(2)/35)*AQ173*AR173*VLOOKUP('Données projet'!$B$10,Paramètres!$A$1:$I$89,3,0)*0.475*44/12</f>
        <v>0.214122426958064</v>
      </c>
      <c r="AV173" s="129" t="n">
        <f aca="false">EXP(-LN(2)/25)*AV172+(1-EXP(-LN(2)/25))/(LN(2)/25)*Calculateur!AQ173*Calculateur!AS173*VLOOKUP('Données projet'!$B$10,Paramètres!$A$1:$I$89,3,0)*0.475*44/12</f>
        <v>0.272316245868252</v>
      </c>
      <c r="AW173" s="129" t="n">
        <f aca="false">EXP(-LN(2)/2)*AW172+(1-EXP(-LN(2)/2))/(LN(2)/2)*AQ173*AT173*VLOOKUP('Données projet'!$B$10,Paramètres!$A$1:$I$89,3,0)*0.475*44/12</f>
        <v>5.03397329049681E-021</v>
      </c>
      <c r="AX173" s="129" t="n">
        <f aca="false">SUM(AU173:AW173)</f>
        <v>0.486438672826316</v>
      </c>
      <c r="AY173" s="124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8" t="e">
        <f aca="false">VLOOKUP(A173,'Données projet'!$A$87:$I$107,2,0)</f>
        <v>#N/A</v>
      </c>
      <c r="BB173" s="118" t="e">
        <f aca="false">VLOOKUP(A173,'Données projet'!$A$87:$I$107,9,0)</f>
        <v>#N/A</v>
      </c>
      <c r="BC173" s="118" t="e">
        <f aca="false" t="array" ref="BC173:BC173">INDEX(BB:BB,MIN(IF(ISNUMBER(BB173:BB369),ROW(BB173:BB369),"")))</f>
        <v>#N/A</v>
      </c>
      <c r="BD173" s="118" t="n">
        <f aca="false">IF('Données projet'!$A$88&gt;35,BD172+BC173-BL172,IF(A173&lt;'Données projet'!$A$88,$BA$205^A173,IF(A173='Données projet'!$A$88,'Données projet'!$B$88,BD172+BC173-BL172)))</f>
        <v>1.98951966012828E-013</v>
      </c>
      <c r="BE173" s="117" t="n">
        <f aca="false">BD173*VLOOKUP('Données projet'!$B$11,Paramètres!$A$1:$I$89,3,0)*VLOOKUP('Données projet'!$B$11,Paramètres!$A$1:$I$89,5,0)</f>
        <v>1.73804437508807E-013</v>
      </c>
      <c r="BF173" s="117" t="n">
        <f aca="false">EXP(-1.0587+0.8836*LN(BE173)+0.284)</f>
        <v>2.44832936339505E-012</v>
      </c>
      <c r="BG173" s="128" t="n">
        <f aca="false">(BE173+BF173)*0.475*44/12</f>
        <v>4.56688303657421E-012</v>
      </c>
      <c r="BH173" s="120" t="n">
        <f aca="false">BG173+(AY173+AZ173)*44/12</f>
        <v>293.333333333338</v>
      </c>
      <c r="BI173" s="120" t="n">
        <f aca="true">AVERAGE(OFFSET($BH$3,0,0,'Données projet'!$E$11+1,1))-AVERAGE(OFFSET($H$3,0,0,'Données projet'!$E$11+1,1))</f>
        <v>321.235999689929</v>
      </c>
      <c r="BJ173" s="120" t="n">
        <f aca="false">$BJ$3</f>
        <v>388.051958478005</v>
      </c>
      <c r="BK173" s="121" t="n">
        <f aca="false">IF(ISNA(VLOOKUP(A173,'Données projet'!$A$87:$I$107,3,0)),0,VLOOKUP(A173,'Données projet'!$A$87:$I$107,3,0))</f>
        <v>0</v>
      </c>
      <c r="BL173" s="121" t="n">
        <f aca="false">IF(ISNA(VLOOKUP(A173,'Données projet'!$A$87:$I$107,4,0)),0,VLOOKUP(A173,'Données projet'!$A$87:$I$107,4,0))</f>
        <v>0</v>
      </c>
      <c r="BM173" s="122" t="n">
        <f aca="false">IF(ISNA(VLOOKUP(A173,'Données projet'!$A$87:$I$107,5,0)),0%,VLOOKUP(A173,'Données projet'!$A$87:$I$107,5,0)*VLOOKUP('Données projet'!$B$11,Paramètres!$A$1:$I$89,7,0))</f>
        <v>0</v>
      </c>
      <c r="BN173" s="122" t="n">
        <f aca="false">IF(ISNA(VLOOKUP(A173,'Données projet'!$A$87:$I$107,6,0)),0%,VLOOKUP(A173,'Données projet'!$A$87:$I$107,6,0)*VLOOKUP('Données projet'!$B$11,Paramètres!$A$1:$I$89,7,0))</f>
        <v>0</v>
      </c>
      <c r="BO173" s="122" t="n">
        <f aca="false">IF(ISNA(VLOOKUP(A173,'Données projet'!$A$87:$I$107,7,0)),0%,VLOOKUP(A173,'Données projet'!$A$87:$I$107,7,0))</f>
        <v>0</v>
      </c>
      <c r="BP173" s="129" t="n">
        <f aca="false">EXP(-LN(2)/35)*BP172+(1-EXP(-LN(2)/35))/(LN(2)/35)*BL173*BM173*VLOOKUP('Données projet'!$B$11,Paramètres!$A$1:$I$89,3,0)*0.475*44/12</f>
        <v>0.53758033705244</v>
      </c>
      <c r="BQ173" s="129" t="n">
        <f aca="false">EXP(-LN(2)/25)*BQ172+(1-EXP(-LN(2)/25))/(LN(2)/25)*Calculateur!BL173*Calculateur!BN173*VLOOKUP('Données projet'!$B$11,Paramètres!$A$1:$I$89,3,0)*0.475*44/12</f>
        <v>0.277964249197334</v>
      </c>
      <c r="BR173" s="129" t="n">
        <f aca="false">EXP(-LN(2)/2)*BR172+(1-EXP(-LN(2)/2))/(LN(2)/2)*BL173*BO173*VLOOKUP('Données projet'!$B$11,Paramètres!$A$1:$I$89,3,0)*0.475*44/12</f>
        <v>5.11692921691566E-021</v>
      </c>
      <c r="BS173" s="130" t="n">
        <f aca="false">SUM(BP173:BR173)</f>
        <v>0.815544586249774</v>
      </c>
      <c r="BT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8" t="e">
        <f aca="false">VLOOKUP(A173,'Données projet'!$A$113:$I$133,2,0)</f>
        <v>#N/A</v>
      </c>
      <c r="BW173" s="118" t="e">
        <f aca="false">VLOOKUP(A173,'Données projet'!$A$113:$I$133,9,0)</f>
        <v>#N/A</v>
      </c>
      <c r="BX173" s="118" t="e">
        <f aca="false" t="array" ref="BX173:BX173">INDEX(BW:BW,MIN(IF(ISNUMBER(BW173:BW369),ROW(BW173:BW369),"")))</f>
        <v>#N/A</v>
      </c>
      <c r="BY173" s="118" t="n">
        <f aca="false">IF('Données projet'!$A$114&gt;35,BY172+BX173-CG172,IF(A173&lt;'Données projet'!$A$114,$BV$205^A173,IF(A173='Données projet'!$A$114,'Données projet'!$B$114,BY172+BX173-CG172)))</f>
        <v>0</v>
      </c>
      <c r="BZ173" s="117" t="n">
        <f aca="false">BY173*VLOOKUP('Données projet'!$B$12,Paramètres!$A$1:$I$89,3,0)*VLOOKUP('Données projet'!$B$12,Paramètres!$A$1:$I$89,5,0)</f>
        <v>0</v>
      </c>
      <c r="CA173" s="117" t="e">
        <f aca="false">EXP(-1.0587+0.8836*LN(BZ173)+0.284)</f>
        <v>#VALUE!</v>
      </c>
      <c r="CB173" s="128" t="e">
        <f aca="false">(BZ173+CA173)*0.475*44/12</f>
        <v>#VALUE!</v>
      </c>
      <c r="CC173" s="120" t="e">
        <f aca="false">CB173+(BT173+BU173)*44/12</f>
        <v>#VALUE!</v>
      </c>
      <c r="CD173" s="120" t="n">
        <f aca="true">AVERAGE(OFFSET($CC$3,0,0,'Données projet'!$E$12+1,1))-AVERAGE(OFFSET($H$3,0,0,'Données projet'!$E$12+1,1))</f>
        <v>240.228848647662</v>
      </c>
      <c r="CE173" s="120" t="n">
        <f aca="false">$CE$3</f>
        <v>343.237768841432</v>
      </c>
      <c r="CF173" s="121" t="n">
        <f aca="false">IF(ISNA(VLOOKUP(A173,'Données projet'!$A$113:$I$133,3,0)),0,VLOOKUP(A173,'Données projet'!$A$113:$I$133,3,0))</f>
        <v>0</v>
      </c>
      <c r="CG173" s="121" t="n">
        <f aca="false">IF(ISNA(VLOOKUP(A173,'Données projet'!$A$113:$I$133,4,0)),0,VLOOKUP(A173,'Données projet'!$A$113:$I$133,4,0))</f>
        <v>0</v>
      </c>
      <c r="CH173" s="122" t="n">
        <f aca="false">IF(ISNA(VLOOKUP(A173,'Données projet'!$A$113:$I$133,5,0)),0%,VLOOKUP(A173,'Données projet'!$A$113:$I$133,5,0)*VLOOKUP('Données projet'!$B$12,Paramètres!$A$1:$I$89,7,0))</f>
        <v>0</v>
      </c>
      <c r="CI173" s="122" t="n">
        <f aca="false">IF(ISNA(VLOOKUP(A173,'Données projet'!$A$113:$I$133,6,0)),0%,VLOOKUP(A173,'Données projet'!$A$113:$I$133,6,0)*VLOOKUP('Données projet'!$B$12,Paramètres!$A$1:$I$89,7,0))</f>
        <v>0</v>
      </c>
      <c r="CJ173" s="122" t="n">
        <f aca="false">IF(ISNA(VLOOKUP(A173,'Données projet'!$A$113:$I$133,7,0)),0%,VLOOKUP(A173,'Données projet'!$A$113:$I$133,7,0))</f>
        <v>0</v>
      </c>
      <c r="CK173" s="129" t="n">
        <f aca="false">EXP(-LN(2)/35)*CK172+(1-EXP(-LN(2)/35))/(LN(2)/35)*CG173*CH173*VLOOKUP('Données projet'!$B$12,Paramètres!$A$1:$I$89,3,0)*0.475*44/12</f>
        <v>0.329041047527222</v>
      </c>
      <c r="CL173" s="129" t="n">
        <f aca="false">EXP(-LN(2)/25)*CL172+(1-EXP(-LN(2)/25))/(LN(2)/25)*Calculateur!CG173*Calculateur!CI173*VLOOKUP('Données projet'!$B$12,Paramètres!$A$1:$I$89,3,0)*0.475*44/12</f>
        <v>0.490900955401379</v>
      </c>
      <c r="CM173" s="129" t="n">
        <f aca="false">EXP(-LN(2)/2)*CM172+(1-EXP(-LN(2)/2))/(LN(2)/2)*CG173*CJ173*VLOOKUP('Données projet'!$B$12,Paramètres!$A$1:$I$89,3,0)*0.475*44/12</f>
        <v>8.16525485765007E-021</v>
      </c>
      <c r="CN173" s="130" t="n">
        <f aca="false">SUM(CK173:CM173)</f>
        <v>0.819942002928601</v>
      </c>
      <c r="CO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8" t="e">
        <f aca="false">VLOOKUP(A173,'Données projet'!$A$139:$I$159,2,0)</f>
        <v>#N/A</v>
      </c>
      <c r="CR173" s="118" t="e">
        <f aca="false">VLOOKUP(A173,'Données projet'!$A$139:$I$159,9,0)</f>
        <v>#N/A</v>
      </c>
      <c r="CS173" s="118" t="e">
        <f aca="false" t="array" ref="CS173:CS173">INDEX(CR:CR,MIN(IF(ISNUMBER(CR173:CR369),ROW(CR173:CR369),"")))</f>
        <v>#N/A</v>
      </c>
      <c r="CT173" s="118" t="n">
        <f aca="false">IF('Données projet'!$A$140&gt;35,CT172+CS173-DB172,IF(A173&lt;'Données projet'!$A$140,$CQ$205^A173,IF(A173='Données projet'!$A$140,'Données projet'!$B$140,CT172+CS173-DB172)))</f>
        <v>-5.6843418860808E-014</v>
      </c>
      <c r="CU173" s="125" t="n">
        <f aca="false">CT173*VLOOKUP('Données projet'!$B$13,Paramètres!$A$1:$I$89,3,0)*VLOOKUP('Données projet'!$B$13,Paramètres!$A$1:$I$89,5,0)</f>
        <v>-3.10365066980012E-014</v>
      </c>
      <c r="CV173" s="117" t="e">
        <f aca="false">EXP(-1.0587+0.8836*LN(CU173)+0.284)</f>
        <v>#VALUE!</v>
      </c>
      <c r="CW173" s="128" t="e">
        <f aca="false">(CU173+CV173)*0.475*44/12</f>
        <v>#VALUE!</v>
      </c>
      <c r="CX173" s="120" t="e">
        <f aca="false">CW173+(CO173+CP173)*44/12</f>
        <v>#VALUE!</v>
      </c>
      <c r="CY173" s="120" t="n">
        <f aca="true">AVERAGE(OFFSET($CX$3,0,0,'Données projet'!$E$13+1,1))-AVERAGE(OFFSET($H$3,0,0,'Données projet'!$E$13+1,1))</f>
        <v>207.023069645676</v>
      </c>
      <c r="CZ173" s="120" t="n">
        <f aca="false">$CZ$3</f>
        <v>342.068879333518</v>
      </c>
      <c r="DA173" s="121" t="n">
        <f aca="false">IF(ISNA(VLOOKUP(A173,'Données projet'!$A$139:$I$159,3,0)),0,VLOOKUP(A173,'Données projet'!$A$139:$I$159,3,0))</f>
        <v>0</v>
      </c>
      <c r="DB173" s="121" t="n">
        <f aca="false">IF(ISNA(VLOOKUP(A173,'Données projet'!$A$139:$I$159,4,0)),0,VLOOKUP(A173,'Données projet'!$A$139:$I$159,4,0))</f>
        <v>0</v>
      </c>
      <c r="DC173" s="122" t="n">
        <f aca="false">IF(ISNA(VLOOKUP(A173,'Données projet'!$A$139:$I$159,5,0)),0%,VLOOKUP(A173,'Données projet'!$A$139:$I$159,5,0)*VLOOKUP('Données projet'!$B$13,Paramètres!$A$1:$I$89,7,0))</f>
        <v>0</v>
      </c>
      <c r="DD173" s="122" t="n">
        <f aca="false">IF(ISNA(VLOOKUP(A173,'Données projet'!$A$139:$I$159,6,0)),0%,VLOOKUP(A173,'Données projet'!$A$139:$I$159,6,0)*VLOOKUP('Données projet'!$B$13,Paramètres!$A$1:$I$89,7,0))</f>
        <v>0</v>
      </c>
      <c r="DE173" s="122" t="n">
        <f aca="false">IF(ISNA(VLOOKUP(A173,'Données projet'!$A$139:$I$159,7,0)),0%,VLOOKUP(A173,'Données projet'!$A$139:$I$159,7,0))</f>
        <v>0</v>
      </c>
      <c r="DF173" s="129" t="n">
        <f aca="false">EXP(-LN(2)/35)*DF172+(1-EXP(-LN(2)/35))/(LN(2)/35)*DB173*DC173*VLOOKUP('Données projet'!$B$13,Paramètres!$A$1:$I$89,3,0)*0.475*44/12</f>
        <v>0.412853389821891</v>
      </c>
      <c r="DG173" s="129" t="n">
        <f aca="false">EXP(-LN(2)/25)*DG172+(1-EXP(-LN(2)/25))/(LN(2)/25)*Calculateur!DB173*Calculateur!DD173*VLOOKUP('Données projet'!$B$13,Paramètres!$A$1:$I$89,3,0)*0.475*44/12</f>
        <v>0.802418607318402</v>
      </c>
      <c r="DH173" s="129" t="n">
        <f aca="false">EXP(-LN(2)/2)*DH172+(1-EXP(-LN(2)/2))/(LN(2)/2)*DB173*DE173*VLOOKUP('Données projet'!$B$13,Paramètres!$A$1:$I$89,3,0)*0.475*44/12</f>
        <v>1.1243559724602E-020</v>
      </c>
      <c r="DI173" s="130" t="n">
        <f aca="false">SUM(DF173:DH173)</f>
        <v>1.21527199714029</v>
      </c>
      <c r="DJ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8" t="e">
        <f aca="false">VLOOKUP(A173,'Données projet'!$A$165:$I$185,2,0)</f>
        <v>#N/A</v>
      </c>
      <c r="DM173" s="118" t="e">
        <f aca="false">VLOOKUP(A173,'Données projet'!$A$165:$I$185,9,0)</f>
        <v>#N/A</v>
      </c>
      <c r="DN173" s="118" t="e">
        <f aca="false" t="array" ref="DN173:DN173">INDEX(DM:DM,MIN(IF(ISNUMBER(DM173:DM369),ROW(DM173:DM369),"")))</f>
        <v>#N/A</v>
      </c>
      <c r="DO173" s="118" t="n">
        <f aca="false">IF('Données projet'!$A$166&gt;35,DO172+DN173-DW172,IF(A173&lt;'Données projet'!$A$166,$DL$205^A173,IF(A173='Données projet'!$A$166,'Données projet'!$B$166,DO172+DN173-DW172)))</f>
        <v>0</v>
      </c>
      <c r="DP173" s="125" t="n">
        <f aca="false">DO173*VLOOKUP('Données projet'!$B$14,Paramètres!$A$1:$I$89,3,0)*VLOOKUP('Données projet'!$B$14,Paramètres!$A$1:$I$89,5,0)</f>
        <v>0</v>
      </c>
      <c r="DQ173" s="117" t="e">
        <f aca="false">EXP(-1.0587+0.8836*LN(DP173)+0.284)</f>
        <v>#VALUE!</v>
      </c>
      <c r="DR173" s="128" t="e">
        <f aca="false">(DP173+DQ173)*0.475*44/12</f>
        <v>#VALUE!</v>
      </c>
      <c r="DS173" s="120" t="e">
        <f aca="false">DR173+(DJ173+DK173)*44/12</f>
        <v>#VALUE!</v>
      </c>
      <c r="DT173" s="120" t="n">
        <f aca="true">AVERAGE(OFFSET($DS$3,0,0,'Données projet'!$E$14+1,1))-AVERAGE(OFFSET($H$3,0,0,'Données projet'!$E$14+1,1))</f>
        <v>549.432320957297</v>
      </c>
      <c r="DU173" s="120" t="n">
        <f aca="false">$DU$3</f>
        <v>280.26155987301</v>
      </c>
      <c r="DV173" s="121" t="n">
        <f aca="false">IF(ISNA(VLOOKUP(A173,'Données projet'!$A$165:$I$185,3,0)),0,VLOOKUP(A173,'Données projet'!$A$165:$I$185,3,0))</f>
        <v>0</v>
      </c>
      <c r="DW173" s="121" t="n">
        <f aca="false">IF(ISNA(VLOOKUP(A173,'Données projet'!$A$165:$I$185,4,0)),0,VLOOKUP(A173,'Données projet'!$A$165:$I$185,4,0))</f>
        <v>0</v>
      </c>
      <c r="DX173" s="122" t="n">
        <f aca="false">IF(ISNA(VLOOKUP(A173,'Données projet'!$A$165:$I$185,5,0)),0%,VLOOKUP(A173,'Données projet'!$A$165:$I$185,5,0)*VLOOKUP('Données projet'!$B$14,Paramètres!$A$1:$I$89,7,0))</f>
        <v>0</v>
      </c>
      <c r="DY173" s="122" t="n">
        <f aca="false">IF(ISNA(VLOOKUP(A173,'Données projet'!$A$165:$I$185,6,0)),0%,VLOOKUP(A173,'Données projet'!$A$165:$I$185,6,0)*VLOOKUP('Données projet'!$B$14,Paramètres!$A$1:$I$89,7,0))</f>
        <v>0</v>
      </c>
      <c r="DZ173" s="122" t="n">
        <f aca="false">IF(ISNA(VLOOKUP(A173,'Données projet'!$A$165:$I$185,7,0)),0%,VLOOKUP(A173,'Données projet'!$A$165:$I$185,7,0))</f>
        <v>0</v>
      </c>
      <c r="EA173" s="129" t="n">
        <f aca="false">EXP(-LN(2)/35)*EA172+(1-EXP(-LN(2)/35))/(LN(2)/35)*DW173*DX173*VLOOKUP('Données projet'!$B$14,Paramètres!$A$1:$I$89,3,0)*0.475*44/12</f>
        <v>0.15011303218962</v>
      </c>
      <c r="EB173" s="129" t="n">
        <f aca="false">EXP(-LN(2)/25)*EB172+(1-EXP(-LN(2)/25))/(LN(2)/25)*Calculateur!DW173*Calculateur!DY173*VLOOKUP('Données projet'!$B$14,Paramètres!$A$1:$I$89,3,0)*0.475*44/12</f>
        <v>0.15985761801869</v>
      </c>
      <c r="EC173" s="129" t="n">
        <f aca="false">EXP(-LN(2)/2)*EC172+(1-EXP(-LN(2)/2))/(LN(2)/2)*DW173*DZ173*VLOOKUP('Données projet'!$B$14,Paramètres!$A$1:$I$89,3,0)*0.475*44/12</f>
        <v>5.18304926714718E-021</v>
      </c>
      <c r="ED173" s="130" t="n">
        <f aca="false">SUM(EA173:EC173)</f>
        <v>0.30997065020831</v>
      </c>
      <c r="EE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8" t="e">
        <f aca="false">VLOOKUP(A173,'Données projet'!$A$191:$I$211,2,0)</f>
        <v>#N/A</v>
      </c>
      <c r="EH173" s="118" t="e">
        <f aca="false">VLOOKUP(A173,'Données projet'!$A$191:$I$211,9,0)</f>
        <v>#N/A</v>
      </c>
      <c r="EI173" s="118" t="e">
        <f aca="false" t="array" ref="EI173:EI173">INDEX(EH:EH,MIN(IF(ISNUMBER(EH173:EH369),ROW(EH173:EH369),"")))</f>
        <v>#N/A</v>
      </c>
      <c r="EJ173" s="118" t="n">
        <f aca="false">IF('Données projet'!$A$192&gt;35,EJ172+EI173-ER172,IF(A173&lt;'Données projet'!$A$192,$EG$205^A173,IF(A173='Données projet'!$A$192,'Données projet'!$B$192,EJ172+EI173-ER172)))</f>
        <v>0</v>
      </c>
      <c r="EK173" s="125" t="e">
        <f aca="false">EJ173*VLOOKUP('Données projet'!$B$15,Paramètres!$A$1:$I$89,3,0)*VLOOKUP('Données projet'!$B$15,Paramètres!$A$1:$I$89,5,0)</f>
        <v>#N/A</v>
      </c>
      <c r="EL173" s="117" t="e">
        <f aca="false">EXP(-1.0587+0.8836*LN(EK173)+0.284)</f>
        <v>#N/A</v>
      </c>
      <c r="EM173" s="128" t="e">
        <f aca="false">(EK173+EL173)*0.475*44/12</f>
        <v>#N/A</v>
      </c>
      <c r="EN173" s="120" t="e">
        <f aca="false">EM173+(EE173+EF173)*44/12</f>
        <v>#N/A</v>
      </c>
      <c r="EO173" s="120" t="e">
        <f aca="true">AVERAGE(OFFSET($EN$3,0,0,'Données projet'!$E$15+1,1))-AVERAGE(OFFSET($H$3,0,0,'Données projet'!$E$15+1,1))</f>
        <v>#N/A</v>
      </c>
      <c r="EP173" s="120" t="e">
        <f aca="false">$EP$3</f>
        <v>#N/A</v>
      </c>
      <c r="EQ173" s="121" t="n">
        <f aca="false">IF(ISNA(VLOOKUP(A173,'Données projet'!$A$191:$I$211,3,0)),0,VLOOKUP(A173,'Données projet'!$A$191:$I$211,3,0))</f>
        <v>0</v>
      </c>
      <c r="ER173" s="121" t="n">
        <f aca="false">IF(ISNA(VLOOKUP(A173,'Données projet'!$A$191:$I$211,4,0)),0,VLOOKUP(A173,'Données projet'!$A$191:$I$211,4,0))</f>
        <v>0</v>
      </c>
      <c r="ES173" s="122" t="n">
        <f aca="false">IF(ISNA(VLOOKUP(A173,'Données projet'!$A$191:$I$211,5,0)),0%,VLOOKUP(A173,'Données projet'!$A$191:$I$211,5,0)*VLOOKUP('Données projet'!$B$15,Paramètres!$A$1:$I$89,7,0))</f>
        <v>0</v>
      </c>
      <c r="ET173" s="122" t="n">
        <f aca="false">IF(ISNA(VLOOKUP(A173,'Données projet'!$A$191:$I$211,6,0)),0%,VLOOKUP(A173,'Données projet'!$A$191:$I$211,6,0)*VLOOKUP('Données projet'!$B$15,Paramètres!$A$1:$I$89,7,0))</f>
        <v>0</v>
      </c>
      <c r="EU173" s="122" t="n">
        <f aca="false">IF(ISNA(VLOOKUP(A173,'Données projet'!$A$191:$I$211,7,0)),0%,VLOOKUP(A173,'Données projet'!$A$191:$I$211,7,0))</f>
        <v>0</v>
      </c>
      <c r="EV173" s="129" t="e">
        <f aca="false">EXP(-LN(2)/35)*EV172+(1-EXP(-LN(2)/35))/(LN(2)/35)*ER173*ES173*VLOOKUP('Données projet'!$B$15,Paramètres!$A$1:$I$89,3,0)*0.475*44/12</f>
        <v>#N/A</v>
      </c>
      <c r="EW173" s="129" t="e">
        <f aca="false">EXP(-LN(2)/25)*EW172+(1-EXP(-LN(2)/25))/(LN(2)/25)*Calculateur!ER173*Calculateur!ET173*VLOOKUP('Données projet'!$B$15,Paramètres!$A$1:$I$89,3,0)*0.475*44/12</f>
        <v>#N/A</v>
      </c>
      <c r="EX173" s="129" t="e">
        <f aca="false">EXP(-LN(2)/2)*EX172+(1-EXP(-LN(2)/2))/(LN(2)/2)*ER173*EU173*VLOOKUP('Données projet'!$B$15,Paramètres!$A$1:$I$89,3,0)*0.475*44/12</f>
        <v>#N/A</v>
      </c>
      <c r="EY173" s="130" t="e">
        <f aca="false">SUM(EV173:EX173)</f>
        <v>#N/A</v>
      </c>
      <c r="EZ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8" t="e">
        <f aca="false">VLOOKUP(A173,'Données projet'!$A$217:$I$237,2,0)</f>
        <v>#N/A</v>
      </c>
      <c r="FC173" s="118" t="e">
        <f aca="false">VLOOKUP(A173,'Données projet'!$A$217:$I$237,9,0)</f>
        <v>#N/A</v>
      </c>
      <c r="FD173" s="118" t="e">
        <f aca="false" t="array" ref="FD173:FD173">INDEX(FC:FC,MIN(IF(ISNUMBER(FC173:FC369),ROW(FC173:FC369),"")))</f>
        <v>#N/A</v>
      </c>
      <c r="FE173" s="118" t="n">
        <f aca="false">IF('Données projet'!$A$218&gt;35,FE172+FD173-FM172,IF(A173&lt;'Données projet'!$A$218,$FB$205^A173,IF(A173='Données projet'!$A$218,'Données projet'!$B$218,FE172+FD173-FM172)))</f>
        <v>0</v>
      </c>
      <c r="FF173" s="125" t="e">
        <f aca="false">FE173*VLOOKUP('Données projet'!$B$16,Paramètres!$A$1:$I$89,3,0)*VLOOKUP('Données projet'!$B$16,Paramètres!$A$1:$I$89,5,0)</f>
        <v>#N/A</v>
      </c>
      <c r="FG173" s="117" t="e">
        <f aca="false">EXP(-1.0587+0.8836*LN(FF173)+0.284)</f>
        <v>#N/A</v>
      </c>
      <c r="FH173" s="128" t="e">
        <f aca="false">(FF173+FG173)*0.475*44/12</f>
        <v>#N/A</v>
      </c>
      <c r="FI173" s="120" t="e">
        <f aca="false">FH173+(EZ173+FA173)*44/12</f>
        <v>#N/A</v>
      </c>
      <c r="FJ173" s="120" t="e">
        <f aca="true">AVERAGE(OFFSET($FI$3,0,0,'Données projet'!$E$16+1,1))-AVERAGE(OFFSET($H$3,0,0,'Données projet'!$E$16+1,1))</f>
        <v>#N/A</v>
      </c>
      <c r="FK173" s="120" t="e">
        <f aca="false">$FK$3</f>
        <v>#N/A</v>
      </c>
      <c r="FL173" s="121" t="n">
        <f aca="false">IF(ISNA(VLOOKUP(A173,'Données projet'!$A$217:$I$237,3,0)),0,VLOOKUP(A173,'Données projet'!$A$217:$I$237,3,0))</f>
        <v>0</v>
      </c>
      <c r="FM173" s="121" t="n">
        <f aca="false">IF(ISNA(VLOOKUP(A173,'Données projet'!$A$217:$I$237,4,0)),0,VLOOKUP(A173,'Données projet'!$A$217:$I$237,4,0))</f>
        <v>0</v>
      </c>
      <c r="FN173" s="122" t="n">
        <f aca="false">IF(ISNA(VLOOKUP(A173,'Données projet'!$A$217:$I$237,5,0)),0%,VLOOKUP(A173,'Données projet'!$A$217:$I$237,5,0)*VLOOKUP('Données projet'!$B$16,Paramètres!$A$1:$I$89,7,0))</f>
        <v>0</v>
      </c>
      <c r="FO173" s="122" t="n">
        <f aca="false">IF(ISNA(VLOOKUP(A173,'Données projet'!$A$217:$I$237,6,0)),0%,VLOOKUP(A173,'Données projet'!$A$217:$I$237,6,0)*VLOOKUP('Données projet'!$B$16,Paramètres!$A$1:$I$89,7,0))</f>
        <v>0</v>
      </c>
      <c r="FP173" s="122" t="n">
        <f aca="false">IF(ISNA(VLOOKUP(A173,'Données projet'!$A$217:$I$237,7,0)),0%,VLOOKUP(A173,'Données projet'!$A$217:$I$237,7,0))</f>
        <v>0</v>
      </c>
      <c r="FQ173" s="129" t="e">
        <f aca="false">EXP(-LN(2)/35)*FQ172+(1-EXP(-LN(2)/35))/(LN(2)/35)*FM173*FN173*VLOOKUP('Données projet'!$B$16,Paramètres!$A$1:$I$89,3,0)*0.475*44/12</f>
        <v>#N/A</v>
      </c>
      <c r="FR173" s="129" t="e">
        <f aca="false">EXP(-LN(2)/25)*FR172+(1-EXP(-LN(2)/25))/(LN(2)/25)*Calculateur!FM173*Calculateur!FO173*VLOOKUP('Données projet'!$B$16,Paramètres!$A$1:$I$89,3,0)*0.475*44/12</f>
        <v>#N/A</v>
      </c>
      <c r="FS173" s="129" t="e">
        <f aca="false">EXP(-LN(2)/2)*FS172+(1-EXP(-LN(2)/2))/(LN(2)/2)*FM173*FP173*VLOOKUP('Données projet'!$B$16,Paramètres!$A$1:$I$89,3,0)*0.475*44/12</f>
        <v>#N/A</v>
      </c>
      <c r="FT173" s="130" t="e">
        <f aca="false">SUM(FQ173:FS173)</f>
        <v>#N/A</v>
      </c>
      <c r="FU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8" t="e">
        <f aca="false">VLOOKUP(A173,'Données projet'!$A$243:$I$263,2,0)</f>
        <v>#N/A</v>
      </c>
      <c r="FX173" s="118" t="e">
        <f aca="false">VLOOKUP(A173,'Données projet'!$A$243:$I$263,9,0)</f>
        <v>#N/A</v>
      </c>
      <c r="FY173" s="118" t="e">
        <f aca="false" t="array" ref="FY173:FY173">INDEX(FX:FX,MIN(IF(ISNUMBER(FX173:FX369),ROW(FX173:FX369),"")))</f>
        <v>#N/A</v>
      </c>
      <c r="FZ173" s="118" t="n">
        <f aca="false">IF('Données projet'!$A$244&gt;35,FZ172+FY173-GH172,IF(A173&lt;'Données projet'!$A$244,$FW$205^A173,IF(A173='Données projet'!$A$244,'Données projet'!$B$244,FZ172+FY173-GH172)))</f>
        <v>0</v>
      </c>
      <c r="GA173" s="125" t="e">
        <f aca="false">FZ173*VLOOKUP('Données projet'!$B$17,Paramètres!$A$1:$I$89,3,0)*VLOOKUP('Données projet'!$B$17,Paramètres!$A$1:$I$89,5,0)</f>
        <v>#N/A</v>
      </c>
      <c r="GB173" s="117" t="e">
        <f aca="false">EXP(-1.0587+0.8836*LN(GA173)+0.284)</f>
        <v>#N/A</v>
      </c>
      <c r="GC173" s="128" t="e">
        <f aca="false">(GA173+GB173)*0.475*44/12</f>
        <v>#N/A</v>
      </c>
      <c r="GD173" s="120" t="e">
        <f aca="false">GC173+(FU173+FV173)*44/12</f>
        <v>#N/A</v>
      </c>
      <c r="GE173" s="120" t="e">
        <f aca="true">AVERAGE(OFFSET($GD$3,0,0,'Données projet'!$E$17+1,1))-AVERAGE(OFFSET($H$3,0,0,'Données projet'!$E$17+1,1))</f>
        <v>#N/A</v>
      </c>
      <c r="GF173" s="120" t="e">
        <f aca="false">$GF$3</f>
        <v>#N/A</v>
      </c>
      <c r="GG173" s="121" t="n">
        <f aca="false">IF(ISNA(VLOOKUP(A173,'Données projet'!$A$243:$I$263,3,0)),0,VLOOKUP(A173,'Données projet'!$A$243:$I$263,3,0))</f>
        <v>0</v>
      </c>
      <c r="GH173" s="121" t="n">
        <f aca="false">IF(ISNA(VLOOKUP(A173,'Données projet'!$A$243:$I$263,4,0)),0,VLOOKUP(A173,'Données projet'!$A$243:$I$263,4,0))</f>
        <v>0</v>
      </c>
      <c r="GI173" s="122" t="n">
        <f aca="false">IF(ISNA(VLOOKUP(A173,'Données projet'!$A$243:$I$263,5,0)),0%,VLOOKUP(A173,'Données projet'!$A$243:$I$263,5,0)*VLOOKUP('Données projet'!$B$17,Paramètres!$A$1:$I$89,7,0))</f>
        <v>0</v>
      </c>
      <c r="GJ173" s="122" t="n">
        <f aca="false">IF(ISNA(VLOOKUP(A173,'Données projet'!$A$243:$I$263,6,0)),0%,VLOOKUP(A173,'Données projet'!$A$243:$I$263,6,0)*VLOOKUP('Données projet'!$B$17,Paramètres!$A$1:$I$89,7,0))</f>
        <v>0</v>
      </c>
      <c r="GK173" s="122" t="n">
        <f aca="false">IF(ISNA(VLOOKUP(A173,'Données projet'!$A$243:$I$263,7,0)),0%,VLOOKUP(A173,'Données projet'!$A$243:$I$263,7,0))</f>
        <v>0</v>
      </c>
      <c r="GL173" s="129" t="e">
        <f aca="false">EXP(-LN(2)/35)*GL172+(1-EXP(-LN(2)/35))/(LN(2)/35)*GH173*GI173*VLOOKUP('Données projet'!$B$17,Paramètres!$A$1:$I$89,3,0)*0.475*44/12</f>
        <v>#N/A</v>
      </c>
      <c r="GM173" s="129" t="e">
        <f aca="false">EXP(-LN(2)/25)*GM172+(1-EXP(-LN(2)/25))/(LN(2)/25)*Calculateur!GH173*Calculateur!GJ173*VLOOKUP('Données projet'!$B$17,Paramètres!$A$1:$I$89,3,0)*0.475*44/12</f>
        <v>#N/A</v>
      </c>
      <c r="GN173" s="129" t="e">
        <f aca="false">EXP(-LN(2)/2)*GN172+(1-EXP(-LN(2)/2))/(LN(2)/2)*GH173*GK173*VLOOKUP('Données projet'!$B$17,Paramètres!$A$1:$I$89,3,0)*0.475*44/12</f>
        <v>#N/A</v>
      </c>
      <c r="GO173" s="129" t="e">
        <f aca="false">SUM(GL173:GN173)</f>
        <v>#N/A</v>
      </c>
      <c r="GP173" s="126" t="n">
        <f aca="false"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8" t="n">
        <f aca="false"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8" t="e">
        <f aca="false">VLOOKUP(A173,'Données projet'!$A$269:$I$289,2,0)</f>
        <v>#N/A</v>
      </c>
      <c r="GS173" s="118" t="e">
        <f aca="false">VLOOKUP(A173,'Données projet'!$A$269:$I$289,9,0)</f>
        <v>#N/A</v>
      </c>
      <c r="GT173" s="118" t="e">
        <f aca="false" t="array" ref="GT173:GT173">INDEX(GS:GS,MIN(IF(ISNUMBER(GS173:GS369),ROW(GS173:GS369),"")))</f>
        <v>#N/A</v>
      </c>
      <c r="GU173" s="118" t="n">
        <f aca="false">IF('Données projet'!$A$270&gt;35,GU172+GT173-HC172,IF(A173&lt;'Données projet'!$A$270,$GR$205^A173,IF(A173='Données projet'!$A$270,'Données projet'!$B$270,GU172+GT173-HC172)))</f>
        <v>0</v>
      </c>
      <c r="GV173" s="125" t="e">
        <f aca="false">GU173*VLOOKUP('Données projet'!$B$18,Paramètres!$A$1:$I$89,3,0)*VLOOKUP('Données projet'!$B$18,Paramètres!$A$1:$I$89,5,0)</f>
        <v>#N/A</v>
      </c>
      <c r="GW173" s="117" t="e">
        <f aca="false">EXP(-1.0587+0.8836*LN(GV173)+0.284)</f>
        <v>#N/A</v>
      </c>
      <c r="GX173" s="128" t="e">
        <f aca="false">(GV173+GW173)*0.475*44/12</f>
        <v>#N/A</v>
      </c>
      <c r="GY173" s="120" t="e">
        <f aca="false">GX173+(GP173+GQ173)*44/12</f>
        <v>#N/A</v>
      </c>
      <c r="GZ173" s="120" t="e">
        <f aca="true">AVERAGE(OFFSET($GY$3,0,0,'Données projet'!$E$18+1,1))-AVERAGE(OFFSET($H$3,0,0,'Données projet'!$E$18+1,1))</f>
        <v>#N/A</v>
      </c>
      <c r="HA173" s="120" t="e">
        <f aca="false">$HA$3</f>
        <v>#N/A</v>
      </c>
      <c r="HB173" s="121" t="n">
        <f aca="false">IF(ISNA(VLOOKUP(A173,'Données projet'!$A$269:$I$289,3,0)),0,VLOOKUP(A173,'Données projet'!$A$269:$I$289,3,0))</f>
        <v>0</v>
      </c>
      <c r="HC173" s="121" t="n">
        <f aca="false">IF(ISNA(VLOOKUP(A173,'Données projet'!$A$269:$I$289,4,0)),0,VLOOKUP(A173,'Données projet'!$A$269:$I$289,4,0))</f>
        <v>0</v>
      </c>
      <c r="HD173" s="122" t="n">
        <f aca="false">IF(ISNA(VLOOKUP(A173,'Données projet'!$A$269:$I$289,5,0)),0%,VLOOKUP(A173,'Données projet'!$A$269:$I$289,5,0)*VLOOKUP('Données projet'!$B$18,Paramètres!$A$1:$I$89,7,0))</f>
        <v>0</v>
      </c>
      <c r="HE173" s="122" t="n">
        <f aca="false">IF(ISNA(VLOOKUP(A173,'Données projet'!$A$269:$I$289,6,0)),0%,VLOOKUP(A173,'Données projet'!$A$269:$I$289,6,0)*VLOOKUP('Données projet'!$B$18,Paramètres!$A$1:$I$89,7,0))</f>
        <v>0</v>
      </c>
      <c r="HF173" s="122" t="n">
        <f aca="false">IF(ISNA(VLOOKUP(A173,'Données projet'!$A$269:$I$289,7,0)),0%,VLOOKUP(A173,'Données projet'!$A$269:$I$289,7,0))</f>
        <v>0</v>
      </c>
      <c r="HG173" s="129" t="e">
        <f aca="false">EXP(-LN(2)/35)*HG172+(1-EXP(-LN(2)/35))/(LN(2)/35)*HC173*HD173*VLOOKUP('Données projet'!$B$18,Paramètres!$A$1:$I$89,3,0)*0.475*44/12</f>
        <v>#N/A</v>
      </c>
      <c r="HH173" s="129" t="e">
        <f aca="false">EXP(-LN(2)/25)*HH172+(1-EXP(-LN(2)/25))/(LN(2)/25)*Calculateur!HC173*Calculateur!HE173*VLOOKUP('Données projet'!$B$18,Paramètres!$A$1:$I$89,3,0)*0.475*44/12</f>
        <v>#N/A</v>
      </c>
      <c r="HI173" s="129" t="e">
        <f aca="false">EXP(-LN(2)/2)*HI172+(1-EXP(-LN(2)/2))/(LN(2)/2)*HC173*HF173*VLOOKUP('Données projet'!$B$18,Paramètres!$A$1:$I$89,3,0)*0.475*44/12</f>
        <v>#N/A</v>
      </c>
      <c r="HJ173" s="130" t="e">
        <f aca="false">SUM(HG173:HI173)</f>
        <v>#N/A</v>
      </c>
    </row>
    <row r="174" customFormat="false" ht="14.25" hidden="false" customHeight="false" outlineLevel="0" collapsed="false">
      <c r="A174" s="112" t="n">
        <f aca="false">A173+1</f>
        <v>171</v>
      </c>
      <c r="B174" s="113" t="n">
        <f aca="false">'Scénario référence'!$B$16*5+'Scénario référence'!$B$17*0+'Scénario référence'!$B$18*5</f>
        <v>0</v>
      </c>
      <c r="C174" s="127" t="n">
        <f aca="false"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4" t="n">
        <f aca="false">IFERROR(EXP(-1.0587+0.8836*LN(C174)+0.284),0)</f>
        <v>0</v>
      </c>
      <c r="E17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4" s="114" t="n">
        <f aca="false">IF(OR('Scénario référence'!$F$8&gt;0,'Scénario référence'!$F$9&gt;0),('Scénario référence'!$F$8+'Scénario référence'!$F$9)*10,0)</f>
        <v>0</v>
      </c>
      <c r="G174" s="114" t="n">
        <f aca="false"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15" t="n">
        <f aca="false">(B174+E174+F174)*44/12+(C174+D174)*0.475*44/12</f>
        <v>256.666666666667</v>
      </c>
      <c r="I174" s="11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7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8" t="e">
        <f aca="false">VLOOKUP(A174,'Données projet'!$A$35:$I$55,2,0)</f>
        <v>#N/A</v>
      </c>
      <c r="L174" s="118" t="e">
        <f aca="false">VLOOKUP(A174,'Données projet'!$A$35:$I$55,9,0)</f>
        <v>#N/A</v>
      </c>
      <c r="M174" s="118" t="e">
        <f aca="false" t="array" ref="M174:M174">INDEX(L:L,MIN(IF(ISNUMBER(L174:L370),ROW(L174:L370),"")))</f>
        <v>#N/A</v>
      </c>
      <c r="N174" s="117" t="n">
        <f aca="false">IF('Données projet'!$A$36&gt;35,N173+M174-V173,IF(A174&lt;'Données projet'!$A$36,$K$205^A174,IF(A174='Données projet'!$A$36,'Données projet'!$B$36,N173+M174-V173)))</f>
        <v>-1.13686837721616E-013</v>
      </c>
      <c r="O174" s="117" t="n">
        <f aca="false">N174*VLOOKUP('Données projet'!$B$9,Paramètres!$A$1:$I$89,3,0)*VLOOKUP('Données projet'!$B$9,Paramètres!$A$1:$I$89,5,0)</f>
        <v>-5.32054400537163E-014</v>
      </c>
      <c r="P174" s="117" t="e">
        <f aca="false">EXP(-1.0587+0.8836*LN(O174)+0.284)</f>
        <v>#VALUE!</v>
      </c>
      <c r="Q174" s="128" t="e">
        <f aca="false">(O174+P174)*0.475*44/12</f>
        <v>#VALUE!</v>
      </c>
      <c r="R174" s="120" t="e">
        <f aca="false">Q174+(I174+J174)*44/12</f>
        <v>#VALUE!</v>
      </c>
      <c r="S174" s="120" t="n">
        <f aca="true">AVERAGE(OFFSET($R$3,0,0,'Données projet'!$E$9+1,1))-AVERAGE(OFFSET($H$3,0,0,'Données projet'!$E$9+1,1))</f>
        <v>319.229030946746</v>
      </c>
      <c r="T174" s="120" t="n">
        <f aca="false">$T$3</f>
        <v>254.586909731428</v>
      </c>
      <c r="U174" s="121" t="n">
        <f aca="false">IF(ISNA(VLOOKUP(A174,'Données projet'!$A$35:$I$55,3,0)),0,VLOOKUP(A174,'Données projet'!$A$35:$I$55,3,0))</f>
        <v>0</v>
      </c>
      <c r="V174" s="121" t="n">
        <f aca="false">IF(ISNA(VLOOKUP(A174,'Données projet'!$A$35:$I$55,4,0)),0,VLOOKUP(A174,'Données projet'!$A$35:$I$55,4,0))</f>
        <v>0</v>
      </c>
      <c r="W174" s="122" t="n">
        <f aca="false">IF(ISNA(VLOOKUP(A174,'Données projet'!$A$35:$I$55,5,0)),0%,VLOOKUP(A174,'Données projet'!$A$35:$I$55,5,0)*VLOOKUP('Données projet'!$B$9,Paramètres!$A$1:$I$89,7,0))</f>
        <v>0</v>
      </c>
      <c r="X174" s="122" t="n">
        <f aca="false">IF(ISNA(VLOOKUP(A174,'Données projet'!$A$35:$I$55,6,0)),0%,VLOOKUP(A174,'Données projet'!$A$35:$I$55,6,0)*VLOOKUP('Données projet'!$B$9,Paramètres!$A$1:$I$89,7,0))</f>
        <v>0</v>
      </c>
      <c r="Y174" s="122" t="n">
        <f aca="false">IF(ISNA(VLOOKUP(A174,'Données projet'!$A$35:$I$55,7,0)),0%,VLOOKUP(A174,'Données projet'!$A$35:$I$55,7,0))</f>
        <v>0</v>
      </c>
      <c r="Z174" s="129" t="n">
        <f aca="false">EXP(-LN(2)/35)*Z173+(1-EXP(-LN(2)/35))/(LN(2)/35)*V174*W174*VLOOKUP('Données projet'!$B$9,Paramètres!$A$1:$I$89,3,0)*0.475*44/12</f>
        <v>0.556136814587272</v>
      </c>
      <c r="AA174" s="129" t="n">
        <f aca="false">EXP(-LN(2)/25)*AA173+(1-EXP(-LN(2)/25))/(LN(2)/25)*Calculateur!V174*Calculateur!X174*VLOOKUP('Données projet'!$B$9,Paramètres!$A$1:$I$89,3,0)*0.475*44/12</f>
        <v>0.223623330595572</v>
      </c>
      <c r="AB174" s="129" t="n">
        <f aca="false">EXP(-LN(2)/2)*AB173+(1-EXP(-LN(2)/2))/(LN(2)/2)*V174*Y174*VLOOKUP('Données projet'!$B$9,Paramètres!$A$1:$I$89,3,0)*0.475*44/12</f>
        <v>6.6142017378192E-021</v>
      </c>
      <c r="AC174" s="130" t="n">
        <f aca="false">SUM(Z174:AB174)</f>
        <v>0.779760145182845</v>
      </c>
      <c r="AD174" s="117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7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8" t="e">
        <f aca="false">VLOOKUP(A174,'Données projet'!$A$61:$I$81,2,0)</f>
        <v>#N/A</v>
      </c>
      <c r="AG174" s="118" t="e">
        <f aca="false">VLOOKUP(A174,'Données projet'!$A$61:$I$81,9,0)</f>
        <v>#N/A</v>
      </c>
      <c r="AH174" s="118" t="e">
        <f aca="false" t="array" ref="AH174:AH174">INDEX(AG:AG,MIN(IF(ISNUMBER(AG174:AG370),ROW(AG174:AG370),"")))</f>
        <v>#N/A</v>
      </c>
      <c r="AI174" s="117" t="n">
        <f aca="false">IF('Données projet'!$A$62&gt;35,AI173+AH174-AQ173,IF(A174&lt;'Données projet'!$A$62,$AF$205^A174,IF(A174='Données projet'!$A$62,'Données projet'!$B$62,AI173+AH174-AQ173)))</f>
        <v>1.13686837721616E-013</v>
      </c>
      <c r="AJ174" s="117" t="n">
        <f aca="false">AI174*VLOOKUP('Données projet'!$B$10,Paramètres!$A$1:$I$89,3,0)*VLOOKUP('Données projet'!$B$10,Paramètres!$A$1:$I$89,5,0)</f>
        <v>6.35509422863834E-014</v>
      </c>
      <c r="AK174" s="117" t="n">
        <f aca="false">EXP(-1.0587+0.8836*LN(AJ174)+0.284)</f>
        <v>1.0064464192544E-012</v>
      </c>
      <c r="AL174" s="128" t="n">
        <f aca="false">(AJ174+AK174)*0.475*44/12</f>
        <v>1.86357873801686E-012</v>
      </c>
      <c r="AM174" s="120" t="n">
        <f aca="false">AL174+(AD174+AE174)*44/12</f>
        <v>293.333333333335</v>
      </c>
      <c r="AN174" s="120" t="n">
        <f aca="true">AVERAGE(OFFSET($AM$3,0,0,'Données projet'!$E$10+1,1))-AVERAGE(OFFSET($H$3,0,0,'Données projet'!$E$10+1,1))</f>
        <v>365.705101827279</v>
      </c>
      <c r="AO174" s="120" t="n">
        <f aca="false">$AO$3</f>
        <v>436.238338449625</v>
      </c>
      <c r="AP174" s="121" t="n">
        <f aca="false">IF(ISNA(VLOOKUP(A174,'Données projet'!$A$61:$I$81,3,0)),0,VLOOKUP(A174,'Données projet'!$A$61:$I$81,3,0))</f>
        <v>0</v>
      </c>
      <c r="AQ174" s="121" t="n">
        <f aca="false">IF(ISNA(VLOOKUP(A174,'Données projet'!$A$61:$I$81,4,0)),0,VLOOKUP(A174,'Données projet'!$A$61:$I$81,4,0))</f>
        <v>0</v>
      </c>
      <c r="AR174" s="122" t="n">
        <f aca="false">IF(ISNA(VLOOKUP(A174,'Données projet'!$A$61:$I$81,5,0)),0%,VLOOKUP(A174,'Données projet'!$A$61:$I$81,5,0)*VLOOKUP('Données projet'!$B$10,Paramètres!$A$1:$I$89,7,0))</f>
        <v>0</v>
      </c>
      <c r="AS174" s="122" t="n">
        <f aca="false">IF(ISNA(VLOOKUP(A174,'Données projet'!$A$61:$I$81,6,0)),0%,VLOOKUP(A174,'Données projet'!$A$61:$I$81,6,0)*VLOOKUP('Données projet'!$B$10,Paramètres!$A$1:$I$89,7,0))</f>
        <v>0</v>
      </c>
      <c r="AT174" s="122" t="n">
        <f aca="false">IF(ISNA(VLOOKUP(A174,'Données projet'!$A$61:$I$81,7,0)),0%,VLOOKUP(A174,'Données projet'!$A$61:$I$81,7,0))</f>
        <v>0</v>
      </c>
      <c r="AU174" s="129" t="n">
        <f aca="false">EXP(-LN(2)/35)*AU173+(1-EXP(-LN(2)/35))/(LN(2)/35)*AQ174*AR174*VLOOKUP('Données projet'!$B$10,Paramètres!$A$1:$I$89,3,0)*0.475*44/12</f>
        <v>0.209923616767201</v>
      </c>
      <c r="AV174" s="129" t="n">
        <f aca="false">EXP(-LN(2)/25)*AV173+(1-EXP(-LN(2)/25))/(LN(2)/25)*Calculateur!AQ174*Calculateur!AS174*VLOOKUP('Données projet'!$B$10,Paramètres!$A$1:$I$89,3,0)*0.475*44/12</f>
        <v>0.264869743804495</v>
      </c>
      <c r="AW174" s="129" t="n">
        <f aca="false">EXP(-LN(2)/2)*AW173+(1-EXP(-LN(2)/2))/(LN(2)/2)*AQ174*AT174*VLOOKUP('Données projet'!$B$10,Paramètres!$A$1:$I$89,3,0)*0.475*44/12</f>
        <v>3.55955665002225E-021</v>
      </c>
      <c r="AX174" s="129" t="n">
        <f aca="false">SUM(AU174:AW174)</f>
        <v>0.474793360571697</v>
      </c>
      <c r="AY174" s="124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8" t="e">
        <f aca="false">VLOOKUP(A174,'Données projet'!$A$87:$I$107,2,0)</f>
        <v>#N/A</v>
      </c>
      <c r="BB174" s="118" t="e">
        <f aca="false">VLOOKUP(A174,'Données projet'!$A$87:$I$107,9,0)</f>
        <v>#N/A</v>
      </c>
      <c r="BC174" s="118" t="e">
        <f aca="false" t="array" ref="BC174:BC174">INDEX(BB:BB,MIN(IF(ISNUMBER(BB174:BB370),ROW(BB174:BB370),"")))</f>
        <v>#N/A</v>
      </c>
      <c r="BD174" s="118" t="n">
        <f aca="false">IF('Données projet'!$A$88&gt;35,BD173+BC174-BL173,IF(A174&lt;'Données projet'!$A$88,$BA$205^A174,IF(A174='Données projet'!$A$88,'Données projet'!$B$88,BD173+BC174-BL173)))</f>
        <v>1.98951966012828E-013</v>
      </c>
      <c r="BE174" s="117" t="n">
        <f aca="false">BD174*VLOOKUP('Données projet'!$B$11,Paramètres!$A$1:$I$89,3,0)*VLOOKUP('Données projet'!$B$11,Paramètres!$A$1:$I$89,5,0)</f>
        <v>1.73804437508807E-013</v>
      </c>
      <c r="BF174" s="117" t="n">
        <f aca="false">EXP(-1.0587+0.8836*LN(BE174)+0.284)</f>
        <v>2.44832936339505E-012</v>
      </c>
      <c r="BG174" s="128" t="n">
        <f aca="false">(BE174+BF174)*0.475*44/12</f>
        <v>4.56688303657421E-012</v>
      </c>
      <c r="BH174" s="120" t="n">
        <f aca="false">BG174+(AY174+AZ174)*44/12</f>
        <v>293.333333333338</v>
      </c>
      <c r="BI174" s="120" t="n">
        <f aca="true">AVERAGE(OFFSET($BH$3,0,0,'Données projet'!$E$11+1,1))-AVERAGE(OFFSET($H$3,0,0,'Données projet'!$E$11+1,1))</f>
        <v>321.235999689929</v>
      </c>
      <c r="BJ174" s="120" t="n">
        <f aca="false">$BJ$3</f>
        <v>388.051958478005</v>
      </c>
      <c r="BK174" s="121" t="n">
        <f aca="false">IF(ISNA(VLOOKUP(A174,'Données projet'!$A$87:$I$107,3,0)),0,VLOOKUP(A174,'Données projet'!$A$87:$I$107,3,0))</f>
        <v>0</v>
      </c>
      <c r="BL174" s="121" t="n">
        <f aca="false">IF(ISNA(VLOOKUP(A174,'Données projet'!$A$87:$I$107,4,0)),0,VLOOKUP(A174,'Données projet'!$A$87:$I$107,4,0))</f>
        <v>0</v>
      </c>
      <c r="BM174" s="122" t="n">
        <f aca="false">IF(ISNA(VLOOKUP(A174,'Données projet'!$A$87:$I$107,5,0)),0%,VLOOKUP(A174,'Données projet'!$A$87:$I$107,5,0)*VLOOKUP('Données projet'!$B$11,Paramètres!$A$1:$I$89,7,0))</f>
        <v>0</v>
      </c>
      <c r="BN174" s="122" t="n">
        <f aca="false">IF(ISNA(VLOOKUP(A174,'Données projet'!$A$87:$I$107,6,0)),0%,VLOOKUP(A174,'Données projet'!$A$87:$I$107,6,0)*VLOOKUP('Données projet'!$B$11,Paramètres!$A$1:$I$89,7,0))</f>
        <v>0</v>
      </c>
      <c r="BO174" s="122" t="n">
        <f aca="false">IF(ISNA(VLOOKUP(A174,'Données projet'!$A$87:$I$107,7,0)),0%,VLOOKUP(A174,'Données projet'!$A$87:$I$107,7,0))</f>
        <v>0</v>
      </c>
      <c r="BP174" s="129" t="n">
        <f aca="false">EXP(-LN(2)/35)*BP173+(1-EXP(-LN(2)/35))/(LN(2)/35)*BL174*BM174*VLOOKUP('Données projet'!$B$11,Paramètres!$A$1:$I$89,3,0)*0.475*44/12</f>
        <v>0.527038714534471</v>
      </c>
      <c r="BQ174" s="129" t="n">
        <f aca="false">EXP(-LN(2)/25)*BQ173+(1-EXP(-LN(2)/25))/(LN(2)/25)*Calculateur!BL174*Calculateur!BN174*VLOOKUP('Données projet'!$B$11,Paramètres!$A$1:$I$89,3,0)*0.475*44/12</f>
        <v>0.270363302185529</v>
      </c>
      <c r="BR174" s="129" t="n">
        <f aca="false">EXP(-LN(2)/2)*BR173+(1-EXP(-LN(2)/2))/(LN(2)/2)*BL174*BO174*VLOOKUP('Données projet'!$B$11,Paramètres!$A$1:$I$89,3,0)*0.475*44/12</f>
        <v>3.61821534813263E-021</v>
      </c>
      <c r="BS174" s="130" t="n">
        <f aca="false">SUM(BP174:BR174)</f>
        <v>0.797402016719999</v>
      </c>
      <c r="BT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8" t="e">
        <f aca="false">VLOOKUP(A174,'Données projet'!$A$113:$I$133,2,0)</f>
        <v>#N/A</v>
      </c>
      <c r="BW174" s="118" t="e">
        <f aca="false">VLOOKUP(A174,'Données projet'!$A$113:$I$133,9,0)</f>
        <v>#N/A</v>
      </c>
      <c r="BX174" s="118" t="e">
        <f aca="false" t="array" ref="BX174:BX174">INDEX(BW:BW,MIN(IF(ISNUMBER(BW174:BW370),ROW(BW174:BW370),"")))</f>
        <v>#N/A</v>
      </c>
      <c r="BY174" s="118" t="n">
        <f aca="false">IF('Données projet'!$A$114&gt;35,BY173+BX174-CG173,IF(A174&lt;'Données projet'!$A$114,$BV$205^A174,IF(A174='Données projet'!$A$114,'Données projet'!$B$114,BY173+BX174-CG173)))</f>
        <v>0</v>
      </c>
      <c r="BZ174" s="117" t="n">
        <f aca="false">BY174*VLOOKUP('Données projet'!$B$12,Paramètres!$A$1:$I$89,3,0)*VLOOKUP('Données projet'!$B$12,Paramètres!$A$1:$I$89,5,0)</f>
        <v>0</v>
      </c>
      <c r="CA174" s="117" t="e">
        <f aca="false">EXP(-1.0587+0.8836*LN(BZ174)+0.284)</f>
        <v>#VALUE!</v>
      </c>
      <c r="CB174" s="128" t="e">
        <f aca="false">(BZ174+CA174)*0.475*44/12</f>
        <v>#VALUE!</v>
      </c>
      <c r="CC174" s="120" t="e">
        <f aca="false">CB174+(BT174+BU174)*44/12</f>
        <v>#VALUE!</v>
      </c>
      <c r="CD174" s="120" t="n">
        <f aca="true">AVERAGE(OFFSET($CC$3,0,0,'Données projet'!$E$12+1,1))-AVERAGE(OFFSET($H$3,0,0,'Données projet'!$E$12+1,1))</f>
        <v>240.228848647662</v>
      </c>
      <c r="CE174" s="120" t="n">
        <f aca="false">$CE$3</f>
        <v>343.237768841432</v>
      </c>
      <c r="CF174" s="121" t="n">
        <f aca="false">IF(ISNA(VLOOKUP(A174,'Données projet'!$A$113:$I$133,3,0)),0,VLOOKUP(A174,'Données projet'!$A$113:$I$133,3,0))</f>
        <v>0</v>
      </c>
      <c r="CG174" s="121" t="n">
        <f aca="false">IF(ISNA(VLOOKUP(A174,'Données projet'!$A$113:$I$133,4,0)),0,VLOOKUP(A174,'Données projet'!$A$113:$I$133,4,0))</f>
        <v>0</v>
      </c>
      <c r="CH174" s="122" t="n">
        <f aca="false">IF(ISNA(VLOOKUP(A174,'Données projet'!$A$113:$I$133,5,0)),0%,VLOOKUP(A174,'Données projet'!$A$113:$I$133,5,0)*VLOOKUP('Données projet'!$B$12,Paramètres!$A$1:$I$89,7,0))</f>
        <v>0</v>
      </c>
      <c r="CI174" s="122" t="n">
        <f aca="false">IF(ISNA(VLOOKUP(A174,'Données projet'!$A$113:$I$133,6,0)),0%,VLOOKUP(A174,'Données projet'!$A$113:$I$133,6,0)*VLOOKUP('Données projet'!$B$12,Paramètres!$A$1:$I$89,7,0))</f>
        <v>0</v>
      </c>
      <c r="CJ174" s="122" t="n">
        <f aca="false">IF(ISNA(VLOOKUP(A174,'Données projet'!$A$113:$I$133,7,0)),0%,VLOOKUP(A174,'Données projet'!$A$113:$I$133,7,0))</f>
        <v>0</v>
      </c>
      <c r="CK174" s="129" t="n">
        <f aca="false">EXP(-LN(2)/35)*CK173+(1-EXP(-LN(2)/35))/(LN(2)/35)*CG174*CH174*VLOOKUP('Données projet'!$B$12,Paramètres!$A$1:$I$89,3,0)*0.475*44/12</f>
        <v>0.322588753280435</v>
      </c>
      <c r="CL174" s="129" t="n">
        <f aca="false">EXP(-LN(2)/25)*CL173+(1-EXP(-LN(2)/25))/(LN(2)/25)*Calculateur!CG174*Calculateur!CI174*VLOOKUP('Données projet'!$B$12,Paramètres!$A$1:$I$89,3,0)*0.475*44/12</f>
        <v>0.477477242960569</v>
      </c>
      <c r="CM174" s="129" t="n">
        <f aca="false">EXP(-LN(2)/2)*CM173+(1-EXP(-LN(2)/2))/(LN(2)/2)*CG174*CJ174*VLOOKUP('Données projet'!$B$12,Paramètres!$A$1:$I$89,3,0)*0.475*44/12</f>
        <v>5.77370707996076E-021</v>
      </c>
      <c r="CN174" s="130" t="n">
        <f aca="false">SUM(CK174:CM174)</f>
        <v>0.800065996241004</v>
      </c>
      <c r="CO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8" t="e">
        <f aca="false">VLOOKUP(A174,'Données projet'!$A$139:$I$159,2,0)</f>
        <v>#N/A</v>
      </c>
      <c r="CR174" s="118" t="e">
        <f aca="false">VLOOKUP(A174,'Données projet'!$A$139:$I$159,9,0)</f>
        <v>#N/A</v>
      </c>
      <c r="CS174" s="118" t="e">
        <f aca="false" t="array" ref="CS174:CS174">INDEX(CR:CR,MIN(IF(ISNUMBER(CR174:CR370),ROW(CR174:CR370),"")))</f>
        <v>#N/A</v>
      </c>
      <c r="CT174" s="118" t="n">
        <f aca="false">IF('Données projet'!$A$140&gt;35,CT173+CS174-DB173,IF(A174&lt;'Données projet'!$A$140,$CQ$205^A174,IF(A174='Données projet'!$A$140,'Données projet'!$B$140,CT173+CS174-DB173)))</f>
        <v>-5.6843418860808E-014</v>
      </c>
      <c r="CU174" s="125" t="n">
        <f aca="false">CT174*VLOOKUP('Données projet'!$B$13,Paramètres!$A$1:$I$89,3,0)*VLOOKUP('Données projet'!$B$13,Paramètres!$A$1:$I$89,5,0)</f>
        <v>-3.10365066980012E-014</v>
      </c>
      <c r="CV174" s="117" t="e">
        <f aca="false">EXP(-1.0587+0.8836*LN(CU174)+0.284)</f>
        <v>#VALUE!</v>
      </c>
      <c r="CW174" s="128" t="e">
        <f aca="false">(CU174+CV174)*0.475*44/12</f>
        <v>#VALUE!</v>
      </c>
      <c r="CX174" s="120" t="e">
        <f aca="false">CW174+(CO174+CP174)*44/12</f>
        <v>#VALUE!</v>
      </c>
      <c r="CY174" s="120" t="n">
        <f aca="true">AVERAGE(OFFSET($CX$3,0,0,'Données projet'!$E$13+1,1))-AVERAGE(OFFSET($H$3,0,0,'Données projet'!$E$13+1,1))</f>
        <v>207.023069645676</v>
      </c>
      <c r="CZ174" s="120" t="n">
        <f aca="false">$CZ$3</f>
        <v>342.068879333518</v>
      </c>
      <c r="DA174" s="121" t="n">
        <f aca="false">IF(ISNA(VLOOKUP(A174,'Données projet'!$A$139:$I$159,3,0)),0,VLOOKUP(A174,'Données projet'!$A$139:$I$159,3,0))</f>
        <v>0</v>
      </c>
      <c r="DB174" s="121" t="n">
        <f aca="false">IF(ISNA(VLOOKUP(A174,'Données projet'!$A$139:$I$159,4,0)),0,VLOOKUP(A174,'Données projet'!$A$139:$I$159,4,0))</f>
        <v>0</v>
      </c>
      <c r="DC174" s="122" t="n">
        <f aca="false">IF(ISNA(VLOOKUP(A174,'Données projet'!$A$139:$I$159,5,0)),0%,VLOOKUP(A174,'Données projet'!$A$139:$I$159,5,0)*VLOOKUP('Données projet'!$B$13,Paramètres!$A$1:$I$89,7,0))</f>
        <v>0</v>
      </c>
      <c r="DD174" s="122" t="n">
        <f aca="false">IF(ISNA(VLOOKUP(A174,'Données projet'!$A$139:$I$159,6,0)),0%,VLOOKUP(A174,'Données projet'!$A$139:$I$159,6,0)*VLOOKUP('Données projet'!$B$13,Paramètres!$A$1:$I$89,7,0))</f>
        <v>0</v>
      </c>
      <c r="DE174" s="122" t="n">
        <f aca="false">IF(ISNA(VLOOKUP(A174,'Données projet'!$A$139:$I$159,7,0)),0%,VLOOKUP(A174,'Données projet'!$A$139:$I$159,7,0))</f>
        <v>0</v>
      </c>
      <c r="DF174" s="129" t="n">
        <f aca="false">EXP(-LN(2)/35)*DF173+(1-EXP(-LN(2)/35))/(LN(2)/35)*DB174*DC174*VLOOKUP('Données projet'!$B$13,Paramètres!$A$1:$I$89,3,0)*0.475*44/12</f>
        <v>0.404757586663187</v>
      </c>
      <c r="DG174" s="129" t="n">
        <f aca="false">EXP(-LN(2)/25)*DG173+(1-EXP(-LN(2)/25))/(LN(2)/25)*Calculateur!DB174*Calculateur!DD174*VLOOKUP('Données projet'!$B$13,Paramètres!$A$1:$I$89,3,0)*0.475*44/12</f>
        <v>0.78047642830392</v>
      </c>
      <c r="DH174" s="129" t="n">
        <f aca="false">EXP(-LN(2)/2)*DH173+(1-EXP(-LN(2)/2))/(LN(2)/2)*DB174*DE174*VLOOKUP('Données projet'!$B$13,Paramètres!$A$1:$I$89,3,0)*0.475*44/12</f>
        <v>7.950397325942E-021</v>
      </c>
      <c r="DI174" s="130" t="n">
        <f aca="false">SUM(DF174:DH174)</f>
        <v>1.18523401496711</v>
      </c>
      <c r="DJ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8" t="e">
        <f aca="false">VLOOKUP(A174,'Données projet'!$A$165:$I$185,2,0)</f>
        <v>#N/A</v>
      </c>
      <c r="DM174" s="118" t="e">
        <f aca="false">VLOOKUP(A174,'Données projet'!$A$165:$I$185,9,0)</f>
        <v>#N/A</v>
      </c>
      <c r="DN174" s="118" t="e">
        <f aca="false" t="array" ref="DN174:DN174">INDEX(DM:DM,MIN(IF(ISNUMBER(DM174:DM370),ROW(DM174:DM370),"")))</f>
        <v>#N/A</v>
      </c>
      <c r="DO174" s="118" t="n">
        <f aca="false">IF('Données projet'!$A$166&gt;35,DO173+DN174-DW173,IF(A174&lt;'Données projet'!$A$166,$DL$205^A174,IF(A174='Données projet'!$A$166,'Données projet'!$B$166,DO173+DN174-DW173)))</f>
        <v>0</v>
      </c>
      <c r="DP174" s="125" t="n">
        <f aca="false">DO174*VLOOKUP('Données projet'!$B$14,Paramètres!$A$1:$I$89,3,0)*VLOOKUP('Données projet'!$B$14,Paramètres!$A$1:$I$89,5,0)</f>
        <v>0</v>
      </c>
      <c r="DQ174" s="117" t="e">
        <f aca="false">EXP(-1.0587+0.8836*LN(DP174)+0.284)</f>
        <v>#VALUE!</v>
      </c>
      <c r="DR174" s="128" t="e">
        <f aca="false">(DP174+DQ174)*0.475*44/12</f>
        <v>#VALUE!</v>
      </c>
      <c r="DS174" s="120" t="e">
        <f aca="false">DR174+(DJ174+DK174)*44/12</f>
        <v>#VALUE!</v>
      </c>
      <c r="DT174" s="120" t="n">
        <f aca="true">AVERAGE(OFFSET($DS$3,0,0,'Données projet'!$E$14+1,1))-AVERAGE(OFFSET($H$3,0,0,'Données projet'!$E$14+1,1))</f>
        <v>549.432320957297</v>
      </c>
      <c r="DU174" s="120" t="n">
        <f aca="false">$DU$3</f>
        <v>280.26155987301</v>
      </c>
      <c r="DV174" s="121" t="n">
        <f aca="false">IF(ISNA(VLOOKUP(A174,'Données projet'!$A$165:$I$185,3,0)),0,VLOOKUP(A174,'Données projet'!$A$165:$I$185,3,0))</f>
        <v>0</v>
      </c>
      <c r="DW174" s="121" t="n">
        <f aca="false">IF(ISNA(VLOOKUP(A174,'Données projet'!$A$165:$I$185,4,0)),0,VLOOKUP(A174,'Données projet'!$A$165:$I$185,4,0))</f>
        <v>0</v>
      </c>
      <c r="DX174" s="122" t="n">
        <f aca="false">IF(ISNA(VLOOKUP(A174,'Données projet'!$A$165:$I$185,5,0)),0%,VLOOKUP(A174,'Données projet'!$A$165:$I$185,5,0)*VLOOKUP('Données projet'!$B$14,Paramètres!$A$1:$I$89,7,0))</f>
        <v>0</v>
      </c>
      <c r="DY174" s="122" t="n">
        <f aca="false">IF(ISNA(VLOOKUP(A174,'Données projet'!$A$165:$I$185,6,0)),0%,VLOOKUP(A174,'Données projet'!$A$165:$I$185,6,0)*VLOOKUP('Données projet'!$B$14,Paramètres!$A$1:$I$89,7,0))</f>
        <v>0</v>
      </c>
      <c r="DZ174" s="122" t="n">
        <f aca="false">IF(ISNA(VLOOKUP(A174,'Données projet'!$A$165:$I$185,7,0)),0%,VLOOKUP(A174,'Données projet'!$A$165:$I$185,7,0))</f>
        <v>0</v>
      </c>
      <c r="EA174" s="129" t="n">
        <f aca="false">EXP(-LN(2)/35)*EA173+(1-EXP(-LN(2)/35))/(LN(2)/35)*DW174*DX174*VLOOKUP('Données projet'!$B$14,Paramètres!$A$1:$I$89,3,0)*0.475*44/12</f>
        <v>0.14716940718829</v>
      </c>
      <c r="EB174" s="129" t="n">
        <f aca="false">EXP(-LN(2)/25)*EB173+(1-EXP(-LN(2)/25))/(LN(2)/25)*Calculateur!DW174*Calculateur!DY174*VLOOKUP('Données projet'!$B$14,Paramètres!$A$1:$I$89,3,0)*0.475*44/12</f>
        <v>0.155486303047422</v>
      </c>
      <c r="EC174" s="129" t="n">
        <f aca="false">EXP(-LN(2)/2)*EC173+(1-EXP(-LN(2)/2))/(LN(2)/2)*DW174*DZ174*VLOOKUP('Données projet'!$B$14,Paramètres!$A$1:$I$89,3,0)*0.475*44/12</f>
        <v>3.66496928402373E-021</v>
      </c>
      <c r="ED174" s="130" t="n">
        <f aca="false">SUM(EA174:EC174)</f>
        <v>0.302655710235712</v>
      </c>
      <c r="EE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8" t="e">
        <f aca="false">VLOOKUP(A174,'Données projet'!$A$191:$I$211,2,0)</f>
        <v>#N/A</v>
      </c>
      <c r="EH174" s="118" t="e">
        <f aca="false">VLOOKUP(A174,'Données projet'!$A$191:$I$211,9,0)</f>
        <v>#N/A</v>
      </c>
      <c r="EI174" s="118" t="e">
        <f aca="false" t="array" ref="EI174:EI174">INDEX(EH:EH,MIN(IF(ISNUMBER(EH174:EH370),ROW(EH174:EH370),"")))</f>
        <v>#N/A</v>
      </c>
      <c r="EJ174" s="118" t="n">
        <f aca="false">IF('Données projet'!$A$192&gt;35,EJ173+EI174-ER173,IF(A174&lt;'Données projet'!$A$192,$EG$205^A174,IF(A174='Données projet'!$A$192,'Données projet'!$B$192,EJ173+EI174-ER173)))</f>
        <v>0</v>
      </c>
      <c r="EK174" s="125" t="e">
        <f aca="false">EJ174*VLOOKUP('Données projet'!$B$15,Paramètres!$A$1:$I$89,3,0)*VLOOKUP('Données projet'!$B$15,Paramètres!$A$1:$I$89,5,0)</f>
        <v>#N/A</v>
      </c>
      <c r="EL174" s="117" t="e">
        <f aca="false">EXP(-1.0587+0.8836*LN(EK174)+0.284)</f>
        <v>#N/A</v>
      </c>
      <c r="EM174" s="128" t="e">
        <f aca="false">(EK174+EL174)*0.475*44/12</f>
        <v>#N/A</v>
      </c>
      <c r="EN174" s="120" t="e">
        <f aca="false">EM174+(EE174+EF174)*44/12</f>
        <v>#N/A</v>
      </c>
      <c r="EO174" s="120" t="e">
        <f aca="true">AVERAGE(OFFSET($EN$3,0,0,'Données projet'!$E$15+1,1))-AVERAGE(OFFSET($H$3,0,0,'Données projet'!$E$15+1,1))</f>
        <v>#N/A</v>
      </c>
      <c r="EP174" s="120" t="e">
        <f aca="false">$EP$3</f>
        <v>#N/A</v>
      </c>
      <c r="EQ174" s="121" t="n">
        <f aca="false">IF(ISNA(VLOOKUP(A174,'Données projet'!$A$191:$I$211,3,0)),0,VLOOKUP(A174,'Données projet'!$A$191:$I$211,3,0))</f>
        <v>0</v>
      </c>
      <c r="ER174" s="121" t="n">
        <f aca="false">IF(ISNA(VLOOKUP(A174,'Données projet'!$A$191:$I$211,4,0)),0,VLOOKUP(A174,'Données projet'!$A$191:$I$211,4,0))</f>
        <v>0</v>
      </c>
      <c r="ES174" s="122" t="n">
        <f aca="false">IF(ISNA(VLOOKUP(A174,'Données projet'!$A$191:$I$211,5,0)),0%,VLOOKUP(A174,'Données projet'!$A$191:$I$211,5,0)*VLOOKUP('Données projet'!$B$15,Paramètres!$A$1:$I$89,7,0))</f>
        <v>0</v>
      </c>
      <c r="ET174" s="122" t="n">
        <f aca="false">IF(ISNA(VLOOKUP(A174,'Données projet'!$A$191:$I$211,6,0)),0%,VLOOKUP(A174,'Données projet'!$A$191:$I$211,6,0)*VLOOKUP('Données projet'!$B$15,Paramètres!$A$1:$I$89,7,0))</f>
        <v>0</v>
      </c>
      <c r="EU174" s="122" t="n">
        <f aca="false">IF(ISNA(VLOOKUP(A174,'Données projet'!$A$191:$I$211,7,0)),0%,VLOOKUP(A174,'Données projet'!$A$191:$I$211,7,0))</f>
        <v>0</v>
      </c>
      <c r="EV174" s="129" t="e">
        <f aca="false">EXP(-LN(2)/35)*EV173+(1-EXP(-LN(2)/35))/(LN(2)/35)*ER174*ES174*VLOOKUP('Données projet'!$B$15,Paramètres!$A$1:$I$89,3,0)*0.475*44/12</f>
        <v>#N/A</v>
      </c>
      <c r="EW174" s="129" t="e">
        <f aca="false">EXP(-LN(2)/25)*EW173+(1-EXP(-LN(2)/25))/(LN(2)/25)*Calculateur!ER174*Calculateur!ET174*VLOOKUP('Données projet'!$B$15,Paramètres!$A$1:$I$89,3,0)*0.475*44/12</f>
        <v>#N/A</v>
      </c>
      <c r="EX174" s="129" t="e">
        <f aca="false">EXP(-LN(2)/2)*EX173+(1-EXP(-LN(2)/2))/(LN(2)/2)*ER174*EU174*VLOOKUP('Données projet'!$B$15,Paramètres!$A$1:$I$89,3,0)*0.475*44/12</f>
        <v>#N/A</v>
      </c>
      <c r="EY174" s="130" t="e">
        <f aca="false">SUM(EV174:EX174)</f>
        <v>#N/A</v>
      </c>
      <c r="EZ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8" t="e">
        <f aca="false">VLOOKUP(A174,'Données projet'!$A$217:$I$237,2,0)</f>
        <v>#N/A</v>
      </c>
      <c r="FC174" s="118" t="e">
        <f aca="false">VLOOKUP(A174,'Données projet'!$A$217:$I$237,9,0)</f>
        <v>#N/A</v>
      </c>
      <c r="FD174" s="118" t="e">
        <f aca="false" t="array" ref="FD174:FD174">INDEX(FC:FC,MIN(IF(ISNUMBER(FC174:FC370),ROW(FC174:FC370),"")))</f>
        <v>#N/A</v>
      </c>
      <c r="FE174" s="118" t="n">
        <f aca="false">IF('Données projet'!$A$218&gt;35,FE173+FD174-FM173,IF(A174&lt;'Données projet'!$A$218,$FB$205^A174,IF(A174='Données projet'!$A$218,'Données projet'!$B$218,FE173+FD174-FM173)))</f>
        <v>0</v>
      </c>
      <c r="FF174" s="125" t="e">
        <f aca="false">FE174*VLOOKUP('Données projet'!$B$16,Paramètres!$A$1:$I$89,3,0)*VLOOKUP('Données projet'!$B$16,Paramètres!$A$1:$I$89,5,0)</f>
        <v>#N/A</v>
      </c>
      <c r="FG174" s="117" t="e">
        <f aca="false">EXP(-1.0587+0.8836*LN(FF174)+0.284)</f>
        <v>#N/A</v>
      </c>
      <c r="FH174" s="128" t="e">
        <f aca="false">(FF174+FG174)*0.475*44/12</f>
        <v>#N/A</v>
      </c>
      <c r="FI174" s="120" t="e">
        <f aca="false">FH174+(EZ174+FA174)*44/12</f>
        <v>#N/A</v>
      </c>
      <c r="FJ174" s="120" t="e">
        <f aca="true">AVERAGE(OFFSET($FI$3,0,0,'Données projet'!$E$16+1,1))-AVERAGE(OFFSET($H$3,0,0,'Données projet'!$E$16+1,1))</f>
        <v>#N/A</v>
      </c>
      <c r="FK174" s="120" t="e">
        <f aca="false">$FK$3</f>
        <v>#N/A</v>
      </c>
      <c r="FL174" s="121" t="n">
        <f aca="false">IF(ISNA(VLOOKUP(A174,'Données projet'!$A$217:$I$237,3,0)),0,VLOOKUP(A174,'Données projet'!$A$217:$I$237,3,0))</f>
        <v>0</v>
      </c>
      <c r="FM174" s="121" t="n">
        <f aca="false">IF(ISNA(VLOOKUP(A174,'Données projet'!$A$217:$I$237,4,0)),0,VLOOKUP(A174,'Données projet'!$A$217:$I$237,4,0))</f>
        <v>0</v>
      </c>
      <c r="FN174" s="122" t="n">
        <f aca="false">IF(ISNA(VLOOKUP(A174,'Données projet'!$A$217:$I$237,5,0)),0%,VLOOKUP(A174,'Données projet'!$A$217:$I$237,5,0)*VLOOKUP('Données projet'!$B$16,Paramètres!$A$1:$I$89,7,0))</f>
        <v>0</v>
      </c>
      <c r="FO174" s="122" t="n">
        <f aca="false">IF(ISNA(VLOOKUP(A174,'Données projet'!$A$217:$I$237,6,0)),0%,VLOOKUP(A174,'Données projet'!$A$217:$I$237,6,0)*VLOOKUP('Données projet'!$B$16,Paramètres!$A$1:$I$89,7,0))</f>
        <v>0</v>
      </c>
      <c r="FP174" s="122" t="n">
        <f aca="false">IF(ISNA(VLOOKUP(A174,'Données projet'!$A$217:$I$237,7,0)),0%,VLOOKUP(A174,'Données projet'!$A$217:$I$237,7,0))</f>
        <v>0</v>
      </c>
      <c r="FQ174" s="129" t="e">
        <f aca="false">EXP(-LN(2)/35)*FQ173+(1-EXP(-LN(2)/35))/(LN(2)/35)*FM174*FN174*VLOOKUP('Données projet'!$B$16,Paramètres!$A$1:$I$89,3,0)*0.475*44/12</f>
        <v>#N/A</v>
      </c>
      <c r="FR174" s="129" t="e">
        <f aca="false">EXP(-LN(2)/25)*FR173+(1-EXP(-LN(2)/25))/(LN(2)/25)*Calculateur!FM174*Calculateur!FO174*VLOOKUP('Données projet'!$B$16,Paramètres!$A$1:$I$89,3,0)*0.475*44/12</f>
        <v>#N/A</v>
      </c>
      <c r="FS174" s="129" t="e">
        <f aca="false">EXP(-LN(2)/2)*FS173+(1-EXP(-LN(2)/2))/(LN(2)/2)*FM174*FP174*VLOOKUP('Données projet'!$B$16,Paramètres!$A$1:$I$89,3,0)*0.475*44/12</f>
        <v>#N/A</v>
      </c>
      <c r="FT174" s="130" t="e">
        <f aca="false">SUM(FQ174:FS174)</f>
        <v>#N/A</v>
      </c>
      <c r="FU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8" t="e">
        <f aca="false">VLOOKUP(A174,'Données projet'!$A$243:$I$263,2,0)</f>
        <v>#N/A</v>
      </c>
      <c r="FX174" s="118" t="e">
        <f aca="false">VLOOKUP(A174,'Données projet'!$A$243:$I$263,9,0)</f>
        <v>#N/A</v>
      </c>
      <c r="FY174" s="118" t="e">
        <f aca="false" t="array" ref="FY174:FY174">INDEX(FX:FX,MIN(IF(ISNUMBER(FX174:FX370),ROW(FX174:FX370),"")))</f>
        <v>#N/A</v>
      </c>
      <c r="FZ174" s="118" t="n">
        <f aca="false">IF('Données projet'!$A$244&gt;35,FZ173+FY174-GH173,IF(A174&lt;'Données projet'!$A$244,$FW$205^A174,IF(A174='Données projet'!$A$244,'Données projet'!$B$244,FZ173+FY174-GH173)))</f>
        <v>0</v>
      </c>
      <c r="GA174" s="125" t="e">
        <f aca="false">FZ174*VLOOKUP('Données projet'!$B$17,Paramètres!$A$1:$I$89,3,0)*VLOOKUP('Données projet'!$B$17,Paramètres!$A$1:$I$89,5,0)</f>
        <v>#N/A</v>
      </c>
      <c r="GB174" s="117" t="e">
        <f aca="false">EXP(-1.0587+0.8836*LN(GA174)+0.284)</f>
        <v>#N/A</v>
      </c>
      <c r="GC174" s="128" t="e">
        <f aca="false">(GA174+GB174)*0.475*44/12</f>
        <v>#N/A</v>
      </c>
      <c r="GD174" s="120" t="e">
        <f aca="false">GC174+(FU174+FV174)*44/12</f>
        <v>#N/A</v>
      </c>
      <c r="GE174" s="120" t="e">
        <f aca="true">AVERAGE(OFFSET($GD$3,0,0,'Données projet'!$E$17+1,1))-AVERAGE(OFFSET($H$3,0,0,'Données projet'!$E$17+1,1))</f>
        <v>#N/A</v>
      </c>
      <c r="GF174" s="120" t="e">
        <f aca="false">$GF$3</f>
        <v>#N/A</v>
      </c>
      <c r="GG174" s="121" t="n">
        <f aca="false">IF(ISNA(VLOOKUP(A174,'Données projet'!$A$243:$I$263,3,0)),0,VLOOKUP(A174,'Données projet'!$A$243:$I$263,3,0))</f>
        <v>0</v>
      </c>
      <c r="GH174" s="121" t="n">
        <f aca="false">IF(ISNA(VLOOKUP(A174,'Données projet'!$A$243:$I$263,4,0)),0,VLOOKUP(A174,'Données projet'!$A$243:$I$263,4,0))</f>
        <v>0</v>
      </c>
      <c r="GI174" s="122" t="n">
        <f aca="false">IF(ISNA(VLOOKUP(A174,'Données projet'!$A$243:$I$263,5,0)),0%,VLOOKUP(A174,'Données projet'!$A$243:$I$263,5,0)*VLOOKUP('Données projet'!$B$17,Paramètres!$A$1:$I$89,7,0))</f>
        <v>0</v>
      </c>
      <c r="GJ174" s="122" t="n">
        <f aca="false">IF(ISNA(VLOOKUP(A174,'Données projet'!$A$243:$I$263,6,0)),0%,VLOOKUP(A174,'Données projet'!$A$243:$I$263,6,0)*VLOOKUP('Données projet'!$B$17,Paramètres!$A$1:$I$89,7,0))</f>
        <v>0</v>
      </c>
      <c r="GK174" s="122" t="n">
        <f aca="false">IF(ISNA(VLOOKUP(A174,'Données projet'!$A$243:$I$263,7,0)),0%,VLOOKUP(A174,'Données projet'!$A$243:$I$263,7,0))</f>
        <v>0</v>
      </c>
      <c r="GL174" s="129" t="e">
        <f aca="false">EXP(-LN(2)/35)*GL173+(1-EXP(-LN(2)/35))/(LN(2)/35)*GH174*GI174*VLOOKUP('Données projet'!$B$17,Paramètres!$A$1:$I$89,3,0)*0.475*44/12</f>
        <v>#N/A</v>
      </c>
      <c r="GM174" s="129" t="e">
        <f aca="false">EXP(-LN(2)/25)*GM173+(1-EXP(-LN(2)/25))/(LN(2)/25)*Calculateur!GH174*Calculateur!GJ174*VLOOKUP('Données projet'!$B$17,Paramètres!$A$1:$I$89,3,0)*0.475*44/12</f>
        <v>#N/A</v>
      </c>
      <c r="GN174" s="129" t="e">
        <f aca="false">EXP(-LN(2)/2)*GN173+(1-EXP(-LN(2)/2))/(LN(2)/2)*GH174*GK174*VLOOKUP('Données projet'!$B$17,Paramètres!$A$1:$I$89,3,0)*0.475*44/12</f>
        <v>#N/A</v>
      </c>
      <c r="GO174" s="129" t="e">
        <f aca="false">SUM(GL174:GN174)</f>
        <v>#N/A</v>
      </c>
      <c r="GP174" s="126" t="n">
        <f aca="false"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8" t="n">
        <f aca="false"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8" t="e">
        <f aca="false">VLOOKUP(A174,'Données projet'!$A$269:$I$289,2,0)</f>
        <v>#N/A</v>
      </c>
      <c r="GS174" s="118" t="e">
        <f aca="false">VLOOKUP(A174,'Données projet'!$A$269:$I$289,9,0)</f>
        <v>#N/A</v>
      </c>
      <c r="GT174" s="118" t="e">
        <f aca="false" t="array" ref="GT174:GT174">INDEX(GS:GS,MIN(IF(ISNUMBER(GS174:GS370),ROW(GS174:GS370),"")))</f>
        <v>#N/A</v>
      </c>
      <c r="GU174" s="118" t="n">
        <f aca="false">IF('Données projet'!$A$270&gt;35,GU173+GT174-HC173,IF(A174&lt;'Données projet'!$A$270,$GR$205^A174,IF(A174='Données projet'!$A$270,'Données projet'!$B$270,GU173+GT174-HC173)))</f>
        <v>0</v>
      </c>
      <c r="GV174" s="125" t="e">
        <f aca="false">GU174*VLOOKUP('Données projet'!$B$18,Paramètres!$A$1:$I$89,3,0)*VLOOKUP('Données projet'!$B$18,Paramètres!$A$1:$I$89,5,0)</f>
        <v>#N/A</v>
      </c>
      <c r="GW174" s="117" t="e">
        <f aca="false">EXP(-1.0587+0.8836*LN(GV174)+0.284)</f>
        <v>#N/A</v>
      </c>
      <c r="GX174" s="128" t="e">
        <f aca="false">(GV174+GW174)*0.475*44/12</f>
        <v>#N/A</v>
      </c>
      <c r="GY174" s="120" t="e">
        <f aca="false">GX174+(GP174+GQ174)*44/12</f>
        <v>#N/A</v>
      </c>
      <c r="GZ174" s="120" t="e">
        <f aca="true">AVERAGE(OFFSET($GY$3,0,0,'Données projet'!$E$18+1,1))-AVERAGE(OFFSET($H$3,0,0,'Données projet'!$E$18+1,1))</f>
        <v>#N/A</v>
      </c>
      <c r="HA174" s="120" t="e">
        <f aca="false">$HA$3</f>
        <v>#N/A</v>
      </c>
      <c r="HB174" s="121" t="n">
        <f aca="false">IF(ISNA(VLOOKUP(A174,'Données projet'!$A$269:$I$289,3,0)),0,VLOOKUP(A174,'Données projet'!$A$269:$I$289,3,0))</f>
        <v>0</v>
      </c>
      <c r="HC174" s="121" t="n">
        <f aca="false">IF(ISNA(VLOOKUP(A174,'Données projet'!$A$269:$I$289,4,0)),0,VLOOKUP(A174,'Données projet'!$A$269:$I$289,4,0))</f>
        <v>0</v>
      </c>
      <c r="HD174" s="122" t="n">
        <f aca="false">IF(ISNA(VLOOKUP(A174,'Données projet'!$A$269:$I$289,5,0)),0%,VLOOKUP(A174,'Données projet'!$A$269:$I$289,5,0)*VLOOKUP('Données projet'!$B$18,Paramètres!$A$1:$I$89,7,0))</f>
        <v>0</v>
      </c>
      <c r="HE174" s="122" t="n">
        <f aca="false">IF(ISNA(VLOOKUP(A174,'Données projet'!$A$269:$I$289,6,0)),0%,VLOOKUP(A174,'Données projet'!$A$269:$I$289,6,0)*VLOOKUP('Données projet'!$B$18,Paramètres!$A$1:$I$89,7,0))</f>
        <v>0</v>
      </c>
      <c r="HF174" s="122" t="n">
        <f aca="false">IF(ISNA(VLOOKUP(A174,'Données projet'!$A$269:$I$289,7,0)),0%,VLOOKUP(A174,'Données projet'!$A$269:$I$289,7,0))</f>
        <v>0</v>
      </c>
      <c r="HG174" s="129" t="e">
        <f aca="false">EXP(-LN(2)/35)*HG173+(1-EXP(-LN(2)/35))/(LN(2)/35)*HC174*HD174*VLOOKUP('Données projet'!$B$18,Paramètres!$A$1:$I$89,3,0)*0.475*44/12</f>
        <v>#N/A</v>
      </c>
      <c r="HH174" s="129" t="e">
        <f aca="false">EXP(-LN(2)/25)*HH173+(1-EXP(-LN(2)/25))/(LN(2)/25)*Calculateur!HC174*Calculateur!HE174*VLOOKUP('Données projet'!$B$18,Paramètres!$A$1:$I$89,3,0)*0.475*44/12</f>
        <v>#N/A</v>
      </c>
      <c r="HI174" s="129" t="e">
        <f aca="false">EXP(-LN(2)/2)*HI173+(1-EXP(-LN(2)/2))/(LN(2)/2)*HC174*HF174*VLOOKUP('Données projet'!$B$18,Paramètres!$A$1:$I$89,3,0)*0.475*44/12</f>
        <v>#N/A</v>
      </c>
      <c r="HJ174" s="130" t="e">
        <f aca="false">SUM(HG174:HI174)</f>
        <v>#N/A</v>
      </c>
    </row>
    <row r="175" customFormat="false" ht="14.25" hidden="false" customHeight="false" outlineLevel="0" collapsed="false">
      <c r="A175" s="112" t="n">
        <f aca="false">A174+1</f>
        <v>172</v>
      </c>
      <c r="B175" s="113" t="n">
        <f aca="false">'Scénario référence'!$B$16*5+'Scénario référence'!$B$17*0+'Scénario référence'!$B$18*5</f>
        <v>0</v>
      </c>
      <c r="C175" s="127" t="n">
        <f aca="false"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4" t="n">
        <f aca="false">IFERROR(EXP(-1.0587+0.8836*LN(C175)+0.284),0)</f>
        <v>0</v>
      </c>
      <c r="E17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5" s="114" t="n">
        <f aca="false">IF(OR('Scénario référence'!$F$8&gt;0,'Scénario référence'!$F$9&gt;0),('Scénario référence'!$F$8+'Scénario référence'!$F$9)*10,0)</f>
        <v>0</v>
      </c>
      <c r="G175" s="114" t="n">
        <f aca="false"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15" t="n">
        <f aca="false">(B175+E175+F175)*44/12+(C175+D175)*0.475*44/12</f>
        <v>256.666666666667</v>
      </c>
      <c r="I175" s="11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7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8" t="e">
        <f aca="false">VLOOKUP(A175,'Données projet'!$A$35:$I$55,2,0)</f>
        <v>#N/A</v>
      </c>
      <c r="L175" s="118" t="e">
        <f aca="false">VLOOKUP(A175,'Données projet'!$A$35:$I$55,9,0)</f>
        <v>#N/A</v>
      </c>
      <c r="M175" s="118" t="e">
        <f aca="false" t="array" ref="M175:M175">INDEX(L:L,MIN(IF(ISNUMBER(L175:L371),ROW(L175:L371),"")))</f>
        <v>#N/A</v>
      </c>
      <c r="N175" s="117" t="n">
        <f aca="false">IF('Données projet'!$A$36&gt;35,N174+M175-V174,IF(A175&lt;'Données projet'!$A$36,$K$205^A175,IF(A175='Données projet'!$A$36,'Données projet'!$B$36,N174+M175-V174)))</f>
        <v>-1.13686837721616E-013</v>
      </c>
      <c r="O175" s="117" t="n">
        <f aca="false">N175*VLOOKUP('Données projet'!$B$9,Paramètres!$A$1:$I$89,3,0)*VLOOKUP('Données projet'!$B$9,Paramètres!$A$1:$I$89,5,0)</f>
        <v>-5.32054400537163E-014</v>
      </c>
      <c r="P175" s="117" t="e">
        <f aca="false">EXP(-1.0587+0.8836*LN(O175)+0.284)</f>
        <v>#VALUE!</v>
      </c>
      <c r="Q175" s="128" t="e">
        <f aca="false">(O175+P175)*0.475*44/12</f>
        <v>#VALUE!</v>
      </c>
      <c r="R175" s="120" t="e">
        <f aca="false">Q175+(I175+J175)*44/12</f>
        <v>#VALUE!</v>
      </c>
      <c r="S175" s="120" t="n">
        <f aca="true">AVERAGE(OFFSET($R$3,0,0,'Données projet'!$E$9+1,1))-AVERAGE(OFFSET($H$3,0,0,'Données projet'!$E$9+1,1))</f>
        <v>319.229030946746</v>
      </c>
      <c r="T175" s="120" t="n">
        <f aca="false">$T$3</f>
        <v>254.586909731428</v>
      </c>
      <c r="U175" s="121" t="n">
        <f aca="false">IF(ISNA(VLOOKUP(A175,'Données projet'!$A$35:$I$55,3,0)),0,VLOOKUP(A175,'Données projet'!$A$35:$I$55,3,0))</f>
        <v>0</v>
      </c>
      <c r="V175" s="121" t="n">
        <f aca="false">IF(ISNA(VLOOKUP(A175,'Données projet'!$A$35:$I$55,4,0)),0,VLOOKUP(A175,'Données projet'!$A$35:$I$55,4,0))</f>
        <v>0</v>
      </c>
      <c r="W175" s="122" t="n">
        <f aca="false">IF(ISNA(VLOOKUP(A175,'Données projet'!$A$35:$I$55,5,0)),0%,VLOOKUP(A175,'Données projet'!$A$35:$I$55,5,0)*VLOOKUP('Données projet'!$B$9,Paramètres!$A$1:$I$89,7,0))</f>
        <v>0</v>
      </c>
      <c r="X175" s="122" t="n">
        <f aca="false">IF(ISNA(VLOOKUP(A175,'Données projet'!$A$35:$I$55,6,0)),0%,VLOOKUP(A175,'Données projet'!$A$35:$I$55,6,0)*VLOOKUP('Données projet'!$B$9,Paramètres!$A$1:$I$89,7,0))</f>
        <v>0</v>
      </c>
      <c r="Y175" s="122" t="n">
        <f aca="false">IF(ISNA(VLOOKUP(A175,'Données projet'!$A$35:$I$55,7,0)),0%,VLOOKUP(A175,'Données projet'!$A$35:$I$55,7,0))</f>
        <v>0</v>
      </c>
      <c r="Z175" s="129" t="n">
        <f aca="false">EXP(-LN(2)/35)*Z174+(1-EXP(-LN(2)/35))/(LN(2)/35)*V175*W175*VLOOKUP('Données projet'!$B$9,Paramètres!$A$1:$I$89,3,0)*0.475*44/12</f>
        <v>0.545231310863179</v>
      </c>
      <c r="AA175" s="129" t="n">
        <f aca="false">EXP(-LN(2)/25)*AA174+(1-EXP(-LN(2)/25))/(LN(2)/25)*Calculateur!V175*Calculateur!X175*VLOOKUP('Données projet'!$B$9,Paramètres!$A$1:$I$89,3,0)*0.475*44/12</f>
        <v>0.217508338860597</v>
      </c>
      <c r="AB175" s="129" t="n">
        <f aca="false">EXP(-LN(2)/2)*AB174+(1-EXP(-LN(2)/2))/(LN(2)/2)*V175*Y175*VLOOKUP('Données projet'!$B$9,Paramètres!$A$1:$I$89,3,0)*0.475*44/12</f>
        <v>4.6769469009478E-021</v>
      </c>
      <c r="AC175" s="130" t="n">
        <f aca="false">SUM(Z175:AB175)</f>
        <v>0.762739649723775</v>
      </c>
      <c r="AD175" s="117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7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8" t="e">
        <f aca="false">VLOOKUP(A175,'Données projet'!$A$61:$I$81,2,0)</f>
        <v>#N/A</v>
      </c>
      <c r="AG175" s="118" t="e">
        <f aca="false">VLOOKUP(A175,'Données projet'!$A$61:$I$81,9,0)</f>
        <v>#N/A</v>
      </c>
      <c r="AH175" s="118" t="e">
        <f aca="false" t="array" ref="AH175:AH175">INDEX(AG:AG,MIN(IF(ISNUMBER(AG175:AG371),ROW(AG175:AG371),"")))</f>
        <v>#N/A</v>
      </c>
      <c r="AI175" s="117" t="n">
        <f aca="false">IF('Données projet'!$A$62&gt;35,AI174+AH175-AQ174,IF(A175&lt;'Données projet'!$A$62,$AF$205^A175,IF(A175='Données projet'!$A$62,'Données projet'!$B$62,AI174+AH175-AQ174)))</f>
        <v>1.13686837721616E-013</v>
      </c>
      <c r="AJ175" s="117" t="n">
        <f aca="false">AI175*VLOOKUP('Données projet'!$B$10,Paramètres!$A$1:$I$89,3,0)*VLOOKUP('Données projet'!$B$10,Paramètres!$A$1:$I$89,5,0)</f>
        <v>6.35509422863834E-014</v>
      </c>
      <c r="AK175" s="117" t="n">
        <f aca="false">EXP(-1.0587+0.8836*LN(AJ175)+0.284)</f>
        <v>1.0064464192544E-012</v>
      </c>
      <c r="AL175" s="128" t="n">
        <f aca="false">(AJ175+AK175)*0.475*44/12</f>
        <v>1.86357873801686E-012</v>
      </c>
      <c r="AM175" s="120" t="n">
        <f aca="false">AL175+(AD175+AE175)*44/12</f>
        <v>293.333333333335</v>
      </c>
      <c r="AN175" s="120" t="n">
        <f aca="true">AVERAGE(OFFSET($AM$3,0,0,'Données projet'!$E$10+1,1))-AVERAGE(OFFSET($H$3,0,0,'Données projet'!$E$10+1,1))</f>
        <v>365.705101827279</v>
      </c>
      <c r="AO175" s="120" t="n">
        <f aca="false">$AO$3</f>
        <v>436.238338449625</v>
      </c>
      <c r="AP175" s="121" t="n">
        <f aca="false">IF(ISNA(VLOOKUP(A175,'Données projet'!$A$61:$I$81,3,0)),0,VLOOKUP(A175,'Données projet'!$A$61:$I$81,3,0))</f>
        <v>0</v>
      </c>
      <c r="AQ175" s="121" t="n">
        <f aca="false">IF(ISNA(VLOOKUP(A175,'Données projet'!$A$61:$I$81,4,0)),0,VLOOKUP(A175,'Données projet'!$A$61:$I$81,4,0))</f>
        <v>0</v>
      </c>
      <c r="AR175" s="122" t="n">
        <f aca="false">IF(ISNA(VLOOKUP(A175,'Données projet'!$A$61:$I$81,5,0)),0%,VLOOKUP(A175,'Données projet'!$A$61:$I$81,5,0)*VLOOKUP('Données projet'!$B$10,Paramètres!$A$1:$I$89,7,0))</f>
        <v>0</v>
      </c>
      <c r="AS175" s="122" t="n">
        <f aca="false">IF(ISNA(VLOOKUP(A175,'Données projet'!$A$61:$I$81,6,0)),0%,VLOOKUP(A175,'Données projet'!$A$61:$I$81,6,0)*VLOOKUP('Données projet'!$B$10,Paramètres!$A$1:$I$89,7,0))</f>
        <v>0</v>
      </c>
      <c r="AT175" s="122" t="n">
        <f aca="false">IF(ISNA(VLOOKUP(A175,'Données projet'!$A$61:$I$81,7,0)),0%,VLOOKUP(A175,'Données projet'!$A$61:$I$81,7,0))</f>
        <v>0</v>
      </c>
      <c r="AU175" s="129" t="n">
        <f aca="false">EXP(-LN(2)/35)*AU174+(1-EXP(-LN(2)/35))/(LN(2)/35)*AQ175*AR175*VLOOKUP('Données projet'!$B$10,Paramètres!$A$1:$I$89,3,0)*0.475*44/12</f>
        <v>0.20580714268316</v>
      </c>
      <c r="AV175" s="129" t="n">
        <f aca="false">EXP(-LN(2)/25)*AV174+(1-EXP(-LN(2)/25))/(LN(2)/25)*Calculateur!AQ175*Calculateur!AS175*VLOOKUP('Données projet'!$B$10,Paramètres!$A$1:$I$89,3,0)*0.475*44/12</f>
        <v>0.257626866731267</v>
      </c>
      <c r="AW175" s="129" t="n">
        <f aca="false">EXP(-LN(2)/2)*AW174+(1-EXP(-LN(2)/2))/(LN(2)/2)*AQ175*AT175*VLOOKUP('Données projet'!$B$10,Paramètres!$A$1:$I$89,3,0)*0.475*44/12</f>
        <v>2.51698664524841E-021</v>
      </c>
      <c r="AX175" s="129" t="n">
        <f aca="false">SUM(AU175:AW175)</f>
        <v>0.463434009414427</v>
      </c>
      <c r="AY175" s="124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8" t="e">
        <f aca="false">VLOOKUP(A175,'Données projet'!$A$87:$I$107,2,0)</f>
        <v>#N/A</v>
      </c>
      <c r="BB175" s="118" t="e">
        <f aca="false">VLOOKUP(A175,'Données projet'!$A$87:$I$107,9,0)</f>
        <v>#N/A</v>
      </c>
      <c r="BC175" s="118" t="e">
        <f aca="false" t="array" ref="BC175:BC175">INDEX(BB:BB,MIN(IF(ISNUMBER(BB175:BB371),ROW(BB175:BB371),"")))</f>
        <v>#N/A</v>
      </c>
      <c r="BD175" s="118" t="n">
        <f aca="false">IF('Données projet'!$A$88&gt;35,BD174+BC175-BL174,IF(A175&lt;'Données projet'!$A$88,$BA$205^A175,IF(A175='Données projet'!$A$88,'Données projet'!$B$88,BD174+BC175-BL174)))</f>
        <v>1.98951966012828E-013</v>
      </c>
      <c r="BE175" s="117" t="n">
        <f aca="false">BD175*VLOOKUP('Données projet'!$B$11,Paramètres!$A$1:$I$89,3,0)*VLOOKUP('Données projet'!$B$11,Paramètres!$A$1:$I$89,5,0)</f>
        <v>1.73804437508807E-013</v>
      </c>
      <c r="BF175" s="117" t="n">
        <f aca="false">EXP(-1.0587+0.8836*LN(BE175)+0.284)</f>
        <v>2.44832936339505E-012</v>
      </c>
      <c r="BG175" s="128" t="n">
        <f aca="false">(BE175+BF175)*0.475*44/12</f>
        <v>4.56688303657421E-012</v>
      </c>
      <c r="BH175" s="120" t="n">
        <f aca="false">BG175+(AY175+AZ175)*44/12</f>
        <v>293.333333333338</v>
      </c>
      <c r="BI175" s="120" t="n">
        <f aca="true">AVERAGE(OFFSET($BH$3,0,0,'Données projet'!$E$11+1,1))-AVERAGE(OFFSET($H$3,0,0,'Données projet'!$E$11+1,1))</f>
        <v>321.235999689929</v>
      </c>
      <c r="BJ175" s="120" t="n">
        <f aca="false">$BJ$3</f>
        <v>388.051958478005</v>
      </c>
      <c r="BK175" s="121" t="n">
        <f aca="false">IF(ISNA(VLOOKUP(A175,'Données projet'!$A$87:$I$107,3,0)),0,VLOOKUP(A175,'Données projet'!$A$87:$I$107,3,0))</f>
        <v>0</v>
      </c>
      <c r="BL175" s="121" t="n">
        <f aca="false">IF(ISNA(VLOOKUP(A175,'Données projet'!$A$87:$I$107,4,0)),0,VLOOKUP(A175,'Données projet'!$A$87:$I$107,4,0))</f>
        <v>0</v>
      </c>
      <c r="BM175" s="122" t="n">
        <f aca="false">IF(ISNA(VLOOKUP(A175,'Données projet'!$A$87:$I$107,5,0)),0%,VLOOKUP(A175,'Données projet'!$A$87:$I$107,5,0)*VLOOKUP('Données projet'!$B$11,Paramètres!$A$1:$I$89,7,0))</f>
        <v>0</v>
      </c>
      <c r="BN175" s="122" t="n">
        <f aca="false">IF(ISNA(VLOOKUP(A175,'Données projet'!$A$87:$I$107,6,0)),0%,VLOOKUP(A175,'Données projet'!$A$87:$I$107,6,0)*VLOOKUP('Données projet'!$B$11,Paramètres!$A$1:$I$89,7,0))</f>
        <v>0</v>
      </c>
      <c r="BO175" s="122" t="n">
        <f aca="false">IF(ISNA(VLOOKUP(A175,'Données projet'!$A$87:$I$107,7,0)),0%,VLOOKUP(A175,'Données projet'!$A$87:$I$107,7,0))</f>
        <v>0</v>
      </c>
      <c r="BP175" s="129" t="n">
        <f aca="false">EXP(-LN(2)/35)*BP174+(1-EXP(-LN(2)/35))/(LN(2)/35)*BL175*BM175*VLOOKUP('Données projet'!$B$11,Paramètres!$A$1:$I$89,3,0)*0.475*44/12</f>
        <v>0.516703806804324</v>
      </c>
      <c r="BQ175" s="129" t="n">
        <f aca="false">EXP(-LN(2)/25)*BQ174+(1-EXP(-LN(2)/25))/(LN(2)/25)*Calculateur!BL175*Calculateur!BN175*VLOOKUP('Données projet'!$B$11,Paramètres!$A$1:$I$89,3,0)*0.475*44/12</f>
        <v>0.262970203469477</v>
      </c>
      <c r="BR175" s="129" t="n">
        <f aca="false">EXP(-LN(2)/2)*BR174+(1-EXP(-LN(2)/2))/(LN(2)/2)*BL175*BO175*VLOOKUP('Données projet'!$B$11,Paramètres!$A$1:$I$89,3,0)*0.475*44/12</f>
        <v>2.55846460845783E-021</v>
      </c>
      <c r="BS175" s="130" t="n">
        <f aca="false">SUM(BP175:BR175)</f>
        <v>0.779674010273801</v>
      </c>
      <c r="BT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8" t="e">
        <f aca="false">VLOOKUP(A175,'Données projet'!$A$113:$I$133,2,0)</f>
        <v>#N/A</v>
      </c>
      <c r="BW175" s="118" t="e">
        <f aca="false">VLOOKUP(A175,'Données projet'!$A$113:$I$133,9,0)</f>
        <v>#N/A</v>
      </c>
      <c r="BX175" s="118" t="e">
        <f aca="false" t="array" ref="BX175:BX175">INDEX(BW:BW,MIN(IF(ISNUMBER(BW175:BW371),ROW(BW175:BW371),"")))</f>
        <v>#N/A</v>
      </c>
      <c r="BY175" s="118" t="n">
        <f aca="false">IF('Données projet'!$A$114&gt;35,BY174+BX175-CG174,IF(A175&lt;'Données projet'!$A$114,$BV$205^A175,IF(A175='Données projet'!$A$114,'Données projet'!$B$114,BY174+BX175-CG174)))</f>
        <v>0</v>
      </c>
      <c r="BZ175" s="117" t="n">
        <f aca="false">BY175*VLOOKUP('Données projet'!$B$12,Paramètres!$A$1:$I$89,3,0)*VLOOKUP('Données projet'!$B$12,Paramètres!$A$1:$I$89,5,0)</f>
        <v>0</v>
      </c>
      <c r="CA175" s="117" t="e">
        <f aca="false">EXP(-1.0587+0.8836*LN(BZ175)+0.284)</f>
        <v>#VALUE!</v>
      </c>
      <c r="CB175" s="128" t="e">
        <f aca="false">(BZ175+CA175)*0.475*44/12</f>
        <v>#VALUE!</v>
      </c>
      <c r="CC175" s="120" t="e">
        <f aca="false">CB175+(BT175+BU175)*44/12</f>
        <v>#VALUE!</v>
      </c>
      <c r="CD175" s="120" t="n">
        <f aca="true">AVERAGE(OFFSET($CC$3,0,0,'Données projet'!$E$12+1,1))-AVERAGE(OFFSET($H$3,0,0,'Données projet'!$E$12+1,1))</f>
        <v>240.228848647662</v>
      </c>
      <c r="CE175" s="120" t="n">
        <f aca="false">$CE$3</f>
        <v>343.237768841432</v>
      </c>
      <c r="CF175" s="121" t="n">
        <f aca="false">IF(ISNA(VLOOKUP(A175,'Données projet'!$A$113:$I$133,3,0)),0,VLOOKUP(A175,'Données projet'!$A$113:$I$133,3,0))</f>
        <v>0</v>
      </c>
      <c r="CG175" s="121" t="n">
        <f aca="false">IF(ISNA(VLOOKUP(A175,'Données projet'!$A$113:$I$133,4,0)),0,VLOOKUP(A175,'Données projet'!$A$113:$I$133,4,0))</f>
        <v>0</v>
      </c>
      <c r="CH175" s="122" t="n">
        <f aca="false">IF(ISNA(VLOOKUP(A175,'Données projet'!$A$113:$I$133,5,0)),0%,VLOOKUP(A175,'Données projet'!$A$113:$I$133,5,0)*VLOOKUP('Données projet'!$B$12,Paramètres!$A$1:$I$89,7,0))</f>
        <v>0</v>
      </c>
      <c r="CI175" s="122" t="n">
        <f aca="false">IF(ISNA(VLOOKUP(A175,'Données projet'!$A$113:$I$133,6,0)),0%,VLOOKUP(A175,'Données projet'!$A$113:$I$133,6,0)*VLOOKUP('Données projet'!$B$12,Paramètres!$A$1:$I$89,7,0))</f>
        <v>0</v>
      </c>
      <c r="CJ175" s="122" t="n">
        <f aca="false">IF(ISNA(VLOOKUP(A175,'Données projet'!$A$113:$I$133,7,0)),0%,VLOOKUP(A175,'Données projet'!$A$113:$I$133,7,0))</f>
        <v>0</v>
      </c>
      <c r="CK175" s="129" t="n">
        <f aca="false">EXP(-LN(2)/35)*CK174+(1-EXP(-LN(2)/35))/(LN(2)/35)*CG175*CH175*VLOOKUP('Données projet'!$B$12,Paramètres!$A$1:$I$89,3,0)*0.475*44/12</f>
        <v>0.316262984588317</v>
      </c>
      <c r="CL175" s="129" t="n">
        <f aca="false">EXP(-LN(2)/25)*CL174+(1-EXP(-LN(2)/25))/(LN(2)/25)*Calculateur!CG175*Calculateur!CI175*VLOOKUP('Données projet'!$B$12,Paramètres!$A$1:$I$89,3,0)*0.475*44/12</f>
        <v>0.464420602642375</v>
      </c>
      <c r="CM175" s="129" t="n">
        <f aca="false">EXP(-LN(2)/2)*CM174+(1-EXP(-LN(2)/2))/(LN(2)/2)*CG175*CJ175*VLOOKUP('Données projet'!$B$12,Paramètres!$A$1:$I$89,3,0)*0.475*44/12</f>
        <v>4.08262742882503E-021</v>
      </c>
      <c r="CN175" s="130" t="n">
        <f aca="false">SUM(CK175:CM175)</f>
        <v>0.780683587230692</v>
      </c>
      <c r="CO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8" t="e">
        <f aca="false">VLOOKUP(A175,'Données projet'!$A$139:$I$159,2,0)</f>
        <v>#N/A</v>
      </c>
      <c r="CR175" s="118" t="e">
        <f aca="false">VLOOKUP(A175,'Données projet'!$A$139:$I$159,9,0)</f>
        <v>#N/A</v>
      </c>
      <c r="CS175" s="118" t="e">
        <f aca="false" t="array" ref="CS175:CS175">INDEX(CR:CR,MIN(IF(ISNUMBER(CR175:CR371),ROW(CR175:CR371),"")))</f>
        <v>#N/A</v>
      </c>
      <c r="CT175" s="118" t="n">
        <f aca="false">IF('Données projet'!$A$140&gt;35,CT174+CS175-DB174,IF(A175&lt;'Données projet'!$A$140,$CQ$205^A175,IF(A175='Données projet'!$A$140,'Données projet'!$B$140,CT174+CS175-DB174)))</f>
        <v>-5.6843418860808E-014</v>
      </c>
      <c r="CU175" s="125" t="n">
        <f aca="false">CT175*VLOOKUP('Données projet'!$B$13,Paramètres!$A$1:$I$89,3,0)*VLOOKUP('Données projet'!$B$13,Paramètres!$A$1:$I$89,5,0)</f>
        <v>-3.10365066980012E-014</v>
      </c>
      <c r="CV175" s="117" t="e">
        <f aca="false">EXP(-1.0587+0.8836*LN(CU175)+0.284)</f>
        <v>#VALUE!</v>
      </c>
      <c r="CW175" s="128" t="e">
        <f aca="false">(CU175+CV175)*0.475*44/12</f>
        <v>#VALUE!</v>
      </c>
      <c r="CX175" s="120" t="e">
        <f aca="false">CW175+(CO175+CP175)*44/12</f>
        <v>#VALUE!</v>
      </c>
      <c r="CY175" s="120" t="n">
        <f aca="true">AVERAGE(OFFSET($CX$3,0,0,'Données projet'!$E$13+1,1))-AVERAGE(OFFSET($H$3,0,0,'Données projet'!$E$13+1,1))</f>
        <v>207.023069645676</v>
      </c>
      <c r="CZ175" s="120" t="n">
        <f aca="false">$CZ$3</f>
        <v>342.068879333518</v>
      </c>
      <c r="DA175" s="121" t="n">
        <f aca="false">IF(ISNA(VLOOKUP(A175,'Données projet'!$A$139:$I$159,3,0)),0,VLOOKUP(A175,'Données projet'!$A$139:$I$159,3,0))</f>
        <v>0</v>
      </c>
      <c r="DB175" s="121" t="n">
        <f aca="false">IF(ISNA(VLOOKUP(A175,'Données projet'!$A$139:$I$159,4,0)),0,VLOOKUP(A175,'Données projet'!$A$139:$I$159,4,0))</f>
        <v>0</v>
      </c>
      <c r="DC175" s="122" t="n">
        <f aca="false">IF(ISNA(VLOOKUP(A175,'Données projet'!$A$139:$I$159,5,0)),0%,VLOOKUP(A175,'Données projet'!$A$139:$I$159,5,0)*VLOOKUP('Données projet'!$B$13,Paramètres!$A$1:$I$89,7,0))</f>
        <v>0</v>
      </c>
      <c r="DD175" s="122" t="n">
        <f aca="false">IF(ISNA(VLOOKUP(A175,'Données projet'!$A$139:$I$159,6,0)),0%,VLOOKUP(A175,'Données projet'!$A$139:$I$159,6,0)*VLOOKUP('Données projet'!$B$13,Paramètres!$A$1:$I$89,7,0))</f>
        <v>0</v>
      </c>
      <c r="DE175" s="122" t="n">
        <f aca="false">IF(ISNA(VLOOKUP(A175,'Données projet'!$A$139:$I$159,7,0)),0%,VLOOKUP(A175,'Données projet'!$A$139:$I$159,7,0))</f>
        <v>0</v>
      </c>
      <c r="DF175" s="129" t="n">
        <f aca="false">EXP(-LN(2)/35)*DF174+(1-EXP(-LN(2)/35))/(LN(2)/35)*DB175*DC175*VLOOKUP('Données projet'!$B$13,Paramètres!$A$1:$I$89,3,0)*0.475*44/12</f>
        <v>0.396820537266473</v>
      </c>
      <c r="DG175" s="129" t="n">
        <f aca="false">EXP(-LN(2)/25)*DG174+(1-EXP(-LN(2)/25))/(LN(2)/25)*Calculateur!DB175*Calculateur!DD175*VLOOKUP('Données projet'!$B$13,Paramètres!$A$1:$I$89,3,0)*0.475*44/12</f>
        <v>0.759134259328478</v>
      </c>
      <c r="DH175" s="129" t="n">
        <f aca="false">EXP(-LN(2)/2)*DH174+(1-EXP(-LN(2)/2))/(LN(2)/2)*DB175*DE175*VLOOKUP('Données projet'!$B$13,Paramètres!$A$1:$I$89,3,0)*0.475*44/12</f>
        <v>5.62177986230098E-021</v>
      </c>
      <c r="DI175" s="130" t="n">
        <f aca="false">SUM(DF175:DH175)</f>
        <v>1.15595479659495</v>
      </c>
      <c r="DJ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8" t="e">
        <f aca="false">VLOOKUP(A175,'Données projet'!$A$165:$I$185,2,0)</f>
        <v>#N/A</v>
      </c>
      <c r="DM175" s="118" t="e">
        <f aca="false">VLOOKUP(A175,'Données projet'!$A$165:$I$185,9,0)</f>
        <v>#N/A</v>
      </c>
      <c r="DN175" s="118" t="e">
        <f aca="false" t="array" ref="DN175:DN175">INDEX(DM:DM,MIN(IF(ISNUMBER(DM175:DM371),ROW(DM175:DM371),"")))</f>
        <v>#N/A</v>
      </c>
      <c r="DO175" s="118" t="n">
        <f aca="false">IF('Données projet'!$A$166&gt;35,DO174+DN175-DW174,IF(A175&lt;'Données projet'!$A$166,$DL$205^A175,IF(A175='Données projet'!$A$166,'Données projet'!$B$166,DO174+DN175-DW174)))</f>
        <v>0</v>
      </c>
      <c r="DP175" s="125" t="n">
        <f aca="false">DO175*VLOOKUP('Données projet'!$B$14,Paramètres!$A$1:$I$89,3,0)*VLOOKUP('Données projet'!$B$14,Paramètres!$A$1:$I$89,5,0)</f>
        <v>0</v>
      </c>
      <c r="DQ175" s="117" t="e">
        <f aca="false">EXP(-1.0587+0.8836*LN(DP175)+0.284)</f>
        <v>#VALUE!</v>
      </c>
      <c r="DR175" s="128" t="e">
        <f aca="false">(DP175+DQ175)*0.475*44/12</f>
        <v>#VALUE!</v>
      </c>
      <c r="DS175" s="120" t="e">
        <f aca="false">DR175+(DJ175+DK175)*44/12</f>
        <v>#VALUE!</v>
      </c>
      <c r="DT175" s="120" t="n">
        <f aca="true">AVERAGE(OFFSET($DS$3,0,0,'Données projet'!$E$14+1,1))-AVERAGE(OFFSET($H$3,0,0,'Données projet'!$E$14+1,1))</f>
        <v>549.432320957297</v>
      </c>
      <c r="DU175" s="120" t="n">
        <f aca="false">$DU$3</f>
        <v>280.26155987301</v>
      </c>
      <c r="DV175" s="121" t="n">
        <f aca="false">IF(ISNA(VLOOKUP(A175,'Données projet'!$A$165:$I$185,3,0)),0,VLOOKUP(A175,'Données projet'!$A$165:$I$185,3,0))</f>
        <v>0</v>
      </c>
      <c r="DW175" s="121" t="n">
        <f aca="false">IF(ISNA(VLOOKUP(A175,'Données projet'!$A$165:$I$185,4,0)),0,VLOOKUP(A175,'Données projet'!$A$165:$I$185,4,0))</f>
        <v>0</v>
      </c>
      <c r="DX175" s="122" t="n">
        <f aca="false">IF(ISNA(VLOOKUP(A175,'Données projet'!$A$165:$I$185,5,0)),0%,VLOOKUP(A175,'Données projet'!$A$165:$I$185,5,0)*VLOOKUP('Données projet'!$B$14,Paramètres!$A$1:$I$89,7,0))</f>
        <v>0</v>
      </c>
      <c r="DY175" s="122" t="n">
        <f aca="false">IF(ISNA(VLOOKUP(A175,'Données projet'!$A$165:$I$185,6,0)),0%,VLOOKUP(A175,'Données projet'!$A$165:$I$185,6,0)*VLOOKUP('Données projet'!$B$14,Paramètres!$A$1:$I$89,7,0))</f>
        <v>0</v>
      </c>
      <c r="DZ175" s="122" t="n">
        <f aca="false">IF(ISNA(VLOOKUP(A175,'Données projet'!$A$165:$I$185,7,0)),0%,VLOOKUP(A175,'Données projet'!$A$165:$I$185,7,0))</f>
        <v>0</v>
      </c>
      <c r="EA175" s="129" t="n">
        <f aca="false">EXP(-LN(2)/35)*EA174+(1-EXP(-LN(2)/35))/(LN(2)/35)*DW175*DX175*VLOOKUP('Données projet'!$B$14,Paramètres!$A$1:$I$89,3,0)*0.475*44/12</f>
        <v>0.144283504877803</v>
      </c>
      <c r="EB175" s="129" t="n">
        <f aca="false">EXP(-LN(2)/25)*EB174+(1-EXP(-LN(2)/25))/(LN(2)/25)*Calculateur!DW175*Calculateur!DY175*VLOOKUP('Données projet'!$B$14,Paramètres!$A$1:$I$89,3,0)*0.475*44/12</f>
        <v>0.151234521913921</v>
      </c>
      <c r="EC175" s="129" t="n">
        <f aca="false">EXP(-LN(2)/2)*EC174+(1-EXP(-LN(2)/2))/(LN(2)/2)*DW175*DZ175*VLOOKUP('Données projet'!$B$14,Paramètres!$A$1:$I$89,3,0)*0.475*44/12</f>
        <v>2.59152463357359E-021</v>
      </c>
      <c r="ED175" s="130" t="n">
        <f aca="false">SUM(EA175:EC175)</f>
        <v>0.295518026791723</v>
      </c>
      <c r="EE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8" t="e">
        <f aca="false">VLOOKUP(A175,'Données projet'!$A$191:$I$211,2,0)</f>
        <v>#N/A</v>
      </c>
      <c r="EH175" s="118" t="e">
        <f aca="false">VLOOKUP(A175,'Données projet'!$A$191:$I$211,9,0)</f>
        <v>#N/A</v>
      </c>
      <c r="EI175" s="118" t="e">
        <f aca="false" t="array" ref="EI175:EI175">INDEX(EH:EH,MIN(IF(ISNUMBER(EH175:EH371),ROW(EH175:EH371),"")))</f>
        <v>#N/A</v>
      </c>
      <c r="EJ175" s="118" t="n">
        <f aca="false">IF('Données projet'!$A$192&gt;35,EJ174+EI175-ER174,IF(A175&lt;'Données projet'!$A$192,$EG$205^A175,IF(A175='Données projet'!$A$192,'Données projet'!$B$192,EJ174+EI175-ER174)))</f>
        <v>0</v>
      </c>
      <c r="EK175" s="125" t="e">
        <f aca="false">EJ175*VLOOKUP('Données projet'!$B$15,Paramètres!$A$1:$I$89,3,0)*VLOOKUP('Données projet'!$B$15,Paramètres!$A$1:$I$89,5,0)</f>
        <v>#N/A</v>
      </c>
      <c r="EL175" s="117" t="e">
        <f aca="false">EXP(-1.0587+0.8836*LN(EK175)+0.284)</f>
        <v>#N/A</v>
      </c>
      <c r="EM175" s="128" t="e">
        <f aca="false">(EK175+EL175)*0.475*44/12</f>
        <v>#N/A</v>
      </c>
      <c r="EN175" s="120" t="e">
        <f aca="false">EM175+(EE175+EF175)*44/12</f>
        <v>#N/A</v>
      </c>
      <c r="EO175" s="120" t="e">
        <f aca="true">AVERAGE(OFFSET($EN$3,0,0,'Données projet'!$E$15+1,1))-AVERAGE(OFFSET($H$3,0,0,'Données projet'!$E$15+1,1))</f>
        <v>#N/A</v>
      </c>
      <c r="EP175" s="120" t="e">
        <f aca="false">$EP$3</f>
        <v>#N/A</v>
      </c>
      <c r="EQ175" s="121" t="n">
        <f aca="false">IF(ISNA(VLOOKUP(A175,'Données projet'!$A$191:$I$211,3,0)),0,VLOOKUP(A175,'Données projet'!$A$191:$I$211,3,0))</f>
        <v>0</v>
      </c>
      <c r="ER175" s="121" t="n">
        <f aca="false">IF(ISNA(VLOOKUP(A175,'Données projet'!$A$191:$I$211,4,0)),0,VLOOKUP(A175,'Données projet'!$A$191:$I$211,4,0))</f>
        <v>0</v>
      </c>
      <c r="ES175" s="122" t="n">
        <f aca="false">IF(ISNA(VLOOKUP(A175,'Données projet'!$A$191:$I$211,5,0)),0%,VLOOKUP(A175,'Données projet'!$A$191:$I$211,5,0)*VLOOKUP('Données projet'!$B$15,Paramètres!$A$1:$I$89,7,0))</f>
        <v>0</v>
      </c>
      <c r="ET175" s="122" t="n">
        <f aca="false">IF(ISNA(VLOOKUP(A175,'Données projet'!$A$191:$I$211,6,0)),0%,VLOOKUP(A175,'Données projet'!$A$191:$I$211,6,0)*VLOOKUP('Données projet'!$B$15,Paramètres!$A$1:$I$89,7,0))</f>
        <v>0</v>
      </c>
      <c r="EU175" s="122" t="n">
        <f aca="false">IF(ISNA(VLOOKUP(A175,'Données projet'!$A$191:$I$211,7,0)),0%,VLOOKUP(A175,'Données projet'!$A$191:$I$211,7,0))</f>
        <v>0</v>
      </c>
      <c r="EV175" s="129" t="e">
        <f aca="false">EXP(-LN(2)/35)*EV174+(1-EXP(-LN(2)/35))/(LN(2)/35)*ER175*ES175*VLOOKUP('Données projet'!$B$15,Paramètres!$A$1:$I$89,3,0)*0.475*44/12</f>
        <v>#N/A</v>
      </c>
      <c r="EW175" s="129" t="e">
        <f aca="false">EXP(-LN(2)/25)*EW174+(1-EXP(-LN(2)/25))/(LN(2)/25)*Calculateur!ER175*Calculateur!ET175*VLOOKUP('Données projet'!$B$15,Paramètres!$A$1:$I$89,3,0)*0.475*44/12</f>
        <v>#N/A</v>
      </c>
      <c r="EX175" s="129" t="e">
        <f aca="false">EXP(-LN(2)/2)*EX174+(1-EXP(-LN(2)/2))/(LN(2)/2)*ER175*EU175*VLOOKUP('Données projet'!$B$15,Paramètres!$A$1:$I$89,3,0)*0.475*44/12</f>
        <v>#N/A</v>
      </c>
      <c r="EY175" s="130" t="e">
        <f aca="false">SUM(EV175:EX175)</f>
        <v>#N/A</v>
      </c>
      <c r="EZ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8" t="e">
        <f aca="false">VLOOKUP(A175,'Données projet'!$A$217:$I$237,2,0)</f>
        <v>#N/A</v>
      </c>
      <c r="FC175" s="118" t="e">
        <f aca="false">VLOOKUP(A175,'Données projet'!$A$217:$I$237,9,0)</f>
        <v>#N/A</v>
      </c>
      <c r="FD175" s="118" t="e">
        <f aca="false" t="array" ref="FD175:FD175">INDEX(FC:FC,MIN(IF(ISNUMBER(FC175:FC371),ROW(FC175:FC371),"")))</f>
        <v>#N/A</v>
      </c>
      <c r="FE175" s="118" t="n">
        <f aca="false">IF('Données projet'!$A$218&gt;35,FE174+FD175-FM174,IF(A175&lt;'Données projet'!$A$218,$FB$205^A175,IF(A175='Données projet'!$A$218,'Données projet'!$B$218,FE174+FD175-FM174)))</f>
        <v>0</v>
      </c>
      <c r="FF175" s="125" t="e">
        <f aca="false">FE175*VLOOKUP('Données projet'!$B$16,Paramètres!$A$1:$I$89,3,0)*VLOOKUP('Données projet'!$B$16,Paramètres!$A$1:$I$89,5,0)</f>
        <v>#N/A</v>
      </c>
      <c r="FG175" s="117" t="e">
        <f aca="false">EXP(-1.0587+0.8836*LN(FF175)+0.284)</f>
        <v>#N/A</v>
      </c>
      <c r="FH175" s="128" t="e">
        <f aca="false">(FF175+FG175)*0.475*44/12</f>
        <v>#N/A</v>
      </c>
      <c r="FI175" s="120" t="e">
        <f aca="false">FH175+(EZ175+FA175)*44/12</f>
        <v>#N/A</v>
      </c>
      <c r="FJ175" s="120" t="e">
        <f aca="true">AVERAGE(OFFSET($FI$3,0,0,'Données projet'!$E$16+1,1))-AVERAGE(OFFSET($H$3,0,0,'Données projet'!$E$16+1,1))</f>
        <v>#N/A</v>
      </c>
      <c r="FK175" s="120" t="e">
        <f aca="false">$FK$3</f>
        <v>#N/A</v>
      </c>
      <c r="FL175" s="121" t="n">
        <f aca="false">IF(ISNA(VLOOKUP(A175,'Données projet'!$A$217:$I$237,3,0)),0,VLOOKUP(A175,'Données projet'!$A$217:$I$237,3,0))</f>
        <v>0</v>
      </c>
      <c r="FM175" s="121" t="n">
        <f aca="false">IF(ISNA(VLOOKUP(A175,'Données projet'!$A$217:$I$237,4,0)),0,VLOOKUP(A175,'Données projet'!$A$217:$I$237,4,0))</f>
        <v>0</v>
      </c>
      <c r="FN175" s="122" t="n">
        <f aca="false">IF(ISNA(VLOOKUP(A175,'Données projet'!$A$217:$I$237,5,0)),0%,VLOOKUP(A175,'Données projet'!$A$217:$I$237,5,0)*VLOOKUP('Données projet'!$B$16,Paramètres!$A$1:$I$89,7,0))</f>
        <v>0</v>
      </c>
      <c r="FO175" s="122" t="n">
        <f aca="false">IF(ISNA(VLOOKUP(A175,'Données projet'!$A$217:$I$237,6,0)),0%,VLOOKUP(A175,'Données projet'!$A$217:$I$237,6,0)*VLOOKUP('Données projet'!$B$16,Paramètres!$A$1:$I$89,7,0))</f>
        <v>0</v>
      </c>
      <c r="FP175" s="122" t="n">
        <f aca="false">IF(ISNA(VLOOKUP(A175,'Données projet'!$A$217:$I$237,7,0)),0%,VLOOKUP(A175,'Données projet'!$A$217:$I$237,7,0))</f>
        <v>0</v>
      </c>
      <c r="FQ175" s="129" t="e">
        <f aca="false">EXP(-LN(2)/35)*FQ174+(1-EXP(-LN(2)/35))/(LN(2)/35)*FM175*FN175*VLOOKUP('Données projet'!$B$16,Paramètres!$A$1:$I$89,3,0)*0.475*44/12</f>
        <v>#N/A</v>
      </c>
      <c r="FR175" s="129" t="e">
        <f aca="false">EXP(-LN(2)/25)*FR174+(1-EXP(-LN(2)/25))/(LN(2)/25)*Calculateur!FM175*Calculateur!FO175*VLOOKUP('Données projet'!$B$16,Paramètres!$A$1:$I$89,3,0)*0.475*44/12</f>
        <v>#N/A</v>
      </c>
      <c r="FS175" s="129" t="e">
        <f aca="false">EXP(-LN(2)/2)*FS174+(1-EXP(-LN(2)/2))/(LN(2)/2)*FM175*FP175*VLOOKUP('Données projet'!$B$16,Paramètres!$A$1:$I$89,3,0)*0.475*44/12</f>
        <v>#N/A</v>
      </c>
      <c r="FT175" s="130" t="e">
        <f aca="false">SUM(FQ175:FS175)</f>
        <v>#N/A</v>
      </c>
      <c r="FU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8" t="e">
        <f aca="false">VLOOKUP(A175,'Données projet'!$A$243:$I$263,2,0)</f>
        <v>#N/A</v>
      </c>
      <c r="FX175" s="118" t="e">
        <f aca="false">VLOOKUP(A175,'Données projet'!$A$243:$I$263,9,0)</f>
        <v>#N/A</v>
      </c>
      <c r="FY175" s="118" t="e">
        <f aca="false" t="array" ref="FY175:FY175">INDEX(FX:FX,MIN(IF(ISNUMBER(FX175:FX371),ROW(FX175:FX371),"")))</f>
        <v>#N/A</v>
      </c>
      <c r="FZ175" s="118" t="n">
        <f aca="false">IF('Données projet'!$A$244&gt;35,FZ174+FY175-GH174,IF(A175&lt;'Données projet'!$A$244,$FW$205^A175,IF(A175='Données projet'!$A$244,'Données projet'!$B$244,FZ174+FY175-GH174)))</f>
        <v>0</v>
      </c>
      <c r="GA175" s="125" t="e">
        <f aca="false">FZ175*VLOOKUP('Données projet'!$B$17,Paramètres!$A$1:$I$89,3,0)*VLOOKUP('Données projet'!$B$17,Paramètres!$A$1:$I$89,5,0)</f>
        <v>#N/A</v>
      </c>
      <c r="GB175" s="117" t="e">
        <f aca="false">EXP(-1.0587+0.8836*LN(GA175)+0.284)</f>
        <v>#N/A</v>
      </c>
      <c r="GC175" s="128" t="e">
        <f aca="false">(GA175+GB175)*0.475*44/12</f>
        <v>#N/A</v>
      </c>
      <c r="GD175" s="120" t="e">
        <f aca="false">GC175+(FU175+FV175)*44/12</f>
        <v>#N/A</v>
      </c>
      <c r="GE175" s="120" t="e">
        <f aca="true">AVERAGE(OFFSET($GD$3,0,0,'Données projet'!$E$17+1,1))-AVERAGE(OFFSET($H$3,0,0,'Données projet'!$E$17+1,1))</f>
        <v>#N/A</v>
      </c>
      <c r="GF175" s="120" t="e">
        <f aca="false">$GF$3</f>
        <v>#N/A</v>
      </c>
      <c r="GG175" s="121" t="n">
        <f aca="false">IF(ISNA(VLOOKUP(A175,'Données projet'!$A$243:$I$263,3,0)),0,VLOOKUP(A175,'Données projet'!$A$243:$I$263,3,0))</f>
        <v>0</v>
      </c>
      <c r="GH175" s="121" t="n">
        <f aca="false">IF(ISNA(VLOOKUP(A175,'Données projet'!$A$243:$I$263,4,0)),0,VLOOKUP(A175,'Données projet'!$A$243:$I$263,4,0))</f>
        <v>0</v>
      </c>
      <c r="GI175" s="122" t="n">
        <f aca="false">IF(ISNA(VLOOKUP(A175,'Données projet'!$A$243:$I$263,5,0)),0%,VLOOKUP(A175,'Données projet'!$A$243:$I$263,5,0)*VLOOKUP('Données projet'!$B$17,Paramètres!$A$1:$I$89,7,0))</f>
        <v>0</v>
      </c>
      <c r="GJ175" s="122" t="n">
        <f aca="false">IF(ISNA(VLOOKUP(A175,'Données projet'!$A$243:$I$263,6,0)),0%,VLOOKUP(A175,'Données projet'!$A$243:$I$263,6,0)*VLOOKUP('Données projet'!$B$17,Paramètres!$A$1:$I$89,7,0))</f>
        <v>0</v>
      </c>
      <c r="GK175" s="122" t="n">
        <f aca="false">IF(ISNA(VLOOKUP(A175,'Données projet'!$A$243:$I$263,7,0)),0%,VLOOKUP(A175,'Données projet'!$A$243:$I$263,7,0))</f>
        <v>0</v>
      </c>
      <c r="GL175" s="129" t="e">
        <f aca="false">EXP(-LN(2)/35)*GL174+(1-EXP(-LN(2)/35))/(LN(2)/35)*GH175*GI175*VLOOKUP('Données projet'!$B$17,Paramètres!$A$1:$I$89,3,0)*0.475*44/12</f>
        <v>#N/A</v>
      </c>
      <c r="GM175" s="129" t="e">
        <f aca="false">EXP(-LN(2)/25)*GM174+(1-EXP(-LN(2)/25))/(LN(2)/25)*Calculateur!GH175*Calculateur!GJ175*VLOOKUP('Données projet'!$B$17,Paramètres!$A$1:$I$89,3,0)*0.475*44/12</f>
        <v>#N/A</v>
      </c>
      <c r="GN175" s="129" t="e">
        <f aca="false">EXP(-LN(2)/2)*GN174+(1-EXP(-LN(2)/2))/(LN(2)/2)*GH175*GK175*VLOOKUP('Données projet'!$B$17,Paramètres!$A$1:$I$89,3,0)*0.475*44/12</f>
        <v>#N/A</v>
      </c>
      <c r="GO175" s="129" t="e">
        <f aca="false">SUM(GL175:GN175)</f>
        <v>#N/A</v>
      </c>
      <c r="GP175" s="126" t="n">
        <f aca="false"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8" t="n">
        <f aca="false"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8" t="e">
        <f aca="false">VLOOKUP(A175,'Données projet'!$A$269:$I$289,2,0)</f>
        <v>#N/A</v>
      </c>
      <c r="GS175" s="118" t="e">
        <f aca="false">VLOOKUP(A175,'Données projet'!$A$269:$I$289,9,0)</f>
        <v>#N/A</v>
      </c>
      <c r="GT175" s="118" t="e">
        <f aca="false" t="array" ref="GT175:GT175">INDEX(GS:GS,MIN(IF(ISNUMBER(GS175:GS371),ROW(GS175:GS371),"")))</f>
        <v>#N/A</v>
      </c>
      <c r="GU175" s="118" t="n">
        <f aca="false">IF('Données projet'!$A$270&gt;35,GU174+GT175-HC174,IF(A175&lt;'Données projet'!$A$270,$GR$205^A175,IF(A175='Données projet'!$A$270,'Données projet'!$B$270,GU174+GT175-HC174)))</f>
        <v>0</v>
      </c>
      <c r="GV175" s="125" t="e">
        <f aca="false">GU175*VLOOKUP('Données projet'!$B$18,Paramètres!$A$1:$I$89,3,0)*VLOOKUP('Données projet'!$B$18,Paramètres!$A$1:$I$89,5,0)</f>
        <v>#N/A</v>
      </c>
      <c r="GW175" s="117" t="e">
        <f aca="false">EXP(-1.0587+0.8836*LN(GV175)+0.284)</f>
        <v>#N/A</v>
      </c>
      <c r="GX175" s="128" t="e">
        <f aca="false">(GV175+GW175)*0.475*44/12</f>
        <v>#N/A</v>
      </c>
      <c r="GY175" s="120" t="e">
        <f aca="false">GX175+(GP175+GQ175)*44/12</f>
        <v>#N/A</v>
      </c>
      <c r="GZ175" s="120" t="e">
        <f aca="true">AVERAGE(OFFSET($GY$3,0,0,'Données projet'!$E$18+1,1))-AVERAGE(OFFSET($H$3,0,0,'Données projet'!$E$18+1,1))</f>
        <v>#N/A</v>
      </c>
      <c r="HA175" s="120" t="e">
        <f aca="false">$HA$3</f>
        <v>#N/A</v>
      </c>
      <c r="HB175" s="121" t="n">
        <f aca="false">IF(ISNA(VLOOKUP(A175,'Données projet'!$A$269:$I$289,3,0)),0,VLOOKUP(A175,'Données projet'!$A$269:$I$289,3,0))</f>
        <v>0</v>
      </c>
      <c r="HC175" s="121" t="n">
        <f aca="false">IF(ISNA(VLOOKUP(A175,'Données projet'!$A$269:$I$289,4,0)),0,VLOOKUP(A175,'Données projet'!$A$269:$I$289,4,0))</f>
        <v>0</v>
      </c>
      <c r="HD175" s="122" t="n">
        <f aca="false">IF(ISNA(VLOOKUP(A175,'Données projet'!$A$269:$I$289,5,0)),0%,VLOOKUP(A175,'Données projet'!$A$269:$I$289,5,0)*VLOOKUP('Données projet'!$B$18,Paramètres!$A$1:$I$89,7,0))</f>
        <v>0</v>
      </c>
      <c r="HE175" s="122" t="n">
        <f aca="false">IF(ISNA(VLOOKUP(A175,'Données projet'!$A$269:$I$289,6,0)),0%,VLOOKUP(A175,'Données projet'!$A$269:$I$289,6,0)*VLOOKUP('Données projet'!$B$18,Paramètres!$A$1:$I$89,7,0))</f>
        <v>0</v>
      </c>
      <c r="HF175" s="122" t="n">
        <f aca="false">IF(ISNA(VLOOKUP(A175,'Données projet'!$A$269:$I$289,7,0)),0%,VLOOKUP(A175,'Données projet'!$A$269:$I$289,7,0))</f>
        <v>0</v>
      </c>
      <c r="HG175" s="129" t="e">
        <f aca="false">EXP(-LN(2)/35)*HG174+(1-EXP(-LN(2)/35))/(LN(2)/35)*HC175*HD175*VLOOKUP('Données projet'!$B$18,Paramètres!$A$1:$I$89,3,0)*0.475*44/12</f>
        <v>#N/A</v>
      </c>
      <c r="HH175" s="129" t="e">
        <f aca="false">EXP(-LN(2)/25)*HH174+(1-EXP(-LN(2)/25))/(LN(2)/25)*Calculateur!HC175*Calculateur!HE175*VLOOKUP('Données projet'!$B$18,Paramètres!$A$1:$I$89,3,0)*0.475*44/12</f>
        <v>#N/A</v>
      </c>
      <c r="HI175" s="129" t="e">
        <f aca="false">EXP(-LN(2)/2)*HI174+(1-EXP(-LN(2)/2))/(LN(2)/2)*HC175*HF175*VLOOKUP('Données projet'!$B$18,Paramètres!$A$1:$I$89,3,0)*0.475*44/12</f>
        <v>#N/A</v>
      </c>
      <c r="HJ175" s="130" t="e">
        <f aca="false">SUM(HG175:HI175)</f>
        <v>#N/A</v>
      </c>
    </row>
    <row r="176" customFormat="false" ht="14.25" hidden="false" customHeight="false" outlineLevel="0" collapsed="false">
      <c r="A176" s="112" t="n">
        <f aca="false">A175+1</f>
        <v>173</v>
      </c>
      <c r="B176" s="113" t="n">
        <f aca="false">'Scénario référence'!$B$16*5+'Scénario référence'!$B$17*0+'Scénario référence'!$B$18*5</f>
        <v>0</v>
      </c>
      <c r="C176" s="127" t="n">
        <f aca="false"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4" t="n">
        <f aca="false">IFERROR(EXP(-1.0587+0.8836*LN(C176)+0.284),0)</f>
        <v>0</v>
      </c>
      <c r="E17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6" s="114" t="n">
        <f aca="false">IF(OR('Scénario référence'!$F$8&gt;0,'Scénario référence'!$F$9&gt;0),('Scénario référence'!$F$8+'Scénario référence'!$F$9)*10,0)</f>
        <v>0</v>
      </c>
      <c r="G176" s="114" t="n">
        <f aca="false"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15" t="n">
        <f aca="false">(B176+E176+F176)*44/12+(C176+D176)*0.475*44/12</f>
        <v>256.666666666667</v>
      </c>
      <c r="I176" s="11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7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8" t="e">
        <f aca="false">VLOOKUP(A176,'Données projet'!$A$35:$I$55,2,0)</f>
        <v>#N/A</v>
      </c>
      <c r="L176" s="118" t="e">
        <f aca="false">VLOOKUP(A176,'Données projet'!$A$35:$I$55,9,0)</f>
        <v>#N/A</v>
      </c>
      <c r="M176" s="118" t="e">
        <f aca="false" t="array" ref="M176:M176">INDEX(L:L,MIN(IF(ISNUMBER(L176:L372),ROW(L176:L372),"")))</f>
        <v>#N/A</v>
      </c>
      <c r="N176" s="117" t="n">
        <f aca="false">IF('Données projet'!$A$36&gt;35,N175+M176-V175,IF(A176&lt;'Données projet'!$A$36,$K$205^A176,IF(A176='Données projet'!$A$36,'Données projet'!$B$36,N175+M176-V175)))</f>
        <v>-1.13686837721616E-013</v>
      </c>
      <c r="O176" s="117" t="n">
        <f aca="false">N176*VLOOKUP('Données projet'!$B$9,Paramètres!$A$1:$I$89,3,0)*VLOOKUP('Données projet'!$B$9,Paramètres!$A$1:$I$89,5,0)</f>
        <v>-5.32054400537163E-014</v>
      </c>
      <c r="P176" s="117" t="e">
        <f aca="false">EXP(-1.0587+0.8836*LN(O176)+0.284)</f>
        <v>#VALUE!</v>
      </c>
      <c r="Q176" s="128" t="e">
        <f aca="false">(O176+P176)*0.475*44/12</f>
        <v>#VALUE!</v>
      </c>
      <c r="R176" s="120" t="e">
        <f aca="false">Q176+(I176+J176)*44/12</f>
        <v>#VALUE!</v>
      </c>
      <c r="S176" s="120" t="n">
        <f aca="true">AVERAGE(OFFSET($R$3,0,0,'Données projet'!$E$9+1,1))-AVERAGE(OFFSET($H$3,0,0,'Données projet'!$E$9+1,1))</f>
        <v>319.229030946746</v>
      </c>
      <c r="T176" s="120" t="n">
        <f aca="false">$T$3</f>
        <v>254.586909731428</v>
      </c>
      <c r="U176" s="121" t="n">
        <f aca="false">IF(ISNA(VLOOKUP(A176,'Données projet'!$A$35:$I$55,3,0)),0,VLOOKUP(A176,'Données projet'!$A$35:$I$55,3,0))</f>
        <v>0</v>
      </c>
      <c r="V176" s="121" t="n">
        <f aca="false">IF(ISNA(VLOOKUP(A176,'Données projet'!$A$35:$I$55,4,0)),0,VLOOKUP(A176,'Données projet'!$A$35:$I$55,4,0))</f>
        <v>0</v>
      </c>
      <c r="W176" s="122" t="n">
        <f aca="false">IF(ISNA(VLOOKUP(A176,'Données projet'!$A$35:$I$55,5,0)),0%,VLOOKUP(A176,'Données projet'!$A$35:$I$55,5,0)*VLOOKUP('Données projet'!$B$9,Paramètres!$A$1:$I$89,7,0))</f>
        <v>0</v>
      </c>
      <c r="X176" s="122" t="n">
        <f aca="false">IF(ISNA(VLOOKUP(A176,'Données projet'!$A$35:$I$55,6,0)),0%,VLOOKUP(A176,'Données projet'!$A$35:$I$55,6,0)*VLOOKUP('Données projet'!$B$9,Paramètres!$A$1:$I$89,7,0))</f>
        <v>0</v>
      </c>
      <c r="Y176" s="122" t="n">
        <f aca="false">IF(ISNA(VLOOKUP(A176,'Données projet'!$A$35:$I$55,7,0)),0%,VLOOKUP(A176,'Données projet'!$A$35:$I$55,7,0))</f>
        <v>0</v>
      </c>
      <c r="Z176" s="129" t="n">
        <f aca="false">EXP(-LN(2)/35)*Z175+(1-EXP(-LN(2)/35))/(LN(2)/35)*V176*W176*VLOOKUP('Données projet'!$B$9,Paramètres!$A$1:$I$89,3,0)*0.475*44/12</f>
        <v>0.534539657415414</v>
      </c>
      <c r="AA176" s="129" t="n">
        <f aca="false">EXP(-LN(2)/25)*AA175+(1-EXP(-LN(2)/25))/(LN(2)/25)*Calculateur!V176*Calculateur!X176*VLOOKUP('Données projet'!$B$9,Paramètres!$A$1:$I$89,3,0)*0.475*44/12</f>
        <v>0.211560561896187</v>
      </c>
      <c r="AB176" s="129" t="n">
        <f aca="false">EXP(-LN(2)/2)*AB175+(1-EXP(-LN(2)/2))/(LN(2)/2)*V176*Y176*VLOOKUP('Données projet'!$B$9,Paramètres!$A$1:$I$89,3,0)*0.475*44/12</f>
        <v>3.3071008689096E-021</v>
      </c>
      <c r="AC176" s="130" t="n">
        <f aca="false">SUM(Z176:AB176)</f>
        <v>0.746100219311601</v>
      </c>
      <c r="AD176" s="117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7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8" t="e">
        <f aca="false">VLOOKUP(A176,'Données projet'!$A$61:$I$81,2,0)</f>
        <v>#N/A</v>
      </c>
      <c r="AG176" s="118" t="e">
        <f aca="false">VLOOKUP(A176,'Données projet'!$A$61:$I$81,9,0)</f>
        <v>#N/A</v>
      </c>
      <c r="AH176" s="118" t="e">
        <f aca="false" t="array" ref="AH176:AH176">INDEX(AG:AG,MIN(IF(ISNUMBER(AG176:AG372),ROW(AG176:AG372),"")))</f>
        <v>#N/A</v>
      </c>
      <c r="AI176" s="117" t="n">
        <f aca="false">IF('Données projet'!$A$62&gt;35,AI175+AH176-AQ175,IF(A176&lt;'Données projet'!$A$62,$AF$205^A176,IF(A176='Données projet'!$A$62,'Données projet'!$B$62,AI175+AH176-AQ175)))</f>
        <v>1.13686837721616E-013</v>
      </c>
      <c r="AJ176" s="117" t="n">
        <f aca="false">AI176*VLOOKUP('Données projet'!$B$10,Paramètres!$A$1:$I$89,3,0)*VLOOKUP('Données projet'!$B$10,Paramètres!$A$1:$I$89,5,0)</f>
        <v>6.35509422863834E-014</v>
      </c>
      <c r="AK176" s="117" t="n">
        <f aca="false">EXP(-1.0587+0.8836*LN(AJ176)+0.284)</f>
        <v>1.0064464192544E-012</v>
      </c>
      <c r="AL176" s="128" t="n">
        <f aca="false">(AJ176+AK176)*0.475*44/12</f>
        <v>1.86357873801686E-012</v>
      </c>
      <c r="AM176" s="120" t="n">
        <f aca="false">AL176+(AD176+AE176)*44/12</f>
        <v>293.333333333335</v>
      </c>
      <c r="AN176" s="120" t="n">
        <f aca="true">AVERAGE(OFFSET($AM$3,0,0,'Données projet'!$E$10+1,1))-AVERAGE(OFFSET($H$3,0,0,'Données projet'!$E$10+1,1))</f>
        <v>365.705101827279</v>
      </c>
      <c r="AO176" s="120" t="n">
        <f aca="false">$AO$3</f>
        <v>436.238338449625</v>
      </c>
      <c r="AP176" s="121" t="n">
        <f aca="false">IF(ISNA(VLOOKUP(A176,'Données projet'!$A$61:$I$81,3,0)),0,VLOOKUP(A176,'Données projet'!$A$61:$I$81,3,0))</f>
        <v>0</v>
      </c>
      <c r="AQ176" s="121" t="n">
        <f aca="false">IF(ISNA(VLOOKUP(A176,'Données projet'!$A$61:$I$81,4,0)),0,VLOOKUP(A176,'Données projet'!$A$61:$I$81,4,0))</f>
        <v>0</v>
      </c>
      <c r="AR176" s="122" t="n">
        <f aca="false">IF(ISNA(VLOOKUP(A176,'Données projet'!$A$61:$I$81,5,0)),0%,VLOOKUP(A176,'Données projet'!$A$61:$I$81,5,0)*VLOOKUP('Données projet'!$B$10,Paramètres!$A$1:$I$89,7,0))</f>
        <v>0</v>
      </c>
      <c r="AS176" s="122" t="n">
        <f aca="false">IF(ISNA(VLOOKUP(A176,'Données projet'!$A$61:$I$81,6,0)),0%,VLOOKUP(A176,'Données projet'!$A$61:$I$81,6,0)*VLOOKUP('Données projet'!$B$10,Paramètres!$A$1:$I$89,7,0))</f>
        <v>0</v>
      </c>
      <c r="AT176" s="122" t="n">
        <f aca="false">IF(ISNA(VLOOKUP(A176,'Données projet'!$A$61:$I$81,7,0)),0%,VLOOKUP(A176,'Données projet'!$A$61:$I$81,7,0))</f>
        <v>0</v>
      </c>
      <c r="AU176" s="129" t="n">
        <f aca="false">EXP(-LN(2)/35)*AU175+(1-EXP(-LN(2)/35))/(LN(2)/35)*AQ176*AR176*VLOOKUP('Données projet'!$B$10,Paramètres!$A$1:$I$89,3,0)*0.475*44/12</f>
        <v>0.201771390145105</v>
      </c>
      <c r="AV176" s="129" t="n">
        <f aca="false">EXP(-LN(2)/25)*AV175+(1-EXP(-LN(2)/25))/(LN(2)/25)*Calculateur!AQ176*Calculateur!AS176*VLOOKUP('Données projet'!$B$10,Paramètres!$A$1:$I$89,3,0)*0.475*44/12</f>
        <v>0.250582046512492</v>
      </c>
      <c r="AW176" s="129" t="n">
        <f aca="false">EXP(-LN(2)/2)*AW175+(1-EXP(-LN(2)/2))/(LN(2)/2)*AQ176*AT176*VLOOKUP('Données projet'!$B$10,Paramètres!$A$1:$I$89,3,0)*0.475*44/12</f>
        <v>1.77977832501113E-021</v>
      </c>
      <c r="AX176" s="129" t="n">
        <f aca="false">SUM(AU176:AW176)</f>
        <v>0.452353436657597</v>
      </c>
      <c r="AY176" s="124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8" t="e">
        <f aca="false">VLOOKUP(A176,'Données projet'!$A$87:$I$107,2,0)</f>
        <v>#N/A</v>
      </c>
      <c r="BB176" s="118" t="e">
        <f aca="false">VLOOKUP(A176,'Données projet'!$A$87:$I$107,9,0)</f>
        <v>#N/A</v>
      </c>
      <c r="BC176" s="118" t="e">
        <f aca="false" t="array" ref="BC176:BC176">INDEX(BB:BB,MIN(IF(ISNUMBER(BB176:BB372),ROW(BB176:BB372),"")))</f>
        <v>#N/A</v>
      </c>
      <c r="BD176" s="118" t="n">
        <f aca="false">IF('Données projet'!$A$88&gt;35,BD175+BC176-BL175,IF(A176&lt;'Données projet'!$A$88,$BA$205^A176,IF(A176='Données projet'!$A$88,'Données projet'!$B$88,BD175+BC176-BL175)))</f>
        <v>1.98951966012828E-013</v>
      </c>
      <c r="BE176" s="117" t="n">
        <f aca="false">BD176*VLOOKUP('Données projet'!$B$11,Paramètres!$A$1:$I$89,3,0)*VLOOKUP('Données projet'!$B$11,Paramètres!$A$1:$I$89,5,0)</f>
        <v>1.73804437508807E-013</v>
      </c>
      <c r="BF176" s="117" t="n">
        <f aca="false">EXP(-1.0587+0.8836*LN(BE176)+0.284)</f>
        <v>2.44832936339505E-012</v>
      </c>
      <c r="BG176" s="128" t="n">
        <f aca="false">(BE176+BF176)*0.475*44/12</f>
        <v>4.56688303657421E-012</v>
      </c>
      <c r="BH176" s="120" t="n">
        <f aca="false">BG176+(AY176+AZ176)*44/12</f>
        <v>293.333333333338</v>
      </c>
      <c r="BI176" s="120" t="n">
        <f aca="true">AVERAGE(OFFSET($BH$3,0,0,'Données projet'!$E$11+1,1))-AVERAGE(OFFSET($H$3,0,0,'Données projet'!$E$11+1,1))</f>
        <v>321.235999689929</v>
      </c>
      <c r="BJ176" s="120" t="n">
        <f aca="false">$BJ$3</f>
        <v>388.051958478005</v>
      </c>
      <c r="BK176" s="121" t="n">
        <f aca="false">IF(ISNA(VLOOKUP(A176,'Données projet'!$A$87:$I$107,3,0)),0,VLOOKUP(A176,'Données projet'!$A$87:$I$107,3,0))</f>
        <v>0</v>
      </c>
      <c r="BL176" s="121" t="n">
        <f aca="false">IF(ISNA(VLOOKUP(A176,'Données projet'!$A$87:$I$107,4,0)),0,VLOOKUP(A176,'Données projet'!$A$87:$I$107,4,0))</f>
        <v>0</v>
      </c>
      <c r="BM176" s="122" t="n">
        <f aca="false">IF(ISNA(VLOOKUP(A176,'Données projet'!$A$87:$I$107,5,0)),0%,VLOOKUP(A176,'Données projet'!$A$87:$I$107,5,0)*VLOOKUP('Données projet'!$B$11,Paramètres!$A$1:$I$89,7,0))</f>
        <v>0</v>
      </c>
      <c r="BN176" s="122" t="n">
        <f aca="false">IF(ISNA(VLOOKUP(A176,'Données projet'!$A$87:$I$107,6,0)),0%,VLOOKUP(A176,'Données projet'!$A$87:$I$107,6,0)*VLOOKUP('Données projet'!$B$11,Paramètres!$A$1:$I$89,7,0))</f>
        <v>0</v>
      </c>
      <c r="BO176" s="122" t="n">
        <f aca="false">IF(ISNA(VLOOKUP(A176,'Données projet'!$A$87:$I$107,7,0)),0%,VLOOKUP(A176,'Données projet'!$A$87:$I$107,7,0))</f>
        <v>0</v>
      </c>
      <c r="BP176" s="129" t="n">
        <f aca="false">EXP(-LN(2)/35)*BP175+(1-EXP(-LN(2)/35))/(LN(2)/35)*BL176*BM176*VLOOKUP('Données projet'!$B$11,Paramètres!$A$1:$I$89,3,0)*0.475*44/12</f>
        <v>0.506571560311094</v>
      </c>
      <c r="BQ176" s="129" t="n">
        <f aca="false">EXP(-LN(2)/25)*BQ175+(1-EXP(-LN(2)/25))/(LN(2)/25)*Calculateur!BL176*Calculateur!BN176*VLOOKUP('Données projet'!$B$11,Paramètres!$A$1:$I$89,3,0)*0.475*44/12</f>
        <v>0.255779269426602</v>
      </c>
      <c r="BR176" s="129" t="n">
        <f aca="false">EXP(-LN(2)/2)*BR175+(1-EXP(-LN(2)/2))/(LN(2)/2)*BL176*BO176*VLOOKUP('Données projet'!$B$11,Paramètres!$A$1:$I$89,3,0)*0.475*44/12</f>
        <v>1.80910767406632E-021</v>
      </c>
      <c r="BS176" s="130" t="n">
        <f aca="false">SUM(BP176:BR176)</f>
        <v>0.762350829737696</v>
      </c>
      <c r="BT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8" t="e">
        <f aca="false">VLOOKUP(A176,'Données projet'!$A$113:$I$133,2,0)</f>
        <v>#N/A</v>
      </c>
      <c r="BW176" s="118" t="e">
        <f aca="false">VLOOKUP(A176,'Données projet'!$A$113:$I$133,9,0)</f>
        <v>#N/A</v>
      </c>
      <c r="BX176" s="118" t="e">
        <f aca="false" t="array" ref="BX176:BX176">INDEX(BW:BW,MIN(IF(ISNUMBER(BW176:BW372),ROW(BW176:BW372),"")))</f>
        <v>#N/A</v>
      </c>
      <c r="BY176" s="118" t="n">
        <f aca="false">IF('Données projet'!$A$114&gt;35,BY175+BX176-CG175,IF(A176&lt;'Données projet'!$A$114,$BV$205^A176,IF(A176='Données projet'!$A$114,'Données projet'!$B$114,BY175+BX176-CG175)))</f>
        <v>0</v>
      </c>
      <c r="BZ176" s="117" t="n">
        <f aca="false">BY176*VLOOKUP('Données projet'!$B$12,Paramètres!$A$1:$I$89,3,0)*VLOOKUP('Données projet'!$B$12,Paramètres!$A$1:$I$89,5,0)</f>
        <v>0</v>
      </c>
      <c r="CA176" s="117" t="e">
        <f aca="false">EXP(-1.0587+0.8836*LN(BZ176)+0.284)</f>
        <v>#VALUE!</v>
      </c>
      <c r="CB176" s="128" t="e">
        <f aca="false">(BZ176+CA176)*0.475*44/12</f>
        <v>#VALUE!</v>
      </c>
      <c r="CC176" s="120" t="e">
        <f aca="false">CB176+(BT176+BU176)*44/12</f>
        <v>#VALUE!</v>
      </c>
      <c r="CD176" s="120" t="n">
        <f aca="true">AVERAGE(OFFSET($CC$3,0,0,'Données projet'!$E$12+1,1))-AVERAGE(OFFSET($H$3,0,0,'Données projet'!$E$12+1,1))</f>
        <v>240.228848647662</v>
      </c>
      <c r="CE176" s="120" t="n">
        <f aca="false">$CE$3</f>
        <v>343.237768841432</v>
      </c>
      <c r="CF176" s="121" t="n">
        <f aca="false">IF(ISNA(VLOOKUP(A176,'Données projet'!$A$113:$I$133,3,0)),0,VLOOKUP(A176,'Données projet'!$A$113:$I$133,3,0))</f>
        <v>0</v>
      </c>
      <c r="CG176" s="121" t="n">
        <f aca="false">IF(ISNA(VLOOKUP(A176,'Données projet'!$A$113:$I$133,4,0)),0,VLOOKUP(A176,'Données projet'!$A$113:$I$133,4,0))</f>
        <v>0</v>
      </c>
      <c r="CH176" s="122" t="n">
        <f aca="false">IF(ISNA(VLOOKUP(A176,'Données projet'!$A$113:$I$133,5,0)),0%,VLOOKUP(A176,'Données projet'!$A$113:$I$133,5,0)*VLOOKUP('Données projet'!$B$12,Paramètres!$A$1:$I$89,7,0))</f>
        <v>0</v>
      </c>
      <c r="CI176" s="122" t="n">
        <f aca="false">IF(ISNA(VLOOKUP(A176,'Données projet'!$A$113:$I$133,6,0)),0%,VLOOKUP(A176,'Données projet'!$A$113:$I$133,6,0)*VLOOKUP('Données projet'!$B$12,Paramètres!$A$1:$I$89,7,0))</f>
        <v>0</v>
      </c>
      <c r="CJ176" s="122" t="n">
        <f aca="false">IF(ISNA(VLOOKUP(A176,'Données projet'!$A$113:$I$133,7,0)),0%,VLOOKUP(A176,'Données projet'!$A$113:$I$133,7,0))</f>
        <v>0</v>
      </c>
      <c r="CK176" s="129" t="n">
        <f aca="false">EXP(-LN(2)/35)*CK175+(1-EXP(-LN(2)/35))/(LN(2)/35)*CG176*CH176*VLOOKUP('Données projet'!$B$12,Paramètres!$A$1:$I$89,3,0)*0.475*44/12</f>
        <v>0.310061260361913</v>
      </c>
      <c r="CL176" s="129" t="n">
        <f aca="false">EXP(-LN(2)/25)*CL175+(1-EXP(-LN(2)/25))/(LN(2)/25)*Calculateur!CG176*Calculateur!CI176*VLOOKUP('Données projet'!$B$12,Paramètres!$A$1:$I$89,3,0)*0.475*44/12</f>
        <v>0.451720996840302</v>
      </c>
      <c r="CM176" s="129" t="n">
        <f aca="false">EXP(-LN(2)/2)*CM175+(1-EXP(-LN(2)/2))/(LN(2)/2)*CG176*CJ176*VLOOKUP('Données projet'!$B$12,Paramètres!$A$1:$I$89,3,0)*0.475*44/12</f>
        <v>2.88685353998038E-021</v>
      </c>
      <c r="CN176" s="130" t="n">
        <f aca="false">SUM(CK176:CM176)</f>
        <v>0.761782257202215</v>
      </c>
      <c r="CO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8" t="e">
        <f aca="false">VLOOKUP(A176,'Données projet'!$A$139:$I$159,2,0)</f>
        <v>#N/A</v>
      </c>
      <c r="CR176" s="118" t="e">
        <f aca="false">VLOOKUP(A176,'Données projet'!$A$139:$I$159,9,0)</f>
        <v>#N/A</v>
      </c>
      <c r="CS176" s="118" t="e">
        <f aca="false" t="array" ref="CS176:CS176">INDEX(CR:CR,MIN(IF(ISNUMBER(CR176:CR372),ROW(CR176:CR372),"")))</f>
        <v>#N/A</v>
      </c>
      <c r="CT176" s="118" t="n">
        <f aca="false">IF('Données projet'!$A$140&gt;35,CT175+CS176-DB175,IF(A176&lt;'Données projet'!$A$140,$CQ$205^A176,IF(A176='Données projet'!$A$140,'Données projet'!$B$140,CT175+CS176-DB175)))</f>
        <v>-5.6843418860808E-014</v>
      </c>
      <c r="CU176" s="125" t="n">
        <f aca="false">CT176*VLOOKUP('Données projet'!$B$13,Paramètres!$A$1:$I$89,3,0)*VLOOKUP('Données projet'!$B$13,Paramètres!$A$1:$I$89,5,0)</f>
        <v>-3.10365066980012E-014</v>
      </c>
      <c r="CV176" s="117" t="e">
        <f aca="false">EXP(-1.0587+0.8836*LN(CU176)+0.284)</f>
        <v>#VALUE!</v>
      </c>
      <c r="CW176" s="128" t="e">
        <f aca="false">(CU176+CV176)*0.475*44/12</f>
        <v>#VALUE!</v>
      </c>
      <c r="CX176" s="120" t="e">
        <f aca="false">CW176+(CO176+CP176)*44/12</f>
        <v>#VALUE!</v>
      </c>
      <c r="CY176" s="120" t="n">
        <f aca="true">AVERAGE(OFFSET($CX$3,0,0,'Données projet'!$E$13+1,1))-AVERAGE(OFFSET($H$3,0,0,'Données projet'!$E$13+1,1))</f>
        <v>207.023069645676</v>
      </c>
      <c r="CZ176" s="120" t="n">
        <f aca="false">$CZ$3</f>
        <v>342.068879333518</v>
      </c>
      <c r="DA176" s="121" t="n">
        <f aca="false">IF(ISNA(VLOOKUP(A176,'Données projet'!$A$139:$I$159,3,0)),0,VLOOKUP(A176,'Données projet'!$A$139:$I$159,3,0))</f>
        <v>0</v>
      </c>
      <c r="DB176" s="121" t="n">
        <f aca="false">IF(ISNA(VLOOKUP(A176,'Données projet'!$A$139:$I$159,4,0)),0,VLOOKUP(A176,'Données projet'!$A$139:$I$159,4,0))</f>
        <v>0</v>
      </c>
      <c r="DC176" s="122" t="n">
        <f aca="false">IF(ISNA(VLOOKUP(A176,'Données projet'!$A$139:$I$159,5,0)),0%,VLOOKUP(A176,'Données projet'!$A$139:$I$159,5,0)*VLOOKUP('Données projet'!$B$13,Paramètres!$A$1:$I$89,7,0))</f>
        <v>0</v>
      </c>
      <c r="DD176" s="122" t="n">
        <f aca="false">IF(ISNA(VLOOKUP(A176,'Données projet'!$A$139:$I$159,6,0)),0%,VLOOKUP(A176,'Données projet'!$A$139:$I$159,6,0)*VLOOKUP('Données projet'!$B$13,Paramètres!$A$1:$I$89,7,0))</f>
        <v>0</v>
      </c>
      <c r="DE176" s="122" t="n">
        <f aca="false">IF(ISNA(VLOOKUP(A176,'Données projet'!$A$139:$I$159,7,0)),0%,VLOOKUP(A176,'Données projet'!$A$139:$I$159,7,0))</f>
        <v>0</v>
      </c>
      <c r="DF176" s="129" t="n">
        <f aca="false">EXP(-LN(2)/35)*DF175+(1-EXP(-LN(2)/35))/(LN(2)/35)*DB176*DC176*VLOOKUP('Données projet'!$B$13,Paramètres!$A$1:$I$89,3,0)*0.475*44/12</f>
        <v>0.389039128567306</v>
      </c>
      <c r="DG176" s="129" t="n">
        <f aca="false">EXP(-LN(2)/25)*DG175+(1-EXP(-LN(2)/25))/(LN(2)/25)*Calculateur!DB176*Calculateur!DD176*VLOOKUP('Données projet'!$B$13,Paramètres!$A$1:$I$89,3,0)*0.475*44/12</f>
        <v>0.738375693086005</v>
      </c>
      <c r="DH176" s="129" t="n">
        <f aca="false">EXP(-LN(2)/2)*DH175+(1-EXP(-LN(2)/2))/(LN(2)/2)*DB176*DE176*VLOOKUP('Données projet'!$B$13,Paramètres!$A$1:$I$89,3,0)*0.475*44/12</f>
        <v>3.975198662971E-021</v>
      </c>
      <c r="DI176" s="130" t="n">
        <f aca="false">SUM(DF176:DH176)</f>
        <v>1.12741482165331</v>
      </c>
      <c r="DJ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8" t="e">
        <f aca="false">VLOOKUP(A176,'Données projet'!$A$165:$I$185,2,0)</f>
        <v>#N/A</v>
      </c>
      <c r="DM176" s="118" t="e">
        <f aca="false">VLOOKUP(A176,'Données projet'!$A$165:$I$185,9,0)</f>
        <v>#N/A</v>
      </c>
      <c r="DN176" s="118" t="e">
        <f aca="false" t="array" ref="DN176:DN176">INDEX(DM:DM,MIN(IF(ISNUMBER(DM176:DM372),ROW(DM176:DM372),"")))</f>
        <v>#N/A</v>
      </c>
      <c r="DO176" s="118" t="n">
        <f aca="false">IF('Données projet'!$A$166&gt;35,DO175+DN176-DW175,IF(A176&lt;'Données projet'!$A$166,$DL$205^A176,IF(A176='Données projet'!$A$166,'Données projet'!$B$166,DO175+DN176-DW175)))</f>
        <v>0</v>
      </c>
      <c r="DP176" s="125" t="n">
        <f aca="false">DO176*VLOOKUP('Données projet'!$B$14,Paramètres!$A$1:$I$89,3,0)*VLOOKUP('Données projet'!$B$14,Paramètres!$A$1:$I$89,5,0)</f>
        <v>0</v>
      </c>
      <c r="DQ176" s="117" t="e">
        <f aca="false">EXP(-1.0587+0.8836*LN(DP176)+0.284)</f>
        <v>#VALUE!</v>
      </c>
      <c r="DR176" s="128" t="e">
        <f aca="false">(DP176+DQ176)*0.475*44/12</f>
        <v>#VALUE!</v>
      </c>
      <c r="DS176" s="120" t="e">
        <f aca="false">DR176+(DJ176+DK176)*44/12</f>
        <v>#VALUE!</v>
      </c>
      <c r="DT176" s="120" t="n">
        <f aca="true">AVERAGE(OFFSET($DS$3,0,0,'Données projet'!$E$14+1,1))-AVERAGE(OFFSET($H$3,0,0,'Données projet'!$E$14+1,1))</f>
        <v>549.432320957297</v>
      </c>
      <c r="DU176" s="120" t="n">
        <f aca="false">$DU$3</f>
        <v>280.26155987301</v>
      </c>
      <c r="DV176" s="121" t="n">
        <f aca="false">IF(ISNA(VLOOKUP(A176,'Données projet'!$A$165:$I$185,3,0)),0,VLOOKUP(A176,'Données projet'!$A$165:$I$185,3,0))</f>
        <v>0</v>
      </c>
      <c r="DW176" s="121" t="n">
        <f aca="false">IF(ISNA(VLOOKUP(A176,'Données projet'!$A$165:$I$185,4,0)),0,VLOOKUP(A176,'Données projet'!$A$165:$I$185,4,0))</f>
        <v>0</v>
      </c>
      <c r="DX176" s="122" t="n">
        <f aca="false">IF(ISNA(VLOOKUP(A176,'Données projet'!$A$165:$I$185,5,0)),0%,VLOOKUP(A176,'Données projet'!$A$165:$I$185,5,0)*VLOOKUP('Données projet'!$B$14,Paramètres!$A$1:$I$89,7,0))</f>
        <v>0</v>
      </c>
      <c r="DY176" s="122" t="n">
        <f aca="false">IF(ISNA(VLOOKUP(A176,'Données projet'!$A$165:$I$185,6,0)),0%,VLOOKUP(A176,'Données projet'!$A$165:$I$185,6,0)*VLOOKUP('Données projet'!$B$14,Paramètres!$A$1:$I$89,7,0))</f>
        <v>0</v>
      </c>
      <c r="DZ176" s="122" t="n">
        <f aca="false">IF(ISNA(VLOOKUP(A176,'Données projet'!$A$165:$I$185,7,0)),0%,VLOOKUP(A176,'Données projet'!$A$165:$I$185,7,0))</f>
        <v>0</v>
      </c>
      <c r="EA176" s="129" t="n">
        <f aca="false">EXP(-LN(2)/35)*EA175+(1-EXP(-LN(2)/35))/(LN(2)/35)*DW176*DX176*VLOOKUP('Données projet'!$B$14,Paramètres!$A$1:$I$89,3,0)*0.475*44/12</f>
        <v>0.141454193351397</v>
      </c>
      <c r="EB176" s="129" t="n">
        <f aca="false">EXP(-LN(2)/25)*EB175+(1-EXP(-LN(2)/25))/(LN(2)/25)*Calculateur!DW176*Calculateur!DY176*VLOOKUP('Données projet'!$B$14,Paramètres!$A$1:$I$89,3,0)*0.475*44/12</f>
        <v>0.147099005959107</v>
      </c>
      <c r="EC176" s="129" t="n">
        <f aca="false">EXP(-LN(2)/2)*EC175+(1-EXP(-LN(2)/2))/(LN(2)/2)*DW176*DZ176*VLOOKUP('Données projet'!$B$14,Paramètres!$A$1:$I$89,3,0)*0.475*44/12</f>
        <v>1.83248464201187E-021</v>
      </c>
      <c r="ED176" s="130" t="n">
        <f aca="false">SUM(EA176:EC176)</f>
        <v>0.288553199310504</v>
      </c>
      <c r="EE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8" t="e">
        <f aca="false">VLOOKUP(A176,'Données projet'!$A$191:$I$211,2,0)</f>
        <v>#N/A</v>
      </c>
      <c r="EH176" s="118" t="e">
        <f aca="false">VLOOKUP(A176,'Données projet'!$A$191:$I$211,9,0)</f>
        <v>#N/A</v>
      </c>
      <c r="EI176" s="118" t="e">
        <f aca="false" t="array" ref="EI176:EI176">INDEX(EH:EH,MIN(IF(ISNUMBER(EH176:EH372),ROW(EH176:EH372),"")))</f>
        <v>#N/A</v>
      </c>
      <c r="EJ176" s="118" t="n">
        <f aca="false">IF('Données projet'!$A$192&gt;35,EJ175+EI176-ER175,IF(A176&lt;'Données projet'!$A$192,$EG$205^A176,IF(A176='Données projet'!$A$192,'Données projet'!$B$192,EJ175+EI176-ER175)))</f>
        <v>0</v>
      </c>
      <c r="EK176" s="125" t="e">
        <f aca="false">EJ176*VLOOKUP('Données projet'!$B$15,Paramètres!$A$1:$I$89,3,0)*VLOOKUP('Données projet'!$B$15,Paramètres!$A$1:$I$89,5,0)</f>
        <v>#N/A</v>
      </c>
      <c r="EL176" s="117" t="e">
        <f aca="false">EXP(-1.0587+0.8836*LN(EK176)+0.284)</f>
        <v>#N/A</v>
      </c>
      <c r="EM176" s="128" t="e">
        <f aca="false">(EK176+EL176)*0.475*44/12</f>
        <v>#N/A</v>
      </c>
      <c r="EN176" s="120" t="e">
        <f aca="false">EM176+(EE176+EF176)*44/12</f>
        <v>#N/A</v>
      </c>
      <c r="EO176" s="120" t="e">
        <f aca="true">AVERAGE(OFFSET($EN$3,0,0,'Données projet'!$E$15+1,1))-AVERAGE(OFFSET($H$3,0,0,'Données projet'!$E$15+1,1))</f>
        <v>#N/A</v>
      </c>
      <c r="EP176" s="120" t="e">
        <f aca="false">$EP$3</f>
        <v>#N/A</v>
      </c>
      <c r="EQ176" s="121" t="n">
        <f aca="false">IF(ISNA(VLOOKUP(A176,'Données projet'!$A$191:$I$211,3,0)),0,VLOOKUP(A176,'Données projet'!$A$191:$I$211,3,0))</f>
        <v>0</v>
      </c>
      <c r="ER176" s="121" t="n">
        <f aca="false">IF(ISNA(VLOOKUP(A176,'Données projet'!$A$191:$I$211,4,0)),0,VLOOKUP(A176,'Données projet'!$A$191:$I$211,4,0))</f>
        <v>0</v>
      </c>
      <c r="ES176" s="122" t="n">
        <f aca="false">IF(ISNA(VLOOKUP(A176,'Données projet'!$A$191:$I$211,5,0)),0%,VLOOKUP(A176,'Données projet'!$A$191:$I$211,5,0)*VLOOKUP('Données projet'!$B$15,Paramètres!$A$1:$I$89,7,0))</f>
        <v>0</v>
      </c>
      <c r="ET176" s="122" t="n">
        <f aca="false">IF(ISNA(VLOOKUP(A176,'Données projet'!$A$191:$I$211,6,0)),0%,VLOOKUP(A176,'Données projet'!$A$191:$I$211,6,0)*VLOOKUP('Données projet'!$B$15,Paramètres!$A$1:$I$89,7,0))</f>
        <v>0</v>
      </c>
      <c r="EU176" s="122" t="n">
        <f aca="false">IF(ISNA(VLOOKUP(A176,'Données projet'!$A$191:$I$211,7,0)),0%,VLOOKUP(A176,'Données projet'!$A$191:$I$211,7,0))</f>
        <v>0</v>
      </c>
      <c r="EV176" s="129" t="e">
        <f aca="false">EXP(-LN(2)/35)*EV175+(1-EXP(-LN(2)/35))/(LN(2)/35)*ER176*ES176*VLOOKUP('Données projet'!$B$15,Paramètres!$A$1:$I$89,3,0)*0.475*44/12</f>
        <v>#N/A</v>
      </c>
      <c r="EW176" s="129" t="e">
        <f aca="false">EXP(-LN(2)/25)*EW175+(1-EXP(-LN(2)/25))/(LN(2)/25)*Calculateur!ER176*Calculateur!ET176*VLOOKUP('Données projet'!$B$15,Paramètres!$A$1:$I$89,3,0)*0.475*44/12</f>
        <v>#N/A</v>
      </c>
      <c r="EX176" s="129" t="e">
        <f aca="false">EXP(-LN(2)/2)*EX175+(1-EXP(-LN(2)/2))/(LN(2)/2)*ER176*EU176*VLOOKUP('Données projet'!$B$15,Paramètres!$A$1:$I$89,3,0)*0.475*44/12</f>
        <v>#N/A</v>
      </c>
      <c r="EY176" s="130" t="e">
        <f aca="false">SUM(EV176:EX176)</f>
        <v>#N/A</v>
      </c>
      <c r="EZ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8" t="e">
        <f aca="false">VLOOKUP(A176,'Données projet'!$A$217:$I$237,2,0)</f>
        <v>#N/A</v>
      </c>
      <c r="FC176" s="118" t="e">
        <f aca="false">VLOOKUP(A176,'Données projet'!$A$217:$I$237,9,0)</f>
        <v>#N/A</v>
      </c>
      <c r="FD176" s="118" t="e">
        <f aca="false" t="array" ref="FD176:FD176">INDEX(FC:FC,MIN(IF(ISNUMBER(FC176:FC372),ROW(FC176:FC372),"")))</f>
        <v>#N/A</v>
      </c>
      <c r="FE176" s="118" t="n">
        <f aca="false">IF('Données projet'!$A$218&gt;35,FE175+FD176-FM175,IF(A176&lt;'Données projet'!$A$218,$FB$205^A176,IF(A176='Données projet'!$A$218,'Données projet'!$B$218,FE175+FD176-FM175)))</f>
        <v>0</v>
      </c>
      <c r="FF176" s="125" t="e">
        <f aca="false">FE176*VLOOKUP('Données projet'!$B$16,Paramètres!$A$1:$I$89,3,0)*VLOOKUP('Données projet'!$B$16,Paramètres!$A$1:$I$89,5,0)</f>
        <v>#N/A</v>
      </c>
      <c r="FG176" s="117" t="e">
        <f aca="false">EXP(-1.0587+0.8836*LN(FF176)+0.284)</f>
        <v>#N/A</v>
      </c>
      <c r="FH176" s="128" t="e">
        <f aca="false">(FF176+FG176)*0.475*44/12</f>
        <v>#N/A</v>
      </c>
      <c r="FI176" s="120" t="e">
        <f aca="false">FH176+(EZ176+FA176)*44/12</f>
        <v>#N/A</v>
      </c>
      <c r="FJ176" s="120" t="e">
        <f aca="true">AVERAGE(OFFSET($FI$3,0,0,'Données projet'!$E$16+1,1))-AVERAGE(OFFSET($H$3,0,0,'Données projet'!$E$16+1,1))</f>
        <v>#N/A</v>
      </c>
      <c r="FK176" s="120" t="e">
        <f aca="false">$FK$3</f>
        <v>#N/A</v>
      </c>
      <c r="FL176" s="121" t="n">
        <f aca="false">IF(ISNA(VLOOKUP(A176,'Données projet'!$A$217:$I$237,3,0)),0,VLOOKUP(A176,'Données projet'!$A$217:$I$237,3,0))</f>
        <v>0</v>
      </c>
      <c r="FM176" s="121" t="n">
        <f aca="false">IF(ISNA(VLOOKUP(A176,'Données projet'!$A$217:$I$237,4,0)),0,VLOOKUP(A176,'Données projet'!$A$217:$I$237,4,0))</f>
        <v>0</v>
      </c>
      <c r="FN176" s="122" t="n">
        <f aca="false">IF(ISNA(VLOOKUP(A176,'Données projet'!$A$217:$I$237,5,0)),0%,VLOOKUP(A176,'Données projet'!$A$217:$I$237,5,0)*VLOOKUP('Données projet'!$B$16,Paramètres!$A$1:$I$89,7,0))</f>
        <v>0</v>
      </c>
      <c r="FO176" s="122" t="n">
        <f aca="false">IF(ISNA(VLOOKUP(A176,'Données projet'!$A$217:$I$237,6,0)),0%,VLOOKUP(A176,'Données projet'!$A$217:$I$237,6,0)*VLOOKUP('Données projet'!$B$16,Paramètres!$A$1:$I$89,7,0))</f>
        <v>0</v>
      </c>
      <c r="FP176" s="122" t="n">
        <f aca="false">IF(ISNA(VLOOKUP(A176,'Données projet'!$A$217:$I$237,7,0)),0%,VLOOKUP(A176,'Données projet'!$A$217:$I$237,7,0))</f>
        <v>0</v>
      </c>
      <c r="FQ176" s="129" t="e">
        <f aca="false">EXP(-LN(2)/35)*FQ175+(1-EXP(-LN(2)/35))/(LN(2)/35)*FM176*FN176*VLOOKUP('Données projet'!$B$16,Paramètres!$A$1:$I$89,3,0)*0.475*44/12</f>
        <v>#N/A</v>
      </c>
      <c r="FR176" s="129" t="e">
        <f aca="false">EXP(-LN(2)/25)*FR175+(1-EXP(-LN(2)/25))/(LN(2)/25)*Calculateur!FM176*Calculateur!FO176*VLOOKUP('Données projet'!$B$16,Paramètres!$A$1:$I$89,3,0)*0.475*44/12</f>
        <v>#N/A</v>
      </c>
      <c r="FS176" s="129" t="e">
        <f aca="false">EXP(-LN(2)/2)*FS175+(1-EXP(-LN(2)/2))/(LN(2)/2)*FM176*FP176*VLOOKUP('Données projet'!$B$16,Paramètres!$A$1:$I$89,3,0)*0.475*44/12</f>
        <v>#N/A</v>
      </c>
      <c r="FT176" s="130" t="e">
        <f aca="false">SUM(FQ176:FS176)</f>
        <v>#N/A</v>
      </c>
      <c r="FU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8" t="e">
        <f aca="false">VLOOKUP(A176,'Données projet'!$A$243:$I$263,2,0)</f>
        <v>#N/A</v>
      </c>
      <c r="FX176" s="118" t="e">
        <f aca="false">VLOOKUP(A176,'Données projet'!$A$243:$I$263,9,0)</f>
        <v>#N/A</v>
      </c>
      <c r="FY176" s="118" t="e">
        <f aca="false" t="array" ref="FY176:FY176">INDEX(FX:FX,MIN(IF(ISNUMBER(FX176:FX372),ROW(FX176:FX372),"")))</f>
        <v>#N/A</v>
      </c>
      <c r="FZ176" s="118" t="n">
        <f aca="false">IF('Données projet'!$A$244&gt;35,FZ175+FY176-GH175,IF(A176&lt;'Données projet'!$A$244,$FW$205^A176,IF(A176='Données projet'!$A$244,'Données projet'!$B$244,FZ175+FY176-GH175)))</f>
        <v>0</v>
      </c>
      <c r="GA176" s="125" t="e">
        <f aca="false">FZ176*VLOOKUP('Données projet'!$B$17,Paramètres!$A$1:$I$89,3,0)*VLOOKUP('Données projet'!$B$17,Paramètres!$A$1:$I$89,5,0)</f>
        <v>#N/A</v>
      </c>
      <c r="GB176" s="117" t="e">
        <f aca="false">EXP(-1.0587+0.8836*LN(GA176)+0.284)</f>
        <v>#N/A</v>
      </c>
      <c r="GC176" s="128" t="e">
        <f aca="false">(GA176+GB176)*0.475*44/12</f>
        <v>#N/A</v>
      </c>
      <c r="GD176" s="120" t="e">
        <f aca="false">GC176+(FU176+FV176)*44/12</f>
        <v>#N/A</v>
      </c>
      <c r="GE176" s="120" t="e">
        <f aca="true">AVERAGE(OFFSET($GD$3,0,0,'Données projet'!$E$17+1,1))-AVERAGE(OFFSET($H$3,0,0,'Données projet'!$E$17+1,1))</f>
        <v>#N/A</v>
      </c>
      <c r="GF176" s="120" t="e">
        <f aca="false">$GF$3</f>
        <v>#N/A</v>
      </c>
      <c r="GG176" s="121" t="n">
        <f aca="false">IF(ISNA(VLOOKUP(A176,'Données projet'!$A$243:$I$263,3,0)),0,VLOOKUP(A176,'Données projet'!$A$243:$I$263,3,0))</f>
        <v>0</v>
      </c>
      <c r="GH176" s="121" t="n">
        <f aca="false">IF(ISNA(VLOOKUP(A176,'Données projet'!$A$243:$I$263,4,0)),0,VLOOKUP(A176,'Données projet'!$A$243:$I$263,4,0))</f>
        <v>0</v>
      </c>
      <c r="GI176" s="122" t="n">
        <f aca="false">IF(ISNA(VLOOKUP(A176,'Données projet'!$A$243:$I$263,5,0)),0%,VLOOKUP(A176,'Données projet'!$A$243:$I$263,5,0)*VLOOKUP('Données projet'!$B$17,Paramètres!$A$1:$I$89,7,0))</f>
        <v>0</v>
      </c>
      <c r="GJ176" s="122" t="n">
        <f aca="false">IF(ISNA(VLOOKUP(A176,'Données projet'!$A$243:$I$263,6,0)),0%,VLOOKUP(A176,'Données projet'!$A$243:$I$263,6,0)*VLOOKUP('Données projet'!$B$17,Paramètres!$A$1:$I$89,7,0))</f>
        <v>0</v>
      </c>
      <c r="GK176" s="122" t="n">
        <f aca="false">IF(ISNA(VLOOKUP(A176,'Données projet'!$A$243:$I$263,7,0)),0%,VLOOKUP(A176,'Données projet'!$A$243:$I$263,7,0))</f>
        <v>0</v>
      </c>
      <c r="GL176" s="129" t="e">
        <f aca="false">EXP(-LN(2)/35)*GL175+(1-EXP(-LN(2)/35))/(LN(2)/35)*GH176*GI176*VLOOKUP('Données projet'!$B$17,Paramètres!$A$1:$I$89,3,0)*0.475*44/12</f>
        <v>#N/A</v>
      </c>
      <c r="GM176" s="129" t="e">
        <f aca="false">EXP(-LN(2)/25)*GM175+(1-EXP(-LN(2)/25))/(LN(2)/25)*Calculateur!GH176*Calculateur!GJ176*VLOOKUP('Données projet'!$B$17,Paramètres!$A$1:$I$89,3,0)*0.475*44/12</f>
        <v>#N/A</v>
      </c>
      <c r="GN176" s="129" t="e">
        <f aca="false">EXP(-LN(2)/2)*GN175+(1-EXP(-LN(2)/2))/(LN(2)/2)*GH176*GK176*VLOOKUP('Données projet'!$B$17,Paramètres!$A$1:$I$89,3,0)*0.475*44/12</f>
        <v>#N/A</v>
      </c>
      <c r="GO176" s="129" t="e">
        <f aca="false">SUM(GL176:GN176)</f>
        <v>#N/A</v>
      </c>
      <c r="GP176" s="126" t="n">
        <f aca="false"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8" t="n">
        <f aca="false"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8" t="e">
        <f aca="false">VLOOKUP(A176,'Données projet'!$A$269:$I$289,2,0)</f>
        <v>#N/A</v>
      </c>
      <c r="GS176" s="118" t="e">
        <f aca="false">VLOOKUP(A176,'Données projet'!$A$269:$I$289,9,0)</f>
        <v>#N/A</v>
      </c>
      <c r="GT176" s="118" t="e">
        <f aca="false" t="array" ref="GT176:GT176">INDEX(GS:GS,MIN(IF(ISNUMBER(GS176:GS372),ROW(GS176:GS372),"")))</f>
        <v>#N/A</v>
      </c>
      <c r="GU176" s="118" t="n">
        <f aca="false">IF('Données projet'!$A$270&gt;35,GU175+GT176-HC175,IF(A176&lt;'Données projet'!$A$270,$GR$205^A176,IF(A176='Données projet'!$A$270,'Données projet'!$B$270,GU175+GT176-HC175)))</f>
        <v>0</v>
      </c>
      <c r="GV176" s="125" t="e">
        <f aca="false">GU176*VLOOKUP('Données projet'!$B$18,Paramètres!$A$1:$I$89,3,0)*VLOOKUP('Données projet'!$B$18,Paramètres!$A$1:$I$89,5,0)</f>
        <v>#N/A</v>
      </c>
      <c r="GW176" s="117" t="e">
        <f aca="false">EXP(-1.0587+0.8836*LN(GV176)+0.284)</f>
        <v>#N/A</v>
      </c>
      <c r="GX176" s="128" t="e">
        <f aca="false">(GV176+GW176)*0.475*44/12</f>
        <v>#N/A</v>
      </c>
      <c r="GY176" s="120" t="e">
        <f aca="false">GX176+(GP176+GQ176)*44/12</f>
        <v>#N/A</v>
      </c>
      <c r="GZ176" s="120" t="e">
        <f aca="true">AVERAGE(OFFSET($GY$3,0,0,'Données projet'!$E$18+1,1))-AVERAGE(OFFSET($H$3,0,0,'Données projet'!$E$18+1,1))</f>
        <v>#N/A</v>
      </c>
      <c r="HA176" s="120" t="e">
        <f aca="false">$HA$3</f>
        <v>#N/A</v>
      </c>
      <c r="HB176" s="121" t="n">
        <f aca="false">IF(ISNA(VLOOKUP(A176,'Données projet'!$A$269:$I$289,3,0)),0,VLOOKUP(A176,'Données projet'!$A$269:$I$289,3,0))</f>
        <v>0</v>
      </c>
      <c r="HC176" s="121" t="n">
        <f aca="false">IF(ISNA(VLOOKUP(A176,'Données projet'!$A$269:$I$289,4,0)),0,VLOOKUP(A176,'Données projet'!$A$269:$I$289,4,0))</f>
        <v>0</v>
      </c>
      <c r="HD176" s="122" t="n">
        <f aca="false">IF(ISNA(VLOOKUP(A176,'Données projet'!$A$269:$I$289,5,0)),0%,VLOOKUP(A176,'Données projet'!$A$269:$I$289,5,0)*VLOOKUP('Données projet'!$B$18,Paramètres!$A$1:$I$89,7,0))</f>
        <v>0</v>
      </c>
      <c r="HE176" s="122" t="n">
        <f aca="false">IF(ISNA(VLOOKUP(A176,'Données projet'!$A$269:$I$289,6,0)),0%,VLOOKUP(A176,'Données projet'!$A$269:$I$289,6,0)*VLOOKUP('Données projet'!$B$18,Paramètres!$A$1:$I$89,7,0))</f>
        <v>0</v>
      </c>
      <c r="HF176" s="122" t="n">
        <f aca="false">IF(ISNA(VLOOKUP(A176,'Données projet'!$A$269:$I$289,7,0)),0%,VLOOKUP(A176,'Données projet'!$A$269:$I$289,7,0))</f>
        <v>0</v>
      </c>
      <c r="HG176" s="129" t="e">
        <f aca="false">EXP(-LN(2)/35)*HG175+(1-EXP(-LN(2)/35))/(LN(2)/35)*HC176*HD176*VLOOKUP('Données projet'!$B$18,Paramètres!$A$1:$I$89,3,0)*0.475*44/12</f>
        <v>#N/A</v>
      </c>
      <c r="HH176" s="129" t="e">
        <f aca="false">EXP(-LN(2)/25)*HH175+(1-EXP(-LN(2)/25))/(LN(2)/25)*Calculateur!HC176*Calculateur!HE176*VLOOKUP('Données projet'!$B$18,Paramètres!$A$1:$I$89,3,0)*0.475*44/12</f>
        <v>#N/A</v>
      </c>
      <c r="HI176" s="129" t="e">
        <f aca="false">EXP(-LN(2)/2)*HI175+(1-EXP(-LN(2)/2))/(LN(2)/2)*HC176*HF176*VLOOKUP('Données projet'!$B$18,Paramètres!$A$1:$I$89,3,0)*0.475*44/12</f>
        <v>#N/A</v>
      </c>
      <c r="HJ176" s="130" t="e">
        <f aca="false">SUM(HG176:HI176)</f>
        <v>#N/A</v>
      </c>
    </row>
    <row r="177" customFormat="false" ht="14.25" hidden="false" customHeight="false" outlineLevel="0" collapsed="false">
      <c r="A177" s="112" t="n">
        <f aca="false">A176+1</f>
        <v>174</v>
      </c>
      <c r="B177" s="113" t="n">
        <f aca="false">'Scénario référence'!$B$16*5+'Scénario référence'!$B$17*0+'Scénario référence'!$B$18*5</f>
        <v>0</v>
      </c>
      <c r="C177" s="127" t="n">
        <f aca="false"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4" t="n">
        <f aca="false">IFERROR(EXP(-1.0587+0.8836*LN(C177)+0.284),0)</f>
        <v>0</v>
      </c>
      <c r="E17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7" s="114" t="n">
        <f aca="false">IF(OR('Scénario référence'!$F$8&gt;0,'Scénario référence'!$F$9&gt;0),('Scénario référence'!$F$8+'Scénario référence'!$F$9)*10,0)</f>
        <v>0</v>
      </c>
      <c r="G177" s="114" t="n">
        <f aca="false"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15" t="n">
        <f aca="false">(B177+E177+F177)*44/12+(C177+D177)*0.475*44/12</f>
        <v>256.666666666667</v>
      </c>
      <c r="I177" s="11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7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8" t="e">
        <f aca="false">VLOOKUP(A177,'Données projet'!$A$35:$I$55,2,0)</f>
        <v>#N/A</v>
      </c>
      <c r="L177" s="118" t="e">
        <f aca="false">VLOOKUP(A177,'Données projet'!$A$35:$I$55,9,0)</f>
        <v>#N/A</v>
      </c>
      <c r="M177" s="118" t="e">
        <f aca="false" t="array" ref="M177:M177">INDEX(L:L,MIN(IF(ISNUMBER(L177:L373),ROW(L177:L373),"")))</f>
        <v>#N/A</v>
      </c>
      <c r="N177" s="117" t="n">
        <f aca="false">IF('Données projet'!$A$36&gt;35,N176+M177-V176,IF(A177&lt;'Données projet'!$A$36,$K$205^A177,IF(A177='Données projet'!$A$36,'Données projet'!$B$36,N176+M177-V176)))</f>
        <v>-1.13686837721616E-013</v>
      </c>
      <c r="O177" s="117" t="n">
        <f aca="false">N177*VLOOKUP('Données projet'!$B$9,Paramètres!$A$1:$I$89,3,0)*VLOOKUP('Données projet'!$B$9,Paramètres!$A$1:$I$89,5,0)</f>
        <v>-5.32054400537163E-014</v>
      </c>
      <c r="P177" s="117" t="e">
        <f aca="false">EXP(-1.0587+0.8836*LN(O177)+0.284)</f>
        <v>#VALUE!</v>
      </c>
      <c r="Q177" s="128" t="e">
        <f aca="false">(O177+P177)*0.475*44/12</f>
        <v>#VALUE!</v>
      </c>
      <c r="R177" s="120" t="e">
        <f aca="false">Q177+(I177+J177)*44/12</f>
        <v>#VALUE!</v>
      </c>
      <c r="S177" s="120" t="n">
        <f aca="true">AVERAGE(OFFSET($R$3,0,0,'Données projet'!$E$9+1,1))-AVERAGE(OFFSET($H$3,0,0,'Données projet'!$E$9+1,1))</f>
        <v>319.229030946746</v>
      </c>
      <c r="T177" s="120" t="n">
        <f aca="false">$T$3</f>
        <v>254.586909731428</v>
      </c>
      <c r="U177" s="121" t="n">
        <f aca="false">IF(ISNA(VLOOKUP(A177,'Données projet'!$A$35:$I$55,3,0)),0,VLOOKUP(A177,'Données projet'!$A$35:$I$55,3,0))</f>
        <v>0</v>
      </c>
      <c r="V177" s="121" t="n">
        <f aca="false">IF(ISNA(VLOOKUP(A177,'Données projet'!$A$35:$I$55,4,0)),0,VLOOKUP(A177,'Données projet'!$A$35:$I$55,4,0))</f>
        <v>0</v>
      </c>
      <c r="W177" s="122" t="n">
        <f aca="false">IF(ISNA(VLOOKUP(A177,'Données projet'!$A$35:$I$55,5,0)),0%,VLOOKUP(A177,'Données projet'!$A$35:$I$55,5,0)*VLOOKUP('Données projet'!$B$9,Paramètres!$A$1:$I$89,7,0))</f>
        <v>0</v>
      </c>
      <c r="X177" s="122" t="n">
        <f aca="false">IF(ISNA(VLOOKUP(A177,'Données projet'!$A$35:$I$55,6,0)),0%,VLOOKUP(A177,'Données projet'!$A$35:$I$55,6,0)*VLOOKUP('Données projet'!$B$9,Paramètres!$A$1:$I$89,7,0))</f>
        <v>0</v>
      </c>
      <c r="Y177" s="122" t="n">
        <f aca="false">IF(ISNA(VLOOKUP(A177,'Données projet'!$A$35:$I$55,7,0)),0%,VLOOKUP(A177,'Données projet'!$A$35:$I$55,7,0))</f>
        <v>0</v>
      </c>
      <c r="Z177" s="129" t="n">
        <f aca="false">EXP(-LN(2)/35)*Z176+(1-EXP(-LN(2)/35))/(LN(2)/35)*V177*W177*VLOOKUP('Données projet'!$B$9,Paramètres!$A$1:$I$89,3,0)*0.475*44/12</f>
        <v>0.524057660770495</v>
      </c>
      <c r="AA177" s="129" t="n">
        <f aca="false">EXP(-LN(2)/25)*AA176+(1-EXP(-LN(2)/25))/(LN(2)/25)*Calculateur!V177*Calculateur!X177*VLOOKUP('Données projet'!$B$9,Paramètres!$A$1:$I$89,3,0)*0.475*44/12</f>
        <v>0.20577542720565</v>
      </c>
      <c r="AB177" s="129" t="n">
        <f aca="false">EXP(-LN(2)/2)*AB176+(1-EXP(-LN(2)/2))/(LN(2)/2)*V177*Y177*VLOOKUP('Données projet'!$B$9,Paramètres!$A$1:$I$89,3,0)*0.475*44/12</f>
        <v>2.3384734504739E-021</v>
      </c>
      <c r="AC177" s="130" t="n">
        <f aca="false">SUM(Z177:AB177)</f>
        <v>0.729833087976145</v>
      </c>
      <c r="AD177" s="117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7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8" t="e">
        <f aca="false">VLOOKUP(A177,'Données projet'!$A$61:$I$81,2,0)</f>
        <v>#N/A</v>
      </c>
      <c r="AG177" s="118" t="e">
        <f aca="false">VLOOKUP(A177,'Données projet'!$A$61:$I$81,9,0)</f>
        <v>#N/A</v>
      </c>
      <c r="AH177" s="118" t="e">
        <f aca="false" t="array" ref="AH177:AH177">INDEX(AG:AG,MIN(IF(ISNUMBER(AG177:AG373),ROW(AG177:AG373),"")))</f>
        <v>#N/A</v>
      </c>
      <c r="AI177" s="117" t="n">
        <f aca="false">IF('Données projet'!$A$62&gt;35,AI176+AH177-AQ176,IF(A177&lt;'Données projet'!$A$62,$AF$205^A177,IF(A177='Données projet'!$A$62,'Données projet'!$B$62,AI176+AH177-AQ176)))</f>
        <v>1.13686837721616E-013</v>
      </c>
      <c r="AJ177" s="117" t="n">
        <f aca="false">AI177*VLOOKUP('Données projet'!$B$10,Paramètres!$A$1:$I$89,3,0)*VLOOKUP('Données projet'!$B$10,Paramètres!$A$1:$I$89,5,0)</f>
        <v>6.35509422863834E-014</v>
      </c>
      <c r="AK177" s="117" t="n">
        <f aca="false">EXP(-1.0587+0.8836*LN(AJ177)+0.284)</f>
        <v>1.0064464192544E-012</v>
      </c>
      <c r="AL177" s="128" t="n">
        <f aca="false">(AJ177+AK177)*0.475*44/12</f>
        <v>1.86357873801686E-012</v>
      </c>
      <c r="AM177" s="120" t="n">
        <f aca="false">AL177+(AD177+AE177)*44/12</f>
        <v>293.333333333335</v>
      </c>
      <c r="AN177" s="120" t="n">
        <f aca="true">AVERAGE(OFFSET($AM$3,0,0,'Données projet'!$E$10+1,1))-AVERAGE(OFFSET($H$3,0,0,'Données projet'!$E$10+1,1))</f>
        <v>365.705101827279</v>
      </c>
      <c r="AO177" s="120" t="n">
        <f aca="false">$AO$3</f>
        <v>436.238338449625</v>
      </c>
      <c r="AP177" s="121" t="n">
        <f aca="false">IF(ISNA(VLOOKUP(A177,'Données projet'!$A$61:$I$81,3,0)),0,VLOOKUP(A177,'Données projet'!$A$61:$I$81,3,0))</f>
        <v>0</v>
      </c>
      <c r="AQ177" s="121" t="n">
        <f aca="false">IF(ISNA(VLOOKUP(A177,'Données projet'!$A$61:$I$81,4,0)),0,VLOOKUP(A177,'Données projet'!$A$61:$I$81,4,0))</f>
        <v>0</v>
      </c>
      <c r="AR177" s="122" t="n">
        <f aca="false">IF(ISNA(VLOOKUP(A177,'Données projet'!$A$61:$I$81,5,0)),0%,VLOOKUP(A177,'Données projet'!$A$61:$I$81,5,0)*VLOOKUP('Données projet'!$B$10,Paramètres!$A$1:$I$89,7,0))</f>
        <v>0</v>
      </c>
      <c r="AS177" s="122" t="n">
        <f aca="false">IF(ISNA(VLOOKUP(A177,'Données projet'!$A$61:$I$81,6,0)),0%,VLOOKUP(A177,'Données projet'!$A$61:$I$81,6,0)*VLOOKUP('Données projet'!$B$10,Paramètres!$A$1:$I$89,7,0))</f>
        <v>0</v>
      </c>
      <c r="AT177" s="122" t="n">
        <f aca="false">IF(ISNA(VLOOKUP(A177,'Données projet'!$A$61:$I$81,7,0)),0%,VLOOKUP(A177,'Données projet'!$A$61:$I$81,7,0))</f>
        <v>0</v>
      </c>
      <c r="AU177" s="129" t="n">
        <f aca="false">EXP(-LN(2)/35)*AU176+(1-EXP(-LN(2)/35))/(LN(2)/35)*AQ177*AR177*VLOOKUP('Données projet'!$B$10,Paramètres!$A$1:$I$89,3,0)*0.475*44/12</f>
        <v>0.197814776252756</v>
      </c>
      <c r="AV177" s="129" t="n">
        <f aca="false">EXP(-LN(2)/25)*AV176+(1-EXP(-LN(2)/25))/(LN(2)/25)*Calculateur!AQ177*Calculateur!AS177*VLOOKUP('Données projet'!$B$10,Paramètres!$A$1:$I$89,3,0)*0.475*44/12</f>
        <v>0.243729867273071</v>
      </c>
      <c r="AW177" s="129" t="n">
        <f aca="false">EXP(-LN(2)/2)*AW176+(1-EXP(-LN(2)/2))/(LN(2)/2)*AQ177*AT177*VLOOKUP('Données projet'!$B$10,Paramètres!$A$1:$I$89,3,0)*0.475*44/12</f>
        <v>1.2584933226242E-021</v>
      </c>
      <c r="AX177" s="129" t="n">
        <f aca="false">SUM(AU177:AW177)</f>
        <v>0.441544643525827</v>
      </c>
      <c r="AY177" s="124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8" t="e">
        <f aca="false">VLOOKUP(A177,'Données projet'!$A$87:$I$107,2,0)</f>
        <v>#N/A</v>
      </c>
      <c r="BB177" s="118" t="e">
        <f aca="false">VLOOKUP(A177,'Données projet'!$A$87:$I$107,9,0)</f>
        <v>#N/A</v>
      </c>
      <c r="BC177" s="118" t="e">
        <f aca="false" t="array" ref="BC177:BC177">INDEX(BB:BB,MIN(IF(ISNUMBER(BB177:BB373),ROW(BB177:BB373),"")))</f>
        <v>#N/A</v>
      </c>
      <c r="BD177" s="118" t="n">
        <f aca="false">IF('Données projet'!$A$88&gt;35,BD176+BC177-BL176,IF(A177&lt;'Données projet'!$A$88,$BA$205^A177,IF(A177='Données projet'!$A$88,'Données projet'!$B$88,BD176+BC177-BL176)))</f>
        <v>1.98951966012828E-013</v>
      </c>
      <c r="BE177" s="117" t="n">
        <f aca="false">BD177*VLOOKUP('Données projet'!$B$11,Paramètres!$A$1:$I$89,3,0)*VLOOKUP('Données projet'!$B$11,Paramètres!$A$1:$I$89,5,0)</f>
        <v>1.73804437508807E-013</v>
      </c>
      <c r="BF177" s="117" t="n">
        <f aca="false">EXP(-1.0587+0.8836*LN(BE177)+0.284)</f>
        <v>2.44832936339505E-012</v>
      </c>
      <c r="BG177" s="128" t="n">
        <f aca="false">(BE177+BF177)*0.475*44/12</f>
        <v>4.56688303657421E-012</v>
      </c>
      <c r="BH177" s="120" t="n">
        <f aca="false">BG177+(AY177+AZ177)*44/12</f>
        <v>293.333333333338</v>
      </c>
      <c r="BI177" s="120" t="n">
        <f aca="true">AVERAGE(OFFSET($BH$3,0,0,'Données projet'!$E$11+1,1))-AVERAGE(OFFSET($H$3,0,0,'Données projet'!$E$11+1,1))</f>
        <v>321.235999689929</v>
      </c>
      <c r="BJ177" s="120" t="n">
        <f aca="false">$BJ$3</f>
        <v>388.051958478005</v>
      </c>
      <c r="BK177" s="121" t="n">
        <f aca="false">IF(ISNA(VLOOKUP(A177,'Données projet'!$A$87:$I$107,3,0)),0,VLOOKUP(A177,'Données projet'!$A$87:$I$107,3,0))</f>
        <v>0</v>
      </c>
      <c r="BL177" s="121" t="n">
        <f aca="false">IF(ISNA(VLOOKUP(A177,'Données projet'!$A$87:$I$107,4,0)),0,VLOOKUP(A177,'Données projet'!$A$87:$I$107,4,0))</f>
        <v>0</v>
      </c>
      <c r="BM177" s="122" t="n">
        <f aca="false">IF(ISNA(VLOOKUP(A177,'Données projet'!$A$87:$I$107,5,0)),0%,VLOOKUP(A177,'Données projet'!$A$87:$I$107,5,0)*VLOOKUP('Données projet'!$B$11,Paramètres!$A$1:$I$89,7,0))</f>
        <v>0</v>
      </c>
      <c r="BN177" s="122" t="n">
        <f aca="false">IF(ISNA(VLOOKUP(A177,'Données projet'!$A$87:$I$107,6,0)),0%,VLOOKUP(A177,'Données projet'!$A$87:$I$107,6,0)*VLOOKUP('Données projet'!$B$11,Paramètres!$A$1:$I$89,7,0))</f>
        <v>0</v>
      </c>
      <c r="BO177" s="122" t="n">
        <f aca="false">IF(ISNA(VLOOKUP(A177,'Données projet'!$A$87:$I$107,7,0)),0%,VLOOKUP(A177,'Données projet'!$A$87:$I$107,7,0))</f>
        <v>0</v>
      </c>
      <c r="BP177" s="129" t="n">
        <f aca="false">EXP(-LN(2)/35)*BP176+(1-EXP(-LN(2)/35))/(LN(2)/35)*BL177*BM177*VLOOKUP('Données projet'!$B$11,Paramètres!$A$1:$I$89,3,0)*0.475*44/12</f>
        <v>0.496638000991536</v>
      </c>
      <c r="BQ177" s="129" t="n">
        <f aca="false">EXP(-LN(2)/25)*BQ176+(1-EXP(-LN(2)/25))/(LN(2)/25)*Calculateur!BL177*Calculateur!BN177*VLOOKUP('Données projet'!$B$11,Paramètres!$A$1:$I$89,3,0)*0.475*44/12</f>
        <v>0.248784971853285</v>
      </c>
      <c r="BR177" s="129" t="n">
        <f aca="false">EXP(-LN(2)/2)*BR176+(1-EXP(-LN(2)/2))/(LN(2)/2)*BL177*BO177*VLOOKUP('Données projet'!$B$11,Paramètres!$A$1:$I$89,3,0)*0.475*44/12</f>
        <v>1.27923230422892E-021</v>
      </c>
      <c r="BS177" s="130" t="n">
        <f aca="false">SUM(BP177:BR177)</f>
        <v>0.745422972844821</v>
      </c>
      <c r="BT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8" t="e">
        <f aca="false">VLOOKUP(A177,'Données projet'!$A$113:$I$133,2,0)</f>
        <v>#N/A</v>
      </c>
      <c r="BW177" s="118" t="e">
        <f aca="false">VLOOKUP(A177,'Données projet'!$A$113:$I$133,9,0)</f>
        <v>#N/A</v>
      </c>
      <c r="BX177" s="118" t="e">
        <f aca="false" t="array" ref="BX177:BX177">INDEX(BW:BW,MIN(IF(ISNUMBER(BW177:BW373),ROW(BW177:BW373),"")))</f>
        <v>#N/A</v>
      </c>
      <c r="BY177" s="118" t="n">
        <f aca="false">IF('Données projet'!$A$114&gt;35,BY176+BX177-CG176,IF(A177&lt;'Données projet'!$A$114,$BV$205^A177,IF(A177='Données projet'!$A$114,'Données projet'!$B$114,BY176+BX177-CG176)))</f>
        <v>0</v>
      </c>
      <c r="BZ177" s="117" t="n">
        <f aca="false">BY177*VLOOKUP('Données projet'!$B$12,Paramètres!$A$1:$I$89,3,0)*VLOOKUP('Données projet'!$B$12,Paramètres!$A$1:$I$89,5,0)</f>
        <v>0</v>
      </c>
      <c r="CA177" s="117" t="e">
        <f aca="false">EXP(-1.0587+0.8836*LN(BZ177)+0.284)</f>
        <v>#VALUE!</v>
      </c>
      <c r="CB177" s="128" t="e">
        <f aca="false">(BZ177+CA177)*0.475*44/12</f>
        <v>#VALUE!</v>
      </c>
      <c r="CC177" s="120" t="e">
        <f aca="false">CB177+(BT177+BU177)*44/12</f>
        <v>#VALUE!</v>
      </c>
      <c r="CD177" s="120" t="n">
        <f aca="true">AVERAGE(OFFSET($CC$3,0,0,'Données projet'!$E$12+1,1))-AVERAGE(OFFSET($H$3,0,0,'Données projet'!$E$12+1,1))</f>
        <v>240.228848647662</v>
      </c>
      <c r="CE177" s="120" t="n">
        <f aca="false">$CE$3</f>
        <v>343.237768841432</v>
      </c>
      <c r="CF177" s="121" t="n">
        <f aca="false">IF(ISNA(VLOOKUP(A177,'Données projet'!$A$113:$I$133,3,0)),0,VLOOKUP(A177,'Données projet'!$A$113:$I$133,3,0))</f>
        <v>0</v>
      </c>
      <c r="CG177" s="121" t="n">
        <f aca="false">IF(ISNA(VLOOKUP(A177,'Données projet'!$A$113:$I$133,4,0)),0,VLOOKUP(A177,'Données projet'!$A$113:$I$133,4,0))</f>
        <v>0</v>
      </c>
      <c r="CH177" s="122" t="n">
        <f aca="false">IF(ISNA(VLOOKUP(A177,'Données projet'!$A$113:$I$133,5,0)),0%,VLOOKUP(A177,'Données projet'!$A$113:$I$133,5,0)*VLOOKUP('Données projet'!$B$12,Paramètres!$A$1:$I$89,7,0))</f>
        <v>0</v>
      </c>
      <c r="CI177" s="122" t="n">
        <f aca="false">IF(ISNA(VLOOKUP(A177,'Données projet'!$A$113:$I$133,6,0)),0%,VLOOKUP(A177,'Données projet'!$A$113:$I$133,6,0)*VLOOKUP('Données projet'!$B$12,Paramètres!$A$1:$I$89,7,0))</f>
        <v>0</v>
      </c>
      <c r="CJ177" s="122" t="n">
        <f aca="false">IF(ISNA(VLOOKUP(A177,'Données projet'!$A$113:$I$133,7,0)),0%,VLOOKUP(A177,'Données projet'!$A$113:$I$133,7,0))</f>
        <v>0</v>
      </c>
      <c r="CK177" s="129" t="n">
        <f aca="false">EXP(-LN(2)/35)*CK176+(1-EXP(-LN(2)/35))/(LN(2)/35)*CG177*CH177*VLOOKUP('Données projet'!$B$12,Paramètres!$A$1:$I$89,3,0)*0.475*44/12</f>
        <v>0.303981148164911</v>
      </c>
      <c r="CL177" s="129" t="n">
        <f aca="false">EXP(-LN(2)/25)*CL176+(1-EXP(-LN(2)/25))/(LN(2)/25)*Calculateur!CG177*Calculateur!CI177*VLOOKUP('Données projet'!$B$12,Paramètres!$A$1:$I$89,3,0)*0.475*44/12</f>
        <v>0.439368662426729</v>
      </c>
      <c r="CM177" s="129" t="n">
        <f aca="false">EXP(-LN(2)/2)*CM176+(1-EXP(-LN(2)/2))/(LN(2)/2)*CG177*CJ177*VLOOKUP('Données projet'!$B$12,Paramètres!$A$1:$I$89,3,0)*0.475*44/12</f>
        <v>2.04131371441252E-021</v>
      </c>
      <c r="CN177" s="130" t="n">
        <f aca="false">SUM(CK177:CM177)</f>
        <v>0.74334981059164</v>
      </c>
      <c r="CO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8" t="e">
        <f aca="false">VLOOKUP(A177,'Données projet'!$A$139:$I$159,2,0)</f>
        <v>#N/A</v>
      </c>
      <c r="CR177" s="118" t="e">
        <f aca="false">VLOOKUP(A177,'Données projet'!$A$139:$I$159,9,0)</f>
        <v>#N/A</v>
      </c>
      <c r="CS177" s="118" t="e">
        <f aca="false" t="array" ref="CS177:CS177">INDEX(CR:CR,MIN(IF(ISNUMBER(CR177:CR373),ROW(CR177:CR373),"")))</f>
        <v>#N/A</v>
      </c>
      <c r="CT177" s="118" t="n">
        <f aca="false">IF('Données projet'!$A$140&gt;35,CT176+CS177-DB176,IF(A177&lt;'Données projet'!$A$140,$CQ$205^A177,IF(A177='Données projet'!$A$140,'Données projet'!$B$140,CT176+CS177-DB176)))</f>
        <v>-5.6843418860808E-014</v>
      </c>
      <c r="CU177" s="125" t="n">
        <f aca="false">CT177*VLOOKUP('Données projet'!$B$13,Paramètres!$A$1:$I$89,3,0)*VLOOKUP('Données projet'!$B$13,Paramètres!$A$1:$I$89,5,0)</f>
        <v>-3.10365066980012E-014</v>
      </c>
      <c r="CV177" s="117" t="e">
        <f aca="false">EXP(-1.0587+0.8836*LN(CU177)+0.284)</f>
        <v>#VALUE!</v>
      </c>
      <c r="CW177" s="128" t="e">
        <f aca="false">(CU177+CV177)*0.475*44/12</f>
        <v>#VALUE!</v>
      </c>
      <c r="CX177" s="120" t="e">
        <f aca="false">CW177+(CO177+CP177)*44/12</f>
        <v>#VALUE!</v>
      </c>
      <c r="CY177" s="120" t="n">
        <f aca="true">AVERAGE(OFFSET($CX$3,0,0,'Données projet'!$E$13+1,1))-AVERAGE(OFFSET($H$3,0,0,'Données projet'!$E$13+1,1))</f>
        <v>207.023069645676</v>
      </c>
      <c r="CZ177" s="120" t="n">
        <f aca="false">$CZ$3</f>
        <v>342.068879333518</v>
      </c>
      <c r="DA177" s="121" t="n">
        <f aca="false">IF(ISNA(VLOOKUP(A177,'Données projet'!$A$139:$I$159,3,0)),0,VLOOKUP(A177,'Données projet'!$A$139:$I$159,3,0))</f>
        <v>0</v>
      </c>
      <c r="DB177" s="121" t="n">
        <f aca="false">IF(ISNA(VLOOKUP(A177,'Données projet'!$A$139:$I$159,4,0)),0,VLOOKUP(A177,'Données projet'!$A$139:$I$159,4,0))</f>
        <v>0</v>
      </c>
      <c r="DC177" s="122" t="n">
        <f aca="false">IF(ISNA(VLOOKUP(A177,'Données projet'!$A$139:$I$159,5,0)),0%,VLOOKUP(A177,'Données projet'!$A$139:$I$159,5,0)*VLOOKUP('Données projet'!$B$13,Paramètres!$A$1:$I$89,7,0))</f>
        <v>0</v>
      </c>
      <c r="DD177" s="122" t="n">
        <f aca="false">IF(ISNA(VLOOKUP(A177,'Données projet'!$A$139:$I$159,6,0)),0%,VLOOKUP(A177,'Données projet'!$A$139:$I$159,6,0)*VLOOKUP('Données projet'!$B$13,Paramètres!$A$1:$I$89,7,0))</f>
        <v>0</v>
      </c>
      <c r="DE177" s="122" t="n">
        <f aca="false">IF(ISNA(VLOOKUP(A177,'Données projet'!$A$139:$I$159,7,0)),0%,VLOOKUP(A177,'Données projet'!$A$139:$I$159,7,0))</f>
        <v>0</v>
      </c>
      <c r="DF177" s="129" t="n">
        <f aca="false">EXP(-LN(2)/35)*DF176+(1-EXP(-LN(2)/35))/(LN(2)/35)*DB177*DC177*VLOOKUP('Données projet'!$B$13,Paramètres!$A$1:$I$89,3,0)*0.475*44/12</f>
        <v>0.381410308546539</v>
      </c>
      <c r="DG177" s="129" t="n">
        <f aca="false">EXP(-LN(2)/25)*DG176+(1-EXP(-LN(2)/25))/(LN(2)/25)*Calculateur!DB177*Calculateur!DD177*VLOOKUP('Données projet'!$B$13,Paramètres!$A$1:$I$89,3,0)*0.475*44/12</f>
        <v>0.718184770929078</v>
      </c>
      <c r="DH177" s="129" t="n">
        <f aca="false">EXP(-LN(2)/2)*DH176+(1-EXP(-LN(2)/2))/(LN(2)/2)*DB177*DE177*VLOOKUP('Données projet'!$B$13,Paramètres!$A$1:$I$89,3,0)*0.475*44/12</f>
        <v>2.81088993115049E-021</v>
      </c>
      <c r="DI177" s="130" t="n">
        <f aca="false">SUM(DF177:DH177)</f>
        <v>1.09959507947562</v>
      </c>
      <c r="DJ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8" t="e">
        <f aca="false">VLOOKUP(A177,'Données projet'!$A$165:$I$185,2,0)</f>
        <v>#N/A</v>
      </c>
      <c r="DM177" s="118" t="e">
        <f aca="false">VLOOKUP(A177,'Données projet'!$A$165:$I$185,9,0)</f>
        <v>#N/A</v>
      </c>
      <c r="DN177" s="118" t="e">
        <f aca="false" t="array" ref="DN177:DN177">INDEX(DM:DM,MIN(IF(ISNUMBER(DM177:DM373),ROW(DM177:DM373),"")))</f>
        <v>#N/A</v>
      </c>
      <c r="DO177" s="118" t="n">
        <f aca="false">IF('Données projet'!$A$166&gt;35,DO176+DN177-DW176,IF(A177&lt;'Données projet'!$A$166,$DL$205^A177,IF(A177='Données projet'!$A$166,'Données projet'!$B$166,DO176+DN177-DW176)))</f>
        <v>0</v>
      </c>
      <c r="DP177" s="125" t="n">
        <f aca="false">DO177*VLOOKUP('Données projet'!$B$14,Paramètres!$A$1:$I$89,3,0)*VLOOKUP('Données projet'!$B$14,Paramètres!$A$1:$I$89,5,0)</f>
        <v>0</v>
      </c>
      <c r="DQ177" s="117" t="e">
        <f aca="false">EXP(-1.0587+0.8836*LN(DP177)+0.284)</f>
        <v>#VALUE!</v>
      </c>
      <c r="DR177" s="128" t="e">
        <f aca="false">(DP177+DQ177)*0.475*44/12</f>
        <v>#VALUE!</v>
      </c>
      <c r="DS177" s="120" t="e">
        <f aca="false">DR177+(DJ177+DK177)*44/12</f>
        <v>#VALUE!</v>
      </c>
      <c r="DT177" s="120" t="n">
        <f aca="true">AVERAGE(OFFSET($DS$3,0,0,'Données projet'!$E$14+1,1))-AVERAGE(OFFSET($H$3,0,0,'Données projet'!$E$14+1,1))</f>
        <v>549.432320957297</v>
      </c>
      <c r="DU177" s="120" t="n">
        <f aca="false">$DU$3</f>
        <v>280.26155987301</v>
      </c>
      <c r="DV177" s="121" t="n">
        <f aca="false">IF(ISNA(VLOOKUP(A177,'Données projet'!$A$165:$I$185,3,0)),0,VLOOKUP(A177,'Données projet'!$A$165:$I$185,3,0))</f>
        <v>0</v>
      </c>
      <c r="DW177" s="121" t="n">
        <f aca="false">IF(ISNA(VLOOKUP(A177,'Données projet'!$A$165:$I$185,4,0)),0,VLOOKUP(A177,'Données projet'!$A$165:$I$185,4,0))</f>
        <v>0</v>
      </c>
      <c r="DX177" s="122" t="n">
        <f aca="false">IF(ISNA(VLOOKUP(A177,'Données projet'!$A$165:$I$185,5,0)),0%,VLOOKUP(A177,'Données projet'!$A$165:$I$185,5,0)*VLOOKUP('Données projet'!$B$14,Paramètres!$A$1:$I$89,7,0))</f>
        <v>0</v>
      </c>
      <c r="DY177" s="122" t="n">
        <f aca="false">IF(ISNA(VLOOKUP(A177,'Données projet'!$A$165:$I$185,6,0)),0%,VLOOKUP(A177,'Données projet'!$A$165:$I$185,6,0)*VLOOKUP('Données projet'!$B$14,Paramètres!$A$1:$I$89,7,0))</f>
        <v>0</v>
      </c>
      <c r="DZ177" s="122" t="n">
        <f aca="false">IF(ISNA(VLOOKUP(A177,'Données projet'!$A$165:$I$185,7,0)),0%,VLOOKUP(A177,'Données projet'!$A$165:$I$185,7,0))</f>
        <v>0</v>
      </c>
      <c r="EA177" s="129" t="n">
        <f aca="false">EXP(-LN(2)/35)*EA176+(1-EXP(-LN(2)/35))/(LN(2)/35)*DW177*DX177*VLOOKUP('Données projet'!$B$14,Paramètres!$A$1:$I$89,3,0)*0.475*44/12</f>
        <v>0.138680362898315</v>
      </c>
      <c r="EB177" s="129" t="n">
        <f aca="false">EXP(-LN(2)/25)*EB176+(1-EXP(-LN(2)/25))/(LN(2)/25)*Calculateur!DW177*Calculateur!DY177*VLOOKUP('Données projet'!$B$14,Paramètres!$A$1:$I$89,3,0)*0.475*44/12</f>
        <v>0.143076575905555</v>
      </c>
      <c r="EC177" s="129" t="n">
        <f aca="false">EXP(-LN(2)/2)*EC176+(1-EXP(-LN(2)/2))/(LN(2)/2)*DW177*DZ177*VLOOKUP('Données projet'!$B$14,Paramètres!$A$1:$I$89,3,0)*0.475*44/12</f>
        <v>1.29576231678679E-021</v>
      </c>
      <c r="ED177" s="130" t="n">
        <f aca="false">SUM(EA177:EC177)</f>
        <v>0.28175693880387</v>
      </c>
      <c r="EE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8" t="e">
        <f aca="false">VLOOKUP(A177,'Données projet'!$A$191:$I$211,2,0)</f>
        <v>#N/A</v>
      </c>
      <c r="EH177" s="118" t="e">
        <f aca="false">VLOOKUP(A177,'Données projet'!$A$191:$I$211,9,0)</f>
        <v>#N/A</v>
      </c>
      <c r="EI177" s="118" t="e">
        <f aca="false" t="array" ref="EI177:EI177">INDEX(EH:EH,MIN(IF(ISNUMBER(EH177:EH373),ROW(EH177:EH373),"")))</f>
        <v>#N/A</v>
      </c>
      <c r="EJ177" s="118" t="n">
        <f aca="false">IF('Données projet'!$A$192&gt;35,EJ176+EI177-ER176,IF(A177&lt;'Données projet'!$A$192,$EG$205^A177,IF(A177='Données projet'!$A$192,'Données projet'!$B$192,EJ176+EI177-ER176)))</f>
        <v>0</v>
      </c>
      <c r="EK177" s="125" t="e">
        <f aca="false">EJ177*VLOOKUP('Données projet'!$B$15,Paramètres!$A$1:$I$89,3,0)*VLOOKUP('Données projet'!$B$15,Paramètres!$A$1:$I$89,5,0)</f>
        <v>#N/A</v>
      </c>
      <c r="EL177" s="117" t="e">
        <f aca="false">EXP(-1.0587+0.8836*LN(EK177)+0.284)</f>
        <v>#N/A</v>
      </c>
      <c r="EM177" s="128" t="e">
        <f aca="false">(EK177+EL177)*0.475*44/12</f>
        <v>#N/A</v>
      </c>
      <c r="EN177" s="120" t="e">
        <f aca="false">EM177+(EE177+EF177)*44/12</f>
        <v>#N/A</v>
      </c>
      <c r="EO177" s="120" t="e">
        <f aca="true">AVERAGE(OFFSET($EN$3,0,0,'Données projet'!$E$15+1,1))-AVERAGE(OFFSET($H$3,0,0,'Données projet'!$E$15+1,1))</f>
        <v>#N/A</v>
      </c>
      <c r="EP177" s="120" t="e">
        <f aca="false">$EP$3</f>
        <v>#N/A</v>
      </c>
      <c r="EQ177" s="121" t="n">
        <f aca="false">IF(ISNA(VLOOKUP(A177,'Données projet'!$A$191:$I$211,3,0)),0,VLOOKUP(A177,'Données projet'!$A$191:$I$211,3,0))</f>
        <v>0</v>
      </c>
      <c r="ER177" s="121" t="n">
        <f aca="false">IF(ISNA(VLOOKUP(A177,'Données projet'!$A$191:$I$211,4,0)),0,VLOOKUP(A177,'Données projet'!$A$191:$I$211,4,0))</f>
        <v>0</v>
      </c>
      <c r="ES177" s="122" t="n">
        <f aca="false">IF(ISNA(VLOOKUP(A177,'Données projet'!$A$191:$I$211,5,0)),0%,VLOOKUP(A177,'Données projet'!$A$191:$I$211,5,0)*VLOOKUP('Données projet'!$B$15,Paramètres!$A$1:$I$89,7,0))</f>
        <v>0</v>
      </c>
      <c r="ET177" s="122" t="n">
        <f aca="false">IF(ISNA(VLOOKUP(A177,'Données projet'!$A$191:$I$211,6,0)),0%,VLOOKUP(A177,'Données projet'!$A$191:$I$211,6,0)*VLOOKUP('Données projet'!$B$15,Paramètres!$A$1:$I$89,7,0))</f>
        <v>0</v>
      </c>
      <c r="EU177" s="122" t="n">
        <f aca="false">IF(ISNA(VLOOKUP(A177,'Données projet'!$A$191:$I$211,7,0)),0%,VLOOKUP(A177,'Données projet'!$A$191:$I$211,7,0))</f>
        <v>0</v>
      </c>
      <c r="EV177" s="129" t="e">
        <f aca="false">EXP(-LN(2)/35)*EV176+(1-EXP(-LN(2)/35))/(LN(2)/35)*ER177*ES177*VLOOKUP('Données projet'!$B$15,Paramètres!$A$1:$I$89,3,0)*0.475*44/12</f>
        <v>#N/A</v>
      </c>
      <c r="EW177" s="129" t="e">
        <f aca="false">EXP(-LN(2)/25)*EW176+(1-EXP(-LN(2)/25))/(LN(2)/25)*Calculateur!ER177*Calculateur!ET177*VLOOKUP('Données projet'!$B$15,Paramètres!$A$1:$I$89,3,0)*0.475*44/12</f>
        <v>#N/A</v>
      </c>
      <c r="EX177" s="129" t="e">
        <f aca="false">EXP(-LN(2)/2)*EX176+(1-EXP(-LN(2)/2))/(LN(2)/2)*ER177*EU177*VLOOKUP('Données projet'!$B$15,Paramètres!$A$1:$I$89,3,0)*0.475*44/12</f>
        <v>#N/A</v>
      </c>
      <c r="EY177" s="130" t="e">
        <f aca="false">SUM(EV177:EX177)</f>
        <v>#N/A</v>
      </c>
      <c r="EZ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8" t="e">
        <f aca="false">VLOOKUP(A177,'Données projet'!$A$217:$I$237,2,0)</f>
        <v>#N/A</v>
      </c>
      <c r="FC177" s="118" t="e">
        <f aca="false">VLOOKUP(A177,'Données projet'!$A$217:$I$237,9,0)</f>
        <v>#N/A</v>
      </c>
      <c r="FD177" s="118" t="e">
        <f aca="false" t="array" ref="FD177:FD177">INDEX(FC:FC,MIN(IF(ISNUMBER(FC177:FC373),ROW(FC177:FC373),"")))</f>
        <v>#N/A</v>
      </c>
      <c r="FE177" s="118" t="n">
        <f aca="false">IF('Données projet'!$A$218&gt;35,FE176+FD177-FM176,IF(A177&lt;'Données projet'!$A$218,$FB$205^A177,IF(A177='Données projet'!$A$218,'Données projet'!$B$218,FE176+FD177-FM176)))</f>
        <v>0</v>
      </c>
      <c r="FF177" s="125" t="e">
        <f aca="false">FE177*VLOOKUP('Données projet'!$B$16,Paramètres!$A$1:$I$89,3,0)*VLOOKUP('Données projet'!$B$16,Paramètres!$A$1:$I$89,5,0)</f>
        <v>#N/A</v>
      </c>
      <c r="FG177" s="117" t="e">
        <f aca="false">EXP(-1.0587+0.8836*LN(FF177)+0.284)</f>
        <v>#N/A</v>
      </c>
      <c r="FH177" s="128" t="e">
        <f aca="false">(FF177+FG177)*0.475*44/12</f>
        <v>#N/A</v>
      </c>
      <c r="FI177" s="120" t="e">
        <f aca="false">FH177+(EZ177+FA177)*44/12</f>
        <v>#N/A</v>
      </c>
      <c r="FJ177" s="120" t="e">
        <f aca="true">AVERAGE(OFFSET($FI$3,0,0,'Données projet'!$E$16+1,1))-AVERAGE(OFFSET($H$3,0,0,'Données projet'!$E$16+1,1))</f>
        <v>#N/A</v>
      </c>
      <c r="FK177" s="120" t="e">
        <f aca="false">$FK$3</f>
        <v>#N/A</v>
      </c>
      <c r="FL177" s="121" t="n">
        <f aca="false">IF(ISNA(VLOOKUP(A177,'Données projet'!$A$217:$I$237,3,0)),0,VLOOKUP(A177,'Données projet'!$A$217:$I$237,3,0))</f>
        <v>0</v>
      </c>
      <c r="FM177" s="121" t="n">
        <f aca="false">IF(ISNA(VLOOKUP(A177,'Données projet'!$A$217:$I$237,4,0)),0,VLOOKUP(A177,'Données projet'!$A$217:$I$237,4,0))</f>
        <v>0</v>
      </c>
      <c r="FN177" s="122" t="n">
        <f aca="false">IF(ISNA(VLOOKUP(A177,'Données projet'!$A$217:$I$237,5,0)),0%,VLOOKUP(A177,'Données projet'!$A$217:$I$237,5,0)*VLOOKUP('Données projet'!$B$16,Paramètres!$A$1:$I$89,7,0))</f>
        <v>0</v>
      </c>
      <c r="FO177" s="122" t="n">
        <f aca="false">IF(ISNA(VLOOKUP(A177,'Données projet'!$A$217:$I$237,6,0)),0%,VLOOKUP(A177,'Données projet'!$A$217:$I$237,6,0)*VLOOKUP('Données projet'!$B$16,Paramètres!$A$1:$I$89,7,0))</f>
        <v>0</v>
      </c>
      <c r="FP177" s="122" t="n">
        <f aca="false">IF(ISNA(VLOOKUP(A177,'Données projet'!$A$217:$I$237,7,0)),0%,VLOOKUP(A177,'Données projet'!$A$217:$I$237,7,0))</f>
        <v>0</v>
      </c>
      <c r="FQ177" s="129" t="e">
        <f aca="false">EXP(-LN(2)/35)*FQ176+(1-EXP(-LN(2)/35))/(LN(2)/35)*FM177*FN177*VLOOKUP('Données projet'!$B$16,Paramètres!$A$1:$I$89,3,0)*0.475*44/12</f>
        <v>#N/A</v>
      </c>
      <c r="FR177" s="129" t="e">
        <f aca="false">EXP(-LN(2)/25)*FR176+(1-EXP(-LN(2)/25))/(LN(2)/25)*Calculateur!FM177*Calculateur!FO177*VLOOKUP('Données projet'!$B$16,Paramètres!$A$1:$I$89,3,0)*0.475*44/12</f>
        <v>#N/A</v>
      </c>
      <c r="FS177" s="129" t="e">
        <f aca="false">EXP(-LN(2)/2)*FS176+(1-EXP(-LN(2)/2))/(LN(2)/2)*FM177*FP177*VLOOKUP('Données projet'!$B$16,Paramètres!$A$1:$I$89,3,0)*0.475*44/12</f>
        <v>#N/A</v>
      </c>
      <c r="FT177" s="130" t="e">
        <f aca="false">SUM(FQ177:FS177)</f>
        <v>#N/A</v>
      </c>
      <c r="FU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8" t="e">
        <f aca="false">VLOOKUP(A177,'Données projet'!$A$243:$I$263,2,0)</f>
        <v>#N/A</v>
      </c>
      <c r="FX177" s="118" t="e">
        <f aca="false">VLOOKUP(A177,'Données projet'!$A$243:$I$263,9,0)</f>
        <v>#N/A</v>
      </c>
      <c r="FY177" s="118" t="e">
        <f aca="false" t="array" ref="FY177:FY177">INDEX(FX:FX,MIN(IF(ISNUMBER(FX177:FX373),ROW(FX177:FX373),"")))</f>
        <v>#N/A</v>
      </c>
      <c r="FZ177" s="118" t="n">
        <f aca="false">IF('Données projet'!$A$244&gt;35,FZ176+FY177-GH176,IF(A177&lt;'Données projet'!$A$244,$FW$205^A177,IF(A177='Données projet'!$A$244,'Données projet'!$B$244,FZ176+FY177-GH176)))</f>
        <v>0</v>
      </c>
      <c r="GA177" s="125" t="e">
        <f aca="false">FZ177*VLOOKUP('Données projet'!$B$17,Paramètres!$A$1:$I$89,3,0)*VLOOKUP('Données projet'!$B$17,Paramètres!$A$1:$I$89,5,0)</f>
        <v>#N/A</v>
      </c>
      <c r="GB177" s="117" t="e">
        <f aca="false">EXP(-1.0587+0.8836*LN(GA177)+0.284)</f>
        <v>#N/A</v>
      </c>
      <c r="GC177" s="128" t="e">
        <f aca="false">(GA177+GB177)*0.475*44/12</f>
        <v>#N/A</v>
      </c>
      <c r="GD177" s="120" t="e">
        <f aca="false">GC177+(FU177+FV177)*44/12</f>
        <v>#N/A</v>
      </c>
      <c r="GE177" s="120" t="e">
        <f aca="true">AVERAGE(OFFSET($GD$3,0,0,'Données projet'!$E$17+1,1))-AVERAGE(OFFSET($H$3,0,0,'Données projet'!$E$17+1,1))</f>
        <v>#N/A</v>
      </c>
      <c r="GF177" s="120" t="e">
        <f aca="false">$GF$3</f>
        <v>#N/A</v>
      </c>
      <c r="GG177" s="121" t="n">
        <f aca="false">IF(ISNA(VLOOKUP(A177,'Données projet'!$A$243:$I$263,3,0)),0,VLOOKUP(A177,'Données projet'!$A$243:$I$263,3,0))</f>
        <v>0</v>
      </c>
      <c r="GH177" s="121" t="n">
        <f aca="false">IF(ISNA(VLOOKUP(A177,'Données projet'!$A$243:$I$263,4,0)),0,VLOOKUP(A177,'Données projet'!$A$243:$I$263,4,0))</f>
        <v>0</v>
      </c>
      <c r="GI177" s="122" t="n">
        <f aca="false">IF(ISNA(VLOOKUP(A177,'Données projet'!$A$243:$I$263,5,0)),0%,VLOOKUP(A177,'Données projet'!$A$243:$I$263,5,0)*VLOOKUP('Données projet'!$B$17,Paramètres!$A$1:$I$89,7,0))</f>
        <v>0</v>
      </c>
      <c r="GJ177" s="122" t="n">
        <f aca="false">IF(ISNA(VLOOKUP(A177,'Données projet'!$A$243:$I$263,6,0)),0%,VLOOKUP(A177,'Données projet'!$A$243:$I$263,6,0)*VLOOKUP('Données projet'!$B$17,Paramètres!$A$1:$I$89,7,0))</f>
        <v>0</v>
      </c>
      <c r="GK177" s="122" t="n">
        <f aca="false">IF(ISNA(VLOOKUP(A177,'Données projet'!$A$243:$I$263,7,0)),0%,VLOOKUP(A177,'Données projet'!$A$243:$I$263,7,0))</f>
        <v>0</v>
      </c>
      <c r="GL177" s="129" t="e">
        <f aca="false">EXP(-LN(2)/35)*GL176+(1-EXP(-LN(2)/35))/(LN(2)/35)*GH177*GI177*VLOOKUP('Données projet'!$B$17,Paramètres!$A$1:$I$89,3,0)*0.475*44/12</f>
        <v>#N/A</v>
      </c>
      <c r="GM177" s="129" t="e">
        <f aca="false">EXP(-LN(2)/25)*GM176+(1-EXP(-LN(2)/25))/(LN(2)/25)*Calculateur!GH177*Calculateur!GJ177*VLOOKUP('Données projet'!$B$17,Paramètres!$A$1:$I$89,3,0)*0.475*44/12</f>
        <v>#N/A</v>
      </c>
      <c r="GN177" s="129" t="e">
        <f aca="false">EXP(-LN(2)/2)*GN176+(1-EXP(-LN(2)/2))/(LN(2)/2)*GH177*GK177*VLOOKUP('Données projet'!$B$17,Paramètres!$A$1:$I$89,3,0)*0.475*44/12</f>
        <v>#N/A</v>
      </c>
      <c r="GO177" s="129" t="e">
        <f aca="false">SUM(GL177:GN177)</f>
        <v>#N/A</v>
      </c>
      <c r="GP177" s="126" t="n">
        <f aca="false"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8" t="n">
        <f aca="false"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8" t="e">
        <f aca="false">VLOOKUP(A177,'Données projet'!$A$269:$I$289,2,0)</f>
        <v>#N/A</v>
      </c>
      <c r="GS177" s="118" t="e">
        <f aca="false">VLOOKUP(A177,'Données projet'!$A$269:$I$289,9,0)</f>
        <v>#N/A</v>
      </c>
      <c r="GT177" s="118" t="e">
        <f aca="false" t="array" ref="GT177:GT177">INDEX(GS:GS,MIN(IF(ISNUMBER(GS177:GS373),ROW(GS177:GS373),"")))</f>
        <v>#N/A</v>
      </c>
      <c r="GU177" s="118" t="n">
        <f aca="false">IF('Données projet'!$A$270&gt;35,GU176+GT177-HC176,IF(A177&lt;'Données projet'!$A$270,$GR$205^A177,IF(A177='Données projet'!$A$270,'Données projet'!$B$270,GU176+GT177-HC176)))</f>
        <v>0</v>
      </c>
      <c r="GV177" s="125" t="e">
        <f aca="false">GU177*VLOOKUP('Données projet'!$B$18,Paramètres!$A$1:$I$89,3,0)*VLOOKUP('Données projet'!$B$18,Paramètres!$A$1:$I$89,5,0)</f>
        <v>#N/A</v>
      </c>
      <c r="GW177" s="117" t="e">
        <f aca="false">EXP(-1.0587+0.8836*LN(GV177)+0.284)</f>
        <v>#N/A</v>
      </c>
      <c r="GX177" s="128" t="e">
        <f aca="false">(GV177+GW177)*0.475*44/12</f>
        <v>#N/A</v>
      </c>
      <c r="GY177" s="120" t="e">
        <f aca="false">GX177+(GP177+GQ177)*44/12</f>
        <v>#N/A</v>
      </c>
      <c r="GZ177" s="120" t="e">
        <f aca="true">AVERAGE(OFFSET($GY$3,0,0,'Données projet'!$E$18+1,1))-AVERAGE(OFFSET($H$3,0,0,'Données projet'!$E$18+1,1))</f>
        <v>#N/A</v>
      </c>
      <c r="HA177" s="120" t="e">
        <f aca="false">$HA$3</f>
        <v>#N/A</v>
      </c>
      <c r="HB177" s="121" t="n">
        <f aca="false">IF(ISNA(VLOOKUP(A177,'Données projet'!$A$269:$I$289,3,0)),0,VLOOKUP(A177,'Données projet'!$A$269:$I$289,3,0))</f>
        <v>0</v>
      </c>
      <c r="HC177" s="121" t="n">
        <f aca="false">IF(ISNA(VLOOKUP(A177,'Données projet'!$A$269:$I$289,4,0)),0,VLOOKUP(A177,'Données projet'!$A$269:$I$289,4,0))</f>
        <v>0</v>
      </c>
      <c r="HD177" s="122" t="n">
        <f aca="false">IF(ISNA(VLOOKUP(A177,'Données projet'!$A$269:$I$289,5,0)),0%,VLOOKUP(A177,'Données projet'!$A$269:$I$289,5,0)*VLOOKUP('Données projet'!$B$18,Paramètres!$A$1:$I$89,7,0))</f>
        <v>0</v>
      </c>
      <c r="HE177" s="122" t="n">
        <f aca="false">IF(ISNA(VLOOKUP(A177,'Données projet'!$A$269:$I$289,6,0)),0%,VLOOKUP(A177,'Données projet'!$A$269:$I$289,6,0)*VLOOKUP('Données projet'!$B$18,Paramètres!$A$1:$I$89,7,0))</f>
        <v>0</v>
      </c>
      <c r="HF177" s="122" t="n">
        <f aca="false">IF(ISNA(VLOOKUP(A177,'Données projet'!$A$269:$I$289,7,0)),0%,VLOOKUP(A177,'Données projet'!$A$269:$I$289,7,0))</f>
        <v>0</v>
      </c>
      <c r="HG177" s="129" t="e">
        <f aca="false">EXP(-LN(2)/35)*HG176+(1-EXP(-LN(2)/35))/(LN(2)/35)*HC177*HD177*VLOOKUP('Données projet'!$B$18,Paramètres!$A$1:$I$89,3,0)*0.475*44/12</f>
        <v>#N/A</v>
      </c>
      <c r="HH177" s="129" t="e">
        <f aca="false">EXP(-LN(2)/25)*HH176+(1-EXP(-LN(2)/25))/(LN(2)/25)*Calculateur!HC177*Calculateur!HE177*VLOOKUP('Données projet'!$B$18,Paramètres!$A$1:$I$89,3,0)*0.475*44/12</f>
        <v>#N/A</v>
      </c>
      <c r="HI177" s="129" t="e">
        <f aca="false">EXP(-LN(2)/2)*HI176+(1-EXP(-LN(2)/2))/(LN(2)/2)*HC177*HF177*VLOOKUP('Données projet'!$B$18,Paramètres!$A$1:$I$89,3,0)*0.475*44/12</f>
        <v>#N/A</v>
      </c>
      <c r="HJ177" s="130" t="e">
        <f aca="false">SUM(HG177:HI177)</f>
        <v>#N/A</v>
      </c>
    </row>
    <row r="178" customFormat="false" ht="14.25" hidden="false" customHeight="false" outlineLevel="0" collapsed="false">
      <c r="A178" s="112" t="n">
        <f aca="false">A177+1</f>
        <v>175</v>
      </c>
      <c r="B178" s="113" t="n">
        <f aca="false">'Scénario référence'!$B$16*5+'Scénario référence'!$B$17*0+'Scénario référence'!$B$18*5</f>
        <v>0</v>
      </c>
      <c r="C178" s="127" t="n">
        <f aca="false"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4" t="n">
        <f aca="false">IFERROR(EXP(-1.0587+0.8836*LN(C178)+0.284),0)</f>
        <v>0</v>
      </c>
      <c r="E17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8" s="114" t="n">
        <f aca="false">IF(OR('Scénario référence'!$F$8&gt;0,'Scénario référence'!$F$9&gt;0),('Scénario référence'!$F$8+'Scénario référence'!$F$9)*10,0)</f>
        <v>0</v>
      </c>
      <c r="G178" s="114" t="n">
        <f aca="false"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15" t="n">
        <f aca="false">(B178+E178+F178)*44/12+(C178+D178)*0.475*44/12</f>
        <v>256.666666666667</v>
      </c>
      <c r="I178" s="11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7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8" t="e">
        <f aca="false">VLOOKUP(A178,'Données projet'!$A$35:$I$55,2,0)</f>
        <v>#N/A</v>
      </c>
      <c r="L178" s="118" t="e">
        <f aca="false">VLOOKUP(A178,'Données projet'!$A$35:$I$55,9,0)</f>
        <v>#N/A</v>
      </c>
      <c r="M178" s="118" t="e">
        <f aca="false" t="array" ref="M178:M178">INDEX(L:L,MIN(IF(ISNUMBER(L178:L374),ROW(L178:L374),"")))</f>
        <v>#N/A</v>
      </c>
      <c r="N178" s="117" t="n">
        <f aca="false">IF('Données projet'!$A$36&gt;35,N177+M178-V177,IF(A178&lt;'Données projet'!$A$36,$K$205^A178,IF(A178='Données projet'!$A$36,'Données projet'!$B$36,N177+M178-V177)))</f>
        <v>-1.13686837721616E-013</v>
      </c>
      <c r="O178" s="117" t="n">
        <f aca="false">N178*VLOOKUP('Données projet'!$B$9,Paramètres!$A$1:$I$89,3,0)*VLOOKUP('Données projet'!$B$9,Paramètres!$A$1:$I$89,5,0)</f>
        <v>-5.32054400537163E-014</v>
      </c>
      <c r="P178" s="117" t="e">
        <f aca="false">EXP(-1.0587+0.8836*LN(O178)+0.284)</f>
        <v>#VALUE!</v>
      </c>
      <c r="Q178" s="128" t="e">
        <f aca="false">(O178+P178)*0.475*44/12</f>
        <v>#VALUE!</v>
      </c>
      <c r="R178" s="120" t="e">
        <f aca="false">Q178+(I178+J178)*44/12</f>
        <v>#VALUE!</v>
      </c>
      <c r="S178" s="120" t="n">
        <f aca="true">AVERAGE(OFFSET($R$3,0,0,'Données projet'!$E$9+1,1))-AVERAGE(OFFSET($H$3,0,0,'Données projet'!$E$9+1,1))</f>
        <v>319.229030946746</v>
      </c>
      <c r="T178" s="120" t="n">
        <f aca="false">$T$3</f>
        <v>254.586909731428</v>
      </c>
      <c r="U178" s="121" t="n">
        <f aca="false">IF(ISNA(VLOOKUP(A178,'Données projet'!$A$35:$I$55,3,0)),0,VLOOKUP(A178,'Données projet'!$A$35:$I$55,3,0))</f>
        <v>0</v>
      </c>
      <c r="V178" s="121" t="n">
        <f aca="false">IF(ISNA(VLOOKUP(A178,'Données projet'!$A$35:$I$55,4,0)),0,VLOOKUP(A178,'Données projet'!$A$35:$I$55,4,0))</f>
        <v>0</v>
      </c>
      <c r="W178" s="122" t="n">
        <f aca="false">IF(ISNA(VLOOKUP(A178,'Données projet'!$A$35:$I$55,5,0)),0%,VLOOKUP(A178,'Données projet'!$A$35:$I$55,5,0)*VLOOKUP('Données projet'!$B$9,Paramètres!$A$1:$I$89,7,0))</f>
        <v>0</v>
      </c>
      <c r="X178" s="122" t="n">
        <f aca="false">IF(ISNA(VLOOKUP(A178,'Données projet'!$A$35:$I$55,6,0)),0%,VLOOKUP(A178,'Données projet'!$A$35:$I$55,6,0)*VLOOKUP('Données projet'!$B$9,Paramètres!$A$1:$I$89,7,0))</f>
        <v>0</v>
      </c>
      <c r="Y178" s="122" t="n">
        <f aca="false">IF(ISNA(VLOOKUP(A178,'Données projet'!$A$35:$I$55,7,0)),0%,VLOOKUP(A178,'Données projet'!$A$35:$I$55,7,0))</f>
        <v>0</v>
      </c>
      <c r="Z178" s="129" t="n">
        <f aca="false">EXP(-LN(2)/35)*Z177+(1-EXP(-LN(2)/35))/(LN(2)/35)*V178*W178*VLOOKUP('Données projet'!$B$9,Paramètres!$A$1:$I$89,3,0)*0.475*44/12</f>
        <v>0.513781209686397</v>
      </c>
      <c r="AA178" s="129" t="n">
        <f aca="false">EXP(-LN(2)/25)*AA177+(1-EXP(-LN(2)/25))/(LN(2)/25)*Calculateur!V178*Calculateur!X178*VLOOKUP('Données projet'!$B$9,Paramètres!$A$1:$I$89,3,0)*0.475*44/12</f>
        <v>0.200148487327452</v>
      </c>
      <c r="AB178" s="129" t="n">
        <f aca="false">EXP(-LN(2)/2)*AB177+(1-EXP(-LN(2)/2))/(LN(2)/2)*V178*Y178*VLOOKUP('Données projet'!$B$9,Paramètres!$A$1:$I$89,3,0)*0.475*44/12</f>
        <v>1.6535504344548E-021</v>
      </c>
      <c r="AC178" s="130" t="n">
        <f aca="false">SUM(Z178:AB178)</f>
        <v>0.713929697013848</v>
      </c>
      <c r="AD178" s="117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7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8" t="e">
        <f aca="false">VLOOKUP(A178,'Données projet'!$A$61:$I$81,2,0)</f>
        <v>#N/A</v>
      </c>
      <c r="AG178" s="118" t="e">
        <f aca="false">VLOOKUP(A178,'Données projet'!$A$61:$I$81,9,0)</f>
        <v>#N/A</v>
      </c>
      <c r="AH178" s="118" t="e">
        <f aca="false" t="array" ref="AH178:AH178">INDEX(AG:AG,MIN(IF(ISNUMBER(AG178:AG374),ROW(AG178:AG374),"")))</f>
        <v>#N/A</v>
      </c>
      <c r="AI178" s="117" t="n">
        <f aca="false">IF('Données projet'!$A$62&gt;35,AI177+AH178-AQ177,IF(A178&lt;'Données projet'!$A$62,$AF$205^A178,IF(A178='Données projet'!$A$62,'Données projet'!$B$62,AI177+AH178-AQ177)))</f>
        <v>1.13686837721616E-013</v>
      </c>
      <c r="AJ178" s="117" t="n">
        <f aca="false">AI178*VLOOKUP('Données projet'!$B$10,Paramètres!$A$1:$I$89,3,0)*VLOOKUP('Données projet'!$B$10,Paramètres!$A$1:$I$89,5,0)</f>
        <v>6.35509422863834E-014</v>
      </c>
      <c r="AK178" s="117" t="n">
        <f aca="false">EXP(-1.0587+0.8836*LN(AJ178)+0.284)</f>
        <v>1.0064464192544E-012</v>
      </c>
      <c r="AL178" s="128" t="n">
        <f aca="false">(AJ178+AK178)*0.475*44/12</f>
        <v>1.86357873801686E-012</v>
      </c>
      <c r="AM178" s="120" t="n">
        <f aca="false">AL178+(AD178+AE178)*44/12</f>
        <v>293.333333333335</v>
      </c>
      <c r="AN178" s="120" t="n">
        <f aca="true">AVERAGE(OFFSET($AM$3,0,0,'Données projet'!$E$10+1,1))-AVERAGE(OFFSET($H$3,0,0,'Données projet'!$E$10+1,1))</f>
        <v>365.705101827279</v>
      </c>
      <c r="AO178" s="120" t="n">
        <f aca="false">$AO$3</f>
        <v>436.238338449625</v>
      </c>
      <c r="AP178" s="121" t="n">
        <f aca="false">IF(ISNA(VLOOKUP(A178,'Données projet'!$A$61:$I$81,3,0)),0,VLOOKUP(A178,'Données projet'!$A$61:$I$81,3,0))</f>
        <v>0</v>
      </c>
      <c r="AQ178" s="121" t="n">
        <f aca="false">IF(ISNA(VLOOKUP(A178,'Données projet'!$A$61:$I$81,4,0)),0,VLOOKUP(A178,'Données projet'!$A$61:$I$81,4,0))</f>
        <v>0</v>
      </c>
      <c r="AR178" s="122" t="n">
        <f aca="false">IF(ISNA(VLOOKUP(A178,'Données projet'!$A$61:$I$81,5,0)),0%,VLOOKUP(A178,'Données projet'!$A$61:$I$81,5,0)*VLOOKUP('Données projet'!$B$10,Paramètres!$A$1:$I$89,7,0))</f>
        <v>0</v>
      </c>
      <c r="AS178" s="122" t="n">
        <f aca="false">IF(ISNA(VLOOKUP(A178,'Données projet'!$A$61:$I$81,6,0)),0%,VLOOKUP(A178,'Données projet'!$A$61:$I$81,6,0)*VLOOKUP('Données projet'!$B$10,Paramètres!$A$1:$I$89,7,0))</f>
        <v>0</v>
      </c>
      <c r="AT178" s="122" t="n">
        <f aca="false">IF(ISNA(VLOOKUP(A178,'Données projet'!$A$61:$I$81,7,0)),0%,VLOOKUP(A178,'Données projet'!$A$61:$I$81,7,0))</f>
        <v>0</v>
      </c>
      <c r="AU178" s="129" t="n">
        <f aca="false">EXP(-LN(2)/35)*AU177+(1-EXP(-LN(2)/35))/(LN(2)/35)*AQ178*AR178*VLOOKUP('Données projet'!$B$10,Paramètres!$A$1:$I$89,3,0)*0.475*44/12</f>
        <v>0.193935749145539</v>
      </c>
      <c r="AV178" s="129" t="n">
        <f aca="false">EXP(-LN(2)/25)*AV177+(1-EXP(-LN(2)/25))/(LN(2)/25)*Calculateur!AQ178*Calculateur!AS178*VLOOKUP('Données projet'!$B$10,Paramètres!$A$1:$I$89,3,0)*0.475*44/12</f>
        <v>0.237065061235292</v>
      </c>
      <c r="AW178" s="129" t="n">
        <f aca="false">EXP(-LN(2)/2)*AW177+(1-EXP(-LN(2)/2))/(LN(2)/2)*AQ178*AT178*VLOOKUP('Données projet'!$B$10,Paramètres!$A$1:$I$89,3,0)*0.475*44/12</f>
        <v>8.89889162505564E-022</v>
      </c>
      <c r="AX178" s="129" t="n">
        <f aca="false">SUM(AU178:AW178)</f>
        <v>0.431000810380831</v>
      </c>
      <c r="AY178" s="124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8" t="e">
        <f aca="false">VLOOKUP(A178,'Données projet'!$A$87:$I$107,2,0)</f>
        <v>#N/A</v>
      </c>
      <c r="BB178" s="118" t="e">
        <f aca="false">VLOOKUP(A178,'Données projet'!$A$87:$I$107,9,0)</f>
        <v>#N/A</v>
      </c>
      <c r="BC178" s="118" t="e">
        <f aca="false" t="array" ref="BC178:BC178">INDEX(BB:BB,MIN(IF(ISNUMBER(BB178:BB374),ROW(BB178:BB374),"")))</f>
        <v>#N/A</v>
      </c>
      <c r="BD178" s="118" t="n">
        <f aca="false">IF('Données projet'!$A$88&gt;35,BD177+BC178-BL177,IF(A178&lt;'Données projet'!$A$88,$BA$205^A178,IF(A178='Données projet'!$A$88,'Données projet'!$B$88,BD177+BC178-BL177)))</f>
        <v>1.98951966012828E-013</v>
      </c>
      <c r="BE178" s="117" t="n">
        <f aca="false">BD178*VLOOKUP('Données projet'!$B$11,Paramètres!$A$1:$I$89,3,0)*VLOOKUP('Données projet'!$B$11,Paramètres!$A$1:$I$89,5,0)</f>
        <v>1.73804437508807E-013</v>
      </c>
      <c r="BF178" s="117" t="n">
        <f aca="false">EXP(-1.0587+0.8836*LN(BE178)+0.284)</f>
        <v>2.44832936339505E-012</v>
      </c>
      <c r="BG178" s="128" t="n">
        <f aca="false">(BE178+BF178)*0.475*44/12</f>
        <v>4.56688303657421E-012</v>
      </c>
      <c r="BH178" s="120" t="n">
        <f aca="false">BG178+(AY178+AZ178)*44/12</f>
        <v>293.333333333338</v>
      </c>
      <c r="BI178" s="120" t="n">
        <f aca="true">AVERAGE(OFFSET($BH$3,0,0,'Données projet'!$E$11+1,1))-AVERAGE(OFFSET($H$3,0,0,'Données projet'!$E$11+1,1))</f>
        <v>321.235999689929</v>
      </c>
      <c r="BJ178" s="120" t="n">
        <f aca="false">$BJ$3</f>
        <v>388.051958478005</v>
      </c>
      <c r="BK178" s="121" t="n">
        <f aca="false">IF(ISNA(VLOOKUP(A178,'Données projet'!$A$87:$I$107,3,0)),0,VLOOKUP(A178,'Données projet'!$A$87:$I$107,3,0))</f>
        <v>0</v>
      </c>
      <c r="BL178" s="121" t="n">
        <f aca="false">IF(ISNA(VLOOKUP(A178,'Données projet'!$A$87:$I$107,4,0)),0,VLOOKUP(A178,'Données projet'!$A$87:$I$107,4,0))</f>
        <v>0</v>
      </c>
      <c r="BM178" s="122" t="n">
        <f aca="false">IF(ISNA(VLOOKUP(A178,'Données projet'!$A$87:$I$107,5,0)),0%,VLOOKUP(A178,'Données projet'!$A$87:$I$107,5,0)*VLOOKUP('Données projet'!$B$11,Paramètres!$A$1:$I$89,7,0))</f>
        <v>0</v>
      </c>
      <c r="BN178" s="122" t="n">
        <f aca="false">IF(ISNA(VLOOKUP(A178,'Données projet'!$A$87:$I$107,6,0)),0%,VLOOKUP(A178,'Données projet'!$A$87:$I$107,6,0)*VLOOKUP('Données projet'!$B$11,Paramètres!$A$1:$I$89,7,0))</f>
        <v>0</v>
      </c>
      <c r="BO178" s="122" t="n">
        <f aca="false">IF(ISNA(VLOOKUP(A178,'Données projet'!$A$87:$I$107,7,0)),0%,VLOOKUP(A178,'Données projet'!$A$87:$I$107,7,0))</f>
        <v>0</v>
      </c>
      <c r="BP178" s="129" t="n">
        <f aca="false">EXP(-LN(2)/35)*BP177+(1-EXP(-LN(2)/35))/(LN(2)/35)*BL178*BM178*VLOOKUP('Données projet'!$B$11,Paramètres!$A$1:$I$89,3,0)*0.475*44/12</f>
        <v>0.486899232711362</v>
      </c>
      <c r="BQ178" s="129" t="n">
        <f aca="false">EXP(-LN(2)/25)*BQ177+(1-EXP(-LN(2)/25))/(LN(2)/25)*Calculateur!BL178*Calculateur!BN178*VLOOKUP('Données projet'!$B$11,Paramètres!$A$1:$I$89,3,0)*0.475*44/12</f>
        <v>0.241981933714924</v>
      </c>
      <c r="BR178" s="129" t="n">
        <f aca="false">EXP(-LN(2)/2)*BR177+(1-EXP(-LN(2)/2))/(LN(2)/2)*BL178*BO178*VLOOKUP('Données projet'!$B$11,Paramètres!$A$1:$I$89,3,0)*0.475*44/12</f>
        <v>9.04553837033158E-022</v>
      </c>
      <c r="BS178" s="130" t="n">
        <f aca="false">SUM(BP178:BR178)</f>
        <v>0.728881166426285</v>
      </c>
      <c r="BT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8" t="e">
        <f aca="false">VLOOKUP(A178,'Données projet'!$A$113:$I$133,2,0)</f>
        <v>#N/A</v>
      </c>
      <c r="BW178" s="118" t="e">
        <f aca="false">VLOOKUP(A178,'Données projet'!$A$113:$I$133,9,0)</f>
        <v>#N/A</v>
      </c>
      <c r="BX178" s="118" t="e">
        <f aca="false" t="array" ref="BX178:BX178">INDEX(BW:BW,MIN(IF(ISNUMBER(BW178:BW374),ROW(BW178:BW374),"")))</f>
        <v>#N/A</v>
      </c>
      <c r="BY178" s="118" t="n">
        <f aca="false">IF('Données projet'!$A$114&gt;35,BY177+BX178-CG177,IF(A178&lt;'Données projet'!$A$114,$BV$205^A178,IF(A178='Données projet'!$A$114,'Données projet'!$B$114,BY177+BX178-CG177)))</f>
        <v>0</v>
      </c>
      <c r="BZ178" s="117" t="n">
        <f aca="false">BY178*VLOOKUP('Données projet'!$B$12,Paramètres!$A$1:$I$89,3,0)*VLOOKUP('Données projet'!$B$12,Paramètres!$A$1:$I$89,5,0)</f>
        <v>0</v>
      </c>
      <c r="CA178" s="117" t="e">
        <f aca="false">EXP(-1.0587+0.8836*LN(BZ178)+0.284)</f>
        <v>#VALUE!</v>
      </c>
      <c r="CB178" s="128" t="e">
        <f aca="false">(BZ178+CA178)*0.475*44/12</f>
        <v>#VALUE!</v>
      </c>
      <c r="CC178" s="120" t="e">
        <f aca="false">CB178+(BT178+BU178)*44/12</f>
        <v>#VALUE!</v>
      </c>
      <c r="CD178" s="120" t="n">
        <f aca="true">AVERAGE(OFFSET($CC$3,0,0,'Données projet'!$E$12+1,1))-AVERAGE(OFFSET($H$3,0,0,'Données projet'!$E$12+1,1))</f>
        <v>240.228848647662</v>
      </c>
      <c r="CE178" s="120" t="n">
        <f aca="false">$CE$3</f>
        <v>343.237768841432</v>
      </c>
      <c r="CF178" s="121" t="n">
        <f aca="false">IF(ISNA(VLOOKUP(A178,'Données projet'!$A$113:$I$133,3,0)),0,VLOOKUP(A178,'Données projet'!$A$113:$I$133,3,0))</f>
        <v>0</v>
      </c>
      <c r="CG178" s="121" t="n">
        <f aca="false">IF(ISNA(VLOOKUP(A178,'Données projet'!$A$113:$I$133,4,0)),0,VLOOKUP(A178,'Données projet'!$A$113:$I$133,4,0))</f>
        <v>0</v>
      </c>
      <c r="CH178" s="122" t="n">
        <f aca="false">IF(ISNA(VLOOKUP(A178,'Données projet'!$A$113:$I$133,5,0)),0%,VLOOKUP(A178,'Données projet'!$A$113:$I$133,5,0)*VLOOKUP('Données projet'!$B$12,Paramètres!$A$1:$I$89,7,0))</f>
        <v>0</v>
      </c>
      <c r="CI178" s="122" t="n">
        <f aca="false">IF(ISNA(VLOOKUP(A178,'Données projet'!$A$113:$I$133,6,0)),0%,VLOOKUP(A178,'Données projet'!$A$113:$I$133,6,0)*VLOOKUP('Données projet'!$B$12,Paramètres!$A$1:$I$89,7,0))</f>
        <v>0</v>
      </c>
      <c r="CJ178" s="122" t="n">
        <f aca="false">IF(ISNA(VLOOKUP(A178,'Données projet'!$A$113:$I$133,7,0)),0%,VLOOKUP(A178,'Données projet'!$A$113:$I$133,7,0))</f>
        <v>0</v>
      </c>
      <c r="CK178" s="129" t="n">
        <f aca="false">EXP(-LN(2)/35)*CK177+(1-EXP(-LN(2)/35))/(LN(2)/35)*CG178*CH178*VLOOKUP('Données projet'!$B$12,Paramètres!$A$1:$I$89,3,0)*0.475*44/12</f>
        <v>0.29802026325959</v>
      </c>
      <c r="CL178" s="129" t="n">
        <f aca="false">EXP(-LN(2)/25)*CL177+(1-EXP(-LN(2)/25))/(LN(2)/25)*Calculateur!CG178*Calculateur!CI178*VLOOKUP('Données projet'!$B$12,Paramètres!$A$1:$I$89,3,0)*0.475*44/12</f>
        <v>0.427354103247276</v>
      </c>
      <c r="CM178" s="129" t="n">
        <f aca="false">EXP(-LN(2)/2)*CM177+(1-EXP(-LN(2)/2))/(LN(2)/2)*CG178*CJ178*VLOOKUP('Données projet'!$B$12,Paramètres!$A$1:$I$89,3,0)*0.475*44/12</f>
        <v>1.44342676999019E-021</v>
      </c>
      <c r="CN178" s="130" t="n">
        <f aca="false">SUM(CK178:CM178)</f>
        <v>0.725374366506866</v>
      </c>
      <c r="CO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8" t="e">
        <f aca="false">VLOOKUP(A178,'Données projet'!$A$139:$I$159,2,0)</f>
        <v>#N/A</v>
      </c>
      <c r="CR178" s="118" t="e">
        <f aca="false">VLOOKUP(A178,'Données projet'!$A$139:$I$159,9,0)</f>
        <v>#N/A</v>
      </c>
      <c r="CS178" s="118" t="e">
        <f aca="false" t="array" ref="CS178:CS178">INDEX(CR:CR,MIN(IF(ISNUMBER(CR178:CR374),ROW(CR178:CR374),"")))</f>
        <v>#N/A</v>
      </c>
      <c r="CT178" s="118" t="n">
        <f aca="false">IF('Données projet'!$A$140&gt;35,CT177+CS178-DB177,IF(A178&lt;'Données projet'!$A$140,$CQ$205^A178,IF(A178='Données projet'!$A$140,'Données projet'!$B$140,CT177+CS178-DB177)))</f>
        <v>-5.6843418860808E-014</v>
      </c>
      <c r="CU178" s="125" t="n">
        <f aca="false">CT178*VLOOKUP('Données projet'!$B$13,Paramètres!$A$1:$I$89,3,0)*VLOOKUP('Données projet'!$B$13,Paramètres!$A$1:$I$89,5,0)</f>
        <v>-3.10365066980012E-014</v>
      </c>
      <c r="CV178" s="117" t="e">
        <f aca="false">EXP(-1.0587+0.8836*LN(CU178)+0.284)</f>
        <v>#VALUE!</v>
      </c>
      <c r="CW178" s="128" t="e">
        <f aca="false">(CU178+CV178)*0.475*44/12</f>
        <v>#VALUE!</v>
      </c>
      <c r="CX178" s="120" t="e">
        <f aca="false">CW178+(CO178+CP178)*44/12</f>
        <v>#VALUE!</v>
      </c>
      <c r="CY178" s="120" t="n">
        <f aca="true">AVERAGE(OFFSET($CX$3,0,0,'Données projet'!$E$13+1,1))-AVERAGE(OFFSET($H$3,0,0,'Données projet'!$E$13+1,1))</f>
        <v>207.023069645676</v>
      </c>
      <c r="CZ178" s="120" t="n">
        <f aca="false">$CZ$3</f>
        <v>342.068879333518</v>
      </c>
      <c r="DA178" s="121" t="n">
        <f aca="false">IF(ISNA(VLOOKUP(A178,'Données projet'!$A$139:$I$159,3,0)),0,VLOOKUP(A178,'Données projet'!$A$139:$I$159,3,0))</f>
        <v>0</v>
      </c>
      <c r="DB178" s="121" t="n">
        <f aca="false">IF(ISNA(VLOOKUP(A178,'Données projet'!$A$139:$I$159,4,0)),0,VLOOKUP(A178,'Données projet'!$A$139:$I$159,4,0))</f>
        <v>0</v>
      </c>
      <c r="DC178" s="122" t="n">
        <f aca="false">IF(ISNA(VLOOKUP(A178,'Données projet'!$A$139:$I$159,5,0)),0%,VLOOKUP(A178,'Données projet'!$A$139:$I$159,5,0)*VLOOKUP('Données projet'!$B$13,Paramètres!$A$1:$I$89,7,0))</f>
        <v>0</v>
      </c>
      <c r="DD178" s="122" t="n">
        <f aca="false">IF(ISNA(VLOOKUP(A178,'Données projet'!$A$139:$I$159,6,0)),0%,VLOOKUP(A178,'Données projet'!$A$139:$I$159,6,0)*VLOOKUP('Données projet'!$B$13,Paramètres!$A$1:$I$89,7,0))</f>
        <v>0</v>
      </c>
      <c r="DE178" s="122" t="n">
        <f aca="false">IF(ISNA(VLOOKUP(A178,'Données projet'!$A$139:$I$159,7,0)),0%,VLOOKUP(A178,'Données projet'!$A$139:$I$159,7,0))</f>
        <v>0</v>
      </c>
      <c r="DF178" s="129" t="n">
        <f aca="false">EXP(-LN(2)/35)*DF177+(1-EXP(-LN(2)/35))/(LN(2)/35)*DB178*DC178*VLOOKUP('Données projet'!$B$13,Paramètres!$A$1:$I$89,3,0)*0.475*44/12</f>
        <v>0.373931085033258</v>
      </c>
      <c r="DG178" s="129" t="n">
        <f aca="false">EXP(-LN(2)/25)*DG177+(1-EXP(-LN(2)/25))/(LN(2)/25)*Calculateur!DB178*Calculateur!DD178*VLOOKUP('Données projet'!$B$13,Paramètres!$A$1:$I$89,3,0)*0.475*44/12</f>
        <v>0.698545970600327</v>
      </c>
      <c r="DH178" s="129" t="n">
        <f aca="false">EXP(-LN(2)/2)*DH177+(1-EXP(-LN(2)/2))/(LN(2)/2)*DB178*DE178*VLOOKUP('Données projet'!$B$13,Paramètres!$A$1:$I$89,3,0)*0.475*44/12</f>
        <v>1.9875993314855E-021</v>
      </c>
      <c r="DI178" s="130" t="n">
        <f aca="false">SUM(DF178:DH178)</f>
        <v>1.07247705563359</v>
      </c>
      <c r="DJ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8" t="e">
        <f aca="false">VLOOKUP(A178,'Données projet'!$A$165:$I$185,2,0)</f>
        <v>#N/A</v>
      </c>
      <c r="DM178" s="118" t="e">
        <f aca="false">VLOOKUP(A178,'Données projet'!$A$165:$I$185,9,0)</f>
        <v>#N/A</v>
      </c>
      <c r="DN178" s="118" t="e">
        <f aca="false" t="array" ref="DN178:DN178">INDEX(DM:DM,MIN(IF(ISNUMBER(DM178:DM374),ROW(DM178:DM374),"")))</f>
        <v>#N/A</v>
      </c>
      <c r="DO178" s="118" t="n">
        <f aca="false">IF('Données projet'!$A$166&gt;35,DO177+DN178-DW177,IF(A178&lt;'Données projet'!$A$166,$DL$205^A178,IF(A178='Données projet'!$A$166,'Données projet'!$B$166,DO177+DN178-DW177)))</f>
        <v>0</v>
      </c>
      <c r="DP178" s="125" t="n">
        <f aca="false">DO178*VLOOKUP('Données projet'!$B$14,Paramètres!$A$1:$I$89,3,0)*VLOOKUP('Données projet'!$B$14,Paramètres!$A$1:$I$89,5,0)</f>
        <v>0</v>
      </c>
      <c r="DQ178" s="117" t="e">
        <f aca="false">EXP(-1.0587+0.8836*LN(DP178)+0.284)</f>
        <v>#VALUE!</v>
      </c>
      <c r="DR178" s="128" t="e">
        <f aca="false">(DP178+DQ178)*0.475*44/12</f>
        <v>#VALUE!</v>
      </c>
      <c r="DS178" s="120" t="e">
        <f aca="false">DR178+(DJ178+DK178)*44/12</f>
        <v>#VALUE!</v>
      </c>
      <c r="DT178" s="120" t="n">
        <f aca="true">AVERAGE(OFFSET($DS$3,0,0,'Données projet'!$E$14+1,1))-AVERAGE(OFFSET($H$3,0,0,'Données projet'!$E$14+1,1))</f>
        <v>549.432320957297</v>
      </c>
      <c r="DU178" s="120" t="n">
        <f aca="false">$DU$3</f>
        <v>280.26155987301</v>
      </c>
      <c r="DV178" s="121" t="n">
        <f aca="false">IF(ISNA(VLOOKUP(A178,'Données projet'!$A$165:$I$185,3,0)),0,VLOOKUP(A178,'Données projet'!$A$165:$I$185,3,0))</f>
        <v>0</v>
      </c>
      <c r="DW178" s="121" t="n">
        <f aca="false">IF(ISNA(VLOOKUP(A178,'Données projet'!$A$165:$I$185,4,0)),0,VLOOKUP(A178,'Données projet'!$A$165:$I$185,4,0))</f>
        <v>0</v>
      </c>
      <c r="DX178" s="122" t="n">
        <f aca="false">IF(ISNA(VLOOKUP(A178,'Données projet'!$A$165:$I$185,5,0)),0%,VLOOKUP(A178,'Données projet'!$A$165:$I$185,5,0)*VLOOKUP('Données projet'!$B$14,Paramètres!$A$1:$I$89,7,0))</f>
        <v>0</v>
      </c>
      <c r="DY178" s="122" t="n">
        <f aca="false">IF(ISNA(VLOOKUP(A178,'Données projet'!$A$165:$I$185,6,0)),0%,VLOOKUP(A178,'Données projet'!$A$165:$I$185,6,0)*VLOOKUP('Données projet'!$B$14,Paramètres!$A$1:$I$89,7,0))</f>
        <v>0</v>
      </c>
      <c r="DZ178" s="122" t="n">
        <f aca="false">IF(ISNA(VLOOKUP(A178,'Données projet'!$A$165:$I$185,7,0)),0%,VLOOKUP(A178,'Données projet'!$A$165:$I$185,7,0))</f>
        <v>0</v>
      </c>
      <c r="EA178" s="129" t="n">
        <f aca="false">EXP(-LN(2)/35)*EA177+(1-EXP(-LN(2)/35))/(LN(2)/35)*DW178*DX178*VLOOKUP('Données projet'!$B$14,Paramètres!$A$1:$I$89,3,0)*0.475*44/12</f>
        <v>0.135960925568548</v>
      </c>
      <c r="EB178" s="129" t="n">
        <f aca="false">EXP(-LN(2)/25)*EB177+(1-EXP(-LN(2)/25))/(LN(2)/25)*Calculateur!DW178*Calculateur!DY178*VLOOKUP('Données projet'!$B$14,Paramètres!$A$1:$I$89,3,0)*0.475*44/12</f>
        <v>0.139164139413347</v>
      </c>
      <c r="EC178" s="129" t="n">
        <f aca="false">EXP(-LN(2)/2)*EC177+(1-EXP(-LN(2)/2))/(LN(2)/2)*DW178*DZ178*VLOOKUP('Données projet'!$B$14,Paramètres!$A$1:$I$89,3,0)*0.475*44/12</f>
        <v>9.16242321005933E-022</v>
      </c>
      <c r="ED178" s="130" t="n">
        <f aca="false">SUM(EA178:EC178)</f>
        <v>0.275125064981895</v>
      </c>
      <c r="EE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8" t="e">
        <f aca="false">VLOOKUP(A178,'Données projet'!$A$191:$I$211,2,0)</f>
        <v>#N/A</v>
      </c>
      <c r="EH178" s="118" t="e">
        <f aca="false">VLOOKUP(A178,'Données projet'!$A$191:$I$211,9,0)</f>
        <v>#N/A</v>
      </c>
      <c r="EI178" s="118" t="e">
        <f aca="false" t="array" ref="EI178:EI178">INDEX(EH:EH,MIN(IF(ISNUMBER(EH178:EH374),ROW(EH178:EH374),"")))</f>
        <v>#N/A</v>
      </c>
      <c r="EJ178" s="118" t="n">
        <f aca="false">IF('Données projet'!$A$192&gt;35,EJ177+EI178-ER177,IF(A178&lt;'Données projet'!$A$192,$EG$205^A178,IF(A178='Données projet'!$A$192,'Données projet'!$B$192,EJ177+EI178-ER177)))</f>
        <v>0</v>
      </c>
      <c r="EK178" s="125" t="e">
        <f aca="false">EJ178*VLOOKUP('Données projet'!$B$15,Paramètres!$A$1:$I$89,3,0)*VLOOKUP('Données projet'!$B$15,Paramètres!$A$1:$I$89,5,0)</f>
        <v>#N/A</v>
      </c>
      <c r="EL178" s="117" t="e">
        <f aca="false">EXP(-1.0587+0.8836*LN(EK178)+0.284)</f>
        <v>#N/A</v>
      </c>
      <c r="EM178" s="128" t="e">
        <f aca="false">(EK178+EL178)*0.475*44/12</f>
        <v>#N/A</v>
      </c>
      <c r="EN178" s="120" t="e">
        <f aca="false">EM178+(EE178+EF178)*44/12</f>
        <v>#N/A</v>
      </c>
      <c r="EO178" s="120" t="e">
        <f aca="true">AVERAGE(OFFSET($EN$3,0,0,'Données projet'!$E$15+1,1))-AVERAGE(OFFSET($H$3,0,0,'Données projet'!$E$15+1,1))</f>
        <v>#N/A</v>
      </c>
      <c r="EP178" s="120" t="e">
        <f aca="false">$EP$3</f>
        <v>#N/A</v>
      </c>
      <c r="EQ178" s="121" t="n">
        <f aca="false">IF(ISNA(VLOOKUP(A178,'Données projet'!$A$191:$I$211,3,0)),0,VLOOKUP(A178,'Données projet'!$A$191:$I$211,3,0))</f>
        <v>0</v>
      </c>
      <c r="ER178" s="121" t="n">
        <f aca="false">IF(ISNA(VLOOKUP(A178,'Données projet'!$A$191:$I$211,4,0)),0,VLOOKUP(A178,'Données projet'!$A$191:$I$211,4,0))</f>
        <v>0</v>
      </c>
      <c r="ES178" s="122" t="n">
        <f aca="false">IF(ISNA(VLOOKUP(A178,'Données projet'!$A$191:$I$211,5,0)),0%,VLOOKUP(A178,'Données projet'!$A$191:$I$211,5,0)*VLOOKUP('Données projet'!$B$15,Paramètres!$A$1:$I$89,7,0))</f>
        <v>0</v>
      </c>
      <c r="ET178" s="122" t="n">
        <f aca="false">IF(ISNA(VLOOKUP(A178,'Données projet'!$A$191:$I$211,6,0)),0%,VLOOKUP(A178,'Données projet'!$A$191:$I$211,6,0)*VLOOKUP('Données projet'!$B$15,Paramètres!$A$1:$I$89,7,0))</f>
        <v>0</v>
      </c>
      <c r="EU178" s="122" t="n">
        <f aca="false">IF(ISNA(VLOOKUP(A178,'Données projet'!$A$191:$I$211,7,0)),0%,VLOOKUP(A178,'Données projet'!$A$191:$I$211,7,0))</f>
        <v>0</v>
      </c>
      <c r="EV178" s="129" t="e">
        <f aca="false">EXP(-LN(2)/35)*EV177+(1-EXP(-LN(2)/35))/(LN(2)/35)*ER178*ES178*VLOOKUP('Données projet'!$B$15,Paramètres!$A$1:$I$89,3,0)*0.475*44/12</f>
        <v>#N/A</v>
      </c>
      <c r="EW178" s="129" t="e">
        <f aca="false">EXP(-LN(2)/25)*EW177+(1-EXP(-LN(2)/25))/(LN(2)/25)*Calculateur!ER178*Calculateur!ET178*VLOOKUP('Données projet'!$B$15,Paramètres!$A$1:$I$89,3,0)*0.475*44/12</f>
        <v>#N/A</v>
      </c>
      <c r="EX178" s="129" t="e">
        <f aca="false">EXP(-LN(2)/2)*EX177+(1-EXP(-LN(2)/2))/(LN(2)/2)*ER178*EU178*VLOOKUP('Données projet'!$B$15,Paramètres!$A$1:$I$89,3,0)*0.475*44/12</f>
        <v>#N/A</v>
      </c>
      <c r="EY178" s="130" t="e">
        <f aca="false">SUM(EV178:EX178)</f>
        <v>#N/A</v>
      </c>
      <c r="EZ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8" t="e">
        <f aca="false">VLOOKUP(A178,'Données projet'!$A$217:$I$237,2,0)</f>
        <v>#N/A</v>
      </c>
      <c r="FC178" s="118" t="e">
        <f aca="false">VLOOKUP(A178,'Données projet'!$A$217:$I$237,9,0)</f>
        <v>#N/A</v>
      </c>
      <c r="FD178" s="118" t="e">
        <f aca="false" t="array" ref="FD178:FD178">INDEX(FC:FC,MIN(IF(ISNUMBER(FC178:FC374),ROW(FC178:FC374),"")))</f>
        <v>#N/A</v>
      </c>
      <c r="FE178" s="118" t="n">
        <f aca="false">IF('Données projet'!$A$218&gt;35,FE177+FD178-FM177,IF(A178&lt;'Données projet'!$A$218,$FB$205^A178,IF(A178='Données projet'!$A$218,'Données projet'!$B$218,FE177+FD178-FM177)))</f>
        <v>0</v>
      </c>
      <c r="FF178" s="125" t="e">
        <f aca="false">FE178*VLOOKUP('Données projet'!$B$16,Paramètres!$A$1:$I$89,3,0)*VLOOKUP('Données projet'!$B$16,Paramètres!$A$1:$I$89,5,0)</f>
        <v>#N/A</v>
      </c>
      <c r="FG178" s="117" t="e">
        <f aca="false">EXP(-1.0587+0.8836*LN(FF178)+0.284)</f>
        <v>#N/A</v>
      </c>
      <c r="FH178" s="128" t="e">
        <f aca="false">(FF178+FG178)*0.475*44/12</f>
        <v>#N/A</v>
      </c>
      <c r="FI178" s="120" t="e">
        <f aca="false">FH178+(EZ178+FA178)*44/12</f>
        <v>#N/A</v>
      </c>
      <c r="FJ178" s="120" t="e">
        <f aca="true">AVERAGE(OFFSET($FI$3,0,0,'Données projet'!$E$16+1,1))-AVERAGE(OFFSET($H$3,0,0,'Données projet'!$E$16+1,1))</f>
        <v>#N/A</v>
      </c>
      <c r="FK178" s="120" t="e">
        <f aca="false">$FK$3</f>
        <v>#N/A</v>
      </c>
      <c r="FL178" s="121" t="n">
        <f aca="false">IF(ISNA(VLOOKUP(A178,'Données projet'!$A$217:$I$237,3,0)),0,VLOOKUP(A178,'Données projet'!$A$217:$I$237,3,0))</f>
        <v>0</v>
      </c>
      <c r="FM178" s="121" t="n">
        <f aca="false">IF(ISNA(VLOOKUP(A178,'Données projet'!$A$217:$I$237,4,0)),0,VLOOKUP(A178,'Données projet'!$A$217:$I$237,4,0))</f>
        <v>0</v>
      </c>
      <c r="FN178" s="122" t="n">
        <f aca="false">IF(ISNA(VLOOKUP(A178,'Données projet'!$A$217:$I$237,5,0)),0%,VLOOKUP(A178,'Données projet'!$A$217:$I$237,5,0)*VLOOKUP('Données projet'!$B$16,Paramètres!$A$1:$I$89,7,0))</f>
        <v>0</v>
      </c>
      <c r="FO178" s="122" t="n">
        <f aca="false">IF(ISNA(VLOOKUP(A178,'Données projet'!$A$217:$I$237,6,0)),0%,VLOOKUP(A178,'Données projet'!$A$217:$I$237,6,0)*VLOOKUP('Données projet'!$B$16,Paramètres!$A$1:$I$89,7,0))</f>
        <v>0</v>
      </c>
      <c r="FP178" s="122" t="n">
        <f aca="false">IF(ISNA(VLOOKUP(A178,'Données projet'!$A$217:$I$237,7,0)),0%,VLOOKUP(A178,'Données projet'!$A$217:$I$237,7,0))</f>
        <v>0</v>
      </c>
      <c r="FQ178" s="129" t="e">
        <f aca="false">EXP(-LN(2)/35)*FQ177+(1-EXP(-LN(2)/35))/(LN(2)/35)*FM178*FN178*VLOOKUP('Données projet'!$B$16,Paramètres!$A$1:$I$89,3,0)*0.475*44/12</f>
        <v>#N/A</v>
      </c>
      <c r="FR178" s="129" t="e">
        <f aca="false">EXP(-LN(2)/25)*FR177+(1-EXP(-LN(2)/25))/(LN(2)/25)*Calculateur!FM178*Calculateur!FO178*VLOOKUP('Données projet'!$B$16,Paramètres!$A$1:$I$89,3,0)*0.475*44/12</f>
        <v>#N/A</v>
      </c>
      <c r="FS178" s="129" t="e">
        <f aca="false">EXP(-LN(2)/2)*FS177+(1-EXP(-LN(2)/2))/(LN(2)/2)*FM178*FP178*VLOOKUP('Données projet'!$B$16,Paramètres!$A$1:$I$89,3,0)*0.475*44/12</f>
        <v>#N/A</v>
      </c>
      <c r="FT178" s="130" t="e">
        <f aca="false">SUM(FQ178:FS178)</f>
        <v>#N/A</v>
      </c>
      <c r="FU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8" t="e">
        <f aca="false">VLOOKUP(A178,'Données projet'!$A$243:$I$263,2,0)</f>
        <v>#N/A</v>
      </c>
      <c r="FX178" s="118" t="e">
        <f aca="false">VLOOKUP(A178,'Données projet'!$A$243:$I$263,9,0)</f>
        <v>#N/A</v>
      </c>
      <c r="FY178" s="118" t="e">
        <f aca="false" t="array" ref="FY178:FY178">INDEX(FX:FX,MIN(IF(ISNUMBER(FX178:FX374),ROW(FX178:FX374),"")))</f>
        <v>#N/A</v>
      </c>
      <c r="FZ178" s="118" t="n">
        <f aca="false">IF('Données projet'!$A$244&gt;35,FZ177+FY178-GH177,IF(A178&lt;'Données projet'!$A$244,$FW$205^A178,IF(A178='Données projet'!$A$244,'Données projet'!$B$244,FZ177+FY178-GH177)))</f>
        <v>0</v>
      </c>
      <c r="GA178" s="125" t="e">
        <f aca="false">FZ178*VLOOKUP('Données projet'!$B$17,Paramètres!$A$1:$I$89,3,0)*VLOOKUP('Données projet'!$B$17,Paramètres!$A$1:$I$89,5,0)</f>
        <v>#N/A</v>
      </c>
      <c r="GB178" s="117" t="e">
        <f aca="false">EXP(-1.0587+0.8836*LN(GA178)+0.284)</f>
        <v>#N/A</v>
      </c>
      <c r="GC178" s="128" t="e">
        <f aca="false">(GA178+GB178)*0.475*44/12</f>
        <v>#N/A</v>
      </c>
      <c r="GD178" s="120" t="e">
        <f aca="false">GC178+(FU178+FV178)*44/12</f>
        <v>#N/A</v>
      </c>
      <c r="GE178" s="120" t="e">
        <f aca="true">AVERAGE(OFFSET($GD$3,0,0,'Données projet'!$E$17+1,1))-AVERAGE(OFFSET($H$3,0,0,'Données projet'!$E$17+1,1))</f>
        <v>#N/A</v>
      </c>
      <c r="GF178" s="120" t="e">
        <f aca="false">$GF$3</f>
        <v>#N/A</v>
      </c>
      <c r="GG178" s="121" t="n">
        <f aca="false">IF(ISNA(VLOOKUP(A178,'Données projet'!$A$243:$I$263,3,0)),0,VLOOKUP(A178,'Données projet'!$A$243:$I$263,3,0))</f>
        <v>0</v>
      </c>
      <c r="GH178" s="121" t="n">
        <f aca="false">IF(ISNA(VLOOKUP(A178,'Données projet'!$A$243:$I$263,4,0)),0,VLOOKUP(A178,'Données projet'!$A$243:$I$263,4,0))</f>
        <v>0</v>
      </c>
      <c r="GI178" s="122" t="n">
        <f aca="false">IF(ISNA(VLOOKUP(A178,'Données projet'!$A$243:$I$263,5,0)),0%,VLOOKUP(A178,'Données projet'!$A$243:$I$263,5,0)*VLOOKUP('Données projet'!$B$17,Paramètres!$A$1:$I$89,7,0))</f>
        <v>0</v>
      </c>
      <c r="GJ178" s="122" t="n">
        <f aca="false">IF(ISNA(VLOOKUP(A178,'Données projet'!$A$243:$I$263,6,0)),0%,VLOOKUP(A178,'Données projet'!$A$243:$I$263,6,0)*VLOOKUP('Données projet'!$B$17,Paramètres!$A$1:$I$89,7,0))</f>
        <v>0</v>
      </c>
      <c r="GK178" s="122" t="n">
        <f aca="false">IF(ISNA(VLOOKUP(A178,'Données projet'!$A$243:$I$263,7,0)),0%,VLOOKUP(A178,'Données projet'!$A$243:$I$263,7,0))</f>
        <v>0</v>
      </c>
      <c r="GL178" s="129" t="e">
        <f aca="false">EXP(-LN(2)/35)*GL177+(1-EXP(-LN(2)/35))/(LN(2)/35)*GH178*GI178*VLOOKUP('Données projet'!$B$17,Paramètres!$A$1:$I$89,3,0)*0.475*44/12</f>
        <v>#N/A</v>
      </c>
      <c r="GM178" s="129" t="e">
        <f aca="false">EXP(-LN(2)/25)*GM177+(1-EXP(-LN(2)/25))/(LN(2)/25)*Calculateur!GH178*Calculateur!GJ178*VLOOKUP('Données projet'!$B$17,Paramètres!$A$1:$I$89,3,0)*0.475*44/12</f>
        <v>#N/A</v>
      </c>
      <c r="GN178" s="129" t="e">
        <f aca="false">EXP(-LN(2)/2)*GN177+(1-EXP(-LN(2)/2))/(LN(2)/2)*GH178*GK178*VLOOKUP('Données projet'!$B$17,Paramètres!$A$1:$I$89,3,0)*0.475*44/12</f>
        <v>#N/A</v>
      </c>
      <c r="GO178" s="129" t="e">
        <f aca="false">SUM(GL178:GN178)</f>
        <v>#N/A</v>
      </c>
      <c r="GP178" s="126" t="n">
        <f aca="false"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8" t="n">
        <f aca="false"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8" t="e">
        <f aca="false">VLOOKUP(A178,'Données projet'!$A$269:$I$289,2,0)</f>
        <v>#N/A</v>
      </c>
      <c r="GS178" s="118" t="e">
        <f aca="false">VLOOKUP(A178,'Données projet'!$A$269:$I$289,9,0)</f>
        <v>#N/A</v>
      </c>
      <c r="GT178" s="118" t="e">
        <f aca="false" t="array" ref="GT178:GT178">INDEX(GS:GS,MIN(IF(ISNUMBER(GS178:GS374),ROW(GS178:GS374),"")))</f>
        <v>#N/A</v>
      </c>
      <c r="GU178" s="118" t="n">
        <f aca="false">IF('Données projet'!$A$270&gt;35,GU177+GT178-HC177,IF(A178&lt;'Données projet'!$A$270,$GR$205^A178,IF(A178='Données projet'!$A$270,'Données projet'!$B$270,GU177+GT178-HC177)))</f>
        <v>0</v>
      </c>
      <c r="GV178" s="125" t="e">
        <f aca="false">GU178*VLOOKUP('Données projet'!$B$18,Paramètres!$A$1:$I$89,3,0)*VLOOKUP('Données projet'!$B$18,Paramètres!$A$1:$I$89,5,0)</f>
        <v>#N/A</v>
      </c>
      <c r="GW178" s="117" t="e">
        <f aca="false">EXP(-1.0587+0.8836*LN(GV178)+0.284)</f>
        <v>#N/A</v>
      </c>
      <c r="GX178" s="128" t="e">
        <f aca="false">(GV178+GW178)*0.475*44/12</f>
        <v>#N/A</v>
      </c>
      <c r="GY178" s="120" t="e">
        <f aca="false">GX178+(GP178+GQ178)*44/12</f>
        <v>#N/A</v>
      </c>
      <c r="GZ178" s="120" t="e">
        <f aca="true">AVERAGE(OFFSET($GY$3,0,0,'Données projet'!$E$18+1,1))-AVERAGE(OFFSET($H$3,0,0,'Données projet'!$E$18+1,1))</f>
        <v>#N/A</v>
      </c>
      <c r="HA178" s="120" t="e">
        <f aca="false">$HA$3</f>
        <v>#N/A</v>
      </c>
      <c r="HB178" s="121" t="n">
        <f aca="false">IF(ISNA(VLOOKUP(A178,'Données projet'!$A$269:$I$289,3,0)),0,VLOOKUP(A178,'Données projet'!$A$269:$I$289,3,0))</f>
        <v>0</v>
      </c>
      <c r="HC178" s="121" t="n">
        <f aca="false">IF(ISNA(VLOOKUP(A178,'Données projet'!$A$269:$I$289,4,0)),0,VLOOKUP(A178,'Données projet'!$A$269:$I$289,4,0))</f>
        <v>0</v>
      </c>
      <c r="HD178" s="122" t="n">
        <f aca="false">IF(ISNA(VLOOKUP(A178,'Données projet'!$A$269:$I$289,5,0)),0%,VLOOKUP(A178,'Données projet'!$A$269:$I$289,5,0)*VLOOKUP('Données projet'!$B$18,Paramètres!$A$1:$I$89,7,0))</f>
        <v>0</v>
      </c>
      <c r="HE178" s="122" t="n">
        <f aca="false">IF(ISNA(VLOOKUP(A178,'Données projet'!$A$269:$I$289,6,0)),0%,VLOOKUP(A178,'Données projet'!$A$269:$I$289,6,0)*VLOOKUP('Données projet'!$B$18,Paramètres!$A$1:$I$89,7,0))</f>
        <v>0</v>
      </c>
      <c r="HF178" s="122" t="n">
        <f aca="false">IF(ISNA(VLOOKUP(A178,'Données projet'!$A$269:$I$289,7,0)),0%,VLOOKUP(A178,'Données projet'!$A$269:$I$289,7,0))</f>
        <v>0</v>
      </c>
      <c r="HG178" s="129" t="e">
        <f aca="false">EXP(-LN(2)/35)*HG177+(1-EXP(-LN(2)/35))/(LN(2)/35)*HC178*HD178*VLOOKUP('Données projet'!$B$18,Paramètres!$A$1:$I$89,3,0)*0.475*44/12</f>
        <v>#N/A</v>
      </c>
      <c r="HH178" s="129" t="e">
        <f aca="false">EXP(-LN(2)/25)*HH177+(1-EXP(-LN(2)/25))/(LN(2)/25)*Calculateur!HC178*Calculateur!HE178*VLOOKUP('Données projet'!$B$18,Paramètres!$A$1:$I$89,3,0)*0.475*44/12</f>
        <v>#N/A</v>
      </c>
      <c r="HI178" s="129" t="e">
        <f aca="false">EXP(-LN(2)/2)*HI177+(1-EXP(-LN(2)/2))/(LN(2)/2)*HC178*HF178*VLOOKUP('Données projet'!$B$18,Paramètres!$A$1:$I$89,3,0)*0.475*44/12</f>
        <v>#N/A</v>
      </c>
      <c r="HJ178" s="130" t="e">
        <f aca="false">SUM(HG178:HI178)</f>
        <v>#N/A</v>
      </c>
    </row>
    <row r="179" customFormat="false" ht="14.25" hidden="false" customHeight="false" outlineLevel="0" collapsed="false">
      <c r="A179" s="112" t="n">
        <f aca="false">A178+1</f>
        <v>176</v>
      </c>
      <c r="B179" s="113" t="n">
        <f aca="false">'Scénario référence'!$B$16*5+'Scénario référence'!$B$17*0+'Scénario référence'!$B$18*5</f>
        <v>0</v>
      </c>
      <c r="C179" s="127" t="n">
        <f aca="false"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4" t="n">
        <f aca="false">IFERROR(EXP(-1.0587+0.8836*LN(C179)+0.284),0)</f>
        <v>0</v>
      </c>
      <c r="E17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79" s="114" t="n">
        <f aca="false">IF(OR('Scénario référence'!$F$8&gt;0,'Scénario référence'!$F$9&gt;0),('Scénario référence'!$F$8+'Scénario référence'!$F$9)*10,0)</f>
        <v>0</v>
      </c>
      <c r="G179" s="114" t="n">
        <f aca="false"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15" t="n">
        <f aca="false">(B179+E179+F179)*44/12+(C179+D179)*0.475*44/12</f>
        <v>256.666666666667</v>
      </c>
      <c r="I179" s="11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7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8" t="e">
        <f aca="false">VLOOKUP(A179,'Données projet'!$A$35:$I$55,2,0)</f>
        <v>#N/A</v>
      </c>
      <c r="L179" s="118" t="e">
        <f aca="false">VLOOKUP(A179,'Données projet'!$A$35:$I$55,9,0)</f>
        <v>#N/A</v>
      </c>
      <c r="M179" s="118" t="e">
        <f aca="false" t="array" ref="M179:M179">INDEX(L:L,MIN(IF(ISNUMBER(L179:L375),ROW(L179:L375),"")))</f>
        <v>#N/A</v>
      </c>
      <c r="N179" s="117" t="n">
        <f aca="false">IF('Données projet'!$A$36&gt;35,N178+M179-V178,IF(A179&lt;'Données projet'!$A$36,$K$205^A179,IF(A179='Données projet'!$A$36,'Données projet'!$B$36,N178+M179-V178)))</f>
        <v>-1.13686837721616E-013</v>
      </c>
      <c r="O179" s="117" t="n">
        <f aca="false">N179*VLOOKUP('Données projet'!$B$9,Paramètres!$A$1:$I$89,3,0)*VLOOKUP('Données projet'!$B$9,Paramètres!$A$1:$I$89,5,0)</f>
        <v>-5.32054400537163E-014</v>
      </c>
      <c r="P179" s="117" t="e">
        <f aca="false">EXP(-1.0587+0.8836*LN(O179)+0.284)</f>
        <v>#VALUE!</v>
      </c>
      <c r="Q179" s="128" t="e">
        <f aca="false">(O179+P179)*0.475*44/12</f>
        <v>#VALUE!</v>
      </c>
      <c r="R179" s="120" t="e">
        <f aca="false">Q179+(I179+J179)*44/12</f>
        <v>#VALUE!</v>
      </c>
      <c r="S179" s="120" t="n">
        <f aca="true">AVERAGE(OFFSET($R$3,0,0,'Données projet'!$E$9+1,1))-AVERAGE(OFFSET($H$3,0,0,'Données projet'!$E$9+1,1))</f>
        <v>319.229030946746</v>
      </c>
      <c r="T179" s="120" t="n">
        <f aca="false">$T$3</f>
        <v>254.586909731428</v>
      </c>
      <c r="U179" s="121" t="n">
        <f aca="false">IF(ISNA(VLOOKUP(A179,'Données projet'!$A$35:$I$55,3,0)),0,VLOOKUP(A179,'Données projet'!$A$35:$I$55,3,0))</f>
        <v>0</v>
      </c>
      <c r="V179" s="121" t="n">
        <f aca="false">IF(ISNA(VLOOKUP(A179,'Données projet'!$A$35:$I$55,4,0)),0,VLOOKUP(A179,'Données projet'!$A$35:$I$55,4,0))</f>
        <v>0</v>
      </c>
      <c r="W179" s="122" t="n">
        <f aca="false">IF(ISNA(VLOOKUP(A179,'Données projet'!$A$35:$I$55,5,0)),0%,VLOOKUP(A179,'Données projet'!$A$35:$I$55,5,0)*VLOOKUP('Données projet'!$B$9,Paramètres!$A$1:$I$89,7,0))</f>
        <v>0</v>
      </c>
      <c r="X179" s="122" t="n">
        <f aca="false">IF(ISNA(VLOOKUP(A179,'Données projet'!$A$35:$I$55,6,0)),0%,VLOOKUP(A179,'Données projet'!$A$35:$I$55,6,0)*VLOOKUP('Données projet'!$B$9,Paramètres!$A$1:$I$89,7,0))</f>
        <v>0</v>
      </c>
      <c r="Y179" s="122" t="n">
        <f aca="false">IF(ISNA(VLOOKUP(A179,'Données projet'!$A$35:$I$55,7,0)),0%,VLOOKUP(A179,'Données projet'!$A$35:$I$55,7,0))</f>
        <v>0</v>
      </c>
      <c r="Z179" s="129" t="n">
        <f aca="false">EXP(-LN(2)/35)*Z178+(1-EXP(-LN(2)/35))/(LN(2)/35)*V179*W179*VLOOKUP('Données projet'!$B$9,Paramètres!$A$1:$I$89,3,0)*0.475*44/12</f>
        <v>0.503706273540041</v>
      </c>
      <c r="AA179" s="129" t="n">
        <f aca="false">EXP(-LN(2)/25)*AA178+(1-EXP(-LN(2)/25))/(LN(2)/25)*Calculateur!V179*Calculateur!X179*VLOOKUP('Données projet'!$B$9,Paramètres!$A$1:$I$89,3,0)*0.475*44/12</f>
        <v>0.194675416416131</v>
      </c>
      <c r="AB179" s="129" t="n">
        <f aca="false">EXP(-LN(2)/2)*AB178+(1-EXP(-LN(2)/2))/(LN(2)/2)*V179*Y179*VLOOKUP('Données projet'!$B$9,Paramètres!$A$1:$I$89,3,0)*0.475*44/12</f>
        <v>1.16923672523695E-021</v>
      </c>
      <c r="AC179" s="130" t="n">
        <f aca="false">SUM(Z179:AB179)</f>
        <v>0.698381689956172</v>
      </c>
      <c r="AD179" s="117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7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8" t="e">
        <f aca="false">VLOOKUP(A179,'Données projet'!$A$61:$I$81,2,0)</f>
        <v>#N/A</v>
      </c>
      <c r="AG179" s="118" t="e">
        <f aca="false">VLOOKUP(A179,'Données projet'!$A$61:$I$81,9,0)</f>
        <v>#N/A</v>
      </c>
      <c r="AH179" s="118" t="e">
        <f aca="false" t="array" ref="AH179:AH179">INDEX(AG:AG,MIN(IF(ISNUMBER(AG179:AG375),ROW(AG179:AG375),"")))</f>
        <v>#N/A</v>
      </c>
      <c r="AI179" s="117" t="n">
        <f aca="false">IF('Données projet'!$A$62&gt;35,AI178+AH179-AQ178,IF(A179&lt;'Données projet'!$A$62,$AF$205^A179,IF(A179='Données projet'!$A$62,'Données projet'!$B$62,AI178+AH179-AQ178)))</f>
        <v>1.13686837721616E-013</v>
      </c>
      <c r="AJ179" s="117" t="n">
        <f aca="false">AI179*VLOOKUP('Données projet'!$B$10,Paramètres!$A$1:$I$89,3,0)*VLOOKUP('Données projet'!$B$10,Paramètres!$A$1:$I$89,5,0)</f>
        <v>6.35509422863834E-014</v>
      </c>
      <c r="AK179" s="117" t="n">
        <f aca="false">EXP(-1.0587+0.8836*LN(AJ179)+0.284)</f>
        <v>1.0064464192544E-012</v>
      </c>
      <c r="AL179" s="128" t="n">
        <f aca="false">(AJ179+AK179)*0.475*44/12</f>
        <v>1.86357873801686E-012</v>
      </c>
      <c r="AM179" s="120" t="n">
        <f aca="false">AL179+(AD179+AE179)*44/12</f>
        <v>293.333333333335</v>
      </c>
      <c r="AN179" s="120" t="n">
        <f aca="true">AVERAGE(OFFSET($AM$3,0,0,'Données projet'!$E$10+1,1))-AVERAGE(OFFSET($H$3,0,0,'Données projet'!$E$10+1,1))</f>
        <v>365.705101827279</v>
      </c>
      <c r="AO179" s="120" t="n">
        <f aca="false">$AO$3</f>
        <v>436.238338449625</v>
      </c>
      <c r="AP179" s="121" t="n">
        <f aca="false">IF(ISNA(VLOOKUP(A179,'Données projet'!$A$61:$I$81,3,0)),0,VLOOKUP(A179,'Données projet'!$A$61:$I$81,3,0))</f>
        <v>0</v>
      </c>
      <c r="AQ179" s="121" t="n">
        <f aca="false">IF(ISNA(VLOOKUP(A179,'Données projet'!$A$61:$I$81,4,0)),0,VLOOKUP(A179,'Données projet'!$A$61:$I$81,4,0))</f>
        <v>0</v>
      </c>
      <c r="AR179" s="122" t="n">
        <f aca="false">IF(ISNA(VLOOKUP(A179,'Données projet'!$A$61:$I$81,5,0)),0%,VLOOKUP(A179,'Données projet'!$A$61:$I$81,5,0)*VLOOKUP('Données projet'!$B$10,Paramètres!$A$1:$I$89,7,0))</f>
        <v>0</v>
      </c>
      <c r="AS179" s="122" t="n">
        <f aca="false">IF(ISNA(VLOOKUP(A179,'Données projet'!$A$61:$I$81,6,0)),0%,VLOOKUP(A179,'Données projet'!$A$61:$I$81,6,0)*VLOOKUP('Données projet'!$B$10,Paramètres!$A$1:$I$89,7,0))</f>
        <v>0</v>
      </c>
      <c r="AT179" s="122" t="n">
        <f aca="false">IF(ISNA(VLOOKUP(A179,'Données projet'!$A$61:$I$81,7,0)),0%,VLOOKUP(A179,'Données projet'!$A$61:$I$81,7,0))</f>
        <v>0</v>
      </c>
      <c r="AU179" s="129" t="n">
        <f aca="false">EXP(-LN(2)/35)*AU178+(1-EXP(-LN(2)/35))/(LN(2)/35)*AQ179*AR179*VLOOKUP('Données projet'!$B$10,Paramètres!$A$1:$I$89,3,0)*0.475*44/12</f>
        <v>0.190132787393922</v>
      </c>
      <c r="AV179" s="129" t="n">
        <f aca="false">EXP(-LN(2)/25)*AV178+(1-EXP(-LN(2)/25))/(LN(2)/25)*Calculateur!AQ179*Calculateur!AS179*VLOOKUP('Données projet'!$B$10,Paramètres!$A$1:$I$89,3,0)*0.475*44/12</f>
        <v>0.230582504669104</v>
      </c>
      <c r="AW179" s="129" t="n">
        <f aca="false">EXP(-LN(2)/2)*AW178+(1-EXP(-LN(2)/2))/(LN(2)/2)*AQ179*AT179*VLOOKUP('Données projet'!$B$10,Paramètres!$A$1:$I$89,3,0)*0.475*44/12</f>
        <v>6.29246661312102E-022</v>
      </c>
      <c r="AX179" s="129" t="n">
        <f aca="false">SUM(AU179:AW179)</f>
        <v>0.420715292063025</v>
      </c>
      <c r="AY179" s="124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8" t="e">
        <f aca="false">VLOOKUP(A179,'Données projet'!$A$87:$I$107,2,0)</f>
        <v>#N/A</v>
      </c>
      <c r="BB179" s="118" t="e">
        <f aca="false">VLOOKUP(A179,'Données projet'!$A$87:$I$107,9,0)</f>
        <v>#N/A</v>
      </c>
      <c r="BC179" s="118" t="e">
        <f aca="false" t="array" ref="BC179:BC179">INDEX(BB:BB,MIN(IF(ISNUMBER(BB179:BB375),ROW(BB179:BB375),"")))</f>
        <v>#N/A</v>
      </c>
      <c r="BD179" s="118" t="n">
        <f aca="false">IF('Données projet'!$A$88&gt;35,BD178+BC179-BL178,IF(A179&lt;'Données projet'!$A$88,$BA$205^A179,IF(A179='Données projet'!$A$88,'Données projet'!$B$88,BD178+BC179-BL178)))</f>
        <v>1.98951966012828E-013</v>
      </c>
      <c r="BE179" s="117" t="n">
        <f aca="false">BD179*VLOOKUP('Données projet'!$B$11,Paramètres!$A$1:$I$89,3,0)*VLOOKUP('Données projet'!$B$11,Paramètres!$A$1:$I$89,5,0)</f>
        <v>1.73804437508807E-013</v>
      </c>
      <c r="BF179" s="117" t="n">
        <f aca="false">EXP(-1.0587+0.8836*LN(BE179)+0.284)</f>
        <v>2.44832936339505E-012</v>
      </c>
      <c r="BG179" s="128" t="n">
        <f aca="false">(BE179+BF179)*0.475*44/12</f>
        <v>4.56688303657421E-012</v>
      </c>
      <c r="BH179" s="120" t="n">
        <f aca="false">BG179+(AY179+AZ179)*44/12</f>
        <v>293.333333333338</v>
      </c>
      <c r="BI179" s="120" t="n">
        <f aca="true">AVERAGE(OFFSET($BH$3,0,0,'Données projet'!$E$11+1,1))-AVERAGE(OFFSET($H$3,0,0,'Données projet'!$E$11+1,1))</f>
        <v>321.235999689929</v>
      </c>
      <c r="BJ179" s="120" t="n">
        <f aca="false">$BJ$3</f>
        <v>388.051958478005</v>
      </c>
      <c r="BK179" s="121" t="n">
        <f aca="false">IF(ISNA(VLOOKUP(A179,'Données projet'!$A$87:$I$107,3,0)),0,VLOOKUP(A179,'Données projet'!$A$87:$I$107,3,0))</f>
        <v>0</v>
      </c>
      <c r="BL179" s="121" t="n">
        <f aca="false">IF(ISNA(VLOOKUP(A179,'Données projet'!$A$87:$I$107,4,0)),0,VLOOKUP(A179,'Données projet'!$A$87:$I$107,4,0))</f>
        <v>0</v>
      </c>
      <c r="BM179" s="122" t="n">
        <f aca="false">IF(ISNA(VLOOKUP(A179,'Données projet'!$A$87:$I$107,5,0)),0%,VLOOKUP(A179,'Données projet'!$A$87:$I$107,5,0)*VLOOKUP('Données projet'!$B$11,Paramètres!$A$1:$I$89,7,0))</f>
        <v>0</v>
      </c>
      <c r="BN179" s="122" t="n">
        <f aca="false">IF(ISNA(VLOOKUP(A179,'Données projet'!$A$87:$I$107,6,0)),0%,VLOOKUP(A179,'Données projet'!$A$87:$I$107,6,0)*VLOOKUP('Données projet'!$B$11,Paramètres!$A$1:$I$89,7,0))</f>
        <v>0</v>
      </c>
      <c r="BO179" s="122" t="n">
        <f aca="false">IF(ISNA(VLOOKUP(A179,'Données projet'!$A$87:$I$107,7,0)),0%,VLOOKUP(A179,'Données projet'!$A$87:$I$107,7,0))</f>
        <v>0</v>
      </c>
      <c r="BP179" s="129" t="n">
        <f aca="false">EXP(-LN(2)/35)*BP178+(1-EXP(-LN(2)/35))/(LN(2)/35)*BL179*BM179*VLOOKUP('Données projet'!$B$11,Paramètres!$A$1:$I$89,3,0)*0.475*44/12</f>
        <v>0.4773514357371</v>
      </c>
      <c r="BQ179" s="129" t="n">
        <f aca="false">EXP(-LN(2)/25)*BQ178+(1-EXP(-LN(2)/25))/(LN(2)/25)*Calculateur!BL179*Calculateur!BN179*VLOOKUP('Données projet'!$B$11,Paramètres!$A$1:$I$89,3,0)*0.475*44/12</f>
        <v>0.235364925012212</v>
      </c>
      <c r="BR179" s="129" t="n">
        <f aca="false">EXP(-LN(2)/2)*BR178+(1-EXP(-LN(2)/2))/(LN(2)/2)*BL179*BO179*VLOOKUP('Données projet'!$B$11,Paramètres!$A$1:$I$89,3,0)*0.475*44/12</f>
        <v>6.39616152114458E-022</v>
      </c>
      <c r="BS179" s="130" t="n">
        <f aca="false">SUM(BP179:BR179)</f>
        <v>0.712716360749312</v>
      </c>
      <c r="BT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8" t="e">
        <f aca="false">VLOOKUP(A179,'Données projet'!$A$113:$I$133,2,0)</f>
        <v>#N/A</v>
      </c>
      <c r="BW179" s="118" t="e">
        <f aca="false">VLOOKUP(A179,'Données projet'!$A$113:$I$133,9,0)</f>
        <v>#N/A</v>
      </c>
      <c r="BX179" s="118" t="e">
        <f aca="false" t="array" ref="BX179:BX179">INDEX(BW:BW,MIN(IF(ISNUMBER(BW179:BW375),ROW(BW179:BW375),"")))</f>
        <v>#N/A</v>
      </c>
      <c r="BY179" s="118" t="n">
        <f aca="false">IF('Données projet'!$A$114&gt;35,BY178+BX179-CG178,IF(A179&lt;'Données projet'!$A$114,$BV$205^A179,IF(A179='Données projet'!$A$114,'Données projet'!$B$114,BY178+BX179-CG178)))</f>
        <v>0</v>
      </c>
      <c r="BZ179" s="117" t="n">
        <f aca="false">BY179*VLOOKUP('Données projet'!$B$12,Paramètres!$A$1:$I$89,3,0)*VLOOKUP('Données projet'!$B$12,Paramètres!$A$1:$I$89,5,0)</f>
        <v>0</v>
      </c>
      <c r="CA179" s="117" t="e">
        <f aca="false">EXP(-1.0587+0.8836*LN(BZ179)+0.284)</f>
        <v>#VALUE!</v>
      </c>
      <c r="CB179" s="128" t="e">
        <f aca="false">(BZ179+CA179)*0.475*44/12</f>
        <v>#VALUE!</v>
      </c>
      <c r="CC179" s="120" t="e">
        <f aca="false">CB179+(BT179+BU179)*44/12</f>
        <v>#VALUE!</v>
      </c>
      <c r="CD179" s="120" t="n">
        <f aca="true">AVERAGE(OFFSET($CC$3,0,0,'Données projet'!$E$12+1,1))-AVERAGE(OFFSET($H$3,0,0,'Données projet'!$E$12+1,1))</f>
        <v>240.228848647662</v>
      </c>
      <c r="CE179" s="120" t="n">
        <f aca="false">$CE$3</f>
        <v>343.237768841432</v>
      </c>
      <c r="CF179" s="121" t="n">
        <f aca="false">IF(ISNA(VLOOKUP(A179,'Données projet'!$A$113:$I$133,3,0)),0,VLOOKUP(A179,'Données projet'!$A$113:$I$133,3,0))</f>
        <v>0</v>
      </c>
      <c r="CG179" s="121" t="n">
        <f aca="false">IF(ISNA(VLOOKUP(A179,'Données projet'!$A$113:$I$133,4,0)),0,VLOOKUP(A179,'Données projet'!$A$113:$I$133,4,0))</f>
        <v>0</v>
      </c>
      <c r="CH179" s="122" t="n">
        <f aca="false">IF(ISNA(VLOOKUP(A179,'Données projet'!$A$113:$I$133,5,0)),0%,VLOOKUP(A179,'Données projet'!$A$113:$I$133,5,0)*VLOOKUP('Données projet'!$B$12,Paramètres!$A$1:$I$89,7,0))</f>
        <v>0</v>
      </c>
      <c r="CI179" s="122" t="n">
        <f aca="false">IF(ISNA(VLOOKUP(A179,'Données projet'!$A$113:$I$133,6,0)),0%,VLOOKUP(A179,'Données projet'!$A$113:$I$133,6,0)*VLOOKUP('Données projet'!$B$12,Paramètres!$A$1:$I$89,7,0))</f>
        <v>0</v>
      </c>
      <c r="CJ179" s="122" t="n">
        <f aca="false">IF(ISNA(VLOOKUP(A179,'Données projet'!$A$113:$I$133,7,0)),0%,VLOOKUP(A179,'Données projet'!$A$113:$I$133,7,0))</f>
        <v>0</v>
      </c>
      <c r="CK179" s="129" t="n">
        <f aca="false">EXP(-LN(2)/35)*CK178+(1-EXP(-LN(2)/35))/(LN(2)/35)*CG179*CH179*VLOOKUP('Données projet'!$B$12,Paramètres!$A$1:$I$89,3,0)*0.475*44/12</f>
        <v>0.292176267671481</v>
      </c>
      <c r="CL179" s="129" t="n">
        <f aca="false">EXP(-LN(2)/25)*CL178+(1-EXP(-LN(2)/25))/(LN(2)/25)*Calculateur!CG179*Calculateur!CI179*VLOOKUP('Données projet'!$B$12,Paramètres!$A$1:$I$89,3,0)*0.475*44/12</f>
        <v>0.415668082820404</v>
      </c>
      <c r="CM179" s="129" t="n">
        <f aca="false">EXP(-LN(2)/2)*CM178+(1-EXP(-LN(2)/2))/(LN(2)/2)*CG179*CJ179*VLOOKUP('Données projet'!$B$12,Paramètres!$A$1:$I$89,3,0)*0.475*44/12</f>
        <v>1.02065685720626E-021</v>
      </c>
      <c r="CN179" s="130" t="n">
        <f aca="false">SUM(CK179:CM179)</f>
        <v>0.707844350491885</v>
      </c>
      <c r="CO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8" t="e">
        <f aca="false">VLOOKUP(A179,'Données projet'!$A$139:$I$159,2,0)</f>
        <v>#N/A</v>
      </c>
      <c r="CR179" s="118" t="e">
        <f aca="false">VLOOKUP(A179,'Données projet'!$A$139:$I$159,9,0)</f>
        <v>#N/A</v>
      </c>
      <c r="CS179" s="118" t="e">
        <f aca="false" t="array" ref="CS179:CS179">INDEX(CR:CR,MIN(IF(ISNUMBER(CR179:CR375),ROW(CR179:CR375),"")))</f>
        <v>#N/A</v>
      </c>
      <c r="CT179" s="118" t="n">
        <f aca="false">IF('Données projet'!$A$140&gt;35,CT178+CS179-DB178,IF(A179&lt;'Données projet'!$A$140,$CQ$205^A179,IF(A179='Données projet'!$A$140,'Données projet'!$B$140,CT178+CS179-DB178)))</f>
        <v>-5.6843418860808E-014</v>
      </c>
      <c r="CU179" s="125" t="n">
        <f aca="false">CT179*VLOOKUP('Données projet'!$B$13,Paramètres!$A$1:$I$89,3,0)*VLOOKUP('Données projet'!$B$13,Paramètres!$A$1:$I$89,5,0)</f>
        <v>-3.10365066980012E-014</v>
      </c>
      <c r="CV179" s="117" t="e">
        <f aca="false">EXP(-1.0587+0.8836*LN(CU179)+0.284)</f>
        <v>#VALUE!</v>
      </c>
      <c r="CW179" s="128" t="e">
        <f aca="false">(CU179+CV179)*0.475*44/12</f>
        <v>#VALUE!</v>
      </c>
      <c r="CX179" s="120" t="e">
        <f aca="false">CW179+(CO179+CP179)*44/12</f>
        <v>#VALUE!</v>
      </c>
      <c r="CY179" s="120" t="n">
        <f aca="true">AVERAGE(OFFSET($CX$3,0,0,'Données projet'!$E$13+1,1))-AVERAGE(OFFSET($H$3,0,0,'Données projet'!$E$13+1,1))</f>
        <v>207.023069645676</v>
      </c>
      <c r="CZ179" s="120" t="n">
        <f aca="false">$CZ$3</f>
        <v>342.068879333518</v>
      </c>
      <c r="DA179" s="121" t="n">
        <f aca="false">IF(ISNA(VLOOKUP(A179,'Données projet'!$A$139:$I$159,3,0)),0,VLOOKUP(A179,'Données projet'!$A$139:$I$159,3,0))</f>
        <v>0</v>
      </c>
      <c r="DB179" s="121" t="n">
        <f aca="false">IF(ISNA(VLOOKUP(A179,'Données projet'!$A$139:$I$159,4,0)),0,VLOOKUP(A179,'Données projet'!$A$139:$I$159,4,0))</f>
        <v>0</v>
      </c>
      <c r="DC179" s="122" t="n">
        <f aca="false">IF(ISNA(VLOOKUP(A179,'Données projet'!$A$139:$I$159,5,0)),0%,VLOOKUP(A179,'Données projet'!$A$139:$I$159,5,0)*VLOOKUP('Données projet'!$B$13,Paramètres!$A$1:$I$89,7,0))</f>
        <v>0</v>
      </c>
      <c r="DD179" s="122" t="n">
        <f aca="false">IF(ISNA(VLOOKUP(A179,'Données projet'!$A$139:$I$159,6,0)),0%,VLOOKUP(A179,'Données projet'!$A$139:$I$159,6,0)*VLOOKUP('Données projet'!$B$13,Paramètres!$A$1:$I$89,7,0))</f>
        <v>0</v>
      </c>
      <c r="DE179" s="122" t="n">
        <f aca="false">IF(ISNA(VLOOKUP(A179,'Données projet'!$A$139:$I$159,7,0)),0%,VLOOKUP(A179,'Données projet'!$A$139:$I$159,7,0))</f>
        <v>0</v>
      </c>
      <c r="DF179" s="129" t="n">
        <f aca="false">EXP(-LN(2)/35)*DF178+(1-EXP(-LN(2)/35))/(LN(2)/35)*DB179*DC179*VLOOKUP('Données projet'!$B$13,Paramètres!$A$1:$I$89,3,0)*0.475*44/12</f>
        <v>0.366598524531197</v>
      </c>
      <c r="DG179" s="129" t="n">
        <f aca="false">EXP(-LN(2)/25)*DG178+(1-EXP(-LN(2)/25))/(LN(2)/25)*Calculateur!DB179*Calculateur!DD179*VLOOKUP('Données projet'!$B$13,Paramètres!$A$1:$I$89,3,0)*0.475*44/12</f>
        <v>0.679444194299325</v>
      </c>
      <c r="DH179" s="129" t="n">
        <f aca="false">EXP(-LN(2)/2)*DH178+(1-EXP(-LN(2)/2))/(LN(2)/2)*DB179*DE179*VLOOKUP('Données projet'!$B$13,Paramètres!$A$1:$I$89,3,0)*0.475*44/12</f>
        <v>1.40544496557525E-021</v>
      </c>
      <c r="DI179" s="130" t="n">
        <f aca="false">SUM(DF179:DH179)</f>
        <v>1.04604271883052</v>
      </c>
      <c r="DJ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8" t="e">
        <f aca="false">VLOOKUP(A179,'Données projet'!$A$165:$I$185,2,0)</f>
        <v>#N/A</v>
      </c>
      <c r="DM179" s="118" t="e">
        <f aca="false">VLOOKUP(A179,'Données projet'!$A$165:$I$185,9,0)</f>
        <v>#N/A</v>
      </c>
      <c r="DN179" s="118" t="e">
        <f aca="false" t="array" ref="DN179:DN179">INDEX(DM:DM,MIN(IF(ISNUMBER(DM179:DM375),ROW(DM179:DM375),"")))</f>
        <v>#N/A</v>
      </c>
      <c r="DO179" s="118" t="n">
        <f aca="false">IF('Données projet'!$A$166&gt;35,DO178+DN179-DW178,IF(A179&lt;'Données projet'!$A$166,$DL$205^A179,IF(A179='Données projet'!$A$166,'Données projet'!$B$166,DO178+DN179-DW178)))</f>
        <v>0</v>
      </c>
      <c r="DP179" s="125" t="n">
        <f aca="false">DO179*VLOOKUP('Données projet'!$B$14,Paramètres!$A$1:$I$89,3,0)*VLOOKUP('Données projet'!$B$14,Paramètres!$A$1:$I$89,5,0)</f>
        <v>0</v>
      </c>
      <c r="DQ179" s="117" t="e">
        <f aca="false">EXP(-1.0587+0.8836*LN(DP179)+0.284)</f>
        <v>#VALUE!</v>
      </c>
      <c r="DR179" s="128" t="e">
        <f aca="false">(DP179+DQ179)*0.475*44/12</f>
        <v>#VALUE!</v>
      </c>
      <c r="DS179" s="120" t="e">
        <f aca="false">DR179+(DJ179+DK179)*44/12</f>
        <v>#VALUE!</v>
      </c>
      <c r="DT179" s="120" t="n">
        <f aca="true">AVERAGE(OFFSET($DS$3,0,0,'Données projet'!$E$14+1,1))-AVERAGE(OFFSET($H$3,0,0,'Données projet'!$E$14+1,1))</f>
        <v>549.432320957297</v>
      </c>
      <c r="DU179" s="120" t="n">
        <f aca="false">$DU$3</f>
        <v>280.26155987301</v>
      </c>
      <c r="DV179" s="121" t="n">
        <f aca="false">IF(ISNA(VLOOKUP(A179,'Données projet'!$A$165:$I$185,3,0)),0,VLOOKUP(A179,'Données projet'!$A$165:$I$185,3,0))</f>
        <v>0</v>
      </c>
      <c r="DW179" s="121" t="n">
        <f aca="false">IF(ISNA(VLOOKUP(A179,'Données projet'!$A$165:$I$185,4,0)),0,VLOOKUP(A179,'Données projet'!$A$165:$I$185,4,0))</f>
        <v>0</v>
      </c>
      <c r="DX179" s="122" t="n">
        <f aca="false">IF(ISNA(VLOOKUP(A179,'Données projet'!$A$165:$I$185,5,0)),0%,VLOOKUP(A179,'Données projet'!$A$165:$I$185,5,0)*VLOOKUP('Données projet'!$B$14,Paramètres!$A$1:$I$89,7,0))</f>
        <v>0</v>
      </c>
      <c r="DY179" s="122" t="n">
        <f aca="false">IF(ISNA(VLOOKUP(A179,'Données projet'!$A$165:$I$185,6,0)),0%,VLOOKUP(A179,'Données projet'!$A$165:$I$185,6,0)*VLOOKUP('Données projet'!$B$14,Paramètres!$A$1:$I$89,7,0))</f>
        <v>0</v>
      </c>
      <c r="DZ179" s="122" t="n">
        <f aca="false">IF(ISNA(VLOOKUP(A179,'Données projet'!$A$165:$I$185,7,0)),0%,VLOOKUP(A179,'Données projet'!$A$165:$I$185,7,0))</f>
        <v>0</v>
      </c>
      <c r="EA179" s="129" t="n">
        <f aca="false">EXP(-LN(2)/35)*EA178+(1-EXP(-LN(2)/35))/(LN(2)/35)*DW179*DX179*VLOOKUP('Données projet'!$B$14,Paramètres!$A$1:$I$89,3,0)*0.475*44/12</f>
        <v>0.133294814746125</v>
      </c>
      <c r="EB179" s="129" t="n">
        <f aca="false">EXP(-LN(2)/25)*EB178+(1-EXP(-LN(2)/25))/(LN(2)/25)*Calculateur!DW179*Calculateur!DY179*VLOOKUP('Données projet'!$B$14,Paramètres!$A$1:$I$89,3,0)*0.475*44/12</f>
        <v>0.135358688702765</v>
      </c>
      <c r="EC179" s="129" t="n">
        <f aca="false">EXP(-LN(2)/2)*EC178+(1-EXP(-LN(2)/2))/(LN(2)/2)*DW179*DZ179*VLOOKUP('Données projet'!$B$14,Paramètres!$A$1:$I$89,3,0)*0.475*44/12</f>
        <v>6.47881158393397E-022</v>
      </c>
      <c r="ED179" s="130" t="n">
        <f aca="false">SUM(EA179:EC179)</f>
        <v>0.26865350344889</v>
      </c>
      <c r="EE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8" t="e">
        <f aca="false">VLOOKUP(A179,'Données projet'!$A$191:$I$211,2,0)</f>
        <v>#N/A</v>
      </c>
      <c r="EH179" s="118" t="e">
        <f aca="false">VLOOKUP(A179,'Données projet'!$A$191:$I$211,9,0)</f>
        <v>#N/A</v>
      </c>
      <c r="EI179" s="118" t="e">
        <f aca="false" t="array" ref="EI179:EI179">INDEX(EH:EH,MIN(IF(ISNUMBER(EH179:EH375),ROW(EH179:EH375),"")))</f>
        <v>#N/A</v>
      </c>
      <c r="EJ179" s="118" t="n">
        <f aca="false">IF('Données projet'!$A$192&gt;35,EJ178+EI179-ER178,IF(A179&lt;'Données projet'!$A$192,$EG$205^A179,IF(A179='Données projet'!$A$192,'Données projet'!$B$192,EJ178+EI179-ER178)))</f>
        <v>0</v>
      </c>
      <c r="EK179" s="125" t="e">
        <f aca="false">EJ179*VLOOKUP('Données projet'!$B$15,Paramètres!$A$1:$I$89,3,0)*VLOOKUP('Données projet'!$B$15,Paramètres!$A$1:$I$89,5,0)</f>
        <v>#N/A</v>
      </c>
      <c r="EL179" s="117" t="e">
        <f aca="false">EXP(-1.0587+0.8836*LN(EK179)+0.284)</f>
        <v>#N/A</v>
      </c>
      <c r="EM179" s="128" t="e">
        <f aca="false">(EK179+EL179)*0.475*44/12</f>
        <v>#N/A</v>
      </c>
      <c r="EN179" s="120" t="e">
        <f aca="false">EM179+(EE179+EF179)*44/12</f>
        <v>#N/A</v>
      </c>
      <c r="EO179" s="120" t="e">
        <f aca="true">AVERAGE(OFFSET($EN$3,0,0,'Données projet'!$E$15+1,1))-AVERAGE(OFFSET($H$3,0,0,'Données projet'!$E$15+1,1))</f>
        <v>#N/A</v>
      </c>
      <c r="EP179" s="120" t="e">
        <f aca="false">$EP$3</f>
        <v>#N/A</v>
      </c>
      <c r="EQ179" s="121" t="n">
        <f aca="false">IF(ISNA(VLOOKUP(A179,'Données projet'!$A$191:$I$211,3,0)),0,VLOOKUP(A179,'Données projet'!$A$191:$I$211,3,0))</f>
        <v>0</v>
      </c>
      <c r="ER179" s="121" t="n">
        <f aca="false">IF(ISNA(VLOOKUP(A179,'Données projet'!$A$191:$I$211,4,0)),0,VLOOKUP(A179,'Données projet'!$A$191:$I$211,4,0))</f>
        <v>0</v>
      </c>
      <c r="ES179" s="122" t="n">
        <f aca="false">IF(ISNA(VLOOKUP(A179,'Données projet'!$A$191:$I$211,5,0)),0%,VLOOKUP(A179,'Données projet'!$A$191:$I$211,5,0)*VLOOKUP('Données projet'!$B$15,Paramètres!$A$1:$I$89,7,0))</f>
        <v>0</v>
      </c>
      <c r="ET179" s="122" t="n">
        <f aca="false">IF(ISNA(VLOOKUP(A179,'Données projet'!$A$191:$I$211,6,0)),0%,VLOOKUP(A179,'Données projet'!$A$191:$I$211,6,0)*VLOOKUP('Données projet'!$B$15,Paramètres!$A$1:$I$89,7,0))</f>
        <v>0</v>
      </c>
      <c r="EU179" s="122" t="n">
        <f aca="false">IF(ISNA(VLOOKUP(A179,'Données projet'!$A$191:$I$211,7,0)),0%,VLOOKUP(A179,'Données projet'!$A$191:$I$211,7,0))</f>
        <v>0</v>
      </c>
      <c r="EV179" s="129" t="e">
        <f aca="false">EXP(-LN(2)/35)*EV178+(1-EXP(-LN(2)/35))/(LN(2)/35)*ER179*ES179*VLOOKUP('Données projet'!$B$15,Paramètres!$A$1:$I$89,3,0)*0.475*44/12</f>
        <v>#N/A</v>
      </c>
      <c r="EW179" s="129" t="e">
        <f aca="false">EXP(-LN(2)/25)*EW178+(1-EXP(-LN(2)/25))/(LN(2)/25)*Calculateur!ER179*Calculateur!ET179*VLOOKUP('Données projet'!$B$15,Paramètres!$A$1:$I$89,3,0)*0.475*44/12</f>
        <v>#N/A</v>
      </c>
      <c r="EX179" s="129" t="e">
        <f aca="false">EXP(-LN(2)/2)*EX178+(1-EXP(-LN(2)/2))/(LN(2)/2)*ER179*EU179*VLOOKUP('Données projet'!$B$15,Paramètres!$A$1:$I$89,3,0)*0.475*44/12</f>
        <v>#N/A</v>
      </c>
      <c r="EY179" s="130" t="e">
        <f aca="false">SUM(EV179:EX179)</f>
        <v>#N/A</v>
      </c>
      <c r="EZ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8" t="e">
        <f aca="false">VLOOKUP(A179,'Données projet'!$A$217:$I$237,2,0)</f>
        <v>#N/A</v>
      </c>
      <c r="FC179" s="118" t="e">
        <f aca="false">VLOOKUP(A179,'Données projet'!$A$217:$I$237,9,0)</f>
        <v>#N/A</v>
      </c>
      <c r="FD179" s="118" t="e">
        <f aca="false" t="array" ref="FD179:FD179">INDEX(FC:FC,MIN(IF(ISNUMBER(FC179:FC375),ROW(FC179:FC375),"")))</f>
        <v>#N/A</v>
      </c>
      <c r="FE179" s="118" t="n">
        <f aca="false">IF('Données projet'!$A$218&gt;35,FE178+FD179-FM178,IF(A179&lt;'Données projet'!$A$218,$FB$205^A179,IF(A179='Données projet'!$A$218,'Données projet'!$B$218,FE178+FD179-FM178)))</f>
        <v>0</v>
      </c>
      <c r="FF179" s="125" t="e">
        <f aca="false">FE179*VLOOKUP('Données projet'!$B$16,Paramètres!$A$1:$I$89,3,0)*VLOOKUP('Données projet'!$B$16,Paramètres!$A$1:$I$89,5,0)</f>
        <v>#N/A</v>
      </c>
      <c r="FG179" s="117" t="e">
        <f aca="false">EXP(-1.0587+0.8836*LN(FF179)+0.284)</f>
        <v>#N/A</v>
      </c>
      <c r="FH179" s="128" t="e">
        <f aca="false">(FF179+FG179)*0.475*44/12</f>
        <v>#N/A</v>
      </c>
      <c r="FI179" s="120" t="e">
        <f aca="false">FH179+(EZ179+FA179)*44/12</f>
        <v>#N/A</v>
      </c>
      <c r="FJ179" s="120" t="e">
        <f aca="true">AVERAGE(OFFSET($FI$3,0,0,'Données projet'!$E$16+1,1))-AVERAGE(OFFSET($H$3,0,0,'Données projet'!$E$16+1,1))</f>
        <v>#N/A</v>
      </c>
      <c r="FK179" s="120" t="e">
        <f aca="false">$FK$3</f>
        <v>#N/A</v>
      </c>
      <c r="FL179" s="121" t="n">
        <f aca="false">IF(ISNA(VLOOKUP(A179,'Données projet'!$A$217:$I$237,3,0)),0,VLOOKUP(A179,'Données projet'!$A$217:$I$237,3,0))</f>
        <v>0</v>
      </c>
      <c r="FM179" s="121" t="n">
        <f aca="false">IF(ISNA(VLOOKUP(A179,'Données projet'!$A$217:$I$237,4,0)),0,VLOOKUP(A179,'Données projet'!$A$217:$I$237,4,0))</f>
        <v>0</v>
      </c>
      <c r="FN179" s="122" t="n">
        <f aca="false">IF(ISNA(VLOOKUP(A179,'Données projet'!$A$217:$I$237,5,0)),0%,VLOOKUP(A179,'Données projet'!$A$217:$I$237,5,0)*VLOOKUP('Données projet'!$B$16,Paramètres!$A$1:$I$89,7,0))</f>
        <v>0</v>
      </c>
      <c r="FO179" s="122" t="n">
        <f aca="false">IF(ISNA(VLOOKUP(A179,'Données projet'!$A$217:$I$237,6,0)),0%,VLOOKUP(A179,'Données projet'!$A$217:$I$237,6,0)*VLOOKUP('Données projet'!$B$16,Paramètres!$A$1:$I$89,7,0))</f>
        <v>0</v>
      </c>
      <c r="FP179" s="122" t="n">
        <f aca="false">IF(ISNA(VLOOKUP(A179,'Données projet'!$A$217:$I$237,7,0)),0%,VLOOKUP(A179,'Données projet'!$A$217:$I$237,7,0))</f>
        <v>0</v>
      </c>
      <c r="FQ179" s="129" t="e">
        <f aca="false">EXP(-LN(2)/35)*FQ178+(1-EXP(-LN(2)/35))/(LN(2)/35)*FM179*FN179*VLOOKUP('Données projet'!$B$16,Paramètres!$A$1:$I$89,3,0)*0.475*44/12</f>
        <v>#N/A</v>
      </c>
      <c r="FR179" s="129" t="e">
        <f aca="false">EXP(-LN(2)/25)*FR178+(1-EXP(-LN(2)/25))/(LN(2)/25)*Calculateur!FM179*Calculateur!FO179*VLOOKUP('Données projet'!$B$16,Paramètres!$A$1:$I$89,3,0)*0.475*44/12</f>
        <v>#N/A</v>
      </c>
      <c r="FS179" s="129" t="e">
        <f aca="false">EXP(-LN(2)/2)*FS178+(1-EXP(-LN(2)/2))/(LN(2)/2)*FM179*FP179*VLOOKUP('Données projet'!$B$16,Paramètres!$A$1:$I$89,3,0)*0.475*44/12</f>
        <v>#N/A</v>
      </c>
      <c r="FT179" s="130" t="e">
        <f aca="false">SUM(FQ179:FS179)</f>
        <v>#N/A</v>
      </c>
      <c r="FU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8" t="e">
        <f aca="false">VLOOKUP(A179,'Données projet'!$A$243:$I$263,2,0)</f>
        <v>#N/A</v>
      </c>
      <c r="FX179" s="118" t="e">
        <f aca="false">VLOOKUP(A179,'Données projet'!$A$243:$I$263,9,0)</f>
        <v>#N/A</v>
      </c>
      <c r="FY179" s="118" t="e">
        <f aca="false" t="array" ref="FY179:FY179">INDEX(FX:FX,MIN(IF(ISNUMBER(FX179:FX375),ROW(FX179:FX375),"")))</f>
        <v>#N/A</v>
      </c>
      <c r="FZ179" s="118" t="n">
        <f aca="false">IF('Données projet'!$A$244&gt;35,FZ178+FY179-GH178,IF(A179&lt;'Données projet'!$A$244,$FW$205^A179,IF(A179='Données projet'!$A$244,'Données projet'!$B$244,FZ178+FY179-GH178)))</f>
        <v>0</v>
      </c>
      <c r="GA179" s="125" t="e">
        <f aca="false">FZ179*VLOOKUP('Données projet'!$B$17,Paramètres!$A$1:$I$89,3,0)*VLOOKUP('Données projet'!$B$17,Paramètres!$A$1:$I$89,5,0)</f>
        <v>#N/A</v>
      </c>
      <c r="GB179" s="117" t="e">
        <f aca="false">EXP(-1.0587+0.8836*LN(GA179)+0.284)</f>
        <v>#N/A</v>
      </c>
      <c r="GC179" s="128" t="e">
        <f aca="false">(GA179+GB179)*0.475*44/12</f>
        <v>#N/A</v>
      </c>
      <c r="GD179" s="120" t="e">
        <f aca="false">GC179+(FU179+FV179)*44/12</f>
        <v>#N/A</v>
      </c>
      <c r="GE179" s="120" t="e">
        <f aca="true">AVERAGE(OFFSET($GD$3,0,0,'Données projet'!$E$17+1,1))-AVERAGE(OFFSET($H$3,0,0,'Données projet'!$E$17+1,1))</f>
        <v>#N/A</v>
      </c>
      <c r="GF179" s="120" t="e">
        <f aca="false">$GF$3</f>
        <v>#N/A</v>
      </c>
      <c r="GG179" s="121" t="n">
        <f aca="false">IF(ISNA(VLOOKUP(A179,'Données projet'!$A$243:$I$263,3,0)),0,VLOOKUP(A179,'Données projet'!$A$243:$I$263,3,0))</f>
        <v>0</v>
      </c>
      <c r="GH179" s="121" t="n">
        <f aca="false">IF(ISNA(VLOOKUP(A179,'Données projet'!$A$243:$I$263,4,0)),0,VLOOKUP(A179,'Données projet'!$A$243:$I$263,4,0))</f>
        <v>0</v>
      </c>
      <c r="GI179" s="122" t="n">
        <f aca="false">IF(ISNA(VLOOKUP(A179,'Données projet'!$A$243:$I$263,5,0)),0%,VLOOKUP(A179,'Données projet'!$A$243:$I$263,5,0)*VLOOKUP('Données projet'!$B$17,Paramètres!$A$1:$I$89,7,0))</f>
        <v>0</v>
      </c>
      <c r="GJ179" s="122" t="n">
        <f aca="false">IF(ISNA(VLOOKUP(A179,'Données projet'!$A$243:$I$263,6,0)),0%,VLOOKUP(A179,'Données projet'!$A$243:$I$263,6,0)*VLOOKUP('Données projet'!$B$17,Paramètres!$A$1:$I$89,7,0))</f>
        <v>0</v>
      </c>
      <c r="GK179" s="122" t="n">
        <f aca="false">IF(ISNA(VLOOKUP(A179,'Données projet'!$A$243:$I$263,7,0)),0%,VLOOKUP(A179,'Données projet'!$A$243:$I$263,7,0))</f>
        <v>0</v>
      </c>
      <c r="GL179" s="129" t="e">
        <f aca="false">EXP(-LN(2)/35)*GL178+(1-EXP(-LN(2)/35))/(LN(2)/35)*GH179*GI179*VLOOKUP('Données projet'!$B$17,Paramètres!$A$1:$I$89,3,0)*0.475*44/12</f>
        <v>#N/A</v>
      </c>
      <c r="GM179" s="129" t="e">
        <f aca="false">EXP(-LN(2)/25)*GM178+(1-EXP(-LN(2)/25))/(LN(2)/25)*Calculateur!GH179*Calculateur!GJ179*VLOOKUP('Données projet'!$B$17,Paramètres!$A$1:$I$89,3,0)*0.475*44/12</f>
        <v>#N/A</v>
      </c>
      <c r="GN179" s="129" t="e">
        <f aca="false">EXP(-LN(2)/2)*GN178+(1-EXP(-LN(2)/2))/(LN(2)/2)*GH179*GK179*VLOOKUP('Données projet'!$B$17,Paramètres!$A$1:$I$89,3,0)*0.475*44/12</f>
        <v>#N/A</v>
      </c>
      <c r="GO179" s="129" t="e">
        <f aca="false">SUM(GL179:GN179)</f>
        <v>#N/A</v>
      </c>
      <c r="GP179" s="126" t="n">
        <f aca="false"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8" t="n">
        <f aca="false"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8" t="e">
        <f aca="false">VLOOKUP(A179,'Données projet'!$A$269:$I$289,2,0)</f>
        <v>#N/A</v>
      </c>
      <c r="GS179" s="118" t="e">
        <f aca="false">VLOOKUP(A179,'Données projet'!$A$269:$I$289,9,0)</f>
        <v>#N/A</v>
      </c>
      <c r="GT179" s="118" t="e">
        <f aca="false" t="array" ref="GT179:GT179">INDEX(GS:GS,MIN(IF(ISNUMBER(GS179:GS375),ROW(GS179:GS375),"")))</f>
        <v>#N/A</v>
      </c>
      <c r="GU179" s="118" t="n">
        <f aca="false">IF('Données projet'!$A$270&gt;35,GU178+GT179-HC178,IF(A179&lt;'Données projet'!$A$270,$GR$205^A179,IF(A179='Données projet'!$A$270,'Données projet'!$B$270,GU178+GT179-HC178)))</f>
        <v>0</v>
      </c>
      <c r="GV179" s="125" t="e">
        <f aca="false">GU179*VLOOKUP('Données projet'!$B$18,Paramètres!$A$1:$I$89,3,0)*VLOOKUP('Données projet'!$B$18,Paramètres!$A$1:$I$89,5,0)</f>
        <v>#N/A</v>
      </c>
      <c r="GW179" s="117" t="e">
        <f aca="false">EXP(-1.0587+0.8836*LN(GV179)+0.284)</f>
        <v>#N/A</v>
      </c>
      <c r="GX179" s="128" t="e">
        <f aca="false">(GV179+GW179)*0.475*44/12</f>
        <v>#N/A</v>
      </c>
      <c r="GY179" s="120" t="e">
        <f aca="false">GX179+(GP179+GQ179)*44/12</f>
        <v>#N/A</v>
      </c>
      <c r="GZ179" s="120" t="e">
        <f aca="true">AVERAGE(OFFSET($GY$3,0,0,'Données projet'!$E$18+1,1))-AVERAGE(OFFSET($H$3,0,0,'Données projet'!$E$18+1,1))</f>
        <v>#N/A</v>
      </c>
      <c r="HA179" s="120" t="e">
        <f aca="false">$HA$3</f>
        <v>#N/A</v>
      </c>
      <c r="HB179" s="121" t="n">
        <f aca="false">IF(ISNA(VLOOKUP(A179,'Données projet'!$A$269:$I$289,3,0)),0,VLOOKUP(A179,'Données projet'!$A$269:$I$289,3,0))</f>
        <v>0</v>
      </c>
      <c r="HC179" s="121" t="n">
        <f aca="false">IF(ISNA(VLOOKUP(A179,'Données projet'!$A$269:$I$289,4,0)),0,VLOOKUP(A179,'Données projet'!$A$269:$I$289,4,0))</f>
        <v>0</v>
      </c>
      <c r="HD179" s="122" t="n">
        <f aca="false">IF(ISNA(VLOOKUP(A179,'Données projet'!$A$269:$I$289,5,0)),0%,VLOOKUP(A179,'Données projet'!$A$269:$I$289,5,0)*VLOOKUP('Données projet'!$B$18,Paramètres!$A$1:$I$89,7,0))</f>
        <v>0</v>
      </c>
      <c r="HE179" s="122" t="n">
        <f aca="false">IF(ISNA(VLOOKUP(A179,'Données projet'!$A$269:$I$289,6,0)),0%,VLOOKUP(A179,'Données projet'!$A$269:$I$289,6,0)*VLOOKUP('Données projet'!$B$18,Paramètres!$A$1:$I$89,7,0))</f>
        <v>0</v>
      </c>
      <c r="HF179" s="122" t="n">
        <f aca="false">IF(ISNA(VLOOKUP(A179,'Données projet'!$A$269:$I$289,7,0)),0%,VLOOKUP(A179,'Données projet'!$A$269:$I$289,7,0))</f>
        <v>0</v>
      </c>
      <c r="HG179" s="129" t="e">
        <f aca="false">EXP(-LN(2)/35)*HG178+(1-EXP(-LN(2)/35))/(LN(2)/35)*HC179*HD179*VLOOKUP('Données projet'!$B$18,Paramètres!$A$1:$I$89,3,0)*0.475*44/12</f>
        <v>#N/A</v>
      </c>
      <c r="HH179" s="129" t="e">
        <f aca="false">EXP(-LN(2)/25)*HH178+(1-EXP(-LN(2)/25))/(LN(2)/25)*Calculateur!HC179*Calculateur!HE179*VLOOKUP('Données projet'!$B$18,Paramètres!$A$1:$I$89,3,0)*0.475*44/12</f>
        <v>#N/A</v>
      </c>
      <c r="HI179" s="129" t="e">
        <f aca="false">EXP(-LN(2)/2)*HI178+(1-EXP(-LN(2)/2))/(LN(2)/2)*HC179*HF179*VLOOKUP('Données projet'!$B$18,Paramètres!$A$1:$I$89,3,0)*0.475*44/12</f>
        <v>#N/A</v>
      </c>
      <c r="HJ179" s="130" t="e">
        <f aca="false">SUM(HG179:HI179)</f>
        <v>#N/A</v>
      </c>
    </row>
    <row r="180" customFormat="false" ht="14.25" hidden="false" customHeight="false" outlineLevel="0" collapsed="false">
      <c r="A180" s="112" t="n">
        <f aca="false">A179+1</f>
        <v>177</v>
      </c>
      <c r="B180" s="113" t="n">
        <f aca="false">'Scénario référence'!$B$16*5+'Scénario référence'!$B$17*0+'Scénario référence'!$B$18*5</f>
        <v>0</v>
      </c>
      <c r="C180" s="127" t="n">
        <f aca="false"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4" t="n">
        <f aca="false">IFERROR(EXP(-1.0587+0.8836*LN(C180)+0.284),0)</f>
        <v>0</v>
      </c>
      <c r="E18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0" s="114" t="n">
        <f aca="false">IF(OR('Scénario référence'!$F$8&gt;0,'Scénario référence'!$F$9&gt;0),('Scénario référence'!$F$8+'Scénario référence'!$F$9)*10,0)</f>
        <v>0</v>
      </c>
      <c r="G180" s="114" t="n">
        <f aca="false"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15" t="n">
        <f aca="false">(B180+E180+F180)*44/12+(C180+D180)*0.475*44/12</f>
        <v>256.666666666667</v>
      </c>
      <c r="I180" s="11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7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8" t="e">
        <f aca="false">VLOOKUP(A180,'Données projet'!$A$35:$I$55,2,0)</f>
        <v>#N/A</v>
      </c>
      <c r="L180" s="118" t="e">
        <f aca="false">VLOOKUP(A180,'Données projet'!$A$35:$I$55,9,0)</f>
        <v>#N/A</v>
      </c>
      <c r="M180" s="118" t="e">
        <f aca="false" t="array" ref="M180:M180">INDEX(L:L,MIN(IF(ISNUMBER(L180:L376),ROW(L180:L376),"")))</f>
        <v>#N/A</v>
      </c>
      <c r="N180" s="117" t="n">
        <f aca="false">IF('Données projet'!$A$36&gt;35,N179+M180-V179,IF(A180&lt;'Données projet'!$A$36,$K$205^A180,IF(A180='Données projet'!$A$36,'Données projet'!$B$36,N179+M180-V179)))</f>
        <v>-1.13686837721616E-013</v>
      </c>
      <c r="O180" s="117" t="n">
        <f aca="false">N180*VLOOKUP('Données projet'!$B$9,Paramètres!$A$1:$I$89,3,0)*VLOOKUP('Données projet'!$B$9,Paramètres!$A$1:$I$89,5,0)</f>
        <v>-5.32054400537163E-014</v>
      </c>
      <c r="P180" s="117" t="e">
        <f aca="false">EXP(-1.0587+0.8836*LN(O180)+0.284)</f>
        <v>#VALUE!</v>
      </c>
      <c r="Q180" s="128" t="e">
        <f aca="false">(O180+P180)*0.475*44/12</f>
        <v>#VALUE!</v>
      </c>
      <c r="R180" s="120" t="e">
        <f aca="false">Q180+(I180+J180)*44/12</f>
        <v>#VALUE!</v>
      </c>
      <c r="S180" s="120" t="n">
        <f aca="true">AVERAGE(OFFSET($R$3,0,0,'Données projet'!$E$9+1,1))-AVERAGE(OFFSET($H$3,0,0,'Données projet'!$E$9+1,1))</f>
        <v>319.229030946746</v>
      </c>
      <c r="T180" s="120" t="n">
        <f aca="false">$T$3</f>
        <v>254.586909731428</v>
      </c>
      <c r="U180" s="121" t="n">
        <f aca="false">IF(ISNA(VLOOKUP(A180,'Données projet'!$A$35:$I$55,3,0)),0,VLOOKUP(A180,'Données projet'!$A$35:$I$55,3,0))</f>
        <v>0</v>
      </c>
      <c r="V180" s="121" t="n">
        <f aca="false">IF(ISNA(VLOOKUP(A180,'Données projet'!$A$35:$I$55,4,0)),0,VLOOKUP(A180,'Données projet'!$A$35:$I$55,4,0))</f>
        <v>0</v>
      </c>
      <c r="W180" s="122" t="n">
        <f aca="false">IF(ISNA(VLOOKUP(A180,'Données projet'!$A$35:$I$55,5,0)),0%,VLOOKUP(A180,'Données projet'!$A$35:$I$55,5,0)*VLOOKUP('Données projet'!$B$9,Paramètres!$A$1:$I$89,7,0))</f>
        <v>0</v>
      </c>
      <c r="X180" s="122" t="n">
        <f aca="false">IF(ISNA(VLOOKUP(A180,'Données projet'!$A$35:$I$55,6,0)),0%,VLOOKUP(A180,'Données projet'!$A$35:$I$55,6,0)*VLOOKUP('Données projet'!$B$9,Paramètres!$A$1:$I$89,7,0))</f>
        <v>0</v>
      </c>
      <c r="Y180" s="122" t="n">
        <f aca="false">IF(ISNA(VLOOKUP(A180,'Données projet'!$A$35:$I$55,7,0)),0%,VLOOKUP(A180,'Données projet'!$A$35:$I$55,7,0))</f>
        <v>0</v>
      </c>
      <c r="Z180" s="129" t="n">
        <f aca="false">EXP(-LN(2)/35)*Z179+(1-EXP(-LN(2)/35))/(LN(2)/35)*V180*W180*VLOOKUP('Données projet'!$B$9,Paramètres!$A$1:$I$89,3,0)*0.475*44/12</f>
        <v>0.493828900746411</v>
      </c>
      <c r="AA180" s="129" t="n">
        <f aca="false">EXP(-LN(2)/25)*AA179+(1-EXP(-LN(2)/25))/(LN(2)/25)*Calculateur!V180*Calculateur!X180*VLOOKUP('Données projet'!$B$9,Paramètres!$A$1:$I$89,3,0)*0.475*44/12</f>
        <v>0.189352006916697</v>
      </c>
      <c r="AB180" s="129" t="n">
        <f aca="false">EXP(-LN(2)/2)*AB179+(1-EXP(-LN(2)/2))/(LN(2)/2)*V180*Y180*VLOOKUP('Données projet'!$B$9,Paramètres!$A$1:$I$89,3,0)*0.475*44/12</f>
        <v>8.267752172274E-022</v>
      </c>
      <c r="AC180" s="130" t="n">
        <f aca="false">SUM(Z180:AB180)</f>
        <v>0.683180907663108</v>
      </c>
      <c r="AD180" s="117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7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8" t="e">
        <f aca="false">VLOOKUP(A180,'Données projet'!$A$61:$I$81,2,0)</f>
        <v>#N/A</v>
      </c>
      <c r="AG180" s="118" t="e">
        <f aca="false">VLOOKUP(A180,'Données projet'!$A$61:$I$81,9,0)</f>
        <v>#N/A</v>
      </c>
      <c r="AH180" s="118" t="e">
        <f aca="false" t="array" ref="AH180:AH180">INDEX(AG:AG,MIN(IF(ISNUMBER(AG180:AG376),ROW(AG180:AG376),"")))</f>
        <v>#N/A</v>
      </c>
      <c r="AI180" s="117" t="n">
        <f aca="false">IF('Données projet'!$A$62&gt;35,AI179+AH180-AQ179,IF(A180&lt;'Données projet'!$A$62,$AF$205^A180,IF(A180='Données projet'!$A$62,'Données projet'!$B$62,AI179+AH180-AQ179)))</f>
        <v>1.13686837721616E-013</v>
      </c>
      <c r="AJ180" s="117" t="n">
        <f aca="false">AI180*VLOOKUP('Données projet'!$B$10,Paramètres!$A$1:$I$89,3,0)*VLOOKUP('Données projet'!$B$10,Paramètres!$A$1:$I$89,5,0)</f>
        <v>6.35509422863834E-014</v>
      </c>
      <c r="AK180" s="117" t="n">
        <f aca="false">EXP(-1.0587+0.8836*LN(AJ180)+0.284)</f>
        <v>1.0064464192544E-012</v>
      </c>
      <c r="AL180" s="128" t="n">
        <f aca="false">(AJ180+AK180)*0.475*44/12</f>
        <v>1.86357873801686E-012</v>
      </c>
      <c r="AM180" s="120" t="n">
        <f aca="false">AL180+(AD180+AE180)*44/12</f>
        <v>293.333333333335</v>
      </c>
      <c r="AN180" s="120" t="n">
        <f aca="true">AVERAGE(OFFSET($AM$3,0,0,'Données projet'!$E$10+1,1))-AVERAGE(OFFSET($H$3,0,0,'Données projet'!$E$10+1,1))</f>
        <v>365.705101827279</v>
      </c>
      <c r="AO180" s="120" t="n">
        <f aca="false">$AO$3</f>
        <v>436.238338449625</v>
      </c>
      <c r="AP180" s="121" t="n">
        <f aca="false">IF(ISNA(VLOOKUP(A180,'Données projet'!$A$61:$I$81,3,0)),0,VLOOKUP(A180,'Données projet'!$A$61:$I$81,3,0))</f>
        <v>0</v>
      </c>
      <c r="AQ180" s="121" t="n">
        <f aca="false">IF(ISNA(VLOOKUP(A180,'Données projet'!$A$61:$I$81,4,0)),0,VLOOKUP(A180,'Données projet'!$A$61:$I$81,4,0))</f>
        <v>0</v>
      </c>
      <c r="AR180" s="122" t="n">
        <f aca="false">IF(ISNA(VLOOKUP(A180,'Données projet'!$A$61:$I$81,5,0)),0%,VLOOKUP(A180,'Données projet'!$A$61:$I$81,5,0)*VLOOKUP('Données projet'!$B$10,Paramètres!$A$1:$I$89,7,0))</f>
        <v>0</v>
      </c>
      <c r="AS180" s="122" t="n">
        <f aca="false">IF(ISNA(VLOOKUP(A180,'Données projet'!$A$61:$I$81,6,0)),0%,VLOOKUP(A180,'Données projet'!$A$61:$I$81,6,0)*VLOOKUP('Données projet'!$B$10,Paramètres!$A$1:$I$89,7,0))</f>
        <v>0</v>
      </c>
      <c r="AT180" s="122" t="n">
        <f aca="false">IF(ISNA(VLOOKUP(A180,'Données projet'!$A$61:$I$81,7,0)),0%,VLOOKUP(A180,'Données projet'!$A$61:$I$81,7,0))</f>
        <v>0</v>
      </c>
      <c r="AU180" s="129" t="n">
        <f aca="false">EXP(-LN(2)/35)*AU179+(1-EXP(-LN(2)/35))/(LN(2)/35)*AQ180*AR180*VLOOKUP('Données projet'!$B$10,Paramètres!$A$1:$I$89,3,0)*0.475*44/12</f>
        <v>0.186404399402676</v>
      </c>
      <c r="AV180" s="129" t="n">
        <f aca="false">EXP(-LN(2)/25)*AV179+(1-EXP(-LN(2)/25))/(LN(2)/25)*Calculateur!AQ180*Calculateur!AS180*VLOOKUP('Données projet'!$B$10,Paramètres!$A$1:$I$89,3,0)*0.475*44/12</f>
        <v>0.22427721395312</v>
      </c>
      <c r="AW180" s="129" t="n">
        <f aca="false">EXP(-LN(2)/2)*AW179+(1-EXP(-LN(2)/2))/(LN(2)/2)*AQ180*AT180*VLOOKUP('Données projet'!$B$10,Paramètres!$A$1:$I$89,3,0)*0.475*44/12</f>
        <v>4.44944581252782E-022</v>
      </c>
      <c r="AX180" s="129" t="n">
        <f aca="false">SUM(AU180:AW180)</f>
        <v>0.410681613355796</v>
      </c>
      <c r="AY180" s="124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8" t="e">
        <f aca="false">VLOOKUP(A180,'Données projet'!$A$87:$I$107,2,0)</f>
        <v>#N/A</v>
      </c>
      <c r="BB180" s="118" t="e">
        <f aca="false">VLOOKUP(A180,'Données projet'!$A$87:$I$107,9,0)</f>
        <v>#N/A</v>
      </c>
      <c r="BC180" s="118" t="e">
        <f aca="false" t="array" ref="BC180:BC180">INDEX(BB:BB,MIN(IF(ISNUMBER(BB180:BB376),ROW(BB180:BB376),"")))</f>
        <v>#N/A</v>
      </c>
      <c r="BD180" s="118" t="n">
        <f aca="false">IF('Données projet'!$A$88&gt;35,BD179+BC180-BL179,IF(A180&lt;'Données projet'!$A$88,$BA$205^A180,IF(A180='Données projet'!$A$88,'Données projet'!$B$88,BD179+BC180-BL179)))</f>
        <v>1.98951966012828E-013</v>
      </c>
      <c r="BE180" s="117" t="n">
        <f aca="false">BD180*VLOOKUP('Données projet'!$B$11,Paramètres!$A$1:$I$89,3,0)*VLOOKUP('Données projet'!$B$11,Paramètres!$A$1:$I$89,5,0)</f>
        <v>1.73804437508807E-013</v>
      </c>
      <c r="BF180" s="117" t="n">
        <f aca="false">EXP(-1.0587+0.8836*LN(BE180)+0.284)</f>
        <v>2.44832936339505E-012</v>
      </c>
      <c r="BG180" s="128" t="n">
        <f aca="false">(BE180+BF180)*0.475*44/12</f>
        <v>4.56688303657421E-012</v>
      </c>
      <c r="BH180" s="120" t="n">
        <f aca="false">BG180+(AY180+AZ180)*44/12</f>
        <v>293.333333333338</v>
      </c>
      <c r="BI180" s="120" t="n">
        <f aca="true">AVERAGE(OFFSET($BH$3,0,0,'Données projet'!$E$11+1,1))-AVERAGE(OFFSET($H$3,0,0,'Données projet'!$E$11+1,1))</f>
        <v>321.235999689929</v>
      </c>
      <c r="BJ180" s="120" t="n">
        <f aca="false">$BJ$3</f>
        <v>388.051958478005</v>
      </c>
      <c r="BK180" s="121" t="n">
        <f aca="false">IF(ISNA(VLOOKUP(A180,'Données projet'!$A$87:$I$107,3,0)),0,VLOOKUP(A180,'Données projet'!$A$87:$I$107,3,0))</f>
        <v>0</v>
      </c>
      <c r="BL180" s="121" t="n">
        <f aca="false">IF(ISNA(VLOOKUP(A180,'Données projet'!$A$87:$I$107,4,0)),0,VLOOKUP(A180,'Données projet'!$A$87:$I$107,4,0))</f>
        <v>0</v>
      </c>
      <c r="BM180" s="122" t="n">
        <f aca="false">IF(ISNA(VLOOKUP(A180,'Données projet'!$A$87:$I$107,5,0)),0%,VLOOKUP(A180,'Données projet'!$A$87:$I$107,5,0)*VLOOKUP('Données projet'!$B$11,Paramètres!$A$1:$I$89,7,0))</f>
        <v>0</v>
      </c>
      <c r="BN180" s="122" t="n">
        <f aca="false">IF(ISNA(VLOOKUP(A180,'Données projet'!$A$87:$I$107,6,0)),0%,VLOOKUP(A180,'Données projet'!$A$87:$I$107,6,0)*VLOOKUP('Données projet'!$B$11,Paramètres!$A$1:$I$89,7,0))</f>
        <v>0</v>
      </c>
      <c r="BO180" s="122" t="n">
        <f aca="false">IF(ISNA(VLOOKUP(A180,'Données projet'!$A$87:$I$107,7,0)),0%,VLOOKUP(A180,'Données projet'!$A$87:$I$107,7,0))</f>
        <v>0</v>
      </c>
      <c r="BP180" s="129" t="n">
        <f aca="false">EXP(-LN(2)/35)*BP179+(1-EXP(-LN(2)/35))/(LN(2)/35)*BL180*BM180*VLOOKUP('Données projet'!$B$11,Paramètres!$A$1:$I$89,3,0)*0.475*44/12</f>
        <v>0.467990865237922</v>
      </c>
      <c r="BQ180" s="129" t="n">
        <f aca="false">EXP(-LN(2)/25)*BQ179+(1-EXP(-LN(2)/25))/(LN(2)/25)*Calculateur!BL180*Calculateur!BN180*VLOOKUP('Données projet'!$B$11,Paramètres!$A$1:$I$89,3,0)*0.475*44/12</f>
        <v>0.22892885876045</v>
      </c>
      <c r="BR180" s="129" t="n">
        <f aca="false">EXP(-LN(2)/2)*BR179+(1-EXP(-LN(2)/2))/(LN(2)/2)*BL180*BO180*VLOOKUP('Données projet'!$B$11,Paramètres!$A$1:$I$89,3,0)*0.475*44/12</f>
        <v>4.52276918516579E-022</v>
      </c>
      <c r="BS180" s="130" t="n">
        <f aca="false">SUM(BP180:BR180)</f>
        <v>0.696919723998372</v>
      </c>
      <c r="BT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8" t="e">
        <f aca="false">VLOOKUP(A180,'Données projet'!$A$113:$I$133,2,0)</f>
        <v>#N/A</v>
      </c>
      <c r="BW180" s="118" t="e">
        <f aca="false">VLOOKUP(A180,'Données projet'!$A$113:$I$133,9,0)</f>
        <v>#N/A</v>
      </c>
      <c r="BX180" s="118" t="e">
        <f aca="false" t="array" ref="BX180:BX180">INDEX(BW:BW,MIN(IF(ISNUMBER(BW180:BW376),ROW(BW180:BW376),"")))</f>
        <v>#N/A</v>
      </c>
      <c r="BY180" s="118" t="n">
        <f aca="false">IF('Données projet'!$A$114&gt;35,BY179+BX180-CG179,IF(A180&lt;'Données projet'!$A$114,$BV$205^A180,IF(A180='Données projet'!$A$114,'Données projet'!$B$114,BY179+BX180-CG179)))</f>
        <v>0</v>
      </c>
      <c r="BZ180" s="117" t="n">
        <f aca="false">BY180*VLOOKUP('Données projet'!$B$12,Paramètres!$A$1:$I$89,3,0)*VLOOKUP('Données projet'!$B$12,Paramètres!$A$1:$I$89,5,0)</f>
        <v>0</v>
      </c>
      <c r="CA180" s="117" t="e">
        <f aca="false">EXP(-1.0587+0.8836*LN(BZ180)+0.284)</f>
        <v>#VALUE!</v>
      </c>
      <c r="CB180" s="128" t="e">
        <f aca="false">(BZ180+CA180)*0.475*44/12</f>
        <v>#VALUE!</v>
      </c>
      <c r="CC180" s="120" t="e">
        <f aca="false">CB180+(BT180+BU180)*44/12</f>
        <v>#VALUE!</v>
      </c>
      <c r="CD180" s="120" t="n">
        <f aca="true">AVERAGE(OFFSET($CC$3,0,0,'Données projet'!$E$12+1,1))-AVERAGE(OFFSET($H$3,0,0,'Données projet'!$E$12+1,1))</f>
        <v>240.228848647662</v>
      </c>
      <c r="CE180" s="120" t="n">
        <f aca="false">$CE$3</f>
        <v>343.237768841432</v>
      </c>
      <c r="CF180" s="121" t="n">
        <f aca="false">IF(ISNA(VLOOKUP(A180,'Données projet'!$A$113:$I$133,3,0)),0,VLOOKUP(A180,'Données projet'!$A$113:$I$133,3,0))</f>
        <v>0</v>
      </c>
      <c r="CG180" s="121" t="n">
        <f aca="false">IF(ISNA(VLOOKUP(A180,'Données projet'!$A$113:$I$133,4,0)),0,VLOOKUP(A180,'Données projet'!$A$113:$I$133,4,0))</f>
        <v>0</v>
      </c>
      <c r="CH180" s="122" t="n">
        <f aca="false">IF(ISNA(VLOOKUP(A180,'Données projet'!$A$113:$I$133,5,0)),0%,VLOOKUP(A180,'Données projet'!$A$113:$I$133,5,0)*VLOOKUP('Données projet'!$B$12,Paramètres!$A$1:$I$89,7,0))</f>
        <v>0</v>
      </c>
      <c r="CI180" s="122" t="n">
        <f aca="false">IF(ISNA(VLOOKUP(A180,'Données projet'!$A$113:$I$133,6,0)),0%,VLOOKUP(A180,'Données projet'!$A$113:$I$133,6,0)*VLOOKUP('Données projet'!$B$12,Paramètres!$A$1:$I$89,7,0))</f>
        <v>0</v>
      </c>
      <c r="CJ180" s="122" t="n">
        <f aca="false">IF(ISNA(VLOOKUP(A180,'Données projet'!$A$113:$I$133,7,0)),0%,VLOOKUP(A180,'Données projet'!$A$113:$I$133,7,0))</f>
        <v>0</v>
      </c>
      <c r="CK180" s="129" t="n">
        <f aca="false">EXP(-LN(2)/35)*CK179+(1-EXP(-LN(2)/35))/(LN(2)/35)*CG180*CH180*VLOOKUP('Données projet'!$B$12,Paramètres!$A$1:$I$89,3,0)*0.475*44/12</f>
        <v>0.28644686927237</v>
      </c>
      <c r="CL180" s="129" t="n">
        <f aca="false">EXP(-LN(2)/25)*CL179+(1-EXP(-LN(2)/25))/(LN(2)/25)*Calculateur!CG180*Calculateur!CI180*VLOOKUP('Données projet'!$B$12,Paramètres!$A$1:$I$89,3,0)*0.475*44/12</f>
        <v>0.404301617236645</v>
      </c>
      <c r="CM180" s="129" t="n">
        <f aca="false">EXP(-LN(2)/2)*CM179+(1-EXP(-LN(2)/2))/(LN(2)/2)*CG180*CJ180*VLOOKUP('Données projet'!$B$12,Paramètres!$A$1:$I$89,3,0)*0.475*44/12</f>
        <v>7.21713384995095E-022</v>
      </c>
      <c r="CN180" s="130" t="n">
        <f aca="false">SUM(CK180:CM180)</f>
        <v>0.690748486509015</v>
      </c>
      <c r="CO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8" t="e">
        <f aca="false">VLOOKUP(A180,'Données projet'!$A$139:$I$159,2,0)</f>
        <v>#N/A</v>
      </c>
      <c r="CR180" s="118" t="e">
        <f aca="false">VLOOKUP(A180,'Données projet'!$A$139:$I$159,9,0)</f>
        <v>#N/A</v>
      </c>
      <c r="CS180" s="118" t="e">
        <f aca="false" t="array" ref="CS180:CS180">INDEX(CR:CR,MIN(IF(ISNUMBER(CR180:CR376),ROW(CR180:CR376),"")))</f>
        <v>#N/A</v>
      </c>
      <c r="CT180" s="118" t="n">
        <f aca="false">IF('Données projet'!$A$140&gt;35,CT179+CS180-DB179,IF(A180&lt;'Données projet'!$A$140,$CQ$205^A180,IF(A180='Données projet'!$A$140,'Données projet'!$B$140,CT179+CS180-DB179)))</f>
        <v>-5.6843418860808E-014</v>
      </c>
      <c r="CU180" s="125" t="n">
        <f aca="false">CT180*VLOOKUP('Données projet'!$B$13,Paramètres!$A$1:$I$89,3,0)*VLOOKUP('Données projet'!$B$13,Paramètres!$A$1:$I$89,5,0)</f>
        <v>-3.10365066980012E-014</v>
      </c>
      <c r="CV180" s="117" t="e">
        <f aca="false">EXP(-1.0587+0.8836*LN(CU180)+0.284)</f>
        <v>#VALUE!</v>
      </c>
      <c r="CW180" s="128" t="e">
        <f aca="false">(CU180+CV180)*0.475*44/12</f>
        <v>#VALUE!</v>
      </c>
      <c r="CX180" s="120" t="e">
        <f aca="false">CW180+(CO180+CP180)*44/12</f>
        <v>#VALUE!</v>
      </c>
      <c r="CY180" s="120" t="n">
        <f aca="true">AVERAGE(OFFSET($CX$3,0,0,'Données projet'!$E$13+1,1))-AVERAGE(OFFSET($H$3,0,0,'Données projet'!$E$13+1,1))</f>
        <v>207.023069645676</v>
      </c>
      <c r="CZ180" s="120" t="n">
        <f aca="false">$CZ$3</f>
        <v>342.068879333518</v>
      </c>
      <c r="DA180" s="121" t="n">
        <f aca="false">IF(ISNA(VLOOKUP(A180,'Données projet'!$A$139:$I$159,3,0)),0,VLOOKUP(A180,'Données projet'!$A$139:$I$159,3,0))</f>
        <v>0</v>
      </c>
      <c r="DB180" s="121" t="n">
        <f aca="false">IF(ISNA(VLOOKUP(A180,'Données projet'!$A$139:$I$159,4,0)),0,VLOOKUP(A180,'Données projet'!$A$139:$I$159,4,0))</f>
        <v>0</v>
      </c>
      <c r="DC180" s="122" t="n">
        <f aca="false">IF(ISNA(VLOOKUP(A180,'Données projet'!$A$139:$I$159,5,0)),0%,VLOOKUP(A180,'Données projet'!$A$139:$I$159,5,0)*VLOOKUP('Données projet'!$B$13,Paramètres!$A$1:$I$89,7,0))</f>
        <v>0</v>
      </c>
      <c r="DD180" s="122" t="n">
        <f aca="false">IF(ISNA(VLOOKUP(A180,'Données projet'!$A$139:$I$159,6,0)),0%,VLOOKUP(A180,'Données projet'!$A$139:$I$159,6,0)*VLOOKUP('Données projet'!$B$13,Paramètres!$A$1:$I$89,7,0))</f>
        <v>0</v>
      </c>
      <c r="DE180" s="122" t="n">
        <f aca="false">IF(ISNA(VLOOKUP(A180,'Données projet'!$A$139:$I$159,7,0)),0%,VLOOKUP(A180,'Données projet'!$A$139:$I$159,7,0))</f>
        <v>0</v>
      </c>
      <c r="DF180" s="129" t="n">
        <f aca="false">EXP(-LN(2)/35)*DF179+(1-EXP(-LN(2)/35))/(LN(2)/35)*DB180*DC180*VLOOKUP('Données projet'!$B$13,Paramètres!$A$1:$I$89,3,0)*0.475*44/12</f>
        <v>0.359409751068162</v>
      </c>
      <c r="DG180" s="129" t="n">
        <f aca="false">EXP(-LN(2)/25)*DG179+(1-EXP(-LN(2)/25))/(LN(2)/25)*Calculateur!DB180*Calculateur!DD180*VLOOKUP('Données projet'!$B$13,Paramètres!$A$1:$I$89,3,0)*0.475*44/12</f>
        <v>0.660864757075792</v>
      </c>
      <c r="DH180" s="129" t="n">
        <f aca="false">EXP(-LN(2)/2)*DH179+(1-EXP(-LN(2)/2))/(LN(2)/2)*DB180*DE180*VLOOKUP('Données projet'!$B$13,Paramètres!$A$1:$I$89,3,0)*0.475*44/12</f>
        <v>9.9379966574275E-022</v>
      </c>
      <c r="DI180" s="130" t="n">
        <f aca="false">SUM(DF180:DH180)</f>
        <v>1.02027450814395</v>
      </c>
      <c r="DJ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8" t="e">
        <f aca="false">VLOOKUP(A180,'Données projet'!$A$165:$I$185,2,0)</f>
        <v>#N/A</v>
      </c>
      <c r="DM180" s="118" t="e">
        <f aca="false">VLOOKUP(A180,'Données projet'!$A$165:$I$185,9,0)</f>
        <v>#N/A</v>
      </c>
      <c r="DN180" s="118" t="e">
        <f aca="false" t="array" ref="DN180:DN180">INDEX(DM:DM,MIN(IF(ISNUMBER(DM180:DM376),ROW(DM180:DM376),"")))</f>
        <v>#N/A</v>
      </c>
      <c r="DO180" s="118" t="n">
        <f aca="false">IF('Données projet'!$A$166&gt;35,DO179+DN180-DW179,IF(A180&lt;'Données projet'!$A$166,$DL$205^A180,IF(A180='Données projet'!$A$166,'Données projet'!$B$166,DO179+DN180-DW179)))</f>
        <v>0</v>
      </c>
      <c r="DP180" s="125" t="n">
        <f aca="false">DO180*VLOOKUP('Données projet'!$B$14,Paramètres!$A$1:$I$89,3,0)*VLOOKUP('Données projet'!$B$14,Paramètres!$A$1:$I$89,5,0)</f>
        <v>0</v>
      </c>
      <c r="DQ180" s="117" t="e">
        <f aca="false">EXP(-1.0587+0.8836*LN(DP180)+0.284)</f>
        <v>#VALUE!</v>
      </c>
      <c r="DR180" s="128" t="e">
        <f aca="false">(DP180+DQ180)*0.475*44/12</f>
        <v>#VALUE!</v>
      </c>
      <c r="DS180" s="120" t="e">
        <f aca="false">DR180+(DJ180+DK180)*44/12</f>
        <v>#VALUE!</v>
      </c>
      <c r="DT180" s="120" t="n">
        <f aca="true">AVERAGE(OFFSET($DS$3,0,0,'Données projet'!$E$14+1,1))-AVERAGE(OFFSET($H$3,0,0,'Données projet'!$E$14+1,1))</f>
        <v>549.432320957297</v>
      </c>
      <c r="DU180" s="120" t="n">
        <f aca="false">$DU$3</f>
        <v>280.26155987301</v>
      </c>
      <c r="DV180" s="121" t="n">
        <f aca="false">IF(ISNA(VLOOKUP(A180,'Données projet'!$A$165:$I$185,3,0)),0,VLOOKUP(A180,'Données projet'!$A$165:$I$185,3,0))</f>
        <v>0</v>
      </c>
      <c r="DW180" s="121" t="n">
        <f aca="false">IF(ISNA(VLOOKUP(A180,'Données projet'!$A$165:$I$185,4,0)),0,VLOOKUP(A180,'Données projet'!$A$165:$I$185,4,0))</f>
        <v>0</v>
      </c>
      <c r="DX180" s="122" t="n">
        <f aca="false">IF(ISNA(VLOOKUP(A180,'Données projet'!$A$165:$I$185,5,0)),0%,VLOOKUP(A180,'Données projet'!$A$165:$I$185,5,0)*VLOOKUP('Données projet'!$B$14,Paramètres!$A$1:$I$89,7,0))</f>
        <v>0</v>
      </c>
      <c r="DY180" s="122" t="n">
        <f aca="false">IF(ISNA(VLOOKUP(A180,'Données projet'!$A$165:$I$185,6,0)),0%,VLOOKUP(A180,'Données projet'!$A$165:$I$185,6,0)*VLOOKUP('Données projet'!$B$14,Paramètres!$A$1:$I$89,7,0))</f>
        <v>0</v>
      </c>
      <c r="DZ180" s="122" t="n">
        <f aca="false">IF(ISNA(VLOOKUP(A180,'Données projet'!$A$165:$I$185,7,0)),0%,VLOOKUP(A180,'Données projet'!$A$165:$I$185,7,0))</f>
        <v>0</v>
      </c>
      <c r="EA180" s="129" t="n">
        <f aca="false">EXP(-LN(2)/35)*EA179+(1-EXP(-LN(2)/35))/(LN(2)/35)*DW180*DX180*VLOOKUP('Données projet'!$B$14,Paramètres!$A$1:$I$89,3,0)*0.475*44/12</f>
        <v>0.130680984730763</v>
      </c>
      <c r="EB180" s="129" t="n">
        <f aca="false">EXP(-LN(2)/25)*EB179+(1-EXP(-LN(2)/25))/(LN(2)/25)*Calculateur!DW180*Calculateur!DY180*VLOOKUP('Données projet'!$B$14,Paramètres!$A$1:$I$89,3,0)*0.475*44/12</f>
        <v>0.131657298241984</v>
      </c>
      <c r="EC180" s="129" t="n">
        <f aca="false">EXP(-LN(2)/2)*EC179+(1-EXP(-LN(2)/2))/(LN(2)/2)*DW180*DZ180*VLOOKUP('Données projet'!$B$14,Paramètres!$A$1:$I$89,3,0)*0.475*44/12</f>
        <v>4.58121160502967E-022</v>
      </c>
      <c r="ED180" s="130" t="n">
        <f aca="false">SUM(EA180:EC180)</f>
        <v>0.262338282972747</v>
      </c>
      <c r="EE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8" t="e">
        <f aca="false">VLOOKUP(A180,'Données projet'!$A$191:$I$211,2,0)</f>
        <v>#N/A</v>
      </c>
      <c r="EH180" s="118" t="e">
        <f aca="false">VLOOKUP(A180,'Données projet'!$A$191:$I$211,9,0)</f>
        <v>#N/A</v>
      </c>
      <c r="EI180" s="118" t="e">
        <f aca="false" t="array" ref="EI180:EI180">INDEX(EH:EH,MIN(IF(ISNUMBER(EH180:EH376),ROW(EH180:EH376),"")))</f>
        <v>#N/A</v>
      </c>
      <c r="EJ180" s="118" t="n">
        <f aca="false">IF('Données projet'!$A$192&gt;35,EJ179+EI180-ER179,IF(A180&lt;'Données projet'!$A$192,$EG$205^A180,IF(A180='Données projet'!$A$192,'Données projet'!$B$192,EJ179+EI180-ER179)))</f>
        <v>0</v>
      </c>
      <c r="EK180" s="125" t="e">
        <f aca="false">EJ180*VLOOKUP('Données projet'!$B$15,Paramètres!$A$1:$I$89,3,0)*VLOOKUP('Données projet'!$B$15,Paramètres!$A$1:$I$89,5,0)</f>
        <v>#N/A</v>
      </c>
      <c r="EL180" s="117" t="e">
        <f aca="false">EXP(-1.0587+0.8836*LN(EK180)+0.284)</f>
        <v>#N/A</v>
      </c>
      <c r="EM180" s="128" t="e">
        <f aca="false">(EK180+EL180)*0.475*44/12</f>
        <v>#N/A</v>
      </c>
      <c r="EN180" s="120" t="e">
        <f aca="false">EM180+(EE180+EF180)*44/12</f>
        <v>#N/A</v>
      </c>
      <c r="EO180" s="120" t="e">
        <f aca="true">AVERAGE(OFFSET($EN$3,0,0,'Données projet'!$E$15+1,1))-AVERAGE(OFFSET($H$3,0,0,'Données projet'!$E$15+1,1))</f>
        <v>#N/A</v>
      </c>
      <c r="EP180" s="120" t="e">
        <f aca="false">$EP$3</f>
        <v>#N/A</v>
      </c>
      <c r="EQ180" s="121" t="n">
        <f aca="false">IF(ISNA(VLOOKUP(A180,'Données projet'!$A$191:$I$211,3,0)),0,VLOOKUP(A180,'Données projet'!$A$191:$I$211,3,0))</f>
        <v>0</v>
      </c>
      <c r="ER180" s="121" t="n">
        <f aca="false">IF(ISNA(VLOOKUP(A180,'Données projet'!$A$191:$I$211,4,0)),0,VLOOKUP(A180,'Données projet'!$A$191:$I$211,4,0))</f>
        <v>0</v>
      </c>
      <c r="ES180" s="122" t="n">
        <f aca="false">IF(ISNA(VLOOKUP(A180,'Données projet'!$A$191:$I$211,5,0)),0%,VLOOKUP(A180,'Données projet'!$A$191:$I$211,5,0)*VLOOKUP('Données projet'!$B$15,Paramètres!$A$1:$I$89,7,0))</f>
        <v>0</v>
      </c>
      <c r="ET180" s="122" t="n">
        <f aca="false">IF(ISNA(VLOOKUP(A180,'Données projet'!$A$191:$I$211,6,0)),0%,VLOOKUP(A180,'Données projet'!$A$191:$I$211,6,0)*VLOOKUP('Données projet'!$B$15,Paramètres!$A$1:$I$89,7,0))</f>
        <v>0</v>
      </c>
      <c r="EU180" s="122" t="n">
        <f aca="false">IF(ISNA(VLOOKUP(A180,'Données projet'!$A$191:$I$211,7,0)),0%,VLOOKUP(A180,'Données projet'!$A$191:$I$211,7,0))</f>
        <v>0</v>
      </c>
      <c r="EV180" s="129" t="e">
        <f aca="false">EXP(-LN(2)/35)*EV179+(1-EXP(-LN(2)/35))/(LN(2)/35)*ER180*ES180*VLOOKUP('Données projet'!$B$15,Paramètres!$A$1:$I$89,3,0)*0.475*44/12</f>
        <v>#N/A</v>
      </c>
      <c r="EW180" s="129" t="e">
        <f aca="false">EXP(-LN(2)/25)*EW179+(1-EXP(-LN(2)/25))/(LN(2)/25)*Calculateur!ER180*Calculateur!ET180*VLOOKUP('Données projet'!$B$15,Paramètres!$A$1:$I$89,3,0)*0.475*44/12</f>
        <v>#N/A</v>
      </c>
      <c r="EX180" s="129" t="e">
        <f aca="false">EXP(-LN(2)/2)*EX179+(1-EXP(-LN(2)/2))/(LN(2)/2)*ER180*EU180*VLOOKUP('Données projet'!$B$15,Paramètres!$A$1:$I$89,3,0)*0.475*44/12</f>
        <v>#N/A</v>
      </c>
      <c r="EY180" s="130" t="e">
        <f aca="false">SUM(EV180:EX180)</f>
        <v>#N/A</v>
      </c>
      <c r="EZ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8" t="e">
        <f aca="false">VLOOKUP(A180,'Données projet'!$A$217:$I$237,2,0)</f>
        <v>#N/A</v>
      </c>
      <c r="FC180" s="118" t="e">
        <f aca="false">VLOOKUP(A180,'Données projet'!$A$217:$I$237,9,0)</f>
        <v>#N/A</v>
      </c>
      <c r="FD180" s="118" t="e">
        <f aca="false" t="array" ref="FD180:FD180">INDEX(FC:FC,MIN(IF(ISNUMBER(FC180:FC376),ROW(FC180:FC376),"")))</f>
        <v>#N/A</v>
      </c>
      <c r="FE180" s="118" t="n">
        <f aca="false">IF('Données projet'!$A$218&gt;35,FE179+FD180-FM179,IF(A180&lt;'Données projet'!$A$218,$FB$205^A180,IF(A180='Données projet'!$A$218,'Données projet'!$B$218,FE179+FD180-FM179)))</f>
        <v>0</v>
      </c>
      <c r="FF180" s="125" t="e">
        <f aca="false">FE180*VLOOKUP('Données projet'!$B$16,Paramètres!$A$1:$I$89,3,0)*VLOOKUP('Données projet'!$B$16,Paramètres!$A$1:$I$89,5,0)</f>
        <v>#N/A</v>
      </c>
      <c r="FG180" s="117" t="e">
        <f aca="false">EXP(-1.0587+0.8836*LN(FF180)+0.284)</f>
        <v>#N/A</v>
      </c>
      <c r="FH180" s="128" t="e">
        <f aca="false">(FF180+FG180)*0.475*44/12</f>
        <v>#N/A</v>
      </c>
      <c r="FI180" s="120" t="e">
        <f aca="false">FH180+(EZ180+FA180)*44/12</f>
        <v>#N/A</v>
      </c>
      <c r="FJ180" s="120" t="e">
        <f aca="true">AVERAGE(OFFSET($FI$3,0,0,'Données projet'!$E$16+1,1))-AVERAGE(OFFSET($H$3,0,0,'Données projet'!$E$16+1,1))</f>
        <v>#N/A</v>
      </c>
      <c r="FK180" s="120" t="e">
        <f aca="false">$FK$3</f>
        <v>#N/A</v>
      </c>
      <c r="FL180" s="121" t="n">
        <f aca="false">IF(ISNA(VLOOKUP(A180,'Données projet'!$A$217:$I$237,3,0)),0,VLOOKUP(A180,'Données projet'!$A$217:$I$237,3,0))</f>
        <v>0</v>
      </c>
      <c r="FM180" s="121" t="n">
        <f aca="false">IF(ISNA(VLOOKUP(A180,'Données projet'!$A$217:$I$237,4,0)),0,VLOOKUP(A180,'Données projet'!$A$217:$I$237,4,0))</f>
        <v>0</v>
      </c>
      <c r="FN180" s="122" t="n">
        <f aca="false">IF(ISNA(VLOOKUP(A180,'Données projet'!$A$217:$I$237,5,0)),0%,VLOOKUP(A180,'Données projet'!$A$217:$I$237,5,0)*VLOOKUP('Données projet'!$B$16,Paramètres!$A$1:$I$89,7,0))</f>
        <v>0</v>
      </c>
      <c r="FO180" s="122" t="n">
        <f aca="false">IF(ISNA(VLOOKUP(A180,'Données projet'!$A$217:$I$237,6,0)),0%,VLOOKUP(A180,'Données projet'!$A$217:$I$237,6,0)*VLOOKUP('Données projet'!$B$16,Paramètres!$A$1:$I$89,7,0))</f>
        <v>0</v>
      </c>
      <c r="FP180" s="122" t="n">
        <f aca="false">IF(ISNA(VLOOKUP(A180,'Données projet'!$A$217:$I$237,7,0)),0%,VLOOKUP(A180,'Données projet'!$A$217:$I$237,7,0))</f>
        <v>0</v>
      </c>
      <c r="FQ180" s="129" t="e">
        <f aca="false">EXP(-LN(2)/35)*FQ179+(1-EXP(-LN(2)/35))/(LN(2)/35)*FM180*FN180*VLOOKUP('Données projet'!$B$16,Paramètres!$A$1:$I$89,3,0)*0.475*44/12</f>
        <v>#N/A</v>
      </c>
      <c r="FR180" s="129" t="e">
        <f aca="false">EXP(-LN(2)/25)*FR179+(1-EXP(-LN(2)/25))/(LN(2)/25)*Calculateur!FM180*Calculateur!FO180*VLOOKUP('Données projet'!$B$16,Paramètres!$A$1:$I$89,3,0)*0.475*44/12</f>
        <v>#N/A</v>
      </c>
      <c r="FS180" s="129" t="e">
        <f aca="false">EXP(-LN(2)/2)*FS179+(1-EXP(-LN(2)/2))/(LN(2)/2)*FM180*FP180*VLOOKUP('Données projet'!$B$16,Paramètres!$A$1:$I$89,3,0)*0.475*44/12</f>
        <v>#N/A</v>
      </c>
      <c r="FT180" s="130" t="e">
        <f aca="false">SUM(FQ180:FS180)</f>
        <v>#N/A</v>
      </c>
      <c r="FU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8" t="e">
        <f aca="false">VLOOKUP(A180,'Données projet'!$A$243:$I$263,2,0)</f>
        <v>#N/A</v>
      </c>
      <c r="FX180" s="118" t="e">
        <f aca="false">VLOOKUP(A180,'Données projet'!$A$243:$I$263,9,0)</f>
        <v>#N/A</v>
      </c>
      <c r="FY180" s="118" t="e">
        <f aca="false" t="array" ref="FY180:FY180">INDEX(FX:FX,MIN(IF(ISNUMBER(FX180:FX376),ROW(FX180:FX376),"")))</f>
        <v>#N/A</v>
      </c>
      <c r="FZ180" s="118" t="n">
        <f aca="false">IF('Données projet'!$A$244&gt;35,FZ179+FY180-GH179,IF(A180&lt;'Données projet'!$A$244,$FW$205^A180,IF(A180='Données projet'!$A$244,'Données projet'!$B$244,FZ179+FY180-GH179)))</f>
        <v>0</v>
      </c>
      <c r="GA180" s="125" t="e">
        <f aca="false">FZ180*VLOOKUP('Données projet'!$B$17,Paramètres!$A$1:$I$89,3,0)*VLOOKUP('Données projet'!$B$17,Paramètres!$A$1:$I$89,5,0)</f>
        <v>#N/A</v>
      </c>
      <c r="GB180" s="117" t="e">
        <f aca="false">EXP(-1.0587+0.8836*LN(GA180)+0.284)</f>
        <v>#N/A</v>
      </c>
      <c r="GC180" s="128" t="e">
        <f aca="false">(GA180+GB180)*0.475*44/12</f>
        <v>#N/A</v>
      </c>
      <c r="GD180" s="120" t="e">
        <f aca="false">GC180+(FU180+FV180)*44/12</f>
        <v>#N/A</v>
      </c>
      <c r="GE180" s="120" t="e">
        <f aca="true">AVERAGE(OFFSET($GD$3,0,0,'Données projet'!$E$17+1,1))-AVERAGE(OFFSET($H$3,0,0,'Données projet'!$E$17+1,1))</f>
        <v>#N/A</v>
      </c>
      <c r="GF180" s="120" t="e">
        <f aca="false">$GF$3</f>
        <v>#N/A</v>
      </c>
      <c r="GG180" s="121" t="n">
        <f aca="false">IF(ISNA(VLOOKUP(A180,'Données projet'!$A$243:$I$263,3,0)),0,VLOOKUP(A180,'Données projet'!$A$243:$I$263,3,0))</f>
        <v>0</v>
      </c>
      <c r="GH180" s="121" t="n">
        <f aca="false">IF(ISNA(VLOOKUP(A180,'Données projet'!$A$243:$I$263,4,0)),0,VLOOKUP(A180,'Données projet'!$A$243:$I$263,4,0))</f>
        <v>0</v>
      </c>
      <c r="GI180" s="122" t="n">
        <f aca="false">IF(ISNA(VLOOKUP(A180,'Données projet'!$A$243:$I$263,5,0)),0%,VLOOKUP(A180,'Données projet'!$A$243:$I$263,5,0)*VLOOKUP('Données projet'!$B$17,Paramètres!$A$1:$I$89,7,0))</f>
        <v>0</v>
      </c>
      <c r="GJ180" s="122" t="n">
        <f aca="false">IF(ISNA(VLOOKUP(A180,'Données projet'!$A$243:$I$263,6,0)),0%,VLOOKUP(A180,'Données projet'!$A$243:$I$263,6,0)*VLOOKUP('Données projet'!$B$17,Paramètres!$A$1:$I$89,7,0))</f>
        <v>0</v>
      </c>
      <c r="GK180" s="122" t="n">
        <f aca="false">IF(ISNA(VLOOKUP(A180,'Données projet'!$A$243:$I$263,7,0)),0%,VLOOKUP(A180,'Données projet'!$A$243:$I$263,7,0))</f>
        <v>0</v>
      </c>
      <c r="GL180" s="129" t="e">
        <f aca="false">EXP(-LN(2)/35)*GL179+(1-EXP(-LN(2)/35))/(LN(2)/35)*GH180*GI180*VLOOKUP('Données projet'!$B$17,Paramètres!$A$1:$I$89,3,0)*0.475*44/12</f>
        <v>#N/A</v>
      </c>
      <c r="GM180" s="129" t="e">
        <f aca="false">EXP(-LN(2)/25)*GM179+(1-EXP(-LN(2)/25))/(LN(2)/25)*Calculateur!GH180*Calculateur!GJ180*VLOOKUP('Données projet'!$B$17,Paramètres!$A$1:$I$89,3,0)*0.475*44/12</f>
        <v>#N/A</v>
      </c>
      <c r="GN180" s="129" t="e">
        <f aca="false">EXP(-LN(2)/2)*GN179+(1-EXP(-LN(2)/2))/(LN(2)/2)*GH180*GK180*VLOOKUP('Données projet'!$B$17,Paramètres!$A$1:$I$89,3,0)*0.475*44/12</f>
        <v>#N/A</v>
      </c>
      <c r="GO180" s="129" t="e">
        <f aca="false">SUM(GL180:GN180)</f>
        <v>#N/A</v>
      </c>
      <c r="GP180" s="126" t="n">
        <f aca="false"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8" t="n">
        <f aca="false"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8" t="e">
        <f aca="false">VLOOKUP(A180,'Données projet'!$A$269:$I$289,2,0)</f>
        <v>#N/A</v>
      </c>
      <c r="GS180" s="118" t="e">
        <f aca="false">VLOOKUP(A180,'Données projet'!$A$269:$I$289,9,0)</f>
        <v>#N/A</v>
      </c>
      <c r="GT180" s="118" t="e">
        <f aca="false" t="array" ref="GT180:GT180">INDEX(GS:GS,MIN(IF(ISNUMBER(GS180:GS376),ROW(GS180:GS376),"")))</f>
        <v>#N/A</v>
      </c>
      <c r="GU180" s="118" t="n">
        <f aca="false">IF('Données projet'!$A$270&gt;35,GU179+GT180-HC179,IF(A180&lt;'Données projet'!$A$270,$GR$205^A180,IF(A180='Données projet'!$A$270,'Données projet'!$B$270,GU179+GT180-HC179)))</f>
        <v>0</v>
      </c>
      <c r="GV180" s="125" t="e">
        <f aca="false">GU180*VLOOKUP('Données projet'!$B$18,Paramètres!$A$1:$I$89,3,0)*VLOOKUP('Données projet'!$B$18,Paramètres!$A$1:$I$89,5,0)</f>
        <v>#N/A</v>
      </c>
      <c r="GW180" s="117" t="e">
        <f aca="false">EXP(-1.0587+0.8836*LN(GV180)+0.284)</f>
        <v>#N/A</v>
      </c>
      <c r="GX180" s="128" t="e">
        <f aca="false">(GV180+GW180)*0.475*44/12</f>
        <v>#N/A</v>
      </c>
      <c r="GY180" s="120" t="e">
        <f aca="false">GX180+(GP180+GQ180)*44/12</f>
        <v>#N/A</v>
      </c>
      <c r="GZ180" s="120" t="e">
        <f aca="true">AVERAGE(OFFSET($GY$3,0,0,'Données projet'!$E$18+1,1))-AVERAGE(OFFSET($H$3,0,0,'Données projet'!$E$18+1,1))</f>
        <v>#N/A</v>
      </c>
      <c r="HA180" s="120" t="e">
        <f aca="false">$HA$3</f>
        <v>#N/A</v>
      </c>
      <c r="HB180" s="121" t="n">
        <f aca="false">IF(ISNA(VLOOKUP(A180,'Données projet'!$A$269:$I$289,3,0)),0,VLOOKUP(A180,'Données projet'!$A$269:$I$289,3,0))</f>
        <v>0</v>
      </c>
      <c r="HC180" s="121" t="n">
        <f aca="false">IF(ISNA(VLOOKUP(A180,'Données projet'!$A$269:$I$289,4,0)),0,VLOOKUP(A180,'Données projet'!$A$269:$I$289,4,0))</f>
        <v>0</v>
      </c>
      <c r="HD180" s="122" t="n">
        <f aca="false">IF(ISNA(VLOOKUP(A180,'Données projet'!$A$269:$I$289,5,0)),0%,VLOOKUP(A180,'Données projet'!$A$269:$I$289,5,0)*VLOOKUP('Données projet'!$B$18,Paramètres!$A$1:$I$89,7,0))</f>
        <v>0</v>
      </c>
      <c r="HE180" s="122" t="n">
        <f aca="false">IF(ISNA(VLOOKUP(A180,'Données projet'!$A$269:$I$289,6,0)),0%,VLOOKUP(A180,'Données projet'!$A$269:$I$289,6,0)*VLOOKUP('Données projet'!$B$18,Paramètres!$A$1:$I$89,7,0))</f>
        <v>0</v>
      </c>
      <c r="HF180" s="122" t="n">
        <f aca="false">IF(ISNA(VLOOKUP(A180,'Données projet'!$A$269:$I$289,7,0)),0%,VLOOKUP(A180,'Données projet'!$A$269:$I$289,7,0))</f>
        <v>0</v>
      </c>
      <c r="HG180" s="129" t="e">
        <f aca="false">EXP(-LN(2)/35)*HG179+(1-EXP(-LN(2)/35))/(LN(2)/35)*HC180*HD180*VLOOKUP('Données projet'!$B$18,Paramètres!$A$1:$I$89,3,0)*0.475*44/12</f>
        <v>#N/A</v>
      </c>
      <c r="HH180" s="129" t="e">
        <f aca="false">EXP(-LN(2)/25)*HH179+(1-EXP(-LN(2)/25))/(LN(2)/25)*Calculateur!HC180*Calculateur!HE180*VLOOKUP('Données projet'!$B$18,Paramètres!$A$1:$I$89,3,0)*0.475*44/12</f>
        <v>#N/A</v>
      </c>
      <c r="HI180" s="129" t="e">
        <f aca="false">EXP(-LN(2)/2)*HI179+(1-EXP(-LN(2)/2))/(LN(2)/2)*HC180*HF180*VLOOKUP('Données projet'!$B$18,Paramètres!$A$1:$I$89,3,0)*0.475*44/12</f>
        <v>#N/A</v>
      </c>
      <c r="HJ180" s="130" t="e">
        <f aca="false">SUM(HG180:HI180)</f>
        <v>#N/A</v>
      </c>
    </row>
    <row r="181" customFormat="false" ht="14.25" hidden="false" customHeight="false" outlineLevel="0" collapsed="false">
      <c r="A181" s="112" t="n">
        <f aca="false">A180+1</f>
        <v>178</v>
      </c>
      <c r="B181" s="113" t="n">
        <f aca="false">'Scénario référence'!$B$16*5+'Scénario référence'!$B$17*0+'Scénario référence'!$B$18*5</f>
        <v>0</v>
      </c>
      <c r="C181" s="127" t="n">
        <f aca="false"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4" t="n">
        <f aca="false">IFERROR(EXP(-1.0587+0.8836*LN(C181)+0.284),0)</f>
        <v>0</v>
      </c>
      <c r="E18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1" s="114" t="n">
        <f aca="false">IF(OR('Scénario référence'!$F$8&gt;0,'Scénario référence'!$F$9&gt;0),('Scénario référence'!$F$8+'Scénario référence'!$F$9)*10,0)</f>
        <v>0</v>
      </c>
      <c r="G181" s="114" t="n">
        <f aca="false"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15" t="n">
        <f aca="false">(B181+E181+F181)*44/12+(C181+D181)*0.475*44/12</f>
        <v>256.666666666667</v>
      </c>
      <c r="I181" s="11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7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8" t="e">
        <f aca="false">VLOOKUP(A181,'Données projet'!$A$35:$I$55,2,0)</f>
        <v>#N/A</v>
      </c>
      <c r="L181" s="118" t="e">
        <f aca="false">VLOOKUP(A181,'Données projet'!$A$35:$I$55,9,0)</f>
        <v>#N/A</v>
      </c>
      <c r="M181" s="118" t="e">
        <f aca="false" t="array" ref="M181:M181">INDEX(L:L,MIN(IF(ISNUMBER(L181:L377),ROW(L181:L377),"")))</f>
        <v>#N/A</v>
      </c>
      <c r="N181" s="117" t="n">
        <f aca="false">IF('Données projet'!$A$36&gt;35,N180+M181-V180,IF(A181&lt;'Données projet'!$A$36,$K$205^A181,IF(A181='Données projet'!$A$36,'Données projet'!$B$36,N180+M181-V180)))</f>
        <v>-1.13686837721616E-013</v>
      </c>
      <c r="O181" s="117" t="n">
        <f aca="false">N181*VLOOKUP('Données projet'!$B$9,Paramètres!$A$1:$I$89,3,0)*VLOOKUP('Données projet'!$B$9,Paramètres!$A$1:$I$89,5,0)</f>
        <v>-5.32054400537163E-014</v>
      </c>
      <c r="P181" s="117" t="e">
        <f aca="false">EXP(-1.0587+0.8836*LN(O181)+0.284)</f>
        <v>#VALUE!</v>
      </c>
      <c r="Q181" s="128" t="e">
        <f aca="false">(O181+P181)*0.475*44/12</f>
        <v>#VALUE!</v>
      </c>
      <c r="R181" s="120" t="e">
        <f aca="false">Q181+(I181+J181)*44/12</f>
        <v>#VALUE!</v>
      </c>
      <c r="S181" s="120" t="n">
        <f aca="true">AVERAGE(OFFSET($R$3,0,0,'Données projet'!$E$9+1,1))-AVERAGE(OFFSET($H$3,0,0,'Données projet'!$E$9+1,1))</f>
        <v>319.229030946746</v>
      </c>
      <c r="T181" s="120" t="n">
        <f aca="false">$T$3</f>
        <v>254.586909731428</v>
      </c>
      <c r="U181" s="121" t="n">
        <f aca="false">IF(ISNA(VLOOKUP(A181,'Données projet'!$A$35:$I$55,3,0)),0,VLOOKUP(A181,'Données projet'!$A$35:$I$55,3,0))</f>
        <v>0</v>
      </c>
      <c r="V181" s="121" t="n">
        <f aca="false">IF(ISNA(VLOOKUP(A181,'Données projet'!$A$35:$I$55,4,0)),0,VLOOKUP(A181,'Données projet'!$A$35:$I$55,4,0))</f>
        <v>0</v>
      </c>
      <c r="W181" s="122" t="n">
        <f aca="false">IF(ISNA(VLOOKUP(A181,'Données projet'!$A$35:$I$55,5,0)),0%,VLOOKUP(A181,'Données projet'!$A$35:$I$55,5,0)*VLOOKUP('Données projet'!$B$9,Paramètres!$A$1:$I$89,7,0))</f>
        <v>0</v>
      </c>
      <c r="X181" s="122" t="n">
        <f aca="false">IF(ISNA(VLOOKUP(A181,'Données projet'!$A$35:$I$55,6,0)),0%,VLOOKUP(A181,'Données projet'!$A$35:$I$55,6,0)*VLOOKUP('Données projet'!$B$9,Paramètres!$A$1:$I$89,7,0))</f>
        <v>0</v>
      </c>
      <c r="Y181" s="122" t="n">
        <f aca="false">IF(ISNA(VLOOKUP(A181,'Données projet'!$A$35:$I$55,7,0)),0%,VLOOKUP(A181,'Données projet'!$A$35:$I$55,7,0))</f>
        <v>0</v>
      </c>
      <c r="Z181" s="129" t="n">
        <f aca="false">EXP(-LN(2)/35)*Z180+(1-EXP(-LN(2)/35))/(LN(2)/35)*V181*W181*VLOOKUP('Données projet'!$B$9,Paramètres!$A$1:$I$89,3,0)*0.475*44/12</f>
        <v>0.484145217208662</v>
      </c>
      <c r="AA181" s="129" t="n">
        <f aca="false">EXP(-LN(2)/25)*AA180+(1-EXP(-LN(2)/25))/(LN(2)/25)*Calculateur!V181*Calculateur!X181*VLOOKUP('Données projet'!$B$9,Paramètres!$A$1:$I$89,3,0)*0.475*44/12</f>
        <v>0.18417416632997</v>
      </c>
      <c r="AB181" s="129" t="n">
        <f aca="false">EXP(-LN(2)/2)*AB180+(1-EXP(-LN(2)/2))/(LN(2)/2)*V181*Y181*VLOOKUP('Données projet'!$B$9,Paramètres!$A$1:$I$89,3,0)*0.475*44/12</f>
        <v>5.84618362618475E-022</v>
      </c>
      <c r="AC181" s="130" t="n">
        <f aca="false">SUM(Z181:AB181)</f>
        <v>0.668319383538632</v>
      </c>
      <c r="AD181" s="117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7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8" t="e">
        <f aca="false">VLOOKUP(A181,'Données projet'!$A$61:$I$81,2,0)</f>
        <v>#N/A</v>
      </c>
      <c r="AG181" s="118" t="e">
        <f aca="false">VLOOKUP(A181,'Données projet'!$A$61:$I$81,9,0)</f>
        <v>#N/A</v>
      </c>
      <c r="AH181" s="118" t="e">
        <f aca="false" t="array" ref="AH181:AH181">INDEX(AG:AG,MIN(IF(ISNUMBER(AG181:AG377),ROW(AG181:AG377),"")))</f>
        <v>#N/A</v>
      </c>
      <c r="AI181" s="117" t="n">
        <f aca="false">IF('Données projet'!$A$62&gt;35,AI180+AH181-AQ180,IF(A181&lt;'Données projet'!$A$62,$AF$205^A181,IF(A181='Données projet'!$A$62,'Données projet'!$B$62,AI180+AH181-AQ180)))</f>
        <v>1.13686837721616E-013</v>
      </c>
      <c r="AJ181" s="117" t="n">
        <f aca="false">AI181*VLOOKUP('Données projet'!$B$10,Paramètres!$A$1:$I$89,3,0)*VLOOKUP('Données projet'!$B$10,Paramètres!$A$1:$I$89,5,0)</f>
        <v>6.35509422863834E-014</v>
      </c>
      <c r="AK181" s="117" t="n">
        <f aca="false">EXP(-1.0587+0.8836*LN(AJ181)+0.284)</f>
        <v>1.0064464192544E-012</v>
      </c>
      <c r="AL181" s="128" t="n">
        <f aca="false">(AJ181+AK181)*0.475*44/12</f>
        <v>1.86357873801686E-012</v>
      </c>
      <c r="AM181" s="120" t="n">
        <f aca="false">AL181+(AD181+AE181)*44/12</f>
        <v>293.333333333335</v>
      </c>
      <c r="AN181" s="120" t="n">
        <f aca="true">AVERAGE(OFFSET($AM$3,0,0,'Données projet'!$E$10+1,1))-AVERAGE(OFFSET($H$3,0,0,'Données projet'!$E$10+1,1))</f>
        <v>365.705101827279</v>
      </c>
      <c r="AO181" s="120" t="n">
        <f aca="false">$AO$3</f>
        <v>436.238338449625</v>
      </c>
      <c r="AP181" s="121" t="n">
        <f aca="false">IF(ISNA(VLOOKUP(A181,'Données projet'!$A$61:$I$81,3,0)),0,VLOOKUP(A181,'Données projet'!$A$61:$I$81,3,0))</f>
        <v>0</v>
      </c>
      <c r="AQ181" s="121" t="n">
        <f aca="false">IF(ISNA(VLOOKUP(A181,'Données projet'!$A$61:$I$81,4,0)),0,VLOOKUP(A181,'Données projet'!$A$61:$I$81,4,0))</f>
        <v>0</v>
      </c>
      <c r="AR181" s="122" t="n">
        <f aca="false">IF(ISNA(VLOOKUP(A181,'Données projet'!$A$61:$I$81,5,0)),0%,VLOOKUP(A181,'Données projet'!$A$61:$I$81,5,0)*VLOOKUP('Données projet'!$B$10,Paramètres!$A$1:$I$89,7,0))</f>
        <v>0</v>
      </c>
      <c r="AS181" s="122" t="n">
        <f aca="false">IF(ISNA(VLOOKUP(A181,'Données projet'!$A$61:$I$81,6,0)),0%,VLOOKUP(A181,'Données projet'!$A$61:$I$81,6,0)*VLOOKUP('Données projet'!$B$10,Paramètres!$A$1:$I$89,7,0))</f>
        <v>0</v>
      </c>
      <c r="AT181" s="122" t="n">
        <f aca="false">IF(ISNA(VLOOKUP(A181,'Données projet'!$A$61:$I$81,7,0)),0%,VLOOKUP(A181,'Données projet'!$A$61:$I$81,7,0))</f>
        <v>0</v>
      </c>
      <c r="AU181" s="129" t="n">
        <f aca="false">EXP(-LN(2)/35)*AU180+(1-EXP(-LN(2)/35))/(LN(2)/35)*AQ181*AR181*VLOOKUP('Données projet'!$B$10,Paramètres!$A$1:$I$89,3,0)*0.475*44/12</f>
        <v>0.182749122825847</v>
      </c>
      <c r="AV181" s="129" t="n">
        <f aca="false">EXP(-LN(2)/25)*AV180+(1-EXP(-LN(2)/25))/(LN(2)/25)*Calculateur!AQ181*Calculateur!AS181*VLOOKUP('Données projet'!$B$10,Paramètres!$A$1:$I$89,3,0)*0.475*44/12</f>
        <v>0.218144341743346</v>
      </c>
      <c r="AW181" s="129" t="n">
        <f aca="false">EXP(-LN(2)/2)*AW180+(1-EXP(-LN(2)/2))/(LN(2)/2)*AQ181*AT181*VLOOKUP('Données projet'!$B$10,Paramètres!$A$1:$I$89,3,0)*0.475*44/12</f>
        <v>3.14623330656051E-022</v>
      </c>
      <c r="AX181" s="129" t="n">
        <f aca="false">SUM(AU181:AW181)</f>
        <v>0.400893464569193</v>
      </c>
      <c r="AY181" s="124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8" t="e">
        <f aca="false">VLOOKUP(A181,'Données projet'!$A$87:$I$107,2,0)</f>
        <v>#N/A</v>
      </c>
      <c r="BB181" s="118" t="e">
        <f aca="false">VLOOKUP(A181,'Données projet'!$A$87:$I$107,9,0)</f>
        <v>#N/A</v>
      </c>
      <c r="BC181" s="118" t="e">
        <f aca="false" t="array" ref="BC181:BC181">INDEX(BB:BB,MIN(IF(ISNUMBER(BB181:BB377),ROW(BB181:BB377),"")))</f>
        <v>#N/A</v>
      </c>
      <c r="BD181" s="118" t="n">
        <f aca="false">IF('Données projet'!$A$88&gt;35,BD180+BC181-BL180,IF(A181&lt;'Données projet'!$A$88,$BA$205^A181,IF(A181='Données projet'!$A$88,'Données projet'!$B$88,BD180+BC181-BL180)))</f>
        <v>1.98951966012828E-013</v>
      </c>
      <c r="BE181" s="117" t="n">
        <f aca="false">BD181*VLOOKUP('Données projet'!$B$11,Paramètres!$A$1:$I$89,3,0)*VLOOKUP('Données projet'!$B$11,Paramètres!$A$1:$I$89,5,0)</f>
        <v>1.73804437508807E-013</v>
      </c>
      <c r="BF181" s="117" t="n">
        <f aca="false">EXP(-1.0587+0.8836*LN(BE181)+0.284)</f>
        <v>2.44832936339505E-012</v>
      </c>
      <c r="BG181" s="128" t="n">
        <f aca="false">(BE181+BF181)*0.475*44/12</f>
        <v>4.56688303657421E-012</v>
      </c>
      <c r="BH181" s="120" t="n">
        <f aca="false">BG181+(AY181+AZ181)*44/12</f>
        <v>293.333333333338</v>
      </c>
      <c r="BI181" s="120" t="n">
        <f aca="true">AVERAGE(OFFSET($BH$3,0,0,'Données projet'!$E$11+1,1))-AVERAGE(OFFSET($H$3,0,0,'Données projet'!$E$11+1,1))</f>
        <v>321.235999689929</v>
      </c>
      <c r="BJ181" s="120" t="n">
        <f aca="false">$BJ$3</f>
        <v>388.051958478005</v>
      </c>
      <c r="BK181" s="121" t="n">
        <f aca="false">IF(ISNA(VLOOKUP(A181,'Données projet'!$A$87:$I$107,3,0)),0,VLOOKUP(A181,'Données projet'!$A$87:$I$107,3,0))</f>
        <v>0</v>
      </c>
      <c r="BL181" s="121" t="n">
        <f aca="false">IF(ISNA(VLOOKUP(A181,'Données projet'!$A$87:$I$107,4,0)),0,VLOOKUP(A181,'Données projet'!$A$87:$I$107,4,0))</f>
        <v>0</v>
      </c>
      <c r="BM181" s="122" t="n">
        <f aca="false">IF(ISNA(VLOOKUP(A181,'Données projet'!$A$87:$I$107,5,0)),0%,VLOOKUP(A181,'Données projet'!$A$87:$I$107,5,0)*VLOOKUP('Données projet'!$B$11,Paramètres!$A$1:$I$89,7,0))</f>
        <v>0</v>
      </c>
      <c r="BN181" s="122" t="n">
        <f aca="false">IF(ISNA(VLOOKUP(A181,'Données projet'!$A$87:$I$107,6,0)),0%,VLOOKUP(A181,'Données projet'!$A$87:$I$107,6,0)*VLOOKUP('Données projet'!$B$11,Paramètres!$A$1:$I$89,7,0))</f>
        <v>0</v>
      </c>
      <c r="BO181" s="122" t="n">
        <f aca="false">IF(ISNA(VLOOKUP(A181,'Données projet'!$A$87:$I$107,7,0)),0%,VLOOKUP(A181,'Données projet'!$A$87:$I$107,7,0))</f>
        <v>0</v>
      </c>
      <c r="BP181" s="129" t="n">
        <f aca="false">EXP(-LN(2)/35)*BP180+(1-EXP(-LN(2)/35))/(LN(2)/35)*BL181*BM181*VLOOKUP('Données projet'!$B$11,Paramètres!$A$1:$I$89,3,0)*0.475*44/12</f>
        <v>0.458813849816848</v>
      </c>
      <c r="BQ181" s="129" t="n">
        <f aca="false">EXP(-LN(2)/25)*BQ180+(1-EXP(-LN(2)/25))/(LN(2)/25)*Calculateur!BL181*Calculateur!BN181*VLOOKUP('Données projet'!$B$11,Paramètres!$A$1:$I$89,3,0)*0.475*44/12</f>
        <v>0.2226687870788</v>
      </c>
      <c r="BR181" s="129" t="n">
        <f aca="false">EXP(-LN(2)/2)*BR180+(1-EXP(-LN(2)/2))/(LN(2)/2)*BL181*BO181*VLOOKUP('Données projet'!$B$11,Paramètres!$A$1:$I$89,3,0)*0.475*44/12</f>
        <v>3.19808076057229E-022</v>
      </c>
      <c r="BS181" s="130" t="n">
        <f aca="false">SUM(BP181:BR181)</f>
        <v>0.681482636895648</v>
      </c>
      <c r="BT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8" t="e">
        <f aca="false">VLOOKUP(A181,'Données projet'!$A$113:$I$133,2,0)</f>
        <v>#N/A</v>
      </c>
      <c r="BW181" s="118" t="e">
        <f aca="false">VLOOKUP(A181,'Données projet'!$A$113:$I$133,9,0)</f>
        <v>#N/A</v>
      </c>
      <c r="BX181" s="118" t="e">
        <f aca="false" t="array" ref="BX181:BX181">INDEX(BW:BW,MIN(IF(ISNUMBER(BW181:BW377),ROW(BW181:BW377),"")))</f>
        <v>#N/A</v>
      </c>
      <c r="BY181" s="118" t="n">
        <f aca="false">IF('Données projet'!$A$114&gt;35,BY180+BX181-CG180,IF(A181&lt;'Données projet'!$A$114,$BV$205^A181,IF(A181='Données projet'!$A$114,'Données projet'!$B$114,BY180+BX181-CG180)))</f>
        <v>0</v>
      </c>
      <c r="BZ181" s="117" t="n">
        <f aca="false">BY181*VLOOKUP('Données projet'!$B$12,Paramètres!$A$1:$I$89,3,0)*VLOOKUP('Données projet'!$B$12,Paramètres!$A$1:$I$89,5,0)</f>
        <v>0</v>
      </c>
      <c r="CA181" s="117" t="e">
        <f aca="false">EXP(-1.0587+0.8836*LN(BZ181)+0.284)</f>
        <v>#VALUE!</v>
      </c>
      <c r="CB181" s="128" t="e">
        <f aca="false">(BZ181+CA181)*0.475*44/12</f>
        <v>#VALUE!</v>
      </c>
      <c r="CC181" s="120" t="e">
        <f aca="false">CB181+(BT181+BU181)*44/12</f>
        <v>#VALUE!</v>
      </c>
      <c r="CD181" s="120" t="n">
        <f aca="true">AVERAGE(OFFSET($CC$3,0,0,'Données projet'!$E$12+1,1))-AVERAGE(OFFSET($H$3,0,0,'Données projet'!$E$12+1,1))</f>
        <v>240.228848647662</v>
      </c>
      <c r="CE181" s="120" t="n">
        <f aca="false">$CE$3</f>
        <v>343.237768841432</v>
      </c>
      <c r="CF181" s="121" t="n">
        <f aca="false">IF(ISNA(VLOOKUP(A181,'Données projet'!$A$113:$I$133,3,0)),0,VLOOKUP(A181,'Données projet'!$A$113:$I$133,3,0))</f>
        <v>0</v>
      </c>
      <c r="CG181" s="121" t="n">
        <f aca="false">IF(ISNA(VLOOKUP(A181,'Données projet'!$A$113:$I$133,4,0)),0,VLOOKUP(A181,'Données projet'!$A$113:$I$133,4,0))</f>
        <v>0</v>
      </c>
      <c r="CH181" s="122" t="n">
        <f aca="false">IF(ISNA(VLOOKUP(A181,'Données projet'!$A$113:$I$133,5,0)),0%,VLOOKUP(A181,'Données projet'!$A$113:$I$133,5,0)*VLOOKUP('Données projet'!$B$12,Paramètres!$A$1:$I$89,7,0))</f>
        <v>0</v>
      </c>
      <c r="CI181" s="122" t="n">
        <f aca="false">IF(ISNA(VLOOKUP(A181,'Données projet'!$A$113:$I$133,6,0)),0%,VLOOKUP(A181,'Données projet'!$A$113:$I$133,6,0)*VLOOKUP('Données projet'!$B$12,Paramètres!$A$1:$I$89,7,0))</f>
        <v>0</v>
      </c>
      <c r="CJ181" s="122" t="n">
        <f aca="false">IF(ISNA(VLOOKUP(A181,'Données projet'!$A$113:$I$133,7,0)),0%,VLOOKUP(A181,'Données projet'!$A$113:$I$133,7,0))</f>
        <v>0</v>
      </c>
      <c r="CK181" s="129" t="n">
        <f aca="false">EXP(-LN(2)/35)*CK180+(1-EXP(-LN(2)/35))/(LN(2)/35)*CG181*CH181*VLOOKUP('Données projet'!$B$12,Paramètres!$A$1:$I$89,3,0)*0.475*44/12</f>
        <v>0.280829820881277</v>
      </c>
      <c r="CL181" s="129" t="n">
        <f aca="false">EXP(-LN(2)/25)*CL180+(1-EXP(-LN(2)/25))/(LN(2)/25)*Calculateur!CG181*Calculateur!CI181*VLOOKUP('Données projet'!$B$12,Paramètres!$A$1:$I$89,3,0)*0.475*44/12</f>
        <v>0.393245968252011</v>
      </c>
      <c r="CM181" s="129" t="n">
        <f aca="false">EXP(-LN(2)/2)*CM180+(1-EXP(-LN(2)/2))/(LN(2)/2)*CG181*CJ181*VLOOKUP('Données projet'!$B$12,Paramètres!$A$1:$I$89,3,0)*0.475*44/12</f>
        <v>5.10328428603129E-022</v>
      </c>
      <c r="CN181" s="130" t="n">
        <f aca="false">SUM(CK181:CM181)</f>
        <v>0.674075789133288</v>
      </c>
      <c r="CO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8" t="e">
        <f aca="false">VLOOKUP(A181,'Données projet'!$A$139:$I$159,2,0)</f>
        <v>#N/A</v>
      </c>
      <c r="CR181" s="118" t="e">
        <f aca="false">VLOOKUP(A181,'Données projet'!$A$139:$I$159,9,0)</f>
        <v>#N/A</v>
      </c>
      <c r="CS181" s="118" t="e">
        <f aca="false" t="array" ref="CS181:CS181">INDEX(CR:CR,MIN(IF(ISNUMBER(CR181:CR377),ROW(CR181:CR377),"")))</f>
        <v>#N/A</v>
      </c>
      <c r="CT181" s="118" t="n">
        <f aca="false">IF('Données projet'!$A$140&gt;35,CT180+CS181-DB180,IF(A181&lt;'Données projet'!$A$140,$CQ$205^A181,IF(A181='Données projet'!$A$140,'Données projet'!$B$140,CT180+CS181-DB180)))</f>
        <v>-5.6843418860808E-014</v>
      </c>
      <c r="CU181" s="125" t="n">
        <f aca="false">CT181*VLOOKUP('Données projet'!$B$13,Paramètres!$A$1:$I$89,3,0)*VLOOKUP('Données projet'!$B$13,Paramètres!$A$1:$I$89,5,0)</f>
        <v>-3.10365066980012E-014</v>
      </c>
      <c r="CV181" s="117" t="e">
        <f aca="false">EXP(-1.0587+0.8836*LN(CU181)+0.284)</f>
        <v>#VALUE!</v>
      </c>
      <c r="CW181" s="128" t="e">
        <f aca="false">(CU181+CV181)*0.475*44/12</f>
        <v>#VALUE!</v>
      </c>
      <c r="CX181" s="120" t="e">
        <f aca="false">CW181+(CO181+CP181)*44/12</f>
        <v>#VALUE!</v>
      </c>
      <c r="CY181" s="120" t="n">
        <f aca="true">AVERAGE(OFFSET($CX$3,0,0,'Données projet'!$E$13+1,1))-AVERAGE(OFFSET($H$3,0,0,'Données projet'!$E$13+1,1))</f>
        <v>207.023069645676</v>
      </c>
      <c r="CZ181" s="120" t="n">
        <f aca="false">$CZ$3</f>
        <v>342.068879333518</v>
      </c>
      <c r="DA181" s="121" t="n">
        <f aca="false">IF(ISNA(VLOOKUP(A181,'Données projet'!$A$139:$I$159,3,0)),0,VLOOKUP(A181,'Données projet'!$A$139:$I$159,3,0))</f>
        <v>0</v>
      </c>
      <c r="DB181" s="121" t="n">
        <f aca="false">IF(ISNA(VLOOKUP(A181,'Données projet'!$A$139:$I$159,4,0)),0,VLOOKUP(A181,'Données projet'!$A$139:$I$159,4,0))</f>
        <v>0</v>
      </c>
      <c r="DC181" s="122" t="n">
        <f aca="false">IF(ISNA(VLOOKUP(A181,'Données projet'!$A$139:$I$159,5,0)),0%,VLOOKUP(A181,'Données projet'!$A$139:$I$159,5,0)*VLOOKUP('Données projet'!$B$13,Paramètres!$A$1:$I$89,7,0))</f>
        <v>0</v>
      </c>
      <c r="DD181" s="122" t="n">
        <f aca="false">IF(ISNA(VLOOKUP(A181,'Données projet'!$A$139:$I$159,6,0)),0%,VLOOKUP(A181,'Données projet'!$A$139:$I$159,6,0)*VLOOKUP('Données projet'!$B$13,Paramètres!$A$1:$I$89,7,0))</f>
        <v>0</v>
      </c>
      <c r="DE181" s="122" t="n">
        <f aca="false">IF(ISNA(VLOOKUP(A181,'Données projet'!$A$139:$I$159,7,0)),0%,VLOOKUP(A181,'Données projet'!$A$139:$I$159,7,0))</f>
        <v>0</v>
      </c>
      <c r="DF181" s="129" t="n">
        <f aca="false">EXP(-LN(2)/35)*DF180+(1-EXP(-LN(2)/35))/(LN(2)/35)*DB181*DC181*VLOOKUP('Données projet'!$B$13,Paramètres!$A$1:$I$89,3,0)*0.475*44/12</f>
        <v>0.352361945068017</v>
      </c>
      <c r="DG181" s="129" t="n">
        <f aca="false">EXP(-LN(2)/25)*DG180+(1-EXP(-LN(2)/25))/(LN(2)/25)*Calculateur!DB181*Calculateur!DD181*VLOOKUP('Données projet'!$B$13,Paramètres!$A$1:$I$89,3,0)*0.475*44/12</f>
        <v>0.642793375540188</v>
      </c>
      <c r="DH181" s="129" t="n">
        <f aca="false">EXP(-LN(2)/2)*DH180+(1-EXP(-LN(2)/2))/(LN(2)/2)*DB181*DE181*VLOOKUP('Données projet'!$B$13,Paramètres!$A$1:$I$89,3,0)*0.475*44/12</f>
        <v>7.02722482787623E-022</v>
      </c>
      <c r="DI181" s="130" t="n">
        <f aca="false">SUM(DF181:DH181)</f>
        <v>0.995155320608205</v>
      </c>
      <c r="DJ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8" t="e">
        <f aca="false">VLOOKUP(A181,'Données projet'!$A$165:$I$185,2,0)</f>
        <v>#N/A</v>
      </c>
      <c r="DM181" s="118" t="e">
        <f aca="false">VLOOKUP(A181,'Données projet'!$A$165:$I$185,9,0)</f>
        <v>#N/A</v>
      </c>
      <c r="DN181" s="118" t="e">
        <f aca="false" t="array" ref="DN181:DN181">INDEX(DM:DM,MIN(IF(ISNUMBER(DM181:DM377),ROW(DM181:DM377),"")))</f>
        <v>#N/A</v>
      </c>
      <c r="DO181" s="118" t="n">
        <f aca="false">IF('Données projet'!$A$166&gt;35,DO180+DN181-DW180,IF(A181&lt;'Données projet'!$A$166,$DL$205^A181,IF(A181='Données projet'!$A$166,'Données projet'!$B$166,DO180+DN181-DW180)))</f>
        <v>0</v>
      </c>
      <c r="DP181" s="125" t="n">
        <f aca="false">DO181*VLOOKUP('Données projet'!$B$14,Paramètres!$A$1:$I$89,3,0)*VLOOKUP('Données projet'!$B$14,Paramètres!$A$1:$I$89,5,0)</f>
        <v>0</v>
      </c>
      <c r="DQ181" s="117" t="e">
        <f aca="false">EXP(-1.0587+0.8836*LN(DP181)+0.284)</f>
        <v>#VALUE!</v>
      </c>
      <c r="DR181" s="128" t="e">
        <f aca="false">(DP181+DQ181)*0.475*44/12</f>
        <v>#VALUE!</v>
      </c>
      <c r="DS181" s="120" t="e">
        <f aca="false">DR181+(DJ181+DK181)*44/12</f>
        <v>#VALUE!</v>
      </c>
      <c r="DT181" s="120" t="n">
        <f aca="true">AVERAGE(OFFSET($DS$3,0,0,'Données projet'!$E$14+1,1))-AVERAGE(OFFSET($H$3,0,0,'Données projet'!$E$14+1,1))</f>
        <v>549.432320957297</v>
      </c>
      <c r="DU181" s="120" t="n">
        <f aca="false">$DU$3</f>
        <v>280.26155987301</v>
      </c>
      <c r="DV181" s="121" t="n">
        <f aca="false">IF(ISNA(VLOOKUP(A181,'Données projet'!$A$165:$I$185,3,0)),0,VLOOKUP(A181,'Données projet'!$A$165:$I$185,3,0))</f>
        <v>0</v>
      </c>
      <c r="DW181" s="121" t="n">
        <f aca="false">IF(ISNA(VLOOKUP(A181,'Données projet'!$A$165:$I$185,4,0)),0,VLOOKUP(A181,'Données projet'!$A$165:$I$185,4,0))</f>
        <v>0</v>
      </c>
      <c r="DX181" s="122" t="n">
        <f aca="false">IF(ISNA(VLOOKUP(A181,'Données projet'!$A$165:$I$185,5,0)),0%,VLOOKUP(A181,'Données projet'!$A$165:$I$185,5,0)*VLOOKUP('Données projet'!$B$14,Paramètres!$A$1:$I$89,7,0))</f>
        <v>0</v>
      </c>
      <c r="DY181" s="122" t="n">
        <f aca="false">IF(ISNA(VLOOKUP(A181,'Données projet'!$A$165:$I$185,6,0)),0%,VLOOKUP(A181,'Données projet'!$A$165:$I$185,6,0)*VLOOKUP('Données projet'!$B$14,Paramètres!$A$1:$I$89,7,0))</f>
        <v>0</v>
      </c>
      <c r="DZ181" s="122" t="n">
        <f aca="false">IF(ISNA(VLOOKUP(A181,'Données projet'!$A$165:$I$185,7,0)),0%,VLOOKUP(A181,'Données projet'!$A$165:$I$185,7,0))</f>
        <v>0</v>
      </c>
      <c r="EA181" s="129" t="n">
        <f aca="false">EXP(-LN(2)/35)*EA180+(1-EXP(-LN(2)/35))/(LN(2)/35)*DW181*DX181*VLOOKUP('Données projet'!$B$14,Paramètres!$A$1:$I$89,3,0)*0.475*44/12</f>
        <v>0.128118410327722</v>
      </c>
      <c r="EB181" s="129" t="n">
        <f aca="false">EXP(-LN(2)/25)*EB180+(1-EXP(-LN(2)/25))/(LN(2)/25)*Calculateur!DW181*Calculateur!DY181*VLOOKUP('Données projet'!$B$14,Paramètres!$A$1:$I$89,3,0)*0.475*44/12</f>
        <v>0.128057122498001</v>
      </c>
      <c r="EC181" s="129" t="n">
        <f aca="false">EXP(-LN(2)/2)*EC180+(1-EXP(-LN(2)/2))/(LN(2)/2)*DW181*DZ181*VLOOKUP('Données projet'!$B$14,Paramètres!$A$1:$I$89,3,0)*0.475*44/12</f>
        <v>3.23940579196698E-022</v>
      </c>
      <c r="ED181" s="130" t="n">
        <f aca="false">SUM(EA181:EC181)</f>
        <v>0.256175532825723</v>
      </c>
      <c r="EE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8" t="e">
        <f aca="false">VLOOKUP(A181,'Données projet'!$A$191:$I$211,2,0)</f>
        <v>#N/A</v>
      </c>
      <c r="EH181" s="118" t="e">
        <f aca="false">VLOOKUP(A181,'Données projet'!$A$191:$I$211,9,0)</f>
        <v>#N/A</v>
      </c>
      <c r="EI181" s="118" t="e">
        <f aca="false" t="array" ref="EI181:EI181">INDEX(EH:EH,MIN(IF(ISNUMBER(EH181:EH377),ROW(EH181:EH377),"")))</f>
        <v>#N/A</v>
      </c>
      <c r="EJ181" s="118" t="n">
        <f aca="false">IF('Données projet'!$A$192&gt;35,EJ180+EI181-ER180,IF(A181&lt;'Données projet'!$A$192,$EG$205^A181,IF(A181='Données projet'!$A$192,'Données projet'!$B$192,EJ180+EI181-ER180)))</f>
        <v>0</v>
      </c>
      <c r="EK181" s="125" t="e">
        <f aca="false">EJ181*VLOOKUP('Données projet'!$B$15,Paramètres!$A$1:$I$89,3,0)*VLOOKUP('Données projet'!$B$15,Paramètres!$A$1:$I$89,5,0)</f>
        <v>#N/A</v>
      </c>
      <c r="EL181" s="117" t="e">
        <f aca="false">EXP(-1.0587+0.8836*LN(EK181)+0.284)</f>
        <v>#N/A</v>
      </c>
      <c r="EM181" s="128" t="e">
        <f aca="false">(EK181+EL181)*0.475*44/12</f>
        <v>#N/A</v>
      </c>
      <c r="EN181" s="120" t="e">
        <f aca="false">EM181+(EE181+EF181)*44/12</f>
        <v>#N/A</v>
      </c>
      <c r="EO181" s="120" t="e">
        <f aca="true">AVERAGE(OFFSET($EN$3,0,0,'Données projet'!$E$15+1,1))-AVERAGE(OFFSET($H$3,0,0,'Données projet'!$E$15+1,1))</f>
        <v>#N/A</v>
      </c>
      <c r="EP181" s="120" t="e">
        <f aca="false">$EP$3</f>
        <v>#N/A</v>
      </c>
      <c r="EQ181" s="121" t="n">
        <f aca="false">IF(ISNA(VLOOKUP(A181,'Données projet'!$A$191:$I$211,3,0)),0,VLOOKUP(A181,'Données projet'!$A$191:$I$211,3,0))</f>
        <v>0</v>
      </c>
      <c r="ER181" s="121" t="n">
        <f aca="false">IF(ISNA(VLOOKUP(A181,'Données projet'!$A$191:$I$211,4,0)),0,VLOOKUP(A181,'Données projet'!$A$191:$I$211,4,0))</f>
        <v>0</v>
      </c>
      <c r="ES181" s="122" t="n">
        <f aca="false">IF(ISNA(VLOOKUP(A181,'Données projet'!$A$191:$I$211,5,0)),0%,VLOOKUP(A181,'Données projet'!$A$191:$I$211,5,0)*VLOOKUP('Données projet'!$B$15,Paramètres!$A$1:$I$89,7,0))</f>
        <v>0</v>
      </c>
      <c r="ET181" s="122" t="n">
        <f aca="false">IF(ISNA(VLOOKUP(A181,'Données projet'!$A$191:$I$211,6,0)),0%,VLOOKUP(A181,'Données projet'!$A$191:$I$211,6,0)*VLOOKUP('Données projet'!$B$15,Paramètres!$A$1:$I$89,7,0))</f>
        <v>0</v>
      </c>
      <c r="EU181" s="122" t="n">
        <f aca="false">IF(ISNA(VLOOKUP(A181,'Données projet'!$A$191:$I$211,7,0)),0%,VLOOKUP(A181,'Données projet'!$A$191:$I$211,7,0))</f>
        <v>0</v>
      </c>
      <c r="EV181" s="129" t="e">
        <f aca="false">EXP(-LN(2)/35)*EV180+(1-EXP(-LN(2)/35))/(LN(2)/35)*ER181*ES181*VLOOKUP('Données projet'!$B$15,Paramètres!$A$1:$I$89,3,0)*0.475*44/12</f>
        <v>#N/A</v>
      </c>
      <c r="EW181" s="129" t="e">
        <f aca="false">EXP(-LN(2)/25)*EW180+(1-EXP(-LN(2)/25))/(LN(2)/25)*Calculateur!ER181*Calculateur!ET181*VLOOKUP('Données projet'!$B$15,Paramètres!$A$1:$I$89,3,0)*0.475*44/12</f>
        <v>#N/A</v>
      </c>
      <c r="EX181" s="129" t="e">
        <f aca="false">EXP(-LN(2)/2)*EX180+(1-EXP(-LN(2)/2))/(LN(2)/2)*ER181*EU181*VLOOKUP('Données projet'!$B$15,Paramètres!$A$1:$I$89,3,0)*0.475*44/12</f>
        <v>#N/A</v>
      </c>
      <c r="EY181" s="130" t="e">
        <f aca="false">SUM(EV181:EX181)</f>
        <v>#N/A</v>
      </c>
      <c r="EZ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8" t="e">
        <f aca="false">VLOOKUP(A181,'Données projet'!$A$217:$I$237,2,0)</f>
        <v>#N/A</v>
      </c>
      <c r="FC181" s="118" t="e">
        <f aca="false">VLOOKUP(A181,'Données projet'!$A$217:$I$237,9,0)</f>
        <v>#N/A</v>
      </c>
      <c r="FD181" s="118" t="e">
        <f aca="false" t="array" ref="FD181:FD181">INDEX(FC:FC,MIN(IF(ISNUMBER(FC181:FC377),ROW(FC181:FC377),"")))</f>
        <v>#N/A</v>
      </c>
      <c r="FE181" s="118" t="n">
        <f aca="false">IF('Données projet'!$A$218&gt;35,FE180+FD181-FM180,IF(A181&lt;'Données projet'!$A$218,$FB$205^A181,IF(A181='Données projet'!$A$218,'Données projet'!$B$218,FE180+FD181-FM180)))</f>
        <v>0</v>
      </c>
      <c r="FF181" s="125" t="e">
        <f aca="false">FE181*VLOOKUP('Données projet'!$B$16,Paramètres!$A$1:$I$89,3,0)*VLOOKUP('Données projet'!$B$16,Paramètres!$A$1:$I$89,5,0)</f>
        <v>#N/A</v>
      </c>
      <c r="FG181" s="117" t="e">
        <f aca="false">EXP(-1.0587+0.8836*LN(FF181)+0.284)</f>
        <v>#N/A</v>
      </c>
      <c r="FH181" s="128" t="e">
        <f aca="false">(FF181+FG181)*0.475*44/12</f>
        <v>#N/A</v>
      </c>
      <c r="FI181" s="120" t="e">
        <f aca="false">FH181+(EZ181+FA181)*44/12</f>
        <v>#N/A</v>
      </c>
      <c r="FJ181" s="120" t="e">
        <f aca="true">AVERAGE(OFFSET($FI$3,0,0,'Données projet'!$E$16+1,1))-AVERAGE(OFFSET($H$3,0,0,'Données projet'!$E$16+1,1))</f>
        <v>#N/A</v>
      </c>
      <c r="FK181" s="120" t="e">
        <f aca="false">$FK$3</f>
        <v>#N/A</v>
      </c>
      <c r="FL181" s="121" t="n">
        <f aca="false">IF(ISNA(VLOOKUP(A181,'Données projet'!$A$217:$I$237,3,0)),0,VLOOKUP(A181,'Données projet'!$A$217:$I$237,3,0))</f>
        <v>0</v>
      </c>
      <c r="FM181" s="121" t="n">
        <f aca="false">IF(ISNA(VLOOKUP(A181,'Données projet'!$A$217:$I$237,4,0)),0,VLOOKUP(A181,'Données projet'!$A$217:$I$237,4,0))</f>
        <v>0</v>
      </c>
      <c r="FN181" s="122" t="n">
        <f aca="false">IF(ISNA(VLOOKUP(A181,'Données projet'!$A$217:$I$237,5,0)),0%,VLOOKUP(A181,'Données projet'!$A$217:$I$237,5,0)*VLOOKUP('Données projet'!$B$16,Paramètres!$A$1:$I$89,7,0))</f>
        <v>0</v>
      </c>
      <c r="FO181" s="122" t="n">
        <f aca="false">IF(ISNA(VLOOKUP(A181,'Données projet'!$A$217:$I$237,6,0)),0%,VLOOKUP(A181,'Données projet'!$A$217:$I$237,6,0)*VLOOKUP('Données projet'!$B$16,Paramètres!$A$1:$I$89,7,0))</f>
        <v>0</v>
      </c>
      <c r="FP181" s="122" t="n">
        <f aca="false">IF(ISNA(VLOOKUP(A181,'Données projet'!$A$217:$I$237,7,0)),0%,VLOOKUP(A181,'Données projet'!$A$217:$I$237,7,0))</f>
        <v>0</v>
      </c>
      <c r="FQ181" s="129" t="e">
        <f aca="false">EXP(-LN(2)/35)*FQ180+(1-EXP(-LN(2)/35))/(LN(2)/35)*FM181*FN181*VLOOKUP('Données projet'!$B$16,Paramètres!$A$1:$I$89,3,0)*0.475*44/12</f>
        <v>#N/A</v>
      </c>
      <c r="FR181" s="129" t="e">
        <f aca="false">EXP(-LN(2)/25)*FR180+(1-EXP(-LN(2)/25))/(LN(2)/25)*Calculateur!FM181*Calculateur!FO181*VLOOKUP('Données projet'!$B$16,Paramètres!$A$1:$I$89,3,0)*0.475*44/12</f>
        <v>#N/A</v>
      </c>
      <c r="FS181" s="129" t="e">
        <f aca="false">EXP(-LN(2)/2)*FS180+(1-EXP(-LN(2)/2))/(LN(2)/2)*FM181*FP181*VLOOKUP('Données projet'!$B$16,Paramètres!$A$1:$I$89,3,0)*0.475*44/12</f>
        <v>#N/A</v>
      </c>
      <c r="FT181" s="130" t="e">
        <f aca="false">SUM(FQ181:FS181)</f>
        <v>#N/A</v>
      </c>
      <c r="FU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8" t="e">
        <f aca="false">VLOOKUP(A181,'Données projet'!$A$243:$I$263,2,0)</f>
        <v>#N/A</v>
      </c>
      <c r="FX181" s="118" t="e">
        <f aca="false">VLOOKUP(A181,'Données projet'!$A$243:$I$263,9,0)</f>
        <v>#N/A</v>
      </c>
      <c r="FY181" s="118" t="e">
        <f aca="false" t="array" ref="FY181:FY181">INDEX(FX:FX,MIN(IF(ISNUMBER(FX181:FX377),ROW(FX181:FX377),"")))</f>
        <v>#N/A</v>
      </c>
      <c r="FZ181" s="118" t="n">
        <f aca="false">IF('Données projet'!$A$244&gt;35,FZ180+FY181-GH180,IF(A181&lt;'Données projet'!$A$244,$FW$205^A181,IF(A181='Données projet'!$A$244,'Données projet'!$B$244,FZ180+FY181-GH180)))</f>
        <v>0</v>
      </c>
      <c r="GA181" s="125" t="e">
        <f aca="false">FZ181*VLOOKUP('Données projet'!$B$17,Paramètres!$A$1:$I$89,3,0)*VLOOKUP('Données projet'!$B$17,Paramètres!$A$1:$I$89,5,0)</f>
        <v>#N/A</v>
      </c>
      <c r="GB181" s="117" t="e">
        <f aca="false">EXP(-1.0587+0.8836*LN(GA181)+0.284)</f>
        <v>#N/A</v>
      </c>
      <c r="GC181" s="128" t="e">
        <f aca="false">(GA181+GB181)*0.475*44/12</f>
        <v>#N/A</v>
      </c>
      <c r="GD181" s="120" t="e">
        <f aca="false">GC181+(FU181+FV181)*44/12</f>
        <v>#N/A</v>
      </c>
      <c r="GE181" s="120" t="e">
        <f aca="true">AVERAGE(OFFSET($GD$3,0,0,'Données projet'!$E$17+1,1))-AVERAGE(OFFSET($H$3,0,0,'Données projet'!$E$17+1,1))</f>
        <v>#N/A</v>
      </c>
      <c r="GF181" s="120" t="e">
        <f aca="false">$GF$3</f>
        <v>#N/A</v>
      </c>
      <c r="GG181" s="121" t="n">
        <f aca="false">IF(ISNA(VLOOKUP(A181,'Données projet'!$A$243:$I$263,3,0)),0,VLOOKUP(A181,'Données projet'!$A$243:$I$263,3,0))</f>
        <v>0</v>
      </c>
      <c r="GH181" s="121" t="n">
        <f aca="false">IF(ISNA(VLOOKUP(A181,'Données projet'!$A$243:$I$263,4,0)),0,VLOOKUP(A181,'Données projet'!$A$243:$I$263,4,0))</f>
        <v>0</v>
      </c>
      <c r="GI181" s="122" t="n">
        <f aca="false">IF(ISNA(VLOOKUP(A181,'Données projet'!$A$243:$I$263,5,0)),0%,VLOOKUP(A181,'Données projet'!$A$243:$I$263,5,0)*VLOOKUP('Données projet'!$B$17,Paramètres!$A$1:$I$89,7,0))</f>
        <v>0</v>
      </c>
      <c r="GJ181" s="122" t="n">
        <f aca="false">IF(ISNA(VLOOKUP(A181,'Données projet'!$A$243:$I$263,6,0)),0%,VLOOKUP(A181,'Données projet'!$A$243:$I$263,6,0)*VLOOKUP('Données projet'!$B$17,Paramètres!$A$1:$I$89,7,0))</f>
        <v>0</v>
      </c>
      <c r="GK181" s="122" t="n">
        <f aca="false">IF(ISNA(VLOOKUP(A181,'Données projet'!$A$243:$I$263,7,0)),0%,VLOOKUP(A181,'Données projet'!$A$243:$I$263,7,0))</f>
        <v>0</v>
      </c>
      <c r="GL181" s="129" t="e">
        <f aca="false">EXP(-LN(2)/35)*GL180+(1-EXP(-LN(2)/35))/(LN(2)/35)*GH181*GI181*VLOOKUP('Données projet'!$B$17,Paramètres!$A$1:$I$89,3,0)*0.475*44/12</f>
        <v>#N/A</v>
      </c>
      <c r="GM181" s="129" t="e">
        <f aca="false">EXP(-LN(2)/25)*GM180+(1-EXP(-LN(2)/25))/(LN(2)/25)*Calculateur!GH181*Calculateur!GJ181*VLOOKUP('Données projet'!$B$17,Paramètres!$A$1:$I$89,3,0)*0.475*44/12</f>
        <v>#N/A</v>
      </c>
      <c r="GN181" s="129" t="e">
        <f aca="false">EXP(-LN(2)/2)*GN180+(1-EXP(-LN(2)/2))/(LN(2)/2)*GH181*GK181*VLOOKUP('Données projet'!$B$17,Paramètres!$A$1:$I$89,3,0)*0.475*44/12</f>
        <v>#N/A</v>
      </c>
      <c r="GO181" s="129" t="e">
        <f aca="false">SUM(GL181:GN181)</f>
        <v>#N/A</v>
      </c>
      <c r="GP181" s="126" t="n">
        <f aca="false"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8" t="n">
        <f aca="false"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8" t="e">
        <f aca="false">VLOOKUP(A181,'Données projet'!$A$269:$I$289,2,0)</f>
        <v>#N/A</v>
      </c>
      <c r="GS181" s="118" t="e">
        <f aca="false">VLOOKUP(A181,'Données projet'!$A$269:$I$289,9,0)</f>
        <v>#N/A</v>
      </c>
      <c r="GT181" s="118" t="e">
        <f aca="false" t="array" ref="GT181:GT181">INDEX(GS:GS,MIN(IF(ISNUMBER(GS181:GS377),ROW(GS181:GS377),"")))</f>
        <v>#N/A</v>
      </c>
      <c r="GU181" s="118" t="n">
        <f aca="false">IF('Données projet'!$A$270&gt;35,GU180+GT181-HC180,IF(A181&lt;'Données projet'!$A$270,$GR$205^A181,IF(A181='Données projet'!$A$270,'Données projet'!$B$270,GU180+GT181-HC180)))</f>
        <v>0</v>
      </c>
      <c r="GV181" s="125" t="e">
        <f aca="false">GU181*VLOOKUP('Données projet'!$B$18,Paramètres!$A$1:$I$89,3,0)*VLOOKUP('Données projet'!$B$18,Paramètres!$A$1:$I$89,5,0)</f>
        <v>#N/A</v>
      </c>
      <c r="GW181" s="117" t="e">
        <f aca="false">EXP(-1.0587+0.8836*LN(GV181)+0.284)</f>
        <v>#N/A</v>
      </c>
      <c r="GX181" s="128" t="e">
        <f aca="false">(GV181+GW181)*0.475*44/12</f>
        <v>#N/A</v>
      </c>
      <c r="GY181" s="120" t="e">
        <f aca="false">GX181+(GP181+GQ181)*44/12</f>
        <v>#N/A</v>
      </c>
      <c r="GZ181" s="120" t="e">
        <f aca="true">AVERAGE(OFFSET($GY$3,0,0,'Données projet'!$E$18+1,1))-AVERAGE(OFFSET($H$3,0,0,'Données projet'!$E$18+1,1))</f>
        <v>#N/A</v>
      </c>
      <c r="HA181" s="120" t="e">
        <f aca="false">$HA$3</f>
        <v>#N/A</v>
      </c>
      <c r="HB181" s="121" t="n">
        <f aca="false">IF(ISNA(VLOOKUP(A181,'Données projet'!$A$269:$I$289,3,0)),0,VLOOKUP(A181,'Données projet'!$A$269:$I$289,3,0))</f>
        <v>0</v>
      </c>
      <c r="HC181" s="121" t="n">
        <f aca="false">IF(ISNA(VLOOKUP(A181,'Données projet'!$A$269:$I$289,4,0)),0,VLOOKUP(A181,'Données projet'!$A$269:$I$289,4,0))</f>
        <v>0</v>
      </c>
      <c r="HD181" s="122" t="n">
        <f aca="false">IF(ISNA(VLOOKUP(A181,'Données projet'!$A$269:$I$289,5,0)),0%,VLOOKUP(A181,'Données projet'!$A$269:$I$289,5,0)*VLOOKUP('Données projet'!$B$18,Paramètres!$A$1:$I$89,7,0))</f>
        <v>0</v>
      </c>
      <c r="HE181" s="122" t="n">
        <f aca="false">IF(ISNA(VLOOKUP(A181,'Données projet'!$A$269:$I$289,6,0)),0%,VLOOKUP(A181,'Données projet'!$A$269:$I$289,6,0)*VLOOKUP('Données projet'!$B$18,Paramètres!$A$1:$I$89,7,0))</f>
        <v>0</v>
      </c>
      <c r="HF181" s="122" t="n">
        <f aca="false">IF(ISNA(VLOOKUP(A181,'Données projet'!$A$269:$I$289,7,0)),0%,VLOOKUP(A181,'Données projet'!$A$269:$I$289,7,0))</f>
        <v>0</v>
      </c>
      <c r="HG181" s="129" t="e">
        <f aca="false">EXP(-LN(2)/35)*HG180+(1-EXP(-LN(2)/35))/(LN(2)/35)*HC181*HD181*VLOOKUP('Données projet'!$B$18,Paramètres!$A$1:$I$89,3,0)*0.475*44/12</f>
        <v>#N/A</v>
      </c>
      <c r="HH181" s="129" t="e">
        <f aca="false">EXP(-LN(2)/25)*HH180+(1-EXP(-LN(2)/25))/(LN(2)/25)*Calculateur!HC181*Calculateur!HE181*VLOOKUP('Données projet'!$B$18,Paramètres!$A$1:$I$89,3,0)*0.475*44/12</f>
        <v>#N/A</v>
      </c>
      <c r="HI181" s="129" t="e">
        <f aca="false">EXP(-LN(2)/2)*HI180+(1-EXP(-LN(2)/2))/(LN(2)/2)*HC181*HF181*VLOOKUP('Données projet'!$B$18,Paramètres!$A$1:$I$89,3,0)*0.475*44/12</f>
        <v>#N/A</v>
      </c>
      <c r="HJ181" s="130" t="e">
        <f aca="false">SUM(HG181:HI181)</f>
        <v>#N/A</v>
      </c>
    </row>
    <row r="182" customFormat="false" ht="14.25" hidden="false" customHeight="false" outlineLevel="0" collapsed="false">
      <c r="A182" s="112" t="n">
        <f aca="false">A181+1</f>
        <v>179</v>
      </c>
      <c r="B182" s="113" t="n">
        <f aca="false">'Scénario référence'!$B$16*5+'Scénario référence'!$B$17*0+'Scénario référence'!$B$18*5</f>
        <v>0</v>
      </c>
      <c r="C182" s="127" t="n">
        <f aca="false"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4" t="n">
        <f aca="false">IFERROR(EXP(-1.0587+0.8836*LN(C182)+0.284),0)</f>
        <v>0</v>
      </c>
      <c r="E18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2" s="114" t="n">
        <f aca="false">IF(OR('Scénario référence'!$F$8&gt;0,'Scénario référence'!$F$9&gt;0),('Scénario référence'!$F$8+'Scénario référence'!$F$9)*10,0)</f>
        <v>0</v>
      </c>
      <c r="G182" s="114" t="n">
        <f aca="false"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15" t="n">
        <f aca="false">(B182+E182+F182)*44/12+(C182+D182)*0.475*44/12</f>
        <v>256.666666666667</v>
      </c>
      <c r="I182" s="11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7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8" t="e">
        <f aca="false">VLOOKUP(A182,'Données projet'!$A$35:$I$55,2,0)</f>
        <v>#N/A</v>
      </c>
      <c r="L182" s="118" t="e">
        <f aca="false">VLOOKUP(A182,'Données projet'!$A$35:$I$55,9,0)</f>
        <v>#N/A</v>
      </c>
      <c r="M182" s="118" t="e">
        <f aca="false" t="array" ref="M182:M182">INDEX(L:L,MIN(IF(ISNUMBER(L182:L378),ROW(L182:L378),"")))</f>
        <v>#N/A</v>
      </c>
      <c r="N182" s="117" t="n">
        <f aca="false">IF('Données projet'!$A$36&gt;35,N181+M182-V181,IF(A182&lt;'Données projet'!$A$36,$K$205^A182,IF(A182='Données projet'!$A$36,'Données projet'!$B$36,N181+M182-V181)))</f>
        <v>-1.13686837721616E-013</v>
      </c>
      <c r="O182" s="117" t="n">
        <f aca="false">N182*VLOOKUP('Données projet'!$B$9,Paramètres!$A$1:$I$89,3,0)*VLOOKUP('Données projet'!$B$9,Paramètres!$A$1:$I$89,5,0)</f>
        <v>-5.32054400537163E-014</v>
      </c>
      <c r="P182" s="117" t="e">
        <f aca="false">EXP(-1.0587+0.8836*LN(O182)+0.284)</f>
        <v>#VALUE!</v>
      </c>
      <c r="Q182" s="128" t="e">
        <f aca="false">(O182+P182)*0.475*44/12</f>
        <v>#VALUE!</v>
      </c>
      <c r="R182" s="120" t="e">
        <f aca="false">Q182+(I182+J182)*44/12</f>
        <v>#VALUE!</v>
      </c>
      <c r="S182" s="120" t="n">
        <f aca="true">AVERAGE(OFFSET($R$3,0,0,'Données projet'!$E$9+1,1))-AVERAGE(OFFSET($H$3,0,0,'Données projet'!$E$9+1,1))</f>
        <v>319.229030946746</v>
      </c>
      <c r="T182" s="120" t="n">
        <f aca="false">$T$3</f>
        <v>254.586909731428</v>
      </c>
      <c r="U182" s="121" t="n">
        <f aca="false">IF(ISNA(VLOOKUP(A182,'Données projet'!$A$35:$I$55,3,0)),0,VLOOKUP(A182,'Données projet'!$A$35:$I$55,3,0))</f>
        <v>0</v>
      </c>
      <c r="V182" s="121" t="n">
        <f aca="false">IF(ISNA(VLOOKUP(A182,'Données projet'!$A$35:$I$55,4,0)),0,VLOOKUP(A182,'Données projet'!$A$35:$I$55,4,0))</f>
        <v>0</v>
      </c>
      <c r="W182" s="122" t="n">
        <f aca="false">IF(ISNA(VLOOKUP(A182,'Données projet'!$A$35:$I$55,5,0)),0%,VLOOKUP(A182,'Données projet'!$A$35:$I$55,5,0)*VLOOKUP('Données projet'!$B$9,Paramètres!$A$1:$I$89,7,0))</f>
        <v>0</v>
      </c>
      <c r="X182" s="122" t="n">
        <f aca="false">IF(ISNA(VLOOKUP(A182,'Données projet'!$A$35:$I$55,6,0)),0%,VLOOKUP(A182,'Données projet'!$A$35:$I$55,6,0)*VLOOKUP('Données projet'!$B$9,Paramètres!$A$1:$I$89,7,0))</f>
        <v>0</v>
      </c>
      <c r="Y182" s="122" t="n">
        <f aca="false">IF(ISNA(VLOOKUP(A182,'Données projet'!$A$35:$I$55,7,0)),0%,VLOOKUP(A182,'Données projet'!$A$35:$I$55,7,0))</f>
        <v>0</v>
      </c>
      <c r="Z182" s="129" t="n">
        <f aca="false">EXP(-LN(2)/35)*Z181+(1-EXP(-LN(2)/35))/(LN(2)/35)*V182*W182*VLOOKUP('Données projet'!$B$9,Paramètres!$A$1:$I$89,3,0)*0.475*44/12</f>
        <v>0.474651424798624</v>
      </c>
      <c r="AA182" s="129" t="n">
        <f aca="false">EXP(-LN(2)/25)*AA181+(1-EXP(-LN(2)/25))/(LN(2)/25)*Calculateur!V182*Calculateur!X182*VLOOKUP('Données projet'!$B$9,Paramètres!$A$1:$I$89,3,0)*0.475*44/12</f>
        <v>0.179137914066379</v>
      </c>
      <c r="AB182" s="129" t="n">
        <f aca="false">EXP(-LN(2)/2)*AB181+(1-EXP(-LN(2)/2))/(LN(2)/2)*V182*Y182*VLOOKUP('Données projet'!$B$9,Paramètres!$A$1:$I$89,3,0)*0.475*44/12</f>
        <v>4.133876086137E-022</v>
      </c>
      <c r="AC182" s="130" t="n">
        <f aca="false">SUM(Z182:AB182)</f>
        <v>0.653789338865003</v>
      </c>
      <c r="AD182" s="117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7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8" t="e">
        <f aca="false">VLOOKUP(A182,'Données projet'!$A$61:$I$81,2,0)</f>
        <v>#N/A</v>
      </c>
      <c r="AG182" s="118" t="e">
        <f aca="false">VLOOKUP(A182,'Données projet'!$A$61:$I$81,9,0)</f>
        <v>#N/A</v>
      </c>
      <c r="AH182" s="118" t="e">
        <f aca="false" t="array" ref="AH182:AH182">INDEX(AG:AG,MIN(IF(ISNUMBER(AG182:AG378),ROW(AG182:AG378),"")))</f>
        <v>#N/A</v>
      </c>
      <c r="AI182" s="117" t="n">
        <f aca="false">IF('Données projet'!$A$62&gt;35,AI181+AH182-AQ181,IF(A182&lt;'Données projet'!$A$62,$AF$205^A182,IF(A182='Données projet'!$A$62,'Données projet'!$B$62,AI181+AH182-AQ181)))</f>
        <v>1.13686837721616E-013</v>
      </c>
      <c r="AJ182" s="117" t="n">
        <f aca="false">AI182*VLOOKUP('Données projet'!$B$10,Paramètres!$A$1:$I$89,3,0)*VLOOKUP('Données projet'!$B$10,Paramètres!$A$1:$I$89,5,0)</f>
        <v>6.35509422863834E-014</v>
      </c>
      <c r="AK182" s="117" t="n">
        <f aca="false">EXP(-1.0587+0.8836*LN(AJ182)+0.284)</f>
        <v>1.0064464192544E-012</v>
      </c>
      <c r="AL182" s="128" t="n">
        <f aca="false">(AJ182+AK182)*0.475*44/12</f>
        <v>1.86357873801686E-012</v>
      </c>
      <c r="AM182" s="120" t="n">
        <f aca="false">AL182+(AD182+AE182)*44/12</f>
        <v>293.333333333335</v>
      </c>
      <c r="AN182" s="120" t="n">
        <f aca="true">AVERAGE(OFFSET($AM$3,0,0,'Données projet'!$E$10+1,1))-AVERAGE(OFFSET($H$3,0,0,'Données projet'!$E$10+1,1))</f>
        <v>365.705101827279</v>
      </c>
      <c r="AO182" s="120" t="n">
        <f aca="false">$AO$3</f>
        <v>436.238338449625</v>
      </c>
      <c r="AP182" s="121" t="n">
        <f aca="false">IF(ISNA(VLOOKUP(A182,'Données projet'!$A$61:$I$81,3,0)),0,VLOOKUP(A182,'Données projet'!$A$61:$I$81,3,0))</f>
        <v>0</v>
      </c>
      <c r="AQ182" s="121" t="n">
        <f aca="false">IF(ISNA(VLOOKUP(A182,'Données projet'!$A$61:$I$81,4,0)),0,VLOOKUP(A182,'Données projet'!$A$61:$I$81,4,0))</f>
        <v>0</v>
      </c>
      <c r="AR182" s="122" t="n">
        <f aca="false">IF(ISNA(VLOOKUP(A182,'Données projet'!$A$61:$I$81,5,0)),0%,VLOOKUP(A182,'Données projet'!$A$61:$I$81,5,0)*VLOOKUP('Données projet'!$B$10,Paramètres!$A$1:$I$89,7,0))</f>
        <v>0</v>
      </c>
      <c r="AS182" s="122" t="n">
        <f aca="false">IF(ISNA(VLOOKUP(A182,'Données projet'!$A$61:$I$81,6,0)),0%,VLOOKUP(A182,'Données projet'!$A$61:$I$81,6,0)*VLOOKUP('Données projet'!$B$10,Paramètres!$A$1:$I$89,7,0))</f>
        <v>0</v>
      </c>
      <c r="AT182" s="122" t="n">
        <f aca="false">IF(ISNA(VLOOKUP(A182,'Données projet'!$A$61:$I$81,7,0)),0%,VLOOKUP(A182,'Données projet'!$A$61:$I$81,7,0))</f>
        <v>0</v>
      </c>
      <c r="AU182" s="129" t="n">
        <f aca="false">EXP(-LN(2)/35)*AU181+(1-EXP(-LN(2)/35))/(LN(2)/35)*AQ182*AR182*VLOOKUP('Données projet'!$B$10,Paramètres!$A$1:$I$89,3,0)*0.475*44/12</f>
        <v>0.179165523993191</v>
      </c>
      <c r="AV182" s="129" t="n">
        <f aca="false">EXP(-LN(2)/25)*AV181+(1-EXP(-LN(2)/25))/(LN(2)/25)*Calculateur!AQ182*Calculateur!AS182*VLOOKUP('Données projet'!$B$10,Paramètres!$A$1:$I$89,3,0)*0.475*44/12</f>
        <v>0.212179173246662</v>
      </c>
      <c r="AW182" s="129" t="n">
        <f aca="false">EXP(-LN(2)/2)*AW181+(1-EXP(-LN(2)/2))/(LN(2)/2)*AQ182*AT182*VLOOKUP('Données projet'!$B$10,Paramètres!$A$1:$I$89,3,0)*0.475*44/12</f>
        <v>2.22472290626391E-022</v>
      </c>
      <c r="AX182" s="129" t="n">
        <f aca="false">SUM(AU182:AW182)</f>
        <v>0.391344697239852</v>
      </c>
      <c r="AY182" s="124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8" t="e">
        <f aca="false">VLOOKUP(A182,'Données projet'!$A$87:$I$107,2,0)</f>
        <v>#N/A</v>
      </c>
      <c r="BB182" s="118" t="e">
        <f aca="false">VLOOKUP(A182,'Données projet'!$A$87:$I$107,9,0)</f>
        <v>#N/A</v>
      </c>
      <c r="BC182" s="118" t="e">
        <f aca="false" t="array" ref="BC182:BC182">INDEX(BB:BB,MIN(IF(ISNUMBER(BB182:BB378),ROW(BB182:BB378),"")))</f>
        <v>#N/A</v>
      </c>
      <c r="BD182" s="118" t="n">
        <f aca="false">IF('Données projet'!$A$88&gt;35,BD181+BC182-BL181,IF(A182&lt;'Données projet'!$A$88,$BA$205^A182,IF(A182='Données projet'!$A$88,'Données projet'!$B$88,BD181+BC182-BL181)))</f>
        <v>1.98951966012828E-013</v>
      </c>
      <c r="BE182" s="117" t="n">
        <f aca="false">BD182*VLOOKUP('Données projet'!$B$11,Paramètres!$A$1:$I$89,3,0)*VLOOKUP('Données projet'!$B$11,Paramètres!$A$1:$I$89,5,0)</f>
        <v>1.73804437508807E-013</v>
      </c>
      <c r="BF182" s="117" t="n">
        <f aca="false">EXP(-1.0587+0.8836*LN(BE182)+0.284)</f>
        <v>2.44832936339505E-012</v>
      </c>
      <c r="BG182" s="128" t="n">
        <f aca="false">(BE182+BF182)*0.475*44/12</f>
        <v>4.56688303657421E-012</v>
      </c>
      <c r="BH182" s="120" t="n">
        <f aca="false">BG182+(AY182+AZ182)*44/12</f>
        <v>293.333333333338</v>
      </c>
      <c r="BI182" s="120" t="n">
        <f aca="true">AVERAGE(OFFSET($BH$3,0,0,'Données projet'!$E$11+1,1))-AVERAGE(OFFSET($H$3,0,0,'Données projet'!$E$11+1,1))</f>
        <v>321.235999689929</v>
      </c>
      <c r="BJ182" s="120" t="n">
        <f aca="false">$BJ$3</f>
        <v>388.051958478005</v>
      </c>
      <c r="BK182" s="121" t="n">
        <f aca="false">IF(ISNA(VLOOKUP(A182,'Données projet'!$A$87:$I$107,3,0)),0,VLOOKUP(A182,'Données projet'!$A$87:$I$107,3,0))</f>
        <v>0</v>
      </c>
      <c r="BL182" s="121" t="n">
        <f aca="false">IF(ISNA(VLOOKUP(A182,'Données projet'!$A$87:$I$107,4,0)),0,VLOOKUP(A182,'Données projet'!$A$87:$I$107,4,0))</f>
        <v>0</v>
      </c>
      <c r="BM182" s="122" t="n">
        <f aca="false">IF(ISNA(VLOOKUP(A182,'Données projet'!$A$87:$I$107,5,0)),0%,VLOOKUP(A182,'Données projet'!$A$87:$I$107,5,0)*VLOOKUP('Données projet'!$B$11,Paramètres!$A$1:$I$89,7,0))</f>
        <v>0</v>
      </c>
      <c r="BN182" s="122" t="n">
        <f aca="false">IF(ISNA(VLOOKUP(A182,'Données projet'!$A$87:$I$107,6,0)),0%,VLOOKUP(A182,'Données projet'!$A$87:$I$107,6,0)*VLOOKUP('Données projet'!$B$11,Paramètres!$A$1:$I$89,7,0))</f>
        <v>0</v>
      </c>
      <c r="BO182" s="122" t="n">
        <f aca="false">IF(ISNA(VLOOKUP(A182,'Données projet'!$A$87:$I$107,7,0)),0%,VLOOKUP(A182,'Données projet'!$A$87:$I$107,7,0))</f>
        <v>0</v>
      </c>
      <c r="BP182" s="129" t="n">
        <f aca="false">EXP(-LN(2)/35)*BP181+(1-EXP(-LN(2)/35))/(LN(2)/35)*BL182*BM182*VLOOKUP('Données projet'!$B$11,Paramètres!$A$1:$I$89,3,0)*0.475*44/12</f>
        <v>0.449816790070756</v>
      </c>
      <c r="BQ182" s="129" t="n">
        <f aca="false">EXP(-LN(2)/25)*BQ181+(1-EXP(-LN(2)/25))/(LN(2)/25)*Calculateur!BL182*Calculateur!BN182*VLOOKUP('Données projet'!$B$11,Paramètres!$A$1:$I$89,3,0)*0.475*44/12</f>
        <v>0.216579897386487</v>
      </c>
      <c r="BR182" s="129" t="n">
        <f aca="false">EXP(-LN(2)/2)*BR181+(1-EXP(-LN(2)/2))/(LN(2)/2)*BL182*BO182*VLOOKUP('Données projet'!$B$11,Paramètres!$A$1:$I$89,3,0)*0.475*44/12</f>
        <v>2.2613845925829E-022</v>
      </c>
      <c r="BS182" s="130" t="n">
        <f aca="false">SUM(BP182:BR182)</f>
        <v>0.666396687457243</v>
      </c>
      <c r="BT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8" t="e">
        <f aca="false">VLOOKUP(A182,'Données projet'!$A$113:$I$133,2,0)</f>
        <v>#N/A</v>
      </c>
      <c r="BW182" s="118" t="e">
        <f aca="false">VLOOKUP(A182,'Données projet'!$A$113:$I$133,9,0)</f>
        <v>#N/A</v>
      </c>
      <c r="BX182" s="118" t="e">
        <f aca="false" t="array" ref="BX182:BX182">INDEX(BW:BW,MIN(IF(ISNUMBER(BW182:BW378),ROW(BW182:BW378),"")))</f>
        <v>#N/A</v>
      </c>
      <c r="BY182" s="118" t="n">
        <f aca="false">IF('Données projet'!$A$114&gt;35,BY181+BX182-CG181,IF(A182&lt;'Données projet'!$A$114,$BV$205^A182,IF(A182='Données projet'!$A$114,'Données projet'!$B$114,BY181+BX182-CG181)))</f>
        <v>0</v>
      </c>
      <c r="BZ182" s="117" t="n">
        <f aca="false">BY182*VLOOKUP('Données projet'!$B$12,Paramètres!$A$1:$I$89,3,0)*VLOOKUP('Données projet'!$B$12,Paramètres!$A$1:$I$89,5,0)</f>
        <v>0</v>
      </c>
      <c r="CA182" s="117" t="e">
        <f aca="false">EXP(-1.0587+0.8836*LN(BZ182)+0.284)</f>
        <v>#VALUE!</v>
      </c>
      <c r="CB182" s="128" t="e">
        <f aca="false">(BZ182+CA182)*0.475*44/12</f>
        <v>#VALUE!</v>
      </c>
      <c r="CC182" s="120" t="e">
        <f aca="false">CB182+(BT182+BU182)*44/12</f>
        <v>#VALUE!</v>
      </c>
      <c r="CD182" s="120" t="n">
        <f aca="true">AVERAGE(OFFSET($CC$3,0,0,'Données projet'!$E$12+1,1))-AVERAGE(OFFSET($H$3,0,0,'Données projet'!$E$12+1,1))</f>
        <v>240.228848647662</v>
      </c>
      <c r="CE182" s="120" t="n">
        <f aca="false">$CE$3</f>
        <v>343.237768841432</v>
      </c>
      <c r="CF182" s="121" t="n">
        <f aca="false">IF(ISNA(VLOOKUP(A182,'Données projet'!$A$113:$I$133,3,0)),0,VLOOKUP(A182,'Données projet'!$A$113:$I$133,3,0))</f>
        <v>0</v>
      </c>
      <c r="CG182" s="121" t="n">
        <f aca="false">IF(ISNA(VLOOKUP(A182,'Données projet'!$A$113:$I$133,4,0)),0,VLOOKUP(A182,'Données projet'!$A$113:$I$133,4,0))</f>
        <v>0</v>
      </c>
      <c r="CH182" s="122" t="n">
        <f aca="false">IF(ISNA(VLOOKUP(A182,'Données projet'!$A$113:$I$133,5,0)),0%,VLOOKUP(A182,'Données projet'!$A$113:$I$133,5,0)*VLOOKUP('Données projet'!$B$12,Paramètres!$A$1:$I$89,7,0))</f>
        <v>0</v>
      </c>
      <c r="CI182" s="122" t="n">
        <f aca="false">IF(ISNA(VLOOKUP(A182,'Données projet'!$A$113:$I$133,6,0)),0%,VLOOKUP(A182,'Données projet'!$A$113:$I$133,6,0)*VLOOKUP('Données projet'!$B$12,Paramètres!$A$1:$I$89,7,0))</f>
        <v>0</v>
      </c>
      <c r="CJ182" s="122" t="n">
        <f aca="false">IF(ISNA(VLOOKUP(A182,'Données projet'!$A$113:$I$133,7,0)),0%,VLOOKUP(A182,'Données projet'!$A$113:$I$133,7,0))</f>
        <v>0</v>
      </c>
      <c r="CK182" s="129" t="n">
        <f aca="false">EXP(-LN(2)/35)*CK181+(1-EXP(-LN(2)/35))/(LN(2)/35)*CG182*CH182*VLOOKUP('Données projet'!$B$12,Paramètres!$A$1:$I$89,3,0)*0.475*44/12</f>
        <v>0.275322919383073</v>
      </c>
      <c r="CL182" s="129" t="n">
        <f aca="false">EXP(-LN(2)/25)*CL181+(1-EXP(-LN(2)/25))/(LN(2)/25)*Calculateur!CG182*Calculateur!CI182*VLOOKUP('Données projet'!$B$12,Paramètres!$A$1:$I$89,3,0)*0.475*44/12</f>
        <v>0.382492636570253</v>
      </c>
      <c r="CM182" s="129" t="n">
        <f aca="false">EXP(-LN(2)/2)*CM181+(1-EXP(-LN(2)/2))/(LN(2)/2)*CG182*CJ182*VLOOKUP('Données projet'!$B$12,Paramètres!$A$1:$I$89,3,0)*0.475*44/12</f>
        <v>3.60856692497548E-022</v>
      </c>
      <c r="CN182" s="130" t="n">
        <f aca="false">SUM(CK182:CM182)</f>
        <v>0.657815555953326</v>
      </c>
      <c r="CO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8" t="e">
        <f aca="false">VLOOKUP(A182,'Données projet'!$A$139:$I$159,2,0)</f>
        <v>#N/A</v>
      </c>
      <c r="CR182" s="118" t="e">
        <f aca="false">VLOOKUP(A182,'Données projet'!$A$139:$I$159,9,0)</f>
        <v>#N/A</v>
      </c>
      <c r="CS182" s="118" t="e">
        <f aca="false" t="array" ref="CS182:CS182">INDEX(CR:CR,MIN(IF(ISNUMBER(CR182:CR378),ROW(CR182:CR378),"")))</f>
        <v>#N/A</v>
      </c>
      <c r="CT182" s="118" t="n">
        <f aca="false">IF('Données projet'!$A$140&gt;35,CT181+CS182-DB181,IF(A182&lt;'Données projet'!$A$140,$CQ$205^A182,IF(A182='Données projet'!$A$140,'Données projet'!$B$140,CT181+CS182-DB181)))</f>
        <v>-5.6843418860808E-014</v>
      </c>
      <c r="CU182" s="125" t="n">
        <f aca="false">CT182*VLOOKUP('Données projet'!$B$13,Paramètres!$A$1:$I$89,3,0)*VLOOKUP('Données projet'!$B$13,Paramètres!$A$1:$I$89,5,0)</f>
        <v>-3.10365066980012E-014</v>
      </c>
      <c r="CV182" s="117" t="e">
        <f aca="false">EXP(-1.0587+0.8836*LN(CU182)+0.284)</f>
        <v>#VALUE!</v>
      </c>
      <c r="CW182" s="128" t="e">
        <f aca="false">(CU182+CV182)*0.475*44/12</f>
        <v>#VALUE!</v>
      </c>
      <c r="CX182" s="120" t="e">
        <f aca="false">CW182+(CO182+CP182)*44/12</f>
        <v>#VALUE!</v>
      </c>
      <c r="CY182" s="120" t="n">
        <f aca="true">AVERAGE(OFFSET($CX$3,0,0,'Données projet'!$E$13+1,1))-AVERAGE(OFFSET($H$3,0,0,'Données projet'!$E$13+1,1))</f>
        <v>207.023069645676</v>
      </c>
      <c r="CZ182" s="120" t="n">
        <f aca="false">$CZ$3</f>
        <v>342.068879333518</v>
      </c>
      <c r="DA182" s="121" t="n">
        <f aca="false">IF(ISNA(VLOOKUP(A182,'Données projet'!$A$139:$I$159,3,0)),0,VLOOKUP(A182,'Données projet'!$A$139:$I$159,3,0))</f>
        <v>0</v>
      </c>
      <c r="DB182" s="121" t="n">
        <f aca="false">IF(ISNA(VLOOKUP(A182,'Données projet'!$A$139:$I$159,4,0)),0,VLOOKUP(A182,'Données projet'!$A$139:$I$159,4,0))</f>
        <v>0</v>
      </c>
      <c r="DC182" s="122" t="n">
        <f aca="false">IF(ISNA(VLOOKUP(A182,'Données projet'!$A$139:$I$159,5,0)),0%,VLOOKUP(A182,'Données projet'!$A$139:$I$159,5,0)*VLOOKUP('Données projet'!$B$13,Paramètres!$A$1:$I$89,7,0))</f>
        <v>0</v>
      </c>
      <c r="DD182" s="122" t="n">
        <f aca="false">IF(ISNA(VLOOKUP(A182,'Données projet'!$A$139:$I$159,6,0)),0%,VLOOKUP(A182,'Données projet'!$A$139:$I$159,6,0)*VLOOKUP('Données projet'!$B$13,Paramètres!$A$1:$I$89,7,0))</f>
        <v>0</v>
      </c>
      <c r="DE182" s="122" t="n">
        <f aca="false">IF(ISNA(VLOOKUP(A182,'Données projet'!$A$139:$I$159,7,0)),0%,VLOOKUP(A182,'Données projet'!$A$139:$I$159,7,0))</f>
        <v>0</v>
      </c>
      <c r="DF182" s="129" t="n">
        <f aca="false">EXP(-LN(2)/35)*DF181+(1-EXP(-LN(2)/35))/(LN(2)/35)*DB182*DC182*VLOOKUP('Données projet'!$B$13,Paramètres!$A$1:$I$89,3,0)*0.475*44/12</f>
        <v>0.345452342244798</v>
      </c>
      <c r="DG182" s="129" t="n">
        <f aca="false">EXP(-LN(2)/25)*DG181+(1-EXP(-LN(2)/25))/(LN(2)/25)*Calculateur!DB182*Calculateur!DD182*VLOOKUP('Données projet'!$B$13,Paramètres!$A$1:$I$89,3,0)*0.475*44/12</f>
        <v>0.625216156883007</v>
      </c>
      <c r="DH182" s="129" t="n">
        <f aca="false">EXP(-LN(2)/2)*DH181+(1-EXP(-LN(2)/2))/(LN(2)/2)*DB182*DE182*VLOOKUP('Données projet'!$B$13,Paramètres!$A$1:$I$89,3,0)*0.475*44/12</f>
        <v>4.96899832871375E-022</v>
      </c>
      <c r="DI182" s="130" t="n">
        <f aca="false">SUM(DF182:DH182)</f>
        <v>0.970668499127805</v>
      </c>
      <c r="DJ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8" t="e">
        <f aca="false">VLOOKUP(A182,'Données projet'!$A$165:$I$185,2,0)</f>
        <v>#N/A</v>
      </c>
      <c r="DM182" s="118" t="e">
        <f aca="false">VLOOKUP(A182,'Données projet'!$A$165:$I$185,9,0)</f>
        <v>#N/A</v>
      </c>
      <c r="DN182" s="118" t="e">
        <f aca="false" t="array" ref="DN182:DN182">INDEX(DM:DM,MIN(IF(ISNUMBER(DM182:DM378),ROW(DM182:DM378),"")))</f>
        <v>#N/A</v>
      </c>
      <c r="DO182" s="118" t="n">
        <f aca="false">IF('Données projet'!$A$166&gt;35,DO181+DN182-DW181,IF(A182&lt;'Données projet'!$A$166,$DL$205^A182,IF(A182='Données projet'!$A$166,'Données projet'!$B$166,DO181+DN182-DW181)))</f>
        <v>0</v>
      </c>
      <c r="DP182" s="125" t="n">
        <f aca="false">DO182*VLOOKUP('Données projet'!$B$14,Paramètres!$A$1:$I$89,3,0)*VLOOKUP('Données projet'!$B$14,Paramètres!$A$1:$I$89,5,0)</f>
        <v>0</v>
      </c>
      <c r="DQ182" s="117" t="e">
        <f aca="false">EXP(-1.0587+0.8836*LN(DP182)+0.284)</f>
        <v>#VALUE!</v>
      </c>
      <c r="DR182" s="128" t="e">
        <f aca="false">(DP182+DQ182)*0.475*44/12</f>
        <v>#VALUE!</v>
      </c>
      <c r="DS182" s="120" t="e">
        <f aca="false">DR182+(DJ182+DK182)*44/12</f>
        <v>#VALUE!</v>
      </c>
      <c r="DT182" s="120" t="n">
        <f aca="true">AVERAGE(OFFSET($DS$3,0,0,'Données projet'!$E$14+1,1))-AVERAGE(OFFSET($H$3,0,0,'Données projet'!$E$14+1,1))</f>
        <v>549.432320957297</v>
      </c>
      <c r="DU182" s="120" t="n">
        <f aca="false">$DU$3</f>
        <v>280.26155987301</v>
      </c>
      <c r="DV182" s="121" t="n">
        <f aca="false">IF(ISNA(VLOOKUP(A182,'Données projet'!$A$165:$I$185,3,0)),0,VLOOKUP(A182,'Données projet'!$A$165:$I$185,3,0))</f>
        <v>0</v>
      </c>
      <c r="DW182" s="121" t="n">
        <f aca="false">IF(ISNA(VLOOKUP(A182,'Données projet'!$A$165:$I$185,4,0)),0,VLOOKUP(A182,'Données projet'!$A$165:$I$185,4,0))</f>
        <v>0</v>
      </c>
      <c r="DX182" s="122" t="n">
        <f aca="false">IF(ISNA(VLOOKUP(A182,'Données projet'!$A$165:$I$185,5,0)),0%,VLOOKUP(A182,'Données projet'!$A$165:$I$185,5,0)*VLOOKUP('Données projet'!$B$14,Paramètres!$A$1:$I$89,7,0))</f>
        <v>0</v>
      </c>
      <c r="DY182" s="122" t="n">
        <f aca="false">IF(ISNA(VLOOKUP(A182,'Données projet'!$A$165:$I$185,6,0)),0%,VLOOKUP(A182,'Données projet'!$A$165:$I$185,6,0)*VLOOKUP('Données projet'!$B$14,Paramètres!$A$1:$I$89,7,0))</f>
        <v>0</v>
      </c>
      <c r="DZ182" s="122" t="n">
        <f aca="false">IF(ISNA(VLOOKUP(A182,'Données projet'!$A$165:$I$185,7,0)),0%,VLOOKUP(A182,'Données projet'!$A$165:$I$185,7,0))</f>
        <v>0</v>
      </c>
      <c r="EA182" s="129" t="n">
        <f aca="false">EXP(-LN(2)/35)*EA181+(1-EXP(-LN(2)/35))/(LN(2)/35)*DW182*DX182*VLOOKUP('Données projet'!$B$14,Paramètres!$A$1:$I$89,3,0)*0.475*44/12</f>
        <v>0.12560608644571</v>
      </c>
      <c r="EB182" s="129" t="n">
        <f aca="false">EXP(-LN(2)/25)*EB181+(1-EXP(-LN(2)/25))/(LN(2)/25)*Calculateur!DW182*Calculateur!DY182*VLOOKUP('Données projet'!$B$14,Paramètres!$A$1:$I$89,3,0)*0.475*44/12</f>
        <v>0.124555393749061</v>
      </c>
      <c r="EC182" s="129" t="n">
        <f aca="false">EXP(-LN(2)/2)*EC181+(1-EXP(-LN(2)/2))/(LN(2)/2)*DW182*DZ182*VLOOKUP('Données projet'!$B$14,Paramètres!$A$1:$I$89,3,0)*0.475*44/12</f>
        <v>2.29060580251483E-022</v>
      </c>
      <c r="ED182" s="130" t="n">
        <f aca="false">SUM(EA182:EC182)</f>
        <v>0.250161480194771</v>
      </c>
      <c r="EE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8" t="e">
        <f aca="false">VLOOKUP(A182,'Données projet'!$A$191:$I$211,2,0)</f>
        <v>#N/A</v>
      </c>
      <c r="EH182" s="118" t="e">
        <f aca="false">VLOOKUP(A182,'Données projet'!$A$191:$I$211,9,0)</f>
        <v>#N/A</v>
      </c>
      <c r="EI182" s="118" t="e">
        <f aca="false" t="array" ref="EI182:EI182">INDEX(EH:EH,MIN(IF(ISNUMBER(EH182:EH378),ROW(EH182:EH378),"")))</f>
        <v>#N/A</v>
      </c>
      <c r="EJ182" s="118" t="n">
        <f aca="false">IF('Données projet'!$A$192&gt;35,EJ181+EI182-ER181,IF(A182&lt;'Données projet'!$A$192,$EG$205^A182,IF(A182='Données projet'!$A$192,'Données projet'!$B$192,EJ181+EI182-ER181)))</f>
        <v>0</v>
      </c>
      <c r="EK182" s="125" t="e">
        <f aca="false">EJ182*VLOOKUP('Données projet'!$B$15,Paramètres!$A$1:$I$89,3,0)*VLOOKUP('Données projet'!$B$15,Paramètres!$A$1:$I$89,5,0)</f>
        <v>#N/A</v>
      </c>
      <c r="EL182" s="117" t="e">
        <f aca="false">EXP(-1.0587+0.8836*LN(EK182)+0.284)</f>
        <v>#N/A</v>
      </c>
      <c r="EM182" s="128" t="e">
        <f aca="false">(EK182+EL182)*0.475*44/12</f>
        <v>#N/A</v>
      </c>
      <c r="EN182" s="120" t="e">
        <f aca="false">EM182+(EE182+EF182)*44/12</f>
        <v>#N/A</v>
      </c>
      <c r="EO182" s="120" t="e">
        <f aca="true">AVERAGE(OFFSET($EN$3,0,0,'Données projet'!$E$15+1,1))-AVERAGE(OFFSET($H$3,0,0,'Données projet'!$E$15+1,1))</f>
        <v>#N/A</v>
      </c>
      <c r="EP182" s="120" t="e">
        <f aca="false">$EP$3</f>
        <v>#N/A</v>
      </c>
      <c r="EQ182" s="121" t="n">
        <f aca="false">IF(ISNA(VLOOKUP(A182,'Données projet'!$A$191:$I$211,3,0)),0,VLOOKUP(A182,'Données projet'!$A$191:$I$211,3,0))</f>
        <v>0</v>
      </c>
      <c r="ER182" s="121" t="n">
        <f aca="false">IF(ISNA(VLOOKUP(A182,'Données projet'!$A$191:$I$211,4,0)),0,VLOOKUP(A182,'Données projet'!$A$191:$I$211,4,0))</f>
        <v>0</v>
      </c>
      <c r="ES182" s="122" t="n">
        <f aca="false">IF(ISNA(VLOOKUP(A182,'Données projet'!$A$191:$I$211,5,0)),0%,VLOOKUP(A182,'Données projet'!$A$191:$I$211,5,0)*VLOOKUP('Données projet'!$B$15,Paramètres!$A$1:$I$89,7,0))</f>
        <v>0</v>
      </c>
      <c r="ET182" s="122" t="n">
        <f aca="false">IF(ISNA(VLOOKUP(A182,'Données projet'!$A$191:$I$211,6,0)),0%,VLOOKUP(A182,'Données projet'!$A$191:$I$211,6,0)*VLOOKUP('Données projet'!$B$15,Paramètres!$A$1:$I$89,7,0))</f>
        <v>0</v>
      </c>
      <c r="EU182" s="122" t="n">
        <f aca="false">IF(ISNA(VLOOKUP(A182,'Données projet'!$A$191:$I$211,7,0)),0%,VLOOKUP(A182,'Données projet'!$A$191:$I$211,7,0))</f>
        <v>0</v>
      </c>
      <c r="EV182" s="129" t="e">
        <f aca="false">EXP(-LN(2)/35)*EV181+(1-EXP(-LN(2)/35))/(LN(2)/35)*ER182*ES182*VLOOKUP('Données projet'!$B$15,Paramètres!$A$1:$I$89,3,0)*0.475*44/12</f>
        <v>#N/A</v>
      </c>
      <c r="EW182" s="129" t="e">
        <f aca="false">EXP(-LN(2)/25)*EW181+(1-EXP(-LN(2)/25))/(LN(2)/25)*Calculateur!ER182*Calculateur!ET182*VLOOKUP('Données projet'!$B$15,Paramètres!$A$1:$I$89,3,0)*0.475*44/12</f>
        <v>#N/A</v>
      </c>
      <c r="EX182" s="129" t="e">
        <f aca="false">EXP(-LN(2)/2)*EX181+(1-EXP(-LN(2)/2))/(LN(2)/2)*ER182*EU182*VLOOKUP('Données projet'!$B$15,Paramètres!$A$1:$I$89,3,0)*0.475*44/12</f>
        <v>#N/A</v>
      </c>
      <c r="EY182" s="130" t="e">
        <f aca="false">SUM(EV182:EX182)</f>
        <v>#N/A</v>
      </c>
      <c r="EZ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8" t="e">
        <f aca="false">VLOOKUP(A182,'Données projet'!$A$217:$I$237,2,0)</f>
        <v>#N/A</v>
      </c>
      <c r="FC182" s="118" t="e">
        <f aca="false">VLOOKUP(A182,'Données projet'!$A$217:$I$237,9,0)</f>
        <v>#N/A</v>
      </c>
      <c r="FD182" s="118" t="e">
        <f aca="false" t="array" ref="FD182:FD182">INDEX(FC:FC,MIN(IF(ISNUMBER(FC182:FC378),ROW(FC182:FC378),"")))</f>
        <v>#N/A</v>
      </c>
      <c r="FE182" s="118" t="n">
        <f aca="false">IF('Données projet'!$A$218&gt;35,FE181+FD182-FM181,IF(A182&lt;'Données projet'!$A$218,$FB$205^A182,IF(A182='Données projet'!$A$218,'Données projet'!$B$218,FE181+FD182-FM181)))</f>
        <v>0</v>
      </c>
      <c r="FF182" s="125" t="e">
        <f aca="false">FE182*VLOOKUP('Données projet'!$B$16,Paramètres!$A$1:$I$89,3,0)*VLOOKUP('Données projet'!$B$16,Paramètres!$A$1:$I$89,5,0)</f>
        <v>#N/A</v>
      </c>
      <c r="FG182" s="117" t="e">
        <f aca="false">EXP(-1.0587+0.8836*LN(FF182)+0.284)</f>
        <v>#N/A</v>
      </c>
      <c r="FH182" s="128" t="e">
        <f aca="false">(FF182+FG182)*0.475*44/12</f>
        <v>#N/A</v>
      </c>
      <c r="FI182" s="120" t="e">
        <f aca="false">FH182+(EZ182+FA182)*44/12</f>
        <v>#N/A</v>
      </c>
      <c r="FJ182" s="120" t="e">
        <f aca="true">AVERAGE(OFFSET($FI$3,0,0,'Données projet'!$E$16+1,1))-AVERAGE(OFFSET($H$3,0,0,'Données projet'!$E$16+1,1))</f>
        <v>#N/A</v>
      </c>
      <c r="FK182" s="120" t="e">
        <f aca="false">$FK$3</f>
        <v>#N/A</v>
      </c>
      <c r="FL182" s="121" t="n">
        <f aca="false">IF(ISNA(VLOOKUP(A182,'Données projet'!$A$217:$I$237,3,0)),0,VLOOKUP(A182,'Données projet'!$A$217:$I$237,3,0))</f>
        <v>0</v>
      </c>
      <c r="FM182" s="121" t="n">
        <f aca="false">IF(ISNA(VLOOKUP(A182,'Données projet'!$A$217:$I$237,4,0)),0,VLOOKUP(A182,'Données projet'!$A$217:$I$237,4,0))</f>
        <v>0</v>
      </c>
      <c r="FN182" s="122" t="n">
        <f aca="false">IF(ISNA(VLOOKUP(A182,'Données projet'!$A$217:$I$237,5,0)),0%,VLOOKUP(A182,'Données projet'!$A$217:$I$237,5,0)*VLOOKUP('Données projet'!$B$16,Paramètres!$A$1:$I$89,7,0))</f>
        <v>0</v>
      </c>
      <c r="FO182" s="122" t="n">
        <f aca="false">IF(ISNA(VLOOKUP(A182,'Données projet'!$A$217:$I$237,6,0)),0%,VLOOKUP(A182,'Données projet'!$A$217:$I$237,6,0)*VLOOKUP('Données projet'!$B$16,Paramètres!$A$1:$I$89,7,0))</f>
        <v>0</v>
      </c>
      <c r="FP182" s="122" t="n">
        <f aca="false">IF(ISNA(VLOOKUP(A182,'Données projet'!$A$217:$I$237,7,0)),0%,VLOOKUP(A182,'Données projet'!$A$217:$I$237,7,0))</f>
        <v>0</v>
      </c>
      <c r="FQ182" s="129" t="e">
        <f aca="false">EXP(-LN(2)/35)*FQ181+(1-EXP(-LN(2)/35))/(LN(2)/35)*FM182*FN182*VLOOKUP('Données projet'!$B$16,Paramètres!$A$1:$I$89,3,0)*0.475*44/12</f>
        <v>#N/A</v>
      </c>
      <c r="FR182" s="129" t="e">
        <f aca="false">EXP(-LN(2)/25)*FR181+(1-EXP(-LN(2)/25))/(LN(2)/25)*Calculateur!FM182*Calculateur!FO182*VLOOKUP('Données projet'!$B$16,Paramètres!$A$1:$I$89,3,0)*0.475*44/12</f>
        <v>#N/A</v>
      </c>
      <c r="FS182" s="129" t="e">
        <f aca="false">EXP(-LN(2)/2)*FS181+(1-EXP(-LN(2)/2))/(LN(2)/2)*FM182*FP182*VLOOKUP('Données projet'!$B$16,Paramètres!$A$1:$I$89,3,0)*0.475*44/12</f>
        <v>#N/A</v>
      </c>
      <c r="FT182" s="130" t="e">
        <f aca="false">SUM(FQ182:FS182)</f>
        <v>#N/A</v>
      </c>
      <c r="FU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8" t="e">
        <f aca="false">VLOOKUP(A182,'Données projet'!$A$243:$I$263,2,0)</f>
        <v>#N/A</v>
      </c>
      <c r="FX182" s="118" t="e">
        <f aca="false">VLOOKUP(A182,'Données projet'!$A$243:$I$263,9,0)</f>
        <v>#N/A</v>
      </c>
      <c r="FY182" s="118" t="e">
        <f aca="false" t="array" ref="FY182:FY182">INDEX(FX:FX,MIN(IF(ISNUMBER(FX182:FX378),ROW(FX182:FX378),"")))</f>
        <v>#N/A</v>
      </c>
      <c r="FZ182" s="118" t="n">
        <f aca="false">IF('Données projet'!$A$244&gt;35,FZ181+FY182-GH181,IF(A182&lt;'Données projet'!$A$244,$FW$205^A182,IF(A182='Données projet'!$A$244,'Données projet'!$B$244,FZ181+FY182-GH181)))</f>
        <v>0</v>
      </c>
      <c r="GA182" s="125" t="e">
        <f aca="false">FZ182*VLOOKUP('Données projet'!$B$17,Paramètres!$A$1:$I$89,3,0)*VLOOKUP('Données projet'!$B$17,Paramètres!$A$1:$I$89,5,0)</f>
        <v>#N/A</v>
      </c>
      <c r="GB182" s="117" t="e">
        <f aca="false">EXP(-1.0587+0.8836*LN(GA182)+0.284)</f>
        <v>#N/A</v>
      </c>
      <c r="GC182" s="128" t="e">
        <f aca="false">(GA182+GB182)*0.475*44/12</f>
        <v>#N/A</v>
      </c>
      <c r="GD182" s="120" t="e">
        <f aca="false">GC182+(FU182+FV182)*44/12</f>
        <v>#N/A</v>
      </c>
      <c r="GE182" s="120" t="e">
        <f aca="true">AVERAGE(OFFSET($GD$3,0,0,'Données projet'!$E$17+1,1))-AVERAGE(OFFSET($H$3,0,0,'Données projet'!$E$17+1,1))</f>
        <v>#N/A</v>
      </c>
      <c r="GF182" s="120" t="e">
        <f aca="false">$GF$3</f>
        <v>#N/A</v>
      </c>
      <c r="GG182" s="121" t="n">
        <f aca="false">IF(ISNA(VLOOKUP(A182,'Données projet'!$A$243:$I$263,3,0)),0,VLOOKUP(A182,'Données projet'!$A$243:$I$263,3,0))</f>
        <v>0</v>
      </c>
      <c r="GH182" s="121" t="n">
        <f aca="false">IF(ISNA(VLOOKUP(A182,'Données projet'!$A$243:$I$263,4,0)),0,VLOOKUP(A182,'Données projet'!$A$243:$I$263,4,0))</f>
        <v>0</v>
      </c>
      <c r="GI182" s="122" t="n">
        <f aca="false">IF(ISNA(VLOOKUP(A182,'Données projet'!$A$243:$I$263,5,0)),0%,VLOOKUP(A182,'Données projet'!$A$243:$I$263,5,0)*VLOOKUP('Données projet'!$B$17,Paramètres!$A$1:$I$89,7,0))</f>
        <v>0</v>
      </c>
      <c r="GJ182" s="122" t="n">
        <f aca="false">IF(ISNA(VLOOKUP(A182,'Données projet'!$A$243:$I$263,6,0)),0%,VLOOKUP(A182,'Données projet'!$A$243:$I$263,6,0)*VLOOKUP('Données projet'!$B$17,Paramètres!$A$1:$I$89,7,0))</f>
        <v>0</v>
      </c>
      <c r="GK182" s="122" t="n">
        <f aca="false">IF(ISNA(VLOOKUP(A182,'Données projet'!$A$243:$I$263,7,0)),0%,VLOOKUP(A182,'Données projet'!$A$243:$I$263,7,0))</f>
        <v>0</v>
      </c>
      <c r="GL182" s="129" t="e">
        <f aca="false">EXP(-LN(2)/35)*GL181+(1-EXP(-LN(2)/35))/(LN(2)/35)*GH182*GI182*VLOOKUP('Données projet'!$B$17,Paramètres!$A$1:$I$89,3,0)*0.475*44/12</f>
        <v>#N/A</v>
      </c>
      <c r="GM182" s="129" t="e">
        <f aca="false">EXP(-LN(2)/25)*GM181+(1-EXP(-LN(2)/25))/(LN(2)/25)*Calculateur!GH182*Calculateur!GJ182*VLOOKUP('Données projet'!$B$17,Paramètres!$A$1:$I$89,3,0)*0.475*44/12</f>
        <v>#N/A</v>
      </c>
      <c r="GN182" s="129" t="e">
        <f aca="false">EXP(-LN(2)/2)*GN181+(1-EXP(-LN(2)/2))/(LN(2)/2)*GH182*GK182*VLOOKUP('Données projet'!$B$17,Paramètres!$A$1:$I$89,3,0)*0.475*44/12</f>
        <v>#N/A</v>
      </c>
      <c r="GO182" s="129" t="e">
        <f aca="false">SUM(GL182:GN182)</f>
        <v>#N/A</v>
      </c>
      <c r="GP182" s="126" t="n">
        <f aca="false"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8" t="n">
        <f aca="false"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8" t="e">
        <f aca="false">VLOOKUP(A182,'Données projet'!$A$269:$I$289,2,0)</f>
        <v>#N/A</v>
      </c>
      <c r="GS182" s="118" t="e">
        <f aca="false">VLOOKUP(A182,'Données projet'!$A$269:$I$289,9,0)</f>
        <v>#N/A</v>
      </c>
      <c r="GT182" s="118" t="e">
        <f aca="false" t="array" ref="GT182:GT182">INDEX(GS:GS,MIN(IF(ISNUMBER(GS182:GS378),ROW(GS182:GS378),"")))</f>
        <v>#N/A</v>
      </c>
      <c r="GU182" s="118" t="n">
        <f aca="false">IF('Données projet'!$A$270&gt;35,GU181+GT182-HC181,IF(A182&lt;'Données projet'!$A$270,$GR$205^A182,IF(A182='Données projet'!$A$270,'Données projet'!$B$270,GU181+GT182-HC181)))</f>
        <v>0</v>
      </c>
      <c r="GV182" s="125" t="e">
        <f aca="false">GU182*VLOOKUP('Données projet'!$B$18,Paramètres!$A$1:$I$89,3,0)*VLOOKUP('Données projet'!$B$18,Paramètres!$A$1:$I$89,5,0)</f>
        <v>#N/A</v>
      </c>
      <c r="GW182" s="117" t="e">
        <f aca="false">EXP(-1.0587+0.8836*LN(GV182)+0.284)</f>
        <v>#N/A</v>
      </c>
      <c r="GX182" s="128" t="e">
        <f aca="false">(GV182+GW182)*0.475*44/12</f>
        <v>#N/A</v>
      </c>
      <c r="GY182" s="120" t="e">
        <f aca="false">GX182+(GP182+GQ182)*44/12</f>
        <v>#N/A</v>
      </c>
      <c r="GZ182" s="120" t="e">
        <f aca="true">AVERAGE(OFFSET($GY$3,0,0,'Données projet'!$E$18+1,1))-AVERAGE(OFFSET($H$3,0,0,'Données projet'!$E$18+1,1))</f>
        <v>#N/A</v>
      </c>
      <c r="HA182" s="120" t="e">
        <f aca="false">$HA$3</f>
        <v>#N/A</v>
      </c>
      <c r="HB182" s="121" t="n">
        <f aca="false">IF(ISNA(VLOOKUP(A182,'Données projet'!$A$269:$I$289,3,0)),0,VLOOKUP(A182,'Données projet'!$A$269:$I$289,3,0))</f>
        <v>0</v>
      </c>
      <c r="HC182" s="121" t="n">
        <f aca="false">IF(ISNA(VLOOKUP(A182,'Données projet'!$A$269:$I$289,4,0)),0,VLOOKUP(A182,'Données projet'!$A$269:$I$289,4,0))</f>
        <v>0</v>
      </c>
      <c r="HD182" s="122" t="n">
        <f aca="false">IF(ISNA(VLOOKUP(A182,'Données projet'!$A$269:$I$289,5,0)),0%,VLOOKUP(A182,'Données projet'!$A$269:$I$289,5,0)*VLOOKUP('Données projet'!$B$18,Paramètres!$A$1:$I$89,7,0))</f>
        <v>0</v>
      </c>
      <c r="HE182" s="122" t="n">
        <f aca="false">IF(ISNA(VLOOKUP(A182,'Données projet'!$A$269:$I$289,6,0)),0%,VLOOKUP(A182,'Données projet'!$A$269:$I$289,6,0)*VLOOKUP('Données projet'!$B$18,Paramètres!$A$1:$I$89,7,0))</f>
        <v>0</v>
      </c>
      <c r="HF182" s="122" t="n">
        <f aca="false">IF(ISNA(VLOOKUP(A182,'Données projet'!$A$269:$I$289,7,0)),0%,VLOOKUP(A182,'Données projet'!$A$269:$I$289,7,0))</f>
        <v>0</v>
      </c>
      <c r="HG182" s="129" t="e">
        <f aca="false">EXP(-LN(2)/35)*HG181+(1-EXP(-LN(2)/35))/(LN(2)/35)*HC182*HD182*VLOOKUP('Données projet'!$B$18,Paramètres!$A$1:$I$89,3,0)*0.475*44/12</f>
        <v>#N/A</v>
      </c>
      <c r="HH182" s="129" t="e">
        <f aca="false">EXP(-LN(2)/25)*HH181+(1-EXP(-LN(2)/25))/(LN(2)/25)*Calculateur!HC182*Calculateur!HE182*VLOOKUP('Données projet'!$B$18,Paramètres!$A$1:$I$89,3,0)*0.475*44/12</f>
        <v>#N/A</v>
      </c>
      <c r="HI182" s="129" t="e">
        <f aca="false">EXP(-LN(2)/2)*HI181+(1-EXP(-LN(2)/2))/(LN(2)/2)*HC182*HF182*VLOOKUP('Données projet'!$B$18,Paramètres!$A$1:$I$89,3,0)*0.475*44/12</f>
        <v>#N/A</v>
      </c>
      <c r="HJ182" s="130" t="e">
        <f aca="false">SUM(HG182:HI182)</f>
        <v>#N/A</v>
      </c>
    </row>
    <row r="183" customFormat="false" ht="14.25" hidden="false" customHeight="false" outlineLevel="0" collapsed="false">
      <c r="A183" s="112" t="n">
        <f aca="false">A182+1</f>
        <v>180</v>
      </c>
      <c r="B183" s="113" t="n">
        <f aca="false">'Scénario référence'!$B$16*5+'Scénario référence'!$B$17*0+'Scénario référence'!$B$18*5</f>
        <v>0</v>
      </c>
      <c r="C183" s="127" t="n">
        <f aca="false"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4" t="n">
        <f aca="false">IFERROR(EXP(-1.0587+0.8836*LN(C183)+0.284),0)</f>
        <v>0</v>
      </c>
      <c r="E18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3" s="114" t="n">
        <f aca="false">IF(OR('Scénario référence'!$F$8&gt;0,'Scénario référence'!$F$9&gt;0),('Scénario référence'!$F$8+'Scénario référence'!$F$9)*10,0)</f>
        <v>0</v>
      </c>
      <c r="G183" s="114" t="n">
        <f aca="false"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15" t="n">
        <f aca="false">(B183+E183+F183)*44/12+(C183+D183)*0.475*44/12</f>
        <v>256.666666666667</v>
      </c>
      <c r="I183" s="11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7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8" t="e">
        <f aca="false">VLOOKUP(A183,'Données projet'!$A$35:$I$55,2,0)</f>
        <v>#N/A</v>
      </c>
      <c r="L183" s="118" t="e">
        <f aca="false">VLOOKUP(A183,'Données projet'!$A$35:$I$55,9,0)</f>
        <v>#N/A</v>
      </c>
      <c r="M183" s="118" t="e">
        <f aca="false" t="array" ref="M183:M183">INDEX(L:L,MIN(IF(ISNUMBER(L183:L379),ROW(L183:L379),"")))</f>
        <v>#N/A</v>
      </c>
      <c r="N183" s="117" t="n">
        <f aca="false">IF('Données projet'!$A$36&gt;35,N182+M183-V182,IF(A183&lt;'Données projet'!$A$36,$K$205^A183,IF(A183='Données projet'!$A$36,'Données projet'!$B$36,N182+M183-V182)))</f>
        <v>-1.13686837721616E-013</v>
      </c>
      <c r="O183" s="117" t="n">
        <f aca="false">N183*VLOOKUP('Données projet'!$B$9,Paramètres!$A$1:$I$89,3,0)*VLOOKUP('Données projet'!$B$9,Paramètres!$A$1:$I$89,5,0)</f>
        <v>-5.32054400537163E-014</v>
      </c>
      <c r="P183" s="117" t="e">
        <f aca="false">EXP(-1.0587+0.8836*LN(O183)+0.284)</f>
        <v>#VALUE!</v>
      </c>
      <c r="Q183" s="128" t="e">
        <f aca="false">(O183+P183)*0.475*44/12</f>
        <v>#VALUE!</v>
      </c>
      <c r="R183" s="120" t="e">
        <f aca="false">Q183+(I183+J183)*44/12</f>
        <v>#VALUE!</v>
      </c>
      <c r="S183" s="120" t="n">
        <f aca="true">AVERAGE(OFFSET($R$3,0,0,'Données projet'!$E$9+1,1))-AVERAGE(OFFSET($H$3,0,0,'Données projet'!$E$9+1,1))</f>
        <v>319.229030946746</v>
      </c>
      <c r="T183" s="120" t="n">
        <f aca="false">$T$3</f>
        <v>254.586909731428</v>
      </c>
      <c r="U183" s="121" t="n">
        <f aca="false">IF(ISNA(VLOOKUP(A183,'Données projet'!$A$35:$I$55,3,0)),0,VLOOKUP(A183,'Données projet'!$A$35:$I$55,3,0))</f>
        <v>0</v>
      </c>
      <c r="V183" s="121" t="n">
        <f aca="false">IF(ISNA(VLOOKUP(A183,'Données projet'!$A$35:$I$55,4,0)),0,VLOOKUP(A183,'Données projet'!$A$35:$I$55,4,0))</f>
        <v>0</v>
      </c>
      <c r="W183" s="122" t="n">
        <f aca="false">IF(ISNA(VLOOKUP(A183,'Données projet'!$A$35:$I$55,5,0)),0%,VLOOKUP(A183,'Données projet'!$A$35:$I$55,5,0)*VLOOKUP('Données projet'!$B$9,Paramètres!$A$1:$I$89,7,0))</f>
        <v>0</v>
      </c>
      <c r="X183" s="122" t="n">
        <f aca="false">IF(ISNA(VLOOKUP(A183,'Données projet'!$A$35:$I$55,6,0)),0%,VLOOKUP(A183,'Données projet'!$A$35:$I$55,6,0)*VLOOKUP('Données projet'!$B$9,Paramètres!$A$1:$I$89,7,0))</f>
        <v>0</v>
      </c>
      <c r="Y183" s="122" t="n">
        <f aca="false">IF(ISNA(VLOOKUP(A183,'Données projet'!$A$35:$I$55,7,0)),0%,VLOOKUP(A183,'Données projet'!$A$35:$I$55,7,0))</f>
        <v>0</v>
      </c>
      <c r="Z183" s="129" t="n">
        <f aca="false">EXP(-LN(2)/35)*Z182+(1-EXP(-LN(2)/35))/(LN(2)/35)*V183*W183*VLOOKUP('Données projet'!$B$9,Paramètres!$A$1:$I$89,3,0)*0.475*44/12</f>
        <v>0.465343799867106</v>
      </c>
      <c r="AA183" s="129" t="n">
        <f aca="false">EXP(-LN(2)/25)*AA182+(1-EXP(-LN(2)/25))/(LN(2)/25)*Calculateur!V183*Calculateur!X183*VLOOKUP('Données projet'!$B$9,Paramètres!$A$1:$I$89,3,0)*0.475*44/12</f>
        <v>0.17423937838578</v>
      </c>
      <c r="AB183" s="129" t="n">
        <f aca="false">EXP(-LN(2)/2)*AB182+(1-EXP(-LN(2)/2))/(LN(2)/2)*V183*Y183*VLOOKUP('Données projet'!$B$9,Paramètres!$A$1:$I$89,3,0)*0.475*44/12</f>
        <v>2.92309181309238E-022</v>
      </c>
      <c r="AC183" s="130" t="n">
        <f aca="false">SUM(Z183:AB183)</f>
        <v>0.639583178252886</v>
      </c>
      <c r="AD183" s="117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7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8" t="e">
        <f aca="false">VLOOKUP(A183,'Données projet'!$A$61:$I$81,2,0)</f>
        <v>#N/A</v>
      </c>
      <c r="AG183" s="118" t="e">
        <f aca="false">VLOOKUP(A183,'Données projet'!$A$61:$I$81,9,0)</f>
        <v>#N/A</v>
      </c>
      <c r="AH183" s="118" t="e">
        <f aca="false" t="array" ref="AH183:AH183">INDEX(AG:AG,MIN(IF(ISNUMBER(AG183:AG379),ROW(AG183:AG379),"")))</f>
        <v>#N/A</v>
      </c>
      <c r="AI183" s="117" t="n">
        <f aca="false">IF('Données projet'!$A$62&gt;35,AI182+AH183-AQ182,IF(A183&lt;'Données projet'!$A$62,$AF$205^A183,IF(A183='Données projet'!$A$62,'Données projet'!$B$62,AI182+AH183-AQ182)))</f>
        <v>1.13686837721616E-013</v>
      </c>
      <c r="AJ183" s="117" t="n">
        <f aca="false">AI183*VLOOKUP('Données projet'!$B$10,Paramètres!$A$1:$I$89,3,0)*VLOOKUP('Données projet'!$B$10,Paramètres!$A$1:$I$89,5,0)</f>
        <v>6.35509422863834E-014</v>
      </c>
      <c r="AK183" s="117" t="n">
        <f aca="false">EXP(-1.0587+0.8836*LN(AJ183)+0.284)</f>
        <v>1.0064464192544E-012</v>
      </c>
      <c r="AL183" s="128" t="n">
        <f aca="false">(AJ183+AK183)*0.475*44/12</f>
        <v>1.86357873801686E-012</v>
      </c>
      <c r="AM183" s="120" t="n">
        <f aca="false">AL183+(AD183+AE183)*44/12</f>
        <v>293.333333333335</v>
      </c>
      <c r="AN183" s="120" t="n">
        <f aca="true">AVERAGE(OFFSET($AM$3,0,0,'Données projet'!$E$10+1,1))-AVERAGE(OFFSET($H$3,0,0,'Données projet'!$E$10+1,1))</f>
        <v>365.705101827279</v>
      </c>
      <c r="AO183" s="120" t="n">
        <f aca="false">$AO$3</f>
        <v>436.238338449625</v>
      </c>
      <c r="AP183" s="121" t="n">
        <f aca="false">IF(ISNA(VLOOKUP(A183,'Données projet'!$A$61:$I$81,3,0)),0,VLOOKUP(A183,'Données projet'!$A$61:$I$81,3,0))</f>
        <v>0</v>
      </c>
      <c r="AQ183" s="121" t="n">
        <f aca="false">IF(ISNA(VLOOKUP(A183,'Données projet'!$A$61:$I$81,4,0)),0,VLOOKUP(A183,'Données projet'!$A$61:$I$81,4,0))</f>
        <v>0</v>
      </c>
      <c r="AR183" s="122" t="n">
        <f aca="false">IF(ISNA(VLOOKUP(A183,'Données projet'!$A$61:$I$81,5,0)),0%,VLOOKUP(A183,'Données projet'!$A$61:$I$81,5,0)*VLOOKUP('Données projet'!$B$10,Paramètres!$A$1:$I$89,7,0))</f>
        <v>0</v>
      </c>
      <c r="AS183" s="122" t="n">
        <f aca="false">IF(ISNA(VLOOKUP(A183,'Données projet'!$A$61:$I$81,6,0)),0%,VLOOKUP(A183,'Données projet'!$A$61:$I$81,6,0)*VLOOKUP('Données projet'!$B$10,Paramètres!$A$1:$I$89,7,0))</f>
        <v>0</v>
      </c>
      <c r="AT183" s="122" t="n">
        <f aca="false">IF(ISNA(VLOOKUP(A183,'Données projet'!$A$61:$I$81,7,0)),0%,VLOOKUP(A183,'Données projet'!$A$61:$I$81,7,0))</f>
        <v>0</v>
      </c>
      <c r="AU183" s="129" t="n">
        <f aca="false">EXP(-LN(2)/35)*AU182+(1-EXP(-LN(2)/35))/(LN(2)/35)*AQ183*AR183*VLOOKUP('Données projet'!$B$10,Paramètres!$A$1:$I$89,3,0)*0.475*44/12</f>
        <v>0.175652197347863</v>
      </c>
      <c r="AV183" s="129" t="n">
        <f aca="false">EXP(-LN(2)/25)*AV182+(1-EXP(-LN(2)/25))/(LN(2)/25)*Calculateur!AQ183*Calculateur!AS183*VLOOKUP('Données projet'!$B$10,Paramètres!$A$1:$I$89,3,0)*0.475*44/12</f>
        <v>0.206377122596214</v>
      </c>
      <c r="AW183" s="129" t="n">
        <f aca="false">EXP(-LN(2)/2)*AW182+(1-EXP(-LN(2)/2))/(LN(2)/2)*AQ183*AT183*VLOOKUP('Données projet'!$B$10,Paramètres!$A$1:$I$89,3,0)*0.475*44/12</f>
        <v>1.57311665328025E-022</v>
      </c>
      <c r="AX183" s="129" t="n">
        <f aca="false">SUM(AU183:AW183)</f>
        <v>0.382029319944077</v>
      </c>
      <c r="AY183" s="124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8" t="e">
        <f aca="false">VLOOKUP(A183,'Données projet'!$A$87:$I$107,2,0)</f>
        <v>#N/A</v>
      </c>
      <c r="BB183" s="118" t="e">
        <f aca="false">VLOOKUP(A183,'Données projet'!$A$87:$I$107,9,0)</f>
        <v>#N/A</v>
      </c>
      <c r="BC183" s="118" t="e">
        <f aca="false" t="array" ref="BC183:BC183">INDEX(BB:BB,MIN(IF(ISNUMBER(BB183:BB379),ROW(BB183:BB379),"")))</f>
        <v>#N/A</v>
      </c>
      <c r="BD183" s="118" t="n">
        <f aca="false">IF('Données projet'!$A$88&gt;35,BD182+BC183-BL182,IF(A183&lt;'Données projet'!$A$88,$BA$205^A183,IF(A183='Données projet'!$A$88,'Données projet'!$B$88,BD182+BC183-BL182)))</f>
        <v>1.98951966012828E-013</v>
      </c>
      <c r="BE183" s="117" t="n">
        <f aca="false">BD183*VLOOKUP('Données projet'!$B$11,Paramètres!$A$1:$I$89,3,0)*VLOOKUP('Données projet'!$B$11,Paramètres!$A$1:$I$89,5,0)</f>
        <v>1.73804437508807E-013</v>
      </c>
      <c r="BF183" s="117" t="n">
        <f aca="false">EXP(-1.0587+0.8836*LN(BE183)+0.284)</f>
        <v>2.44832936339505E-012</v>
      </c>
      <c r="BG183" s="128" t="n">
        <f aca="false">(BE183+BF183)*0.475*44/12</f>
        <v>4.56688303657421E-012</v>
      </c>
      <c r="BH183" s="120" t="n">
        <f aca="false">BG183+(AY183+AZ183)*44/12</f>
        <v>293.333333333338</v>
      </c>
      <c r="BI183" s="120" t="n">
        <f aca="true">AVERAGE(OFFSET($BH$3,0,0,'Données projet'!$E$11+1,1))-AVERAGE(OFFSET($H$3,0,0,'Données projet'!$E$11+1,1))</f>
        <v>321.235999689929</v>
      </c>
      <c r="BJ183" s="120" t="n">
        <f aca="false">$BJ$3</f>
        <v>388.051958478005</v>
      </c>
      <c r="BK183" s="121" t="n">
        <f aca="false">IF(ISNA(VLOOKUP(A183,'Données projet'!$A$87:$I$107,3,0)),0,VLOOKUP(A183,'Données projet'!$A$87:$I$107,3,0))</f>
        <v>0</v>
      </c>
      <c r="BL183" s="121" t="n">
        <f aca="false">IF(ISNA(VLOOKUP(A183,'Données projet'!$A$87:$I$107,4,0)),0,VLOOKUP(A183,'Données projet'!$A$87:$I$107,4,0))</f>
        <v>0</v>
      </c>
      <c r="BM183" s="122" t="n">
        <f aca="false">IF(ISNA(VLOOKUP(A183,'Données projet'!$A$87:$I$107,5,0)),0%,VLOOKUP(A183,'Données projet'!$A$87:$I$107,5,0)*VLOOKUP('Données projet'!$B$11,Paramètres!$A$1:$I$89,7,0))</f>
        <v>0</v>
      </c>
      <c r="BN183" s="122" t="n">
        <f aca="false">IF(ISNA(VLOOKUP(A183,'Données projet'!$A$87:$I$107,6,0)),0%,VLOOKUP(A183,'Données projet'!$A$87:$I$107,6,0)*VLOOKUP('Données projet'!$B$11,Paramètres!$A$1:$I$89,7,0))</f>
        <v>0</v>
      </c>
      <c r="BO183" s="122" t="n">
        <f aca="false">IF(ISNA(VLOOKUP(A183,'Données projet'!$A$87:$I$107,7,0)),0%,VLOOKUP(A183,'Données projet'!$A$87:$I$107,7,0))</f>
        <v>0</v>
      </c>
      <c r="BP183" s="129" t="n">
        <f aca="false">EXP(-LN(2)/35)*BP182+(1-EXP(-LN(2)/35))/(LN(2)/35)*BL183*BM183*VLOOKUP('Données projet'!$B$11,Paramètres!$A$1:$I$89,3,0)*0.475*44/12</f>
        <v>0.440996157178619</v>
      </c>
      <c r="BQ183" s="129" t="n">
        <f aca="false">EXP(-LN(2)/25)*BQ182+(1-EXP(-LN(2)/25))/(LN(2)/25)*Calculateur!BL183*Calculateur!BN183*VLOOKUP('Données projet'!$B$11,Paramètres!$A$1:$I$89,3,0)*0.475*44/12</f>
        <v>0.210657508703012</v>
      </c>
      <c r="BR183" s="129" t="n">
        <f aca="false">EXP(-LN(2)/2)*BR182+(1-EXP(-LN(2)/2))/(LN(2)/2)*BL183*BO183*VLOOKUP('Données projet'!$B$11,Paramètres!$A$1:$I$89,3,0)*0.475*44/12</f>
        <v>1.59904038028614E-022</v>
      </c>
      <c r="BS183" s="130" t="n">
        <f aca="false">SUM(BP183:BR183)</f>
        <v>0.651653665881631</v>
      </c>
      <c r="BT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8" t="e">
        <f aca="false">VLOOKUP(A183,'Données projet'!$A$113:$I$133,2,0)</f>
        <v>#N/A</v>
      </c>
      <c r="BW183" s="118" t="e">
        <f aca="false">VLOOKUP(A183,'Données projet'!$A$113:$I$133,9,0)</f>
        <v>#N/A</v>
      </c>
      <c r="BX183" s="118" t="e">
        <f aca="false" t="array" ref="BX183:BX183">INDEX(BW:BW,MIN(IF(ISNUMBER(BW183:BW379),ROW(BW183:BW379),"")))</f>
        <v>#N/A</v>
      </c>
      <c r="BY183" s="118" t="n">
        <f aca="false">IF('Données projet'!$A$114&gt;35,BY182+BX183-CG182,IF(A183&lt;'Données projet'!$A$114,$BV$205^A183,IF(A183='Données projet'!$A$114,'Données projet'!$B$114,BY182+BX183-CG182)))</f>
        <v>0</v>
      </c>
      <c r="BZ183" s="117" t="n">
        <f aca="false">BY183*VLOOKUP('Données projet'!$B$12,Paramètres!$A$1:$I$89,3,0)*VLOOKUP('Données projet'!$B$12,Paramètres!$A$1:$I$89,5,0)</f>
        <v>0</v>
      </c>
      <c r="CA183" s="117" t="e">
        <f aca="false">EXP(-1.0587+0.8836*LN(BZ183)+0.284)</f>
        <v>#VALUE!</v>
      </c>
      <c r="CB183" s="128" t="e">
        <f aca="false">(BZ183+CA183)*0.475*44/12</f>
        <v>#VALUE!</v>
      </c>
      <c r="CC183" s="120" t="e">
        <f aca="false">CB183+(BT183+BU183)*44/12</f>
        <v>#VALUE!</v>
      </c>
      <c r="CD183" s="120" t="n">
        <f aca="true">AVERAGE(OFFSET($CC$3,0,0,'Données projet'!$E$12+1,1))-AVERAGE(OFFSET($H$3,0,0,'Données projet'!$E$12+1,1))</f>
        <v>240.228848647662</v>
      </c>
      <c r="CE183" s="120" t="n">
        <f aca="false">$CE$3</f>
        <v>343.237768841432</v>
      </c>
      <c r="CF183" s="121" t="n">
        <f aca="false">IF(ISNA(VLOOKUP(A183,'Données projet'!$A$113:$I$133,3,0)),0,VLOOKUP(A183,'Données projet'!$A$113:$I$133,3,0))</f>
        <v>0</v>
      </c>
      <c r="CG183" s="121" t="n">
        <f aca="false">IF(ISNA(VLOOKUP(A183,'Données projet'!$A$113:$I$133,4,0)),0,VLOOKUP(A183,'Données projet'!$A$113:$I$133,4,0))</f>
        <v>0</v>
      </c>
      <c r="CH183" s="122" t="n">
        <f aca="false">IF(ISNA(VLOOKUP(A183,'Données projet'!$A$113:$I$133,5,0)),0%,VLOOKUP(A183,'Données projet'!$A$113:$I$133,5,0)*VLOOKUP('Données projet'!$B$12,Paramètres!$A$1:$I$89,7,0))</f>
        <v>0</v>
      </c>
      <c r="CI183" s="122" t="n">
        <f aca="false">IF(ISNA(VLOOKUP(A183,'Données projet'!$A$113:$I$133,6,0)),0%,VLOOKUP(A183,'Données projet'!$A$113:$I$133,6,0)*VLOOKUP('Données projet'!$B$12,Paramètres!$A$1:$I$89,7,0))</f>
        <v>0</v>
      </c>
      <c r="CJ183" s="122" t="n">
        <f aca="false">IF(ISNA(VLOOKUP(A183,'Données projet'!$A$113:$I$133,7,0)),0%,VLOOKUP(A183,'Données projet'!$A$113:$I$133,7,0))</f>
        <v>0</v>
      </c>
      <c r="CK183" s="129" t="n">
        <f aca="false">EXP(-LN(2)/35)*CK182+(1-EXP(-LN(2)/35))/(LN(2)/35)*CG183*CH183*VLOOKUP('Données projet'!$B$12,Paramètres!$A$1:$I$89,3,0)*0.475*44/12</f>
        <v>0.26992400486437</v>
      </c>
      <c r="CL183" s="129" t="n">
        <f aca="false">EXP(-LN(2)/25)*CL182+(1-EXP(-LN(2)/25))/(LN(2)/25)*Calculateur!CG183*Calculateur!CI183*VLOOKUP('Données projet'!$B$12,Paramètres!$A$1:$I$89,3,0)*0.475*44/12</f>
        <v>0.372033355308826</v>
      </c>
      <c r="CM183" s="129" t="n">
        <f aca="false">EXP(-LN(2)/2)*CM182+(1-EXP(-LN(2)/2))/(LN(2)/2)*CG183*CJ183*VLOOKUP('Données projet'!$B$12,Paramètres!$A$1:$I$89,3,0)*0.475*44/12</f>
        <v>2.55164214301565E-022</v>
      </c>
      <c r="CN183" s="130" t="n">
        <f aca="false">SUM(CK183:CM183)</f>
        <v>0.641957360173196</v>
      </c>
      <c r="CO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8" t="e">
        <f aca="false">VLOOKUP(A183,'Données projet'!$A$139:$I$159,2,0)</f>
        <v>#N/A</v>
      </c>
      <c r="CR183" s="118" t="e">
        <f aca="false">VLOOKUP(A183,'Données projet'!$A$139:$I$159,9,0)</f>
        <v>#N/A</v>
      </c>
      <c r="CS183" s="118" t="e">
        <f aca="false" t="array" ref="CS183:CS183">INDEX(CR:CR,MIN(IF(ISNUMBER(CR183:CR379),ROW(CR183:CR379),"")))</f>
        <v>#N/A</v>
      </c>
      <c r="CT183" s="118" t="n">
        <f aca="false">IF('Données projet'!$A$140&gt;35,CT182+CS183-DB182,IF(A183&lt;'Données projet'!$A$140,$CQ$205^A183,IF(A183='Données projet'!$A$140,'Données projet'!$B$140,CT182+CS183-DB182)))</f>
        <v>-5.6843418860808E-014</v>
      </c>
      <c r="CU183" s="125" t="n">
        <f aca="false">CT183*VLOOKUP('Données projet'!$B$13,Paramètres!$A$1:$I$89,3,0)*VLOOKUP('Données projet'!$B$13,Paramètres!$A$1:$I$89,5,0)</f>
        <v>-3.10365066980012E-014</v>
      </c>
      <c r="CV183" s="117" t="e">
        <f aca="false">EXP(-1.0587+0.8836*LN(CU183)+0.284)</f>
        <v>#VALUE!</v>
      </c>
      <c r="CW183" s="128" t="e">
        <f aca="false">(CU183+CV183)*0.475*44/12</f>
        <v>#VALUE!</v>
      </c>
      <c r="CX183" s="120" t="e">
        <f aca="false">CW183+(CO183+CP183)*44/12</f>
        <v>#VALUE!</v>
      </c>
      <c r="CY183" s="120" t="n">
        <f aca="true">AVERAGE(OFFSET($CX$3,0,0,'Données projet'!$E$13+1,1))-AVERAGE(OFFSET($H$3,0,0,'Données projet'!$E$13+1,1))</f>
        <v>207.023069645676</v>
      </c>
      <c r="CZ183" s="120" t="n">
        <f aca="false">$CZ$3</f>
        <v>342.068879333518</v>
      </c>
      <c r="DA183" s="121" t="n">
        <f aca="false">IF(ISNA(VLOOKUP(A183,'Données projet'!$A$139:$I$159,3,0)),0,VLOOKUP(A183,'Données projet'!$A$139:$I$159,3,0))</f>
        <v>0</v>
      </c>
      <c r="DB183" s="121" t="n">
        <f aca="false">IF(ISNA(VLOOKUP(A183,'Données projet'!$A$139:$I$159,4,0)),0,VLOOKUP(A183,'Données projet'!$A$139:$I$159,4,0))</f>
        <v>0</v>
      </c>
      <c r="DC183" s="122" t="n">
        <f aca="false">IF(ISNA(VLOOKUP(A183,'Données projet'!$A$139:$I$159,5,0)),0%,VLOOKUP(A183,'Données projet'!$A$139:$I$159,5,0)*VLOOKUP('Données projet'!$B$13,Paramètres!$A$1:$I$89,7,0))</f>
        <v>0</v>
      </c>
      <c r="DD183" s="122" t="n">
        <f aca="false">IF(ISNA(VLOOKUP(A183,'Données projet'!$A$139:$I$159,6,0)),0%,VLOOKUP(A183,'Données projet'!$A$139:$I$159,6,0)*VLOOKUP('Données projet'!$B$13,Paramètres!$A$1:$I$89,7,0))</f>
        <v>0</v>
      </c>
      <c r="DE183" s="122" t="n">
        <f aca="false">IF(ISNA(VLOOKUP(A183,'Données projet'!$A$139:$I$159,7,0)),0%,VLOOKUP(A183,'Données projet'!$A$139:$I$159,7,0))</f>
        <v>0</v>
      </c>
      <c r="DF183" s="129" t="n">
        <f aca="false">EXP(-LN(2)/35)*DF182+(1-EXP(-LN(2)/35))/(LN(2)/35)*DB183*DC183*VLOOKUP('Données projet'!$B$13,Paramètres!$A$1:$I$89,3,0)*0.475*44/12</f>
        <v>0.338678232518501</v>
      </c>
      <c r="DG183" s="129" t="n">
        <f aca="false">EXP(-LN(2)/25)*DG182+(1-EXP(-LN(2)/25))/(LN(2)/25)*Calculateur!DB183*Calculateur!DD183*VLOOKUP('Données projet'!$B$13,Paramètres!$A$1:$I$89,3,0)*0.475*44/12</f>
        <v>0.608119588194352</v>
      </c>
      <c r="DH183" s="129" t="n">
        <f aca="false">EXP(-LN(2)/2)*DH182+(1-EXP(-LN(2)/2))/(LN(2)/2)*DB183*DE183*VLOOKUP('Données projet'!$B$13,Paramètres!$A$1:$I$89,3,0)*0.475*44/12</f>
        <v>3.51361241393811E-022</v>
      </c>
      <c r="DI183" s="130" t="n">
        <f aca="false">SUM(DF183:DH183)</f>
        <v>0.946797820712853</v>
      </c>
      <c r="DJ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8" t="e">
        <f aca="false">VLOOKUP(A183,'Données projet'!$A$165:$I$185,2,0)</f>
        <v>#N/A</v>
      </c>
      <c r="DM183" s="118" t="e">
        <f aca="false">VLOOKUP(A183,'Données projet'!$A$165:$I$185,9,0)</f>
        <v>#N/A</v>
      </c>
      <c r="DN183" s="118" t="e">
        <f aca="false" t="array" ref="DN183:DN183">INDEX(DM:DM,MIN(IF(ISNUMBER(DM183:DM379),ROW(DM183:DM379),"")))</f>
        <v>#N/A</v>
      </c>
      <c r="DO183" s="118" t="n">
        <f aca="false">IF('Données projet'!$A$166&gt;35,DO182+DN183-DW182,IF(A183&lt;'Données projet'!$A$166,$DL$205^A183,IF(A183='Données projet'!$A$166,'Données projet'!$B$166,DO182+DN183-DW182)))</f>
        <v>0</v>
      </c>
      <c r="DP183" s="125" t="n">
        <f aca="false">DO183*VLOOKUP('Données projet'!$B$14,Paramètres!$A$1:$I$89,3,0)*VLOOKUP('Données projet'!$B$14,Paramètres!$A$1:$I$89,5,0)</f>
        <v>0</v>
      </c>
      <c r="DQ183" s="117" t="e">
        <f aca="false">EXP(-1.0587+0.8836*LN(DP183)+0.284)</f>
        <v>#VALUE!</v>
      </c>
      <c r="DR183" s="128" t="e">
        <f aca="false">(DP183+DQ183)*0.475*44/12</f>
        <v>#VALUE!</v>
      </c>
      <c r="DS183" s="120" t="e">
        <f aca="false">DR183+(DJ183+DK183)*44/12</f>
        <v>#VALUE!</v>
      </c>
      <c r="DT183" s="120" t="n">
        <f aca="true">AVERAGE(OFFSET($DS$3,0,0,'Données projet'!$E$14+1,1))-AVERAGE(OFFSET($H$3,0,0,'Données projet'!$E$14+1,1))</f>
        <v>549.432320957297</v>
      </c>
      <c r="DU183" s="120" t="n">
        <f aca="false">$DU$3</f>
        <v>280.26155987301</v>
      </c>
      <c r="DV183" s="121" t="n">
        <f aca="false">IF(ISNA(VLOOKUP(A183,'Données projet'!$A$165:$I$185,3,0)),0,VLOOKUP(A183,'Données projet'!$A$165:$I$185,3,0))</f>
        <v>0</v>
      </c>
      <c r="DW183" s="121" t="n">
        <f aca="false">IF(ISNA(VLOOKUP(A183,'Données projet'!$A$165:$I$185,4,0)),0,VLOOKUP(A183,'Données projet'!$A$165:$I$185,4,0))</f>
        <v>0</v>
      </c>
      <c r="DX183" s="122" t="n">
        <f aca="false">IF(ISNA(VLOOKUP(A183,'Données projet'!$A$165:$I$185,5,0)),0%,VLOOKUP(A183,'Données projet'!$A$165:$I$185,5,0)*VLOOKUP('Données projet'!$B$14,Paramètres!$A$1:$I$89,7,0))</f>
        <v>0</v>
      </c>
      <c r="DY183" s="122" t="n">
        <f aca="false">IF(ISNA(VLOOKUP(A183,'Données projet'!$A$165:$I$185,6,0)),0%,VLOOKUP(A183,'Données projet'!$A$165:$I$185,6,0)*VLOOKUP('Données projet'!$B$14,Paramètres!$A$1:$I$89,7,0))</f>
        <v>0</v>
      </c>
      <c r="DZ183" s="122" t="n">
        <f aca="false">IF(ISNA(VLOOKUP(A183,'Données projet'!$A$165:$I$185,7,0)),0%,VLOOKUP(A183,'Données projet'!$A$165:$I$185,7,0))</f>
        <v>0</v>
      </c>
      <c r="EA183" s="129" t="n">
        <f aca="false">EXP(-LN(2)/35)*EA182+(1-EXP(-LN(2)/35))/(LN(2)/35)*DW183*DX183*VLOOKUP('Données projet'!$B$14,Paramètres!$A$1:$I$89,3,0)*0.475*44/12</f>
        <v>0.123143027702658</v>
      </c>
      <c r="EB183" s="129" t="n">
        <f aca="false">EXP(-LN(2)/25)*EB182+(1-EXP(-LN(2)/25))/(LN(2)/25)*Calculateur!DW183*Calculateur!DY183*VLOOKUP('Données projet'!$B$14,Paramètres!$A$1:$I$89,3,0)*0.475*44/12</f>
        <v>0.12114941995691</v>
      </c>
      <c r="EC183" s="129" t="n">
        <f aca="false">EXP(-LN(2)/2)*EC182+(1-EXP(-LN(2)/2))/(LN(2)/2)*DW183*DZ183*VLOOKUP('Données projet'!$B$14,Paramètres!$A$1:$I$89,3,0)*0.475*44/12</f>
        <v>1.61970289598349E-022</v>
      </c>
      <c r="ED183" s="130" t="n">
        <f aca="false">SUM(EA183:EC183)</f>
        <v>0.244292447659567</v>
      </c>
      <c r="EE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8" t="e">
        <f aca="false">VLOOKUP(A183,'Données projet'!$A$191:$I$211,2,0)</f>
        <v>#N/A</v>
      </c>
      <c r="EH183" s="118" t="e">
        <f aca="false">VLOOKUP(A183,'Données projet'!$A$191:$I$211,9,0)</f>
        <v>#N/A</v>
      </c>
      <c r="EI183" s="118" t="e">
        <f aca="false" t="array" ref="EI183:EI183">INDEX(EH:EH,MIN(IF(ISNUMBER(EH183:EH379),ROW(EH183:EH379),"")))</f>
        <v>#N/A</v>
      </c>
      <c r="EJ183" s="118" t="n">
        <f aca="false">IF('Données projet'!$A$192&gt;35,EJ182+EI183-ER182,IF(A183&lt;'Données projet'!$A$192,$EG$205^A183,IF(A183='Données projet'!$A$192,'Données projet'!$B$192,EJ182+EI183-ER182)))</f>
        <v>0</v>
      </c>
      <c r="EK183" s="125" t="e">
        <f aca="false">EJ183*VLOOKUP('Données projet'!$B$15,Paramètres!$A$1:$I$89,3,0)*VLOOKUP('Données projet'!$B$15,Paramètres!$A$1:$I$89,5,0)</f>
        <v>#N/A</v>
      </c>
      <c r="EL183" s="117" t="e">
        <f aca="false">EXP(-1.0587+0.8836*LN(EK183)+0.284)</f>
        <v>#N/A</v>
      </c>
      <c r="EM183" s="128" t="e">
        <f aca="false">(EK183+EL183)*0.475*44/12</f>
        <v>#N/A</v>
      </c>
      <c r="EN183" s="120" t="e">
        <f aca="false">EM183+(EE183+EF183)*44/12</f>
        <v>#N/A</v>
      </c>
      <c r="EO183" s="120" t="e">
        <f aca="true">AVERAGE(OFFSET($EN$3,0,0,'Données projet'!$E$15+1,1))-AVERAGE(OFFSET($H$3,0,0,'Données projet'!$E$15+1,1))</f>
        <v>#N/A</v>
      </c>
      <c r="EP183" s="120" t="e">
        <f aca="false">$EP$3</f>
        <v>#N/A</v>
      </c>
      <c r="EQ183" s="121" t="n">
        <f aca="false">IF(ISNA(VLOOKUP(A183,'Données projet'!$A$191:$I$211,3,0)),0,VLOOKUP(A183,'Données projet'!$A$191:$I$211,3,0))</f>
        <v>0</v>
      </c>
      <c r="ER183" s="121" t="n">
        <f aca="false">IF(ISNA(VLOOKUP(A183,'Données projet'!$A$191:$I$211,4,0)),0,VLOOKUP(A183,'Données projet'!$A$191:$I$211,4,0))</f>
        <v>0</v>
      </c>
      <c r="ES183" s="122" t="n">
        <f aca="false">IF(ISNA(VLOOKUP(A183,'Données projet'!$A$191:$I$211,5,0)),0%,VLOOKUP(A183,'Données projet'!$A$191:$I$211,5,0)*VLOOKUP('Données projet'!$B$15,Paramètres!$A$1:$I$89,7,0))</f>
        <v>0</v>
      </c>
      <c r="ET183" s="122" t="n">
        <f aca="false">IF(ISNA(VLOOKUP(A183,'Données projet'!$A$191:$I$211,6,0)),0%,VLOOKUP(A183,'Données projet'!$A$191:$I$211,6,0)*VLOOKUP('Données projet'!$B$15,Paramètres!$A$1:$I$89,7,0))</f>
        <v>0</v>
      </c>
      <c r="EU183" s="122" t="n">
        <f aca="false">IF(ISNA(VLOOKUP(A183,'Données projet'!$A$191:$I$211,7,0)),0%,VLOOKUP(A183,'Données projet'!$A$191:$I$211,7,0))</f>
        <v>0</v>
      </c>
      <c r="EV183" s="129" t="e">
        <f aca="false">EXP(-LN(2)/35)*EV182+(1-EXP(-LN(2)/35))/(LN(2)/35)*ER183*ES183*VLOOKUP('Données projet'!$B$15,Paramètres!$A$1:$I$89,3,0)*0.475*44/12</f>
        <v>#N/A</v>
      </c>
      <c r="EW183" s="129" t="e">
        <f aca="false">EXP(-LN(2)/25)*EW182+(1-EXP(-LN(2)/25))/(LN(2)/25)*Calculateur!ER183*Calculateur!ET183*VLOOKUP('Données projet'!$B$15,Paramètres!$A$1:$I$89,3,0)*0.475*44/12</f>
        <v>#N/A</v>
      </c>
      <c r="EX183" s="129" t="e">
        <f aca="false">EXP(-LN(2)/2)*EX182+(1-EXP(-LN(2)/2))/(LN(2)/2)*ER183*EU183*VLOOKUP('Données projet'!$B$15,Paramètres!$A$1:$I$89,3,0)*0.475*44/12</f>
        <v>#N/A</v>
      </c>
      <c r="EY183" s="130" t="e">
        <f aca="false">SUM(EV183:EX183)</f>
        <v>#N/A</v>
      </c>
      <c r="EZ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8" t="e">
        <f aca="false">VLOOKUP(A183,'Données projet'!$A$217:$I$237,2,0)</f>
        <v>#N/A</v>
      </c>
      <c r="FC183" s="118" t="e">
        <f aca="false">VLOOKUP(A183,'Données projet'!$A$217:$I$237,9,0)</f>
        <v>#N/A</v>
      </c>
      <c r="FD183" s="118" t="e">
        <f aca="false" t="array" ref="FD183:FD183">INDEX(FC:FC,MIN(IF(ISNUMBER(FC183:FC379),ROW(FC183:FC379),"")))</f>
        <v>#N/A</v>
      </c>
      <c r="FE183" s="118" t="n">
        <f aca="false">IF('Données projet'!$A$218&gt;35,FE182+FD183-FM182,IF(A183&lt;'Données projet'!$A$218,$FB$205^A183,IF(A183='Données projet'!$A$218,'Données projet'!$B$218,FE182+FD183-FM182)))</f>
        <v>0</v>
      </c>
      <c r="FF183" s="125" t="e">
        <f aca="false">FE183*VLOOKUP('Données projet'!$B$16,Paramètres!$A$1:$I$89,3,0)*VLOOKUP('Données projet'!$B$16,Paramètres!$A$1:$I$89,5,0)</f>
        <v>#N/A</v>
      </c>
      <c r="FG183" s="117" t="e">
        <f aca="false">EXP(-1.0587+0.8836*LN(FF183)+0.284)</f>
        <v>#N/A</v>
      </c>
      <c r="FH183" s="128" t="e">
        <f aca="false">(FF183+FG183)*0.475*44/12</f>
        <v>#N/A</v>
      </c>
      <c r="FI183" s="120" t="e">
        <f aca="false">FH183+(EZ183+FA183)*44/12</f>
        <v>#N/A</v>
      </c>
      <c r="FJ183" s="120" t="e">
        <f aca="true">AVERAGE(OFFSET($FI$3,0,0,'Données projet'!$E$16+1,1))-AVERAGE(OFFSET($H$3,0,0,'Données projet'!$E$16+1,1))</f>
        <v>#N/A</v>
      </c>
      <c r="FK183" s="120" t="e">
        <f aca="false">$FK$3</f>
        <v>#N/A</v>
      </c>
      <c r="FL183" s="121" t="n">
        <f aca="false">IF(ISNA(VLOOKUP(A183,'Données projet'!$A$217:$I$237,3,0)),0,VLOOKUP(A183,'Données projet'!$A$217:$I$237,3,0))</f>
        <v>0</v>
      </c>
      <c r="FM183" s="121" t="n">
        <f aca="false">IF(ISNA(VLOOKUP(A183,'Données projet'!$A$217:$I$237,4,0)),0,VLOOKUP(A183,'Données projet'!$A$217:$I$237,4,0))</f>
        <v>0</v>
      </c>
      <c r="FN183" s="122" t="n">
        <f aca="false">IF(ISNA(VLOOKUP(A183,'Données projet'!$A$217:$I$237,5,0)),0%,VLOOKUP(A183,'Données projet'!$A$217:$I$237,5,0)*VLOOKUP('Données projet'!$B$16,Paramètres!$A$1:$I$89,7,0))</f>
        <v>0</v>
      </c>
      <c r="FO183" s="122" t="n">
        <f aca="false">IF(ISNA(VLOOKUP(A183,'Données projet'!$A$217:$I$237,6,0)),0%,VLOOKUP(A183,'Données projet'!$A$217:$I$237,6,0)*VLOOKUP('Données projet'!$B$16,Paramètres!$A$1:$I$89,7,0))</f>
        <v>0</v>
      </c>
      <c r="FP183" s="122" t="n">
        <f aca="false">IF(ISNA(VLOOKUP(A183,'Données projet'!$A$217:$I$237,7,0)),0%,VLOOKUP(A183,'Données projet'!$A$217:$I$237,7,0))</f>
        <v>0</v>
      </c>
      <c r="FQ183" s="129" t="e">
        <f aca="false">EXP(-LN(2)/35)*FQ182+(1-EXP(-LN(2)/35))/(LN(2)/35)*FM183*FN183*VLOOKUP('Données projet'!$B$16,Paramètres!$A$1:$I$89,3,0)*0.475*44/12</f>
        <v>#N/A</v>
      </c>
      <c r="FR183" s="129" t="e">
        <f aca="false">EXP(-LN(2)/25)*FR182+(1-EXP(-LN(2)/25))/(LN(2)/25)*Calculateur!FM183*Calculateur!FO183*VLOOKUP('Données projet'!$B$16,Paramètres!$A$1:$I$89,3,0)*0.475*44/12</f>
        <v>#N/A</v>
      </c>
      <c r="FS183" s="129" t="e">
        <f aca="false">EXP(-LN(2)/2)*FS182+(1-EXP(-LN(2)/2))/(LN(2)/2)*FM183*FP183*VLOOKUP('Données projet'!$B$16,Paramètres!$A$1:$I$89,3,0)*0.475*44/12</f>
        <v>#N/A</v>
      </c>
      <c r="FT183" s="130" t="e">
        <f aca="false">SUM(FQ183:FS183)</f>
        <v>#N/A</v>
      </c>
      <c r="FU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8" t="e">
        <f aca="false">VLOOKUP(A183,'Données projet'!$A$243:$I$263,2,0)</f>
        <v>#N/A</v>
      </c>
      <c r="FX183" s="118" t="e">
        <f aca="false">VLOOKUP(A183,'Données projet'!$A$243:$I$263,9,0)</f>
        <v>#N/A</v>
      </c>
      <c r="FY183" s="118" t="e">
        <f aca="false" t="array" ref="FY183:FY183">INDEX(FX:FX,MIN(IF(ISNUMBER(FX183:FX379),ROW(FX183:FX379),"")))</f>
        <v>#N/A</v>
      </c>
      <c r="FZ183" s="118" t="n">
        <f aca="false">IF('Données projet'!$A$244&gt;35,FZ182+FY183-GH182,IF(A183&lt;'Données projet'!$A$244,$FW$205^A183,IF(A183='Données projet'!$A$244,'Données projet'!$B$244,FZ182+FY183-GH182)))</f>
        <v>0</v>
      </c>
      <c r="GA183" s="125" t="e">
        <f aca="false">FZ183*VLOOKUP('Données projet'!$B$17,Paramètres!$A$1:$I$89,3,0)*VLOOKUP('Données projet'!$B$17,Paramètres!$A$1:$I$89,5,0)</f>
        <v>#N/A</v>
      </c>
      <c r="GB183" s="117" t="e">
        <f aca="false">EXP(-1.0587+0.8836*LN(GA183)+0.284)</f>
        <v>#N/A</v>
      </c>
      <c r="GC183" s="128" t="e">
        <f aca="false">(GA183+GB183)*0.475*44/12</f>
        <v>#N/A</v>
      </c>
      <c r="GD183" s="120" t="e">
        <f aca="false">GC183+(FU183+FV183)*44/12</f>
        <v>#N/A</v>
      </c>
      <c r="GE183" s="120" t="e">
        <f aca="true">AVERAGE(OFFSET($GD$3,0,0,'Données projet'!$E$17+1,1))-AVERAGE(OFFSET($H$3,0,0,'Données projet'!$E$17+1,1))</f>
        <v>#N/A</v>
      </c>
      <c r="GF183" s="120" t="e">
        <f aca="false">$GF$3</f>
        <v>#N/A</v>
      </c>
      <c r="GG183" s="121" t="n">
        <f aca="false">IF(ISNA(VLOOKUP(A183,'Données projet'!$A$243:$I$263,3,0)),0,VLOOKUP(A183,'Données projet'!$A$243:$I$263,3,0))</f>
        <v>0</v>
      </c>
      <c r="GH183" s="121" t="n">
        <f aca="false">IF(ISNA(VLOOKUP(A183,'Données projet'!$A$243:$I$263,4,0)),0,VLOOKUP(A183,'Données projet'!$A$243:$I$263,4,0))</f>
        <v>0</v>
      </c>
      <c r="GI183" s="122" t="n">
        <f aca="false">IF(ISNA(VLOOKUP(A183,'Données projet'!$A$243:$I$263,5,0)),0%,VLOOKUP(A183,'Données projet'!$A$243:$I$263,5,0)*VLOOKUP('Données projet'!$B$17,Paramètres!$A$1:$I$89,7,0))</f>
        <v>0</v>
      </c>
      <c r="GJ183" s="122" t="n">
        <f aca="false">IF(ISNA(VLOOKUP(A183,'Données projet'!$A$243:$I$263,6,0)),0%,VLOOKUP(A183,'Données projet'!$A$243:$I$263,6,0)*VLOOKUP('Données projet'!$B$17,Paramètres!$A$1:$I$89,7,0))</f>
        <v>0</v>
      </c>
      <c r="GK183" s="122" t="n">
        <f aca="false">IF(ISNA(VLOOKUP(A183,'Données projet'!$A$243:$I$263,7,0)),0%,VLOOKUP(A183,'Données projet'!$A$243:$I$263,7,0))</f>
        <v>0</v>
      </c>
      <c r="GL183" s="129" t="e">
        <f aca="false">EXP(-LN(2)/35)*GL182+(1-EXP(-LN(2)/35))/(LN(2)/35)*GH183*GI183*VLOOKUP('Données projet'!$B$17,Paramètres!$A$1:$I$89,3,0)*0.475*44/12</f>
        <v>#N/A</v>
      </c>
      <c r="GM183" s="129" t="e">
        <f aca="false">EXP(-LN(2)/25)*GM182+(1-EXP(-LN(2)/25))/(LN(2)/25)*Calculateur!GH183*Calculateur!GJ183*VLOOKUP('Données projet'!$B$17,Paramètres!$A$1:$I$89,3,0)*0.475*44/12</f>
        <v>#N/A</v>
      </c>
      <c r="GN183" s="129" t="e">
        <f aca="false">EXP(-LN(2)/2)*GN182+(1-EXP(-LN(2)/2))/(LN(2)/2)*GH183*GK183*VLOOKUP('Données projet'!$B$17,Paramètres!$A$1:$I$89,3,0)*0.475*44/12</f>
        <v>#N/A</v>
      </c>
      <c r="GO183" s="129" t="e">
        <f aca="false">SUM(GL183:GN183)</f>
        <v>#N/A</v>
      </c>
      <c r="GP183" s="126" t="n">
        <f aca="false"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8" t="n">
        <f aca="false"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8" t="e">
        <f aca="false">VLOOKUP(A183,'Données projet'!$A$269:$I$289,2,0)</f>
        <v>#N/A</v>
      </c>
      <c r="GS183" s="118" t="e">
        <f aca="false">VLOOKUP(A183,'Données projet'!$A$269:$I$289,9,0)</f>
        <v>#N/A</v>
      </c>
      <c r="GT183" s="118" t="e">
        <f aca="false" t="array" ref="GT183:GT183">INDEX(GS:GS,MIN(IF(ISNUMBER(GS183:GS379),ROW(GS183:GS379),"")))</f>
        <v>#N/A</v>
      </c>
      <c r="GU183" s="118" t="n">
        <f aca="false">IF('Données projet'!$A$270&gt;35,GU182+GT183-HC182,IF(A183&lt;'Données projet'!$A$270,$GR$205^A183,IF(A183='Données projet'!$A$270,'Données projet'!$B$270,GU182+GT183-HC182)))</f>
        <v>0</v>
      </c>
      <c r="GV183" s="125" t="e">
        <f aca="false">GU183*VLOOKUP('Données projet'!$B$18,Paramètres!$A$1:$I$89,3,0)*VLOOKUP('Données projet'!$B$18,Paramètres!$A$1:$I$89,5,0)</f>
        <v>#N/A</v>
      </c>
      <c r="GW183" s="117" t="e">
        <f aca="false">EXP(-1.0587+0.8836*LN(GV183)+0.284)</f>
        <v>#N/A</v>
      </c>
      <c r="GX183" s="128" t="e">
        <f aca="false">(GV183+GW183)*0.475*44/12</f>
        <v>#N/A</v>
      </c>
      <c r="GY183" s="120" t="e">
        <f aca="false">GX183+(GP183+GQ183)*44/12</f>
        <v>#N/A</v>
      </c>
      <c r="GZ183" s="120" t="e">
        <f aca="true">AVERAGE(OFFSET($GY$3,0,0,'Données projet'!$E$18+1,1))-AVERAGE(OFFSET($H$3,0,0,'Données projet'!$E$18+1,1))</f>
        <v>#N/A</v>
      </c>
      <c r="HA183" s="120" t="e">
        <f aca="false">$HA$3</f>
        <v>#N/A</v>
      </c>
      <c r="HB183" s="121" t="n">
        <f aca="false">IF(ISNA(VLOOKUP(A183,'Données projet'!$A$269:$I$289,3,0)),0,VLOOKUP(A183,'Données projet'!$A$269:$I$289,3,0))</f>
        <v>0</v>
      </c>
      <c r="HC183" s="121" t="n">
        <f aca="false">IF(ISNA(VLOOKUP(A183,'Données projet'!$A$269:$I$289,4,0)),0,VLOOKUP(A183,'Données projet'!$A$269:$I$289,4,0))</f>
        <v>0</v>
      </c>
      <c r="HD183" s="122" t="n">
        <f aca="false">IF(ISNA(VLOOKUP(A183,'Données projet'!$A$269:$I$289,5,0)),0%,VLOOKUP(A183,'Données projet'!$A$269:$I$289,5,0)*VLOOKUP('Données projet'!$B$18,Paramètres!$A$1:$I$89,7,0))</f>
        <v>0</v>
      </c>
      <c r="HE183" s="122" t="n">
        <f aca="false">IF(ISNA(VLOOKUP(A183,'Données projet'!$A$269:$I$289,6,0)),0%,VLOOKUP(A183,'Données projet'!$A$269:$I$289,6,0)*VLOOKUP('Données projet'!$B$18,Paramètres!$A$1:$I$89,7,0))</f>
        <v>0</v>
      </c>
      <c r="HF183" s="122" t="n">
        <f aca="false">IF(ISNA(VLOOKUP(A183,'Données projet'!$A$269:$I$289,7,0)),0%,VLOOKUP(A183,'Données projet'!$A$269:$I$289,7,0))</f>
        <v>0</v>
      </c>
      <c r="HG183" s="129" t="e">
        <f aca="false">EXP(-LN(2)/35)*HG182+(1-EXP(-LN(2)/35))/(LN(2)/35)*HC183*HD183*VLOOKUP('Données projet'!$B$18,Paramètres!$A$1:$I$89,3,0)*0.475*44/12</f>
        <v>#N/A</v>
      </c>
      <c r="HH183" s="129" t="e">
        <f aca="false">EXP(-LN(2)/25)*HH182+(1-EXP(-LN(2)/25))/(LN(2)/25)*Calculateur!HC183*Calculateur!HE183*VLOOKUP('Données projet'!$B$18,Paramètres!$A$1:$I$89,3,0)*0.475*44/12</f>
        <v>#N/A</v>
      </c>
      <c r="HI183" s="129" t="e">
        <f aca="false">EXP(-LN(2)/2)*HI182+(1-EXP(-LN(2)/2))/(LN(2)/2)*HC183*HF183*VLOOKUP('Données projet'!$B$18,Paramètres!$A$1:$I$89,3,0)*0.475*44/12</f>
        <v>#N/A</v>
      </c>
      <c r="HJ183" s="130" t="e">
        <f aca="false">SUM(HG183:HI183)</f>
        <v>#N/A</v>
      </c>
    </row>
    <row r="184" customFormat="false" ht="14.25" hidden="false" customHeight="false" outlineLevel="0" collapsed="false">
      <c r="A184" s="112" t="n">
        <f aca="false">A183+1</f>
        <v>181</v>
      </c>
      <c r="B184" s="113" t="n">
        <f aca="false">'Scénario référence'!$B$16*5+'Scénario référence'!$B$17*0+'Scénario référence'!$B$18*5</f>
        <v>0</v>
      </c>
      <c r="C184" s="127" t="n">
        <f aca="false"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4" t="n">
        <f aca="false">IFERROR(EXP(-1.0587+0.8836*LN(C184)+0.284),0)</f>
        <v>0</v>
      </c>
      <c r="E18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4" s="114" t="n">
        <f aca="false">IF(OR('Scénario référence'!$F$8&gt;0,'Scénario référence'!$F$9&gt;0),('Scénario référence'!$F$8+'Scénario référence'!$F$9)*10,0)</f>
        <v>0</v>
      </c>
      <c r="G184" s="114" t="n">
        <f aca="false"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15" t="n">
        <f aca="false">(B184+E184+F184)*44/12+(C184+D184)*0.475*44/12</f>
        <v>256.666666666667</v>
      </c>
      <c r="I184" s="11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7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8" t="e">
        <f aca="false">VLOOKUP(A184,'Données projet'!$A$35:$I$55,2,0)</f>
        <v>#N/A</v>
      </c>
      <c r="L184" s="118" t="e">
        <f aca="false">VLOOKUP(A184,'Données projet'!$A$35:$I$55,9,0)</f>
        <v>#N/A</v>
      </c>
      <c r="M184" s="118" t="e">
        <f aca="false" t="array" ref="M184:M184">INDEX(L:L,MIN(IF(ISNUMBER(L184:L380),ROW(L184:L380),"")))</f>
        <v>#N/A</v>
      </c>
      <c r="N184" s="117" t="n">
        <f aca="false">IF('Données projet'!$A$36&gt;35,N183+M184-V183,IF(A184&lt;'Données projet'!$A$36,$K$205^A184,IF(A184='Données projet'!$A$36,'Données projet'!$B$36,N183+M184-V183)))</f>
        <v>-1.13686837721616E-013</v>
      </c>
      <c r="O184" s="117" t="n">
        <f aca="false">N184*VLOOKUP('Données projet'!$B$9,Paramètres!$A$1:$I$89,3,0)*VLOOKUP('Données projet'!$B$9,Paramètres!$A$1:$I$89,5,0)</f>
        <v>-5.32054400537163E-014</v>
      </c>
      <c r="P184" s="117" t="e">
        <f aca="false">EXP(-1.0587+0.8836*LN(O184)+0.284)</f>
        <v>#VALUE!</v>
      </c>
      <c r="Q184" s="128" t="e">
        <f aca="false">(O184+P184)*0.475*44/12</f>
        <v>#VALUE!</v>
      </c>
      <c r="R184" s="120" t="e">
        <f aca="false">Q184+(I184+J184)*44/12</f>
        <v>#VALUE!</v>
      </c>
      <c r="S184" s="120" t="n">
        <f aca="true">AVERAGE(OFFSET($R$3,0,0,'Données projet'!$E$9+1,1))-AVERAGE(OFFSET($H$3,0,0,'Données projet'!$E$9+1,1))</f>
        <v>319.229030946746</v>
      </c>
      <c r="T184" s="120" t="n">
        <f aca="false">$T$3</f>
        <v>254.586909731428</v>
      </c>
      <c r="U184" s="121" t="n">
        <f aca="false">IF(ISNA(VLOOKUP(A184,'Données projet'!$A$35:$I$55,3,0)),0,VLOOKUP(A184,'Données projet'!$A$35:$I$55,3,0))</f>
        <v>0</v>
      </c>
      <c r="V184" s="121" t="n">
        <f aca="false">IF(ISNA(VLOOKUP(A184,'Données projet'!$A$35:$I$55,4,0)),0,VLOOKUP(A184,'Données projet'!$A$35:$I$55,4,0))</f>
        <v>0</v>
      </c>
      <c r="W184" s="122" t="n">
        <f aca="false">IF(ISNA(VLOOKUP(A184,'Données projet'!$A$35:$I$55,5,0)),0%,VLOOKUP(A184,'Données projet'!$A$35:$I$55,5,0)*VLOOKUP('Données projet'!$B$9,Paramètres!$A$1:$I$89,7,0))</f>
        <v>0</v>
      </c>
      <c r="X184" s="122" t="n">
        <f aca="false">IF(ISNA(VLOOKUP(A184,'Données projet'!$A$35:$I$55,6,0)),0%,VLOOKUP(A184,'Données projet'!$A$35:$I$55,6,0)*VLOOKUP('Données projet'!$B$9,Paramètres!$A$1:$I$89,7,0))</f>
        <v>0</v>
      </c>
      <c r="Y184" s="122" t="n">
        <f aca="false">IF(ISNA(VLOOKUP(A184,'Données projet'!$A$35:$I$55,7,0)),0%,VLOOKUP(A184,'Données projet'!$A$35:$I$55,7,0))</f>
        <v>0</v>
      </c>
      <c r="Z184" s="129" t="n">
        <f aca="false">EXP(-LN(2)/35)*Z183+(1-EXP(-LN(2)/35))/(LN(2)/35)*V184*W184*VLOOKUP('Données projet'!$B$9,Paramètres!$A$1:$I$89,3,0)*0.475*44/12</f>
        <v>0.456218691783404</v>
      </c>
      <c r="AA184" s="129" t="n">
        <f aca="false">EXP(-LN(2)/25)*AA183+(1-EXP(-LN(2)/25))/(LN(2)/25)*Calculateur!V184*Calculateur!X184*VLOOKUP('Données projet'!$B$9,Paramètres!$A$1:$I$89,3,0)*0.475*44/12</f>
        <v>0.16947479342097</v>
      </c>
      <c r="AB184" s="129" t="n">
        <f aca="false">EXP(-LN(2)/2)*AB183+(1-EXP(-LN(2)/2))/(LN(2)/2)*V184*Y184*VLOOKUP('Données projet'!$B$9,Paramètres!$A$1:$I$89,3,0)*0.475*44/12</f>
        <v>2.0669380430685E-022</v>
      </c>
      <c r="AC184" s="130" t="n">
        <f aca="false">SUM(Z184:AB184)</f>
        <v>0.625693485204374</v>
      </c>
      <c r="AD184" s="117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7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8" t="e">
        <f aca="false">VLOOKUP(A184,'Données projet'!$A$61:$I$81,2,0)</f>
        <v>#N/A</v>
      </c>
      <c r="AG184" s="118" t="e">
        <f aca="false">VLOOKUP(A184,'Données projet'!$A$61:$I$81,9,0)</f>
        <v>#N/A</v>
      </c>
      <c r="AH184" s="118" t="e">
        <f aca="false" t="array" ref="AH184:AH184">INDEX(AG:AG,MIN(IF(ISNUMBER(AG184:AG380),ROW(AG184:AG380),"")))</f>
        <v>#N/A</v>
      </c>
      <c r="AI184" s="117" t="n">
        <f aca="false">IF('Données projet'!$A$62&gt;35,AI183+AH184-AQ183,IF(A184&lt;'Données projet'!$A$62,$AF$205^A184,IF(A184='Données projet'!$A$62,'Données projet'!$B$62,AI183+AH184-AQ183)))</f>
        <v>1.13686837721616E-013</v>
      </c>
      <c r="AJ184" s="117" t="n">
        <f aca="false">AI184*VLOOKUP('Données projet'!$B$10,Paramètres!$A$1:$I$89,3,0)*VLOOKUP('Données projet'!$B$10,Paramètres!$A$1:$I$89,5,0)</f>
        <v>6.35509422863834E-014</v>
      </c>
      <c r="AK184" s="117" t="n">
        <f aca="false">EXP(-1.0587+0.8836*LN(AJ184)+0.284)</f>
        <v>1.0064464192544E-012</v>
      </c>
      <c r="AL184" s="128" t="n">
        <f aca="false">(AJ184+AK184)*0.475*44/12</f>
        <v>1.86357873801686E-012</v>
      </c>
      <c r="AM184" s="120" t="n">
        <f aca="false">AL184+(AD184+AE184)*44/12</f>
        <v>293.333333333335</v>
      </c>
      <c r="AN184" s="120" t="n">
        <f aca="true">AVERAGE(OFFSET($AM$3,0,0,'Données projet'!$E$10+1,1))-AVERAGE(OFFSET($H$3,0,0,'Données projet'!$E$10+1,1))</f>
        <v>365.705101827279</v>
      </c>
      <c r="AO184" s="120" t="n">
        <f aca="false">$AO$3</f>
        <v>436.238338449625</v>
      </c>
      <c r="AP184" s="121" t="n">
        <f aca="false">IF(ISNA(VLOOKUP(A184,'Données projet'!$A$61:$I$81,3,0)),0,VLOOKUP(A184,'Données projet'!$A$61:$I$81,3,0))</f>
        <v>0</v>
      </c>
      <c r="AQ184" s="121" t="n">
        <f aca="false">IF(ISNA(VLOOKUP(A184,'Données projet'!$A$61:$I$81,4,0)),0,VLOOKUP(A184,'Données projet'!$A$61:$I$81,4,0))</f>
        <v>0</v>
      </c>
      <c r="AR184" s="122" t="n">
        <f aca="false">IF(ISNA(VLOOKUP(A184,'Données projet'!$A$61:$I$81,5,0)),0%,VLOOKUP(A184,'Données projet'!$A$61:$I$81,5,0)*VLOOKUP('Données projet'!$B$10,Paramètres!$A$1:$I$89,7,0))</f>
        <v>0</v>
      </c>
      <c r="AS184" s="122" t="n">
        <f aca="false">IF(ISNA(VLOOKUP(A184,'Données projet'!$A$61:$I$81,6,0)),0%,VLOOKUP(A184,'Données projet'!$A$61:$I$81,6,0)*VLOOKUP('Données projet'!$B$10,Paramètres!$A$1:$I$89,7,0))</f>
        <v>0</v>
      </c>
      <c r="AT184" s="122" t="n">
        <f aca="false">IF(ISNA(VLOOKUP(A184,'Données projet'!$A$61:$I$81,7,0)),0%,VLOOKUP(A184,'Données projet'!$A$61:$I$81,7,0))</f>
        <v>0</v>
      </c>
      <c r="AU184" s="129" t="n">
        <f aca="false">EXP(-LN(2)/35)*AU183+(1-EXP(-LN(2)/35))/(LN(2)/35)*AQ184*AR184*VLOOKUP('Données projet'!$B$10,Paramètres!$A$1:$I$89,3,0)*0.475*44/12</f>
        <v>0.172207764895133</v>
      </c>
      <c r="AV184" s="129" t="n">
        <f aca="false">EXP(-LN(2)/25)*AV183+(1-EXP(-LN(2)/25))/(LN(2)/25)*Calculateur!AQ184*Calculateur!AS184*VLOOKUP('Données projet'!$B$10,Paramètres!$A$1:$I$89,3,0)*0.475*44/12</f>
        <v>0.200733729325919</v>
      </c>
      <c r="AW184" s="129" t="n">
        <f aca="false">EXP(-LN(2)/2)*AW183+(1-EXP(-LN(2)/2))/(LN(2)/2)*AQ184*AT184*VLOOKUP('Données projet'!$B$10,Paramètres!$A$1:$I$89,3,0)*0.475*44/12</f>
        <v>1.11236145313195E-022</v>
      </c>
      <c r="AX184" s="129" t="n">
        <f aca="false">SUM(AU184:AW184)</f>
        <v>0.372941494221052</v>
      </c>
      <c r="AY184" s="124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8" t="e">
        <f aca="false">VLOOKUP(A184,'Données projet'!$A$87:$I$107,2,0)</f>
        <v>#N/A</v>
      </c>
      <c r="BB184" s="118" t="e">
        <f aca="false">VLOOKUP(A184,'Données projet'!$A$87:$I$107,9,0)</f>
        <v>#N/A</v>
      </c>
      <c r="BC184" s="118" t="e">
        <f aca="false" t="array" ref="BC184:BC184">INDEX(BB:BB,MIN(IF(ISNUMBER(BB184:BB380),ROW(BB184:BB380),"")))</f>
        <v>#N/A</v>
      </c>
      <c r="BD184" s="118" t="n">
        <f aca="false">IF('Données projet'!$A$88&gt;35,BD183+BC184-BL183,IF(A184&lt;'Données projet'!$A$88,$BA$205^A184,IF(A184='Données projet'!$A$88,'Données projet'!$B$88,BD183+BC184-BL183)))</f>
        <v>1.98951966012828E-013</v>
      </c>
      <c r="BE184" s="117" t="n">
        <f aca="false">BD184*VLOOKUP('Données projet'!$B$11,Paramètres!$A$1:$I$89,3,0)*VLOOKUP('Données projet'!$B$11,Paramètres!$A$1:$I$89,5,0)</f>
        <v>1.73804437508807E-013</v>
      </c>
      <c r="BF184" s="117" t="n">
        <f aca="false">EXP(-1.0587+0.8836*LN(BE184)+0.284)</f>
        <v>2.44832936339505E-012</v>
      </c>
      <c r="BG184" s="128" t="n">
        <f aca="false">(BE184+BF184)*0.475*44/12</f>
        <v>4.56688303657421E-012</v>
      </c>
      <c r="BH184" s="120" t="n">
        <f aca="false">BG184+(AY184+AZ184)*44/12</f>
        <v>293.333333333338</v>
      </c>
      <c r="BI184" s="120" t="n">
        <f aca="true">AVERAGE(OFFSET($BH$3,0,0,'Données projet'!$E$11+1,1))-AVERAGE(OFFSET($H$3,0,0,'Données projet'!$E$11+1,1))</f>
        <v>321.235999689929</v>
      </c>
      <c r="BJ184" s="120" t="n">
        <f aca="false">$BJ$3</f>
        <v>388.051958478005</v>
      </c>
      <c r="BK184" s="121" t="n">
        <f aca="false">IF(ISNA(VLOOKUP(A184,'Données projet'!$A$87:$I$107,3,0)),0,VLOOKUP(A184,'Données projet'!$A$87:$I$107,3,0))</f>
        <v>0</v>
      </c>
      <c r="BL184" s="121" t="n">
        <f aca="false">IF(ISNA(VLOOKUP(A184,'Données projet'!$A$87:$I$107,4,0)),0,VLOOKUP(A184,'Données projet'!$A$87:$I$107,4,0))</f>
        <v>0</v>
      </c>
      <c r="BM184" s="122" t="n">
        <f aca="false">IF(ISNA(VLOOKUP(A184,'Données projet'!$A$87:$I$107,5,0)),0%,VLOOKUP(A184,'Données projet'!$A$87:$I$107,5,0)*VLOOKUP('Données projet'!$B$11,Paramètres!$A$1:$I$89,7,0))</f>
        <v>0</v>
      </c>
      <c r="BN184" s="122" t="n">
        <f aca="false">IF(ISNA(VLOOKUP(A184,'Données projet'!$A$87:$I$107,6,0)),0%,VLOOKUP(A184,'Données projet'!$A$87:$I$107,6,0)*VLOOKUP('Données projet'!$B$11,Paramètres!$A$1:$I$89,7,0))</f>
        <v>0</v>
      </c>
      <c r="BO184" s="122" t="n">
        <f aca="false">IF(ISNA(VLOOKUP(A184,'Données projet'!$A$87:$I$107,7,0)),0%,VLOOKUP(A184,'Données projet'!$A$87:$I$107,7,0))</f>
        <v>0</v>
      </c>
      <c r="BP184" s="129" t="n">
        <f aca="false">EXP(-LN(2)/35)*BP183+(1-EXP(-LN(2)/35))/(LN(2)/35)*BL184*BM184*VLOOKUP('Données projet'!$B$11,Paramètres!$A$1:$I$89,3,0)*0.475*44/12</f>
        <v>0.432348491517443</v>
      </c>
      <c r="BQ184" s="129" t="n">
        <f aca="false">EXP(-LN(2)/25)*BQ183+(1-EXP(-LN(2)/25))/(LN(2)/25)*Calculateur!BL184*Calculateur!BN184*VLOOKUP('Données projet'!$B$11,Paramètres!$A$1:$I$89,3,0)*0.475*44/12</f>
        <v>0.204897068049531</v>
      </c>
      <c r="BR184" s="129" t="n">
        <f aca="false">EXP(-LN(2)/2)*BR183+(1-EXP(-LN(2)/2))/(LN(2)/2)*BL184*BO184*VLOOKUP('Données projet'!$B$11,Paramètres!$A$1:$I$89,3,0)*0.475*44/12</f>
        <v>1.13069229629145E-022</v>
      </c>
      <c r="BS184" s="130" t="n">
        <f aca="false">SUM(BP184:BR184)</f>
        <v>0.637245559566974</v>
      </c>
      <c r="BT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8" t="e">
        <f aca="false">VLOOKUP(A184,'Données projet'!$A$113:$I$133,2,0)</f>
        <v>#N/A</v>
      </c>
      <c r="BW184" s="118" t="e">
        <f aca="false">VLOOKUP(A184,'Données projet'!$A$113:$I$133,9,0)</f>
        <v>#N/A</v>
      </c>
      <c r="BX184" s="118" t="e">
        <f aca="false" t="array" ref="BX184:BX184">INDEX(BW:BW,MIN(IF(ISNUMBER(BW184:BW380),ROW(BW184:BW380),"")))</f>
        <v>#N/A</v>
      </c>
      <c r="BY184" s="118" t="n">
        <f aca="false">IF('Données projet'!$A$114&gt;35,BY183+BX184-CG183,IF(A184&lt;'Données projet'!$A$114,$BV$205^A184,IF(A184='Données projet'!$A$114,'Données projet'!$B$114,BY183+BX184-CG183)))</f>
        <v>0</v>
      </c>
      <c r="BZ184" s="117" t="n">
        <f aca="false">BY184*VLOOKUP('Données projet'!$B$12,Paramètres!$A$1:$I$89,3,0)*VLOOKUP('Données projet'!$B$12,Paramètres!$A$1:$I$89,5,0)</f>
        <v>0</v>
      </c>
      <c r="CA184" s="117" t="e">
        <f aca="false">EXP(-1.0587+0.8836*LN(BZ184)+0.284)</f>
        <v>#VALUE!</v>
      </c>
      <c r="CB184" s="128" t="e">
        <f aca="false">(BZ184+CA184)*0.475*44/12</f>
        <v>#VALUE!</v>
      </c>
      <c r="CC184" s="120" t="e">
        <f aca="false">CB184+(BT184+BU184)*44/12</f>
        <v>#VALUE!</v>
      </c>
      <c r="CD184" s="120" t="n">
        <f aca="true">AVERAGE(OFFSET($CC$3,0,0,'Données projet'!$E$12+1,1))-AVERAGE(OFFSET($H$3,0,0,'Données projet'!$E$12+1,1))</f>
        <v>240.228848647662</v>
      </c>
      <c r="CE184" s="120" t="n">
        <f aca="false">$CE$3</f>
        <v>343.237768841432</v>
      </c>
      <c r="CF184" s="121" t="n">
        <f aca="false">IF(ISNA(VLOOKUP(A184,'Données projet'!$A$113:$I$133,3,0)),0,VLOOKUP(A184,'Données projet'!$A$113:$I$133,3,0))</f>
        <v>0</v>
      </c>
      <c r="CG184" s="121" t="n">
        <f aca="false">IF(ISNA(VLOOKUP(A184,'Données projet'!$A$113:$I$133,4,0)),0,VLOOKUP(A184,'Données projet'!$A$113:$I$133,4,0))</f>
        <v>0</v>
      </c>
      <c r="CH184" s="122" t="n">
        <f aca="false">IF(ISNA(VLOOKUP(A184,'Données projet'!$A$113:$I$133,5,0)),0%,VLOOKUP(A184,'Données projet'!$A$113:$I$133,5,0)*VLOOKUP('Données projet'!$B$12,Paramètres!$A$1:$I$89,7,0))</f>
        <v>0</v>
      </c>
      <c r="CI184" s="122" t="n">
        <f aca="false">IF(ISNA(VLOOKUP(A184,'Données projet'!$A$113:$I$133,6,0)),0%,VLOOKUP(A184,'Données projet'!$A$113:$I$133,6,0)*VLOOKUP('Données projet'!$B$12,Paramètres!$A$1:$I$89,7,0))</f>
        <v>0</v>
      </c>
      <c r="CJ184" s="122" t="n">
        <f aca="false">IF(ISNA(VLOOKUP(A184,'Données projet'!$A$113:$I$133,7,0)),0%,VLOOKUP(A184,'Données projet'!$A$113:$I$133,7,0))</f>
        <v>0</v>
      </c>
      <c r="CK184" s="129" t="n">
        <f aca="false">EXP(-LN(2)/35)*CK183+(1-EXP(-LN(2)/35))/(LN(2)/35)*CG184*CH184*VLOOKUP('Données projet'!$B$12,Paramètres!$A$1:$I$89,3,0)*0.475*44/12</f>
        <v>0.264630959766366</v>
      </c>
      <c r="CL184" s="129" t="n">
        <f aca="false">EXP(-LN(2)/25)*CL183+(1-EXP(-LN(2)/25))/(LN(2)/25)*Calculateur!CG184*Calculateur!CI184*VLOOKUP('Données projet'!$B$12,Paramètres!$A$1:$I$89,3,0)*0.475*44/12</f>
        <v>0.361860083643522</v>
      </c>
      <c r="CM184" s="129" t="n">
        <f aca="false">EXP(-LN(2)/2)*CM183+(1-EXP(-LN(2)/2))/(LN(2)/2)*CG184*CJ184*VLOOKUP('Données projet'!$B$12,Paramètres!$A$1:$I$89,3,0)*0.475*44/12</f>
        <v>1.80428346248774E-022</v>
      </c>
      <c r="CN184" s="130" t="n">
        <f aca="false">SUM(CK184:CM184)</f>
        <v>0.626491043409888</v>
      </c>
      <c r="CO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8" t="e">
        <f aca="false">VLOOKUP(A184,'Données projet'!$A$139:$I$159,2,0)</f>
        <v>#N/A</v>
      </c>
      <c r="CR184" s="118" t="e">
        <f aca="false">VLOOKUP(A184,'Données projet'!$A$139:$I$159,9,0)</f>
        <v>#N/A</v>
      </c>
      <c r="CS184" s="118" t="e">
        <f aca="false" t="array" ref="CS184:CS184">INDEX(CR:CR,MIN(IF(ISNUMBER(CR184:CR380),ROW(CR184:CR380),"")))</f>
        <v>#N/A</v>
      </c>
      <c r="CT184" s="118" t="n">
        <f aca="false">IF('Données projet'!$A$140&gt;35,CT183+CS184-DB183,IF(A184&lt;'Données projet'!$A$140,$CQ$205^A184,IF(A184='Données projet'!$A$140,'Données projet'!$B$140,CT183+CS184-DB183)))</f>
        <v>-5.6843418860808E-014</v>
      </c>
      <c r="CU184" s="125" t="n">
        <f aca="false">CT184*VLOOKUP('Données projet'!$B$13,Paramètres!$A$1:$I$89,3,0)*VLOOKUP('Données projet'!$B$13,Paramètres!$A$1:$I$89,5,0)</f>
        <v>-3.10365066980012E-014</v>
      </c>
      <c r="CV184" s="117" t="e">
        <f aca="false">EXP(-1.0587+0.8836*LN(CU184)+0.284)</f>
        <v>#VALUE!</v>
      </c>
      <c r="CW184" s="128" t="e">
        <f aca="false">(CU184+CV184)*0.475*44/12</f>
        <v>#VALUE!</v>
      </c>
      <c r="CX184" s="120" t="e">
        <f aca="false">CW184+(CO184+CP184)*44/12</f>
        <v>#VALUE!</v>
      </c>
      <c r="CY184" s="120" t="n">
        <f aca="true">AVERAGE(OFFSET($CX$3,0,0,'Données projet'!$E$13+1,1))-AVERAGE(OFFSET($H$3,0,0,'Données projet'!$E$13+1,1))</f>
        <v>207.023069645676</v>
      </c>
      <c r="CZ184" s="120" t="n">
        <f aca="false">$CZ$3</f>
        <v>342.068879333518</v>
      </c>
      <c r="DA184" s="121" t="n">
        <f aca="false">IF(ISNA(VLOOKUP(A184,'Données projet'!$A$139:$I$159,3,0)),0,VLOOKUP(A184,'Données projet'!$A$139:$I$159,3,0))</f>
        <v>0</v>
      </c>
      <c r="DB184" s="121" t="n">
        <f aca="false">IF(ISNA(VLOOKUP(A184,'Données projet'!$A$139:$I$159,4,0)),0,VLOOKUP(A184,'Données projet'!$A$139:$I$159,4,0))</f>
        <v>0</v>
      </c>
      <c r="DC184" s="122" t="n">
        <f aca="false">IF(ISNA(VLOOKUP(A184,'Données projet'!$A$139:$I$159,5,0)),0%,VLOOKUP(A184,'Données projet'!$A$139:$I$159,5,0)*VLOOKUP('Données projet'!$B$13,Paramètres!$A$1:$I$89,7,0))</f>
        <v>0</v>
      </c>
      <c r="DD184" s="122" t="n">
        <f aca="false">IF(ISNA(VLOOKUP(A184,'Données projet'!$A$139:$I$159,6,0)),0%,VLOOKUP(A184,'Données projet'!$A$139:$I$159,6,0)*VLOOKUP('Données projet'!$B$13,Paramètres!$A$1:$I$89,7,0))</f>
        <v>0</v>
      </c>
      <c r="DE184" s="122" t="n">
        <f aca="false">IF(ISNA(VLOOKUP(A184,'Données projet'!$A$139:$I$159,7,0)),0%,VLOOKUP(A184,'Données projet'!$A$139:$I$159,7,0))</f>
        <v>0</v>
      </c>
      <c r="DF184" s="129" t="n">
        <f aca="false">EXP(-LN(2)/35)*DF183+(1-EXP(-LN(2)/35))/(LN(2)/35)*DB184*DC184*VLOOKUP('Données projet'!$B$13,Paramètres!$A$1:$I$89,3,0)*0.475*44/12</f>
        <v>0.332036958952138</v>
      </c>
      <c r="DG184" s="129" t="n">
        <f aca="false">EXP(-LN(2)/25)*DG183+(1-EXP(-LN(2)/25))/(LN(2)/25)*Calculateur!DB184*Calculateur!DD184*VLOOKUP('Données projet'!$B$13,Paramètres!$A$1:$I$89,3,0)*0.475*44/12</f>
        <v>0.591490526075558</v>
      </c>
      <c r="DH184" s="129" t="n">
        <f aca="false">EXP(-LN(2)/2)*DH183+(1-EXP(-LN(2)/2))/(LN(2)/2)*DB184*DE184*VLOOKUP('Données projet'!$B$13,Paramètres!$A$1:$I$89,3,0)*0.475*44/12</f>
        <v>2.48449916435687E-022</v>
      </c>
      <c r="DI184" s="130" t="n">
        <f aca="false">SUM(DF184:DH184)</f>
        <v>0.923527485027696</v>
      </c>
      <c r="DJ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8" t="e">
        <f aca="false">VLOOKUP(A184,'Données projet'!$A$165:$I$185,2,0)</f>
        <v>#N/A</v>
      </c>
      <c r="DM184" s="118" t="e">
        <f aca="false">VLOOKUP(A184,'Données projet'!$A$165:$I$185,9,0)</f>
        <v>#N/A</v>
      </c>
      <c r="DN184" s="118" t="e">
        <f aca="false" t="array" ref="DN184:DN184">INDEX(DM:DM,MIN(IF(ISNUMBER(DM184:DM380),ROW(DM184:DM380),"")))</f>
        <v>#N/A</v>
      </c>
      <c r="DO184" s="118" t="n">
        <f aca="false">IF('Données projet'!$A$166&gt;35,DO183+DN184-DW183,IF(A184&lt;'Données projet'!$A$166,$DL$205^A184,IF(A184='Données projet'!$A$166,'Données projet'!$B$166,DO183+DN184-DW183)))</f>
        <v>0</v>
      </c>
      <c r="DP184" s="125" t="n">
        <f aca="false">DO184*VLOOKUP('Données projet'!$B$14,Paramètres!$A$1:$I$89,3,0)*VLOOKUP('Données projet'!$B$14,Paramètres!$A$1:$I$89,5,0)</f>
        <v>0</v>
      </c>
      <c r="DQ184" s="117" t="e">
        <f aca="false">EXP(-1.0587+0.8836*LN(DP184)+0.284)</f>
        <v>#VALUE!</v>
      </c>
      <c r="DR184" s="128" t="e">
        <f aca="false">(DP184+DQ184)*0.475*44/12</f>
        <v>#VALUE!</v>
      </c>
      <c r="DS184" s="120" t="e">
        <f aca="false">DR184+(DJ184+DK184)*44/12</f>
        <v>#VALUE!</v>
      </c>
      <c r="DT184" s="120" t="n">
        <f aca="true">AVERAGE(OFFSET($DS$3,0,0,'Données projet'!$E$14+1,1))-AVERAGE(OFFSET($H$3,0,0,'Données projet'!$E$14+1,1))</f>
        <v>549.432320957297</v>
      </c>
      <c r="DU184" s="120" t="n">
        <f aca="false">$DU$3</f>
        <v>280.26155987301</v>
      </c>
      <c r="DV184" s="121" t="n">
        <f aca="false">IF(ISNA(VLOOKUP(A184,'Données projet'!$A$165:$I$185,3,0)),0,VLOOKUP(A184,'Données projet'!$A$165:$I$185,3,0))</f>
        <v>0</v>
      </c>
      <c r="DW184" s="121" t="n">
        <f aca="false">IF(ISNA(VLOOKUP(A184,'Données projet'!$A$165:$I$185,4,0)),0,VLOOKUP(A184,'Données projet'!$A$165:$I$185,4,0))</f>
        <v>0</v>
      </c>
      <c r="DX184" s="122" t="n">
        <f aca="false">IF(ISNA(VLOOKUP(A184,'Données projet'!$A$165:$I$185,5,0)),0%,VLOOKUP(A184,'Données projet'!$A$165:$I$185,5,0)*VLOOKUP('Données projet'!$B$14,Paramètres!$A$1:$I$89,7,0))</f>
        <v>0</v>
      </c>
      <c r="DY184" s="122" t="n">
        <f aca="false">IF(ISNA(VLOOKUP(A184,'Données projet'!$A$165:$I$185,6,0)),0%,VLOOKUP(A184,'Données projet'!$A$165:$I$185,6,0)*VLOOKUP('Données projet'!$B$14,Paramètres!$A$1:$I$89,7,0))</f>
        <v>0</v>
      </c>
      <c r="DZ184" s="122" t="n">
        <f aca="false">IF(ISNA(VLOOKUP(A184,'Données projet'!$A$165:$I$185,7,0)),0%,VLOOKUP(A184,'Données projet'!$A$165:$I$185,7,0))</f>
        <v>0</v>
      </c>
      <c r="EA184" s="129" t="n">
        <f aca="false">EXP(-LN(2)/35)*EA183+(1-EXP(-LN(2)/35))/(LN(2)/35)*DW184*DX184*VLOOKUP('Données projet'!$B$14,Paramètres!$A$1:$I$89,3,0)*0.475*44/12</f>
        <v>0.120728268039239</v>
      </c>
      <c r="EB184" s="129" t="n">
        <f aca="false">EXP(-LN(2)/25)*EB183+(1-EXP(-LN(2)/25))/(LN(2)/25)*Calculateur!DW184*Calculateur!DY184*VLOOKUP('Données projet'!$B$14,Paramètres!$A$1:$I$89,3,0)*0.475*44/12</f>
        <v>0.117836582697217</v>
      </c>
      <c r="EC184" s="129" t="n">
        <f aca="false">EXP(-LN(2)/2)*EC183+(1-EXP(-LN(2)/2))/(LN(2)/2)*DW184*DZ184*VLOOKUP('Données projet'!$B$14,Paramètres!$A$1:$I$89,3,0)*0.475*44/12</f>
        <v>1.14530290125742E-022</v>
      </c>
      <c r="ED184" s="130" t="n">
        <f aca="false">SUM(EA184:EC184)</f>
        <v>0.238564850736456</v>
      </c>
      <c r="EE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8" t="e">
        <f aca="false">VLOOKUP(A184,'Données projet'!$A$191:$I$211,2,0)</f>
        <v>#N/A</v>
      </c>
      <c r="EH184" s="118" t="e">
        <f aca="false">VLOOKUP(A184,'Données projet'!$A$191:$I$211,9,0)</f>
        <v>#N/A</v>
      </c>
      <c r="EI184" s="118" t="e">
        <f aca="false" t="array" ref="EI184:EI184">INDEX(EH:EH,MIN(IF(ISNUMBER(EH184:EH380),ROW(EH184:EH380),"")))</f>
        <v>#N/A</v>
      </c>
      <c r="EJ184" s="118" t="n">
        <f aca="false">IF('Données projet'!$A$192&gt;35,EJ183+EI184-ER183,IF(A184&lt;'Données projet'!$A$192,$EG$205^A184,IF(A184='Données projet'!$A$192,'Données projet'!$B$192,EJ183+EI184-ER183)))</f>
        <v>0</v>
      </c>
      <c r="EK184" s="125" t="e">
        <f aca="false">EJ184*VLOOKUP('Données projet'!$B$15,Paramètres!$A$1:$I$89,3,0)*VLOOKUP('Données projet'!$B$15,Paramètres!$A$1:$I$89,5,0)</f>
        <v>#N/A</v>
      </c>
      <c r="EL184" s="117" t="e">
        <f aca="false">EXP(-1.0587+0.8836*LN(EK184)+0.284)</f>
        <v>#N/A</v>
      </c>
      <c r="EM184" s="128" t="e">
        <f aca="false">(EK184+EL184)*0.475*44/12</f>
        <v>#N/A</v>
      </c>
      <c r="EN184" s="120" t="e">
        <f aca="false">EM184+(EE184+EF184)*44/12</f>
        <v>#N/A</v>
      </c>
      <c r="EO184" s="120" t="e">
        <f aca="true">AVERAGE(OFFSET($EN$3,0,0,'Données projet'!$E$15+1,1))-AVERAGE(OFFSET($H$3,0,0,'Données projet'!$E$15+1,1))</f>
        <v>#N/A</v>
      </c>
      <c r="EP184" s="120" t="e">
        <f aca="false">$EP$3</f>
        <v>#N/A</v>
      </c>
      <c r="EQ184" s="121" t="n">
        <f aca="false">IF(ISNA(VLOOKUP(A184,'Données projet'!$A$191:$I$211,3,0)),0,VLOOKUP(A184,'Données projet'!$A$191:$I$211,3,0))</f>
        <v>0</v>
      </c>
      <c r="ER184" s="121" t="n">
        <f aca="false">IF(ISNA(VLOOKUP(A184,'Données projet'!$A$191:$I$211,4,0)),0,VLOOKUP(A184,'Données projet'!$A$191:$I$211,4,0))</f>
        <v>0</v>
      </c>
      <c r="ES184" s="122" t="n">
        <f aca="false">IF(ISNA(VLOOKUP(A184,'Données projet'!$A$191:$I$211,5,0)),0%,VLOOKUP(A184,'Données projet'!$A$191:$I$211,5,0)*VLOOKUP('Données projet'!$B$15,Paramètres!$A$1:$I$89,7,0))</f>
        <v>0</v>
      </c>
      <c r="ET184" s="122" t="n">
        <f aca="false">IF(ISNA(VLOOKUP(A184,'Données projet'!$A$191:$I$211,6,0)),0%,VLOOKUP(A184,'Données projet'!$A$191:$I$211,6,0)*VLOOKUP('Données projet'!$B$15,Paramètres!$A$1:$I$89,7,0))</f>
        <v>0</v>
      </c>
      <c r="EU184" s="122" t="n">
        <f aca="false">IF(ISNA(VLOOKUP(A184,'Données projet'!$A$191:$I$211,7,0)),0%,VLOOKUP(A184,'Données projet'!$A$191:$I$211,7,0))</f>
        <v>0</v>
      </c>
      <c r="EV184" s="129" t="e">
        <f aca="false">EXP(-LN(2)/35)*EV183+(1-EXP(-LN(2)/35))/(LN(2)/35)*ER184*ES184*VLOOKUP('Données projet'!$B$15,Paramètres!$A$1:$I$89,3,0)*0.475*44/12</f>
        <v>#N/A</v>
      </c>
      <c r="EW184" s="129" t="e">
        <f aca="false">EXP(-LN(2)/25)*EW183+(1-EXP(-LN(2)/25))/(LN(2)/25)*Calculateur!ER184*Calculateur!ET184*VLOOKUP('Données projet'!$B$15,Paramètres!$A$1:$I$89,3,0)*0.475*44/12</f>
        <v>#N/A</v>
      </c>
      <c r="EX184" s="129" t="e">
        <f aca="false">EXP(-LN(2)/2)*EX183+(1-EXP(-LN(2)/2))/(LN(2)/2)*ER184*EU184*VLOOKUP('Données projet'!$B$15,Paramètres!$A$1:$I$89,3,0)*0.475*44/12</f>
        <v>#N/A</v>
      </c>
      <c r="EY184" s="130" t="e">
        <f aca="false">SUM(EV184:EX184)</f>
        <v>#N/A</v>
      </c>
      <c r="EZ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8" t="e">
        <f aca="false">VLOOKUP(A184,'Données projet'!$A$217:$I$237,2,0)</f>
        <v>#N/A</v>
      </c>
      <c r="FC184" s="118" t="e">
        <f aca="false">VLOOKUP(A184,'Données projet'!$A$217:$I$237,9,0)</f>
        <v>#N/A</v>
      </c>
      <c r="FD184" s="118" t="e">
        <f aca="false" t="array" ref="FD184:FD184">INDEX(FC:FC,MIN(IF(ISNUMBER(FC184:FC380),ROW(FC184:FC380),"")))</f>
        <v>#N/A</v>
      </c>
      <c r="FE184" s="118" t="n">
        <f aca="false">IF('Données projet'!$A$218&gt;35,FE183+FD184-FM183,IF(A184&lt;'Données projet'!$A$218,$FB$205^A184,IF(A184='Données projet'!$A$218,'Données projet'!$B$218,FE183+FD184-FM183)))</f>
        <v>0</v>
      </c>
      <c r="FF184" s="125" t="e">
        <f aca="false">FE184*VLOOKUP('Données projet'!$B$16,Paramètres!$A$1:$I$89,3,0)*VLOOKUP('Données projet'!$B$16,Paramètres!$A$1:$I$89,5,0)</f>
        <v>#N/A</v>
      </c>
      <c r="FG184" s="117" t="e">
        <f aca="false">EXP(-1.0587+0.8836*LN(FF184)+0.284)</f>
        <v>#N/A</v>
      </c>
      <c r="FH184" s="128" t="e">
        <f aca="false">(FF184+FG184)*0.475*44/12</f>
        <v>#N/A</v>
      </c>
      <c r="FI184" s="120" t="e">
        <f aca="false">FH184+(EZ184+FA184)*44/12</f>
        <v>#N/A</v>
      </c>
      <c r="FJ184" s="120" t="e">
        <f aca="true">AVERAGE(OFFSET($FI$3,0,0,'Données projet'!$E$16+1,1))-AVERAGE(OFFSET($H$3,0,0,'Données projet'!$E$16+1,1))</f>
        <v>#N/A</v>
      </c>
      <c r="FK184" s="120" t="e">
        <f aca="false">$FK$3</f>
        <v>#N/A</v>
      </c>
      <c r="FL184" s="121" t="n">
        <f aca="false">IF(ISNA(VLOOKUP(A184,'Données projet'!$A$217:$I$237,3,0)),0,VLOOKUP(A184,'Données projet'!$A$217:$I$237,3,0))</f>
        <v>0</v>
      </c>
      <c r="FM184" s="121" t="n">
        <f aca="false">IF(ISNA(VLOOKUP(A184,'Données projet'!$A$217:$I$237,4,0)),0,VLOOKUP(A184,'Données projet'!$A$217:$I$237,4,0))</f>
        <v>0</v>
      </c>
      <c r="FN184" s="122" t="n">
        <f aca="false">IF(ISNA(VLOOKUP(A184,'Données projet'!$A$217:$I$237,5,0)),0%,VLOOKUP(A184,'Données projet'!$A$217:$I$237,5,0)*VLOOKUP('Données projet'!$B$16,Paramètres!$A$1:$I$89,7,0))</f>
        <v>0</v>
      </c>
      <c r="FO184" s="122" t="n">
        <f aca="false">IF(ISNA(VLOOKUP(A184,'Données projet'!$A$217:$I$237,6,0)),0%,VLOOKUP(A184,'Données projet'!$A$217:$I$237,6,0)*VLOOKUP('Données projet'!$B$16,Paramètres!$A$1:$I$89,7,0))</f>
        <v>0</v>
      </c>
      <c r="FP184" s="122" t="n">
        <f aca="false">IF(ISNA(VLOOKUP(A184,'Données projet'!$A$217:$I$237,7,0)),0%,VLOOKUP(A184,'Données projet'!$A$217:$I$237,7,0))</f>
        <v>0</v>
      </c>
      <c r="FQ184" s="129" t="e">
        <f aca="false">EXP(-LN(2)/35)*FQ183+(1-EXP(-LN(2)/35))/(LN(2)/35)*FM184*FN184*VLOOKUP('Données projet'!$B$16,Paramètres!$A$1:$I$89,3,0)*0.475*44/12</f>
        <v>#N/A</v>
      </c>
      <c r="FR184" s="129" t="e">
        <f aca="false">EXP(-LN(2)/25)*FR183+(1-EXP(-LN(2)/25))/(LN(2)/25)*Calculateur!FM184*Calculateur!FO184*VLOOKUP('Données projet'!$B$16,Paramètres!$A$1:$I$89,3,0)*0.475*44/12</f>
        <v>#N/A</v>
      </c>
      <c r="FS184" s="129" t="e">
        <f aca="false">EXP(-LN(2)/2)*FS183+(1-EXP(-LN(2)/2))/(LN(2)/2)*FM184*FP184*VLOOKUP('Données projet'!$B$16,Paramètres!$A$1:$I$89,3,0)*0.475*44/12</f>
        <v>#N/A</v>
      </c>
      <c r="FT184" s="130" t="e">
        <f aca="false">SUM(FQ184:FS184)</f>
        <v>#N/A</v>
      </c>
      <c r="FU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8" t="e">
        <f aca="false">VLOOKUP(A184,'Données projet'!$A$243:$I$263,2,0)</f>
        <v>#N/A</v>
      </c>
      <c r="FX184" s="118" t="e">
        <f aca="false">VLOOKUP(A184,'Données projet'!$A$243:$I$263,9,0)</f>
        <v>#N/A</v>
      </c>
      <c r="FY184" s="118" t="e">
        <f aca="false" t="array" ref="FY184:FY184">INDEX(FX:FX,MIN(IF(ISNUMBER(FX184:FX380),ROW(FX184:FX380),"")))</f>
        <v>#N/A</v>
      </c>
      <c r="FZ184" s="118" t="n">
        <f aca="false">IF('Données projet'!$A$244&gt;35,FZ183+FY184-GH183,IF(A184&lt;'Données projet'!$A$244,$FW$205^A184,IF(A184='Données projet'!$A$244,'Données projet'!$B$244,FZ183+FY184-GH183)))</f>
        <v>0</v>
      </c>
      <c r="GA184" s="125" t="e">
        <f aca="false">FZ184*VLOOKUP('Données projet'!$B$17,Paramètres!$A$1:$I$89,3,0)*VLOOKUP('Données projet'!$B$17,Paramètres!$A$1:$I$89,5,0)</f>
        <v>#N/A</v>
      </c>
      <c r="GB184" s="117" t="e">
        <f aca="false">EXP(-1.0587+0.8836*LN(GA184)+0.284)</f>
        <v>#N/A</v>
      </c>
      <c r="GC184" s="128" t="e">
        <f aca="false">(GA184+GB184)*0.475*44/12</f>
        <v>#N/A</v>
      </c>
      <c r="GD184" s="120" t="e">
        <f aca="false">GC184+(FU184+FV184)*44/12</f>
        <v>#N/A</v>
      </c>
      <c r="GE184" s="120" t="e">
        <f aca="true">AVERAGE(OFFSET($GD$3,0,0,'Données projet'!$E$17+1,1))-AVERAGE(OFFSET($H$3,0,0,'Données projet'!$E$17+1,1))</f>
        <v>#N/A</v>
      </c>
      <c r="GF184" s="120" t="e">
        <f aca="false">$GF$3</f>
        <v>#N/A</v>
      </c>
      <c r="GG184" s="121" t="n">
        <f aca="false">IF(ISNA(VLOOKUP(A184,'Données projet'!$A$243:$I$263,3,0)),0,VLOOKUP(A184,'Données projet'!$A$243:$I$263,3,0))</f>
        <v>0</v>
      </c>
      <c r="GH184" s="121" t="n">
        <f aca="false">IF(ISNA(VLOOKUP(A184,'Données projet'!$A$243:$I$263,4,0)),0,VLOOKUP(A184,'Données projet'!$A$243:$I$263,4,0))</f>
        <v>0</v>
      </c>
      <c r="GI184" s="122" t="n">
        <f aca="false">IF(ISNA(VLOOKUP(A184,'Données projet'!$A$243:$I$263,5,0)),0%,VLOOKUP(A184,'Données projet'!$A$243:$I$263,5,0)*VLOOKUP('Données projet'!$B$17,Paramètres!$A$1:$I$89,7,0))</f>
        <v>0</v>
      </c>
      <c r="GJ184" s="122" t="n">
        <f aca="false">IF(ISNA(VLOOKUP(A184,'Données projet'!$A$243:$I$263,6,0)),0%,VLOOKUP(A184,'Données projet'!$A$243:$I$263,6,0)*VLOOKUP('Données projet'!$B$17,Paramètres!$A$1:$I$89,7,0))</f>
        <v>0</v>
      </c>
      <c r="GK184" s="122" t="n">
        <f aca="false">IF(ISNA(VLOOKUP(A184,'Données projet'!$A$243:$I$263,7,0)),0%,VLOOKUP(A184,'Données projet'!$A$243:$I$263,7,0))</f>
        <v>0</v>
      </c>
      <c r="GL184" s="129" t="e">
        <f aca="false">EXP(-LN(2)/35)*GL183+(1-EXP(-LN(2)/35))/(LN(2)/35)*GH184*GI184*VLOOKUP('Données projet'!$B$17,Paramètres!$A$1:$I$89,3,0)*0.475*44/12</f>
        <v>#N/A</v>
      </c>
      <c r="GM184" s="129" t="e">
        <f aca="false">EXP(-LN(2)/25)*GM183+(1-EXP(-LN(2)/25))/(LN(2)/25)*Calculateur!GH184*Calculateur!GJ184*VLOOKUP('Données projet'!$B$17,Paramètres!$A$1:$I$89,3,0)*0.475*44/12</f>
        <v>#N/A</v>
      </c>
      <c r="GN184" s="129" t="e">
        <f aca="false">EXP(-LN(2)/2)*GN183+(1-EXP(-LN(2)/2))/(LN(2)/2)*GH184*GK184*VLOOKUP('Données projet'!$B$17,Paramètres!$A$1:$I$89,3,0)*0.475*44/12</f>
        <v>#N/A</v>
      </c>
      <c r="GO184" s="129" t="e">
        <f aca="false">SUM(GL184:GN184)</f>
        <v>#N/A</v>
      </c>
      <c r="GP184" s="126" t="n">
        <f aca="false"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8" t="n">
        <f aca="false"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8" t="e">
        <f aca="false">VLOOKUP(A184,'Données projet'!$A$269:$I$289,2,0)</f>
        <v>#N/A</v>
      </c>
      <c r="GS184" s="118" t="e">
        <f aca="false">VLOOKUP(A184,'Données projet'!$A$269:$I$289,9,0)</f>
        <v>#N/A</v>
      </c>
      <c r="GT184" s="118" t="e">
        <f aca="false" t="array" ref="GT184:GT184">INDEX(GS:GS,MIN(IF(ISNUMBER(GS184:GS380),ROW(GS184:GS380),"")))</f>
        <v>#N/A</v>
      </c>
      <c r="GU184" s="118" t="n">
        <f aca="false">IF('Données projet'!$A$270&gt;35,GU183+GT184-HC183,IF(A184&lt;'Données projet'!$A$270,$GR$205^A184,IF(A184='Données projet'!$A$270,'Données projet'!$B$270,GU183+GT184-HC183)))</f>
        <v>0</v>
      </c>
      <c r="GV184" s="125" t="e">
        <f aca="false">GU184*VLOOKUP('Données projet'!$B$18,Paramètres!$A$1:$I$89,3,0)*VLOOKUP('Données projet'!$B$18,Paramètres!$A$1:$I$89,5,0)</f>
        <v>#N/A</v>
      </c>
      <c r="GW184" s="117" t="e">
        <f aca="false">EXP(-1.0587+0.8836*LN(GV184)+0.284)</f>
        <v>#N/A</v>
      </c>
      <c r="GX184" s="128" t="e">
        <f aca="false">(GV184+GW184)*0.475*44/12</f>
        <v>#N/A</v>
      </c>
      <c r="GY184" s="120" t="e">
        <f aca="false">GX184+(GP184+GQ184)*44/12</f>
        <v>#N/A</v>
      </c>
      <c r="GZ184" s="120" t="e">
        <f aca="true">AVERAGE(OFFSET($GY$3,0,0,'Données projet'!$E$18+1,1))-AVERAGE(OFFSET($H$3,0,0,'Données projet'!$E$18+1,1))</f>
        <v>#N/A</v>
      </c>
      <c r="HA184" s="120" t="e">
        <f aca="false">$HA$3</f>
        <v>#N/A</v>
      </c>
      <c r="HB184" s="121" t="n">
        <f aca="false">IF(ISNA(VLOOKUP(A184,'Données projet'!$A$269:$I$289,3,0)),0,VLOOKUP(A184,'Données projet'!$A$269:$I$289,3,0))</f>
        <v>0</v>
      </c>
      <c r="HC184" s="121" t="n">
        <f aca="false">IF(ISNA(VLOOKUP(A184,'Données projet'!$A$269:$I$289,4,0)),0,VLOOKUP(A184,'Données projet'!$A$269:$I$289,4,0))</f>
        <v>0</v>
      </c>
      <c r="HD184" s="122" t="n">
        <f aca="false">IF(ISNA(VLOOKUP(A184,'Données projet'!$A$269:$I$289,5,0)),0%,VLOOKUP(A184,'Données projet'!$A$269:$I$289,5,0)*VLOOKUP('Données projet'!$B$18,Paramètres!$A$1:$I$89,7,0))</f>
        <v>0</v>
      </c>
      <c r="HE184" s="122" t="n">
        <f aca="false">IF(ISNA(VLOOKUP(A184,'Données projet'!$A$269:$I$289,6,0)),0%,VLOOKUP(A184,'Données projet'!$A$269:$I$289,6,0)*VLOOKUP('Données projet'!$B$18,Paramètres!$A$1:$I$89,7,0))</f>
        <v>0</v>
      </c>
      <c r="HF184" s="122" t="n">
        <f aca="false">IF(ISNA(VLOOKUP(A184,'Données projet'!$A$269:$I$289,7,0)),0%,VLOOKUP(A184,'Données projet'!$A$269:$I$289,7,0))</f>
        <v>0</v>
      </c>
      <c r="HG184" s="129" t="e">
        <f aca="false">EXP(-LN(2)/35)*HG183+(1-EXP(-LN(2)/35))/(LN(2)/35)*HC184*HD184*VLOOKUP('Données projet'!$B$18,Paramètres!$A$1:$I$89,3,0)*0.475*44/12</f>
        <v>#N/A</v>
      </c>
      <c r="HH184" s="129" t="e">
        <f aca="false">EXP(-LN(2)/25)*HH183+(1-EXP(-LN(2)/25))/(LN(2)/25)*Calculateur!HC184*Calculateur!HE184*VLOOKUP('Données projet'!$B$18,Paramètres!$A$1:$I$89,3,0)*0.475*44/12</f>
        <v>#N/A</v>
      </c>
      <c r="HI184" s="129" t="e">
        <f aca="false">EXP(-LN(2)/2)*HI183+(1-EXP(-LN(2)/2))/(LN(2)/2)*HC184*HF184*VLOOKUP('Données projet'!$B$18,Paramètres!$A$1:$I$89,3,0)*0.475*44/12</f>
        <v>#N/A</v>
      </c>
      <c r="HJ184" s="130" t="e">
        <f aca="false">SUM(HG184:HI184)</f>
        <v>#N/A</v>
      </c>
    </row>
    <row r="185" customFormat="false" ht="14.25" hidden="false" customHeight="false" outlineLevel="0" collapsed="false">
      <c r="A185" s="112" t="n">
        <f aca="false">A184+1</f>
        <v>182</v>
      </c>
      <c r="B185" s="113" t="n">
        <f aca="false">'Scénario référence'!$B$16*5+'Scénario référence'!$B$17*0+'Scénario référence'!$B$18*5</f>
        <v>0</v>
      </c>
      <c r="C185" s="127" t="n">
        <f aca="false"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4" t="n">
        <f aca="false">IFERROR(EXP(-1.0587+0.8836*LN(C185)+0.284),0)</f>
        <v>0</v>
      </c>
      <c r="E18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5" s="114" t="n">
        <f aca="false">IF(OR('Scénario référence'!$F$8&gt;0,'Scénario référence'!$F$9&gt;0),('Scénario référence'!$F$8+'Scénario référence'!$F$9)*10,0)</f>
        <v>0</v>
      </c>
      <c r="G185" s="114" t="n">
        <f aca="false"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15" t="n">
        <f aca="false">(B185+E185+F185)*44/12+(C185+D185)*0.475*44/12</f>
        <v>256.666666666667</v>
      </c>
      <c r="I185" s="11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7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8" t="e">
        <f aca="false">VLOOKUP(A185,'Données projet'!$A$35:$I$55,2,0)</f>
        <v>#N/A</v>
      </c>
      <c r="L185" s="118" t="e">
        <f aca="false">VLOOKUP(A185,'Données projet'!$A$35:$I$55,9,0)</f>
        <v>#N/A</v>
      </c>
      <c r="M185" s="118" t="e">
        <f aca="false" t="array" ref="M185:M185">INDEX(L:L,MIN(IF(ISNUMBER(L185:L381),ROW(L185:L381),"")))</f>
        <v>#N/A</v>
      </c>
      <c r="N185" s="117" t="n">
        <f aca="false">IF('Données projet'!$A$36&gt;35,N184+M185-V184,IF(A185&lt;'Données projet'!$A$36,$K$205^A185,IF(A185='Données projet'!$A$36,'Données projet'!$B$36,N184+M185-V184)))</f>
        <v>-1.13686837721616E-013</v>
      </c>
      <c r="O185" s="117" t="n">
        <f aca="false">N185*VLOOKUP('Données projet'!$B$9,Paramètres!$A$1:$I$89,3,0)*VLOOKUP('Données projet'!$B$9,Paramètres!$A$1:$I$89,5,0)</f>
        <v>-5.32054400537163E-014</v>
      </c>
      <c r="P185" s="117" t="e">
        <f aca="false">EXP(-1.0587+0.8836*LN(O185)+0.284)</f>
        <v>#VALUE!</v>
      </c>
      <c r="Q185" s="128" t="e">
        <f aca="false">(O185+P185)*0.475*44/12</f>
        <v>#VALUE!</v>
      </c>
      <c r="R185" s="120" t="e">
        <f aca="false">Q185+(I185+J185)*44/12</f>
        <v>#VALUE!</v>
      </c>
      <c r="S185" s="120" t="n">
        <f aca="true">AVERAGE(OFFSET($R$3,0,0,'Données projet'!$E$9+1,1))-AVERAGE(OFFSET($H$3,0,0,'Données projet'!$E$9+1,1))</f>
        <v>319.229030946746</v>
      </c>
      <c r="T185" s="120" t="n">
        <f aca="false">$T$3</f>
        <v>254.586909731428</v>
      </c>
      <c r="U185" s="121" t="n">
        <f aca="false">IF(ISNA(VLOOKUP(A185,'Données projet'!$A$35:$I$55,3,0)),0,VLOOKUP(A185,'Données projet'!$A$35:$I$55,3,0))</f>
        <v>0</v>
      </c>
      <c r="V185" s="121" t="n">
        <f aca="false">IF(ISNA(VLOOKUP(A185,'Données projet'!$A$35:$I$55,4,0)),0,VLOOKUP(A185,'Données projet'!$A$35:$I$55,4,0))</f>
        <v>0</v>
      </c>
      <c r="W185" s="122" t="n">
        <f aca="false">IF(ISNA(VLOOKUP(A185,'Données projet'!$A$35:$I$55,5,0)),0%,VLOOKUP(A185,'Données projet'!$A$35:$I$55,5,0)*VLOOKUP('Données projet'!$B$9,Paramètres!$A$1:$I$89,7,0))</f>
        <v>0</v>
      </c>
      <c r="X185" s="122" t="n">
        <f aca="false">IF(ISNA(VLOOKUP(A185,'Données projet'!$A$35:$I$55,6,0)),0%,VLOOKUP(A185,'Données projet'!$A$35:$I$55,6,0)*VLOOKUP('Données projet'!$B$9,Paramètres!$A$1:$I$89,7,0))</f>
        <v>0</v>
      </c>
      <c r="Y185" s="122" t="n">
        <f aca="false">IF(ISNA(VLOOKUP(A185,'Données projet'!$A$35:$I$55,7,0)),0%,VLOOKUP(A185,'Données projet'!$A$35:$I$55,7,0))</f>
        <v>0</v>
      </c>
      <c r="Z185" s="129" t="n">
        <f aca="false">EXP(-LN(2)/35)*Z184+(1-EXP(-LN(2)/35))/(LN(2)/35)*V185*W185*VLOOKUP('Données projet'!$B$9,Paramètres!$A$1:$I$89,3,0)*0.475*44/12</f>
        <v>0.447272521503457</v>
      </c>
      <c r="AA185" s="129" t="n">
        <f aca="false">EXP(-LN(2)/25)*AA184+(1-EXP(-LN(2)/25))/(LN(2)/25)*Calculateur!V185*Calculateur!X185*VLOOKUP('Données projet'!$B$9,Paramètres!$A$1:$I$89,3,0)*0.475*44/12</f>
        <v>0.164840496282582</v>
      </c>
      <c r="AB185" s="129" t="n">
        <f aca="false">EXP(-LN(2)/2)*AB184+(1-EXP(-LN(2)/2))/(LN(2)/2)*V185*Y185*VLOOKUP('Données projet'!$B$9,Paramètres!$A$1:$I$89,3,0)*0.475*44/12</f>
        <v>1.46154590654619E-022</v>
      </c>
      <c r="AC185" s="130" t="n">
        <f aca="false">SUM(Z185:AB185)</f>
        <v>0.612113017786039</v>
      </c>
      <c r="AD185" s="117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7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8" t="e">
        <f aca="false">VLOOKUP(A185,'Données projet'!$A$61:$I$81,2,0)</f>
        <v>#N/A</v>
      </c>
      <c r="AG185" s="118" t="e">
        <f aca="false">VLOOKUP(A185,'Données projet'!$A$61:$I$81,9,0)</f>
        <v>#N/A</v>
      </c>
      <c r="AH185" s="118" t="e">
        <f aca="false" t="array" ref="AH185:AH185">INDEX(AG:AG,MIN(IF(ISNUMBER(AG185:AG381),ROW(AG185:AG381),"")))</f>
        <v>#N/A</v>
      </c>
      <c r="AI185" s="117" t="n">
        <f aca="false">IF('Données projet'!$A$62&gt;35,AI184+AH185-AQ184,IF(A185&lt;'Données projet'!$A$62,$AF$205^A185,IF(A185='Données projet'!$A$62,'Données projet'!$B$62,AI184+AH185-AQ184)))</f>
        <v>1.13686837721616E-013</v>
      </c>
      <c r="AJ185" s="117" t="n">
        <f aca="false">AI185*VLOOKUP('Données projet'!$B$10,Paramètres!$A$1:$I$89,3,0)*VLOOKUP('Données projet'!$B$10,Paramètres!$A$1:$I$89,5,0)</f>
        <v>6.35509422863834E-014</v>
      </c>
      <c r="AK185" s="117" t="n">
        <f aca="false">EXP(-1.0587+0.8836*LN(AJ185)+0.284)</f>
        <v>1.0064464192544E-012</v>
      </c>
      <c r="AL185" s="128" t="n">
        <f aca="false">(AJ185+AK185)*0.475*44/12</f>
        <v>1.86357873801686E-012</v>
      </c>
      <c r="AM185" s="120" t="n">
        <f aca="false">AL185+(AD185+AE185)*44/12</f>
        <v>293.333333333335</v>
      </c>
      <c r="AN185" s="120" t="n">
        <f aca="true">AVERAGE(OFFSET($AM$3,0,0,'Données projet'!$E$10+1,1))-AVERAGE(OFFSET($H$3,0,0,'Données projet'!$E$10+1,1))</f>
        <v>365.705101827279</v>
      </c>
      <c r="AO185" s="120" t="n">
        <f aca="false">$AO$3</f>
        <v>436.238338449625</v>
      </c>
      <c r="AP185" s="121" t="n">
        <f aca="false">IF(ISNA(VLOOKUP(A185,'Données projet'!$A$61:$I$81,3,0)),0,VLOOKUP(A185,'Données projet'!$A$61:$I$81,3,0))</f>
        <v>0</v>
      </c>
      <c r="AQ185" s="121" t="n">
        <f aca="false">IF(ISNA(VLOOKUP(A185,'Données projet'!$A$61:$I$81,4,0)),0,VLOOKUP(A185,'Données projet'!$A$61:$I$81,4,0))</f>
        <v>0</v>
      </c>
      <c r="AR185" s="122" t="n">
        <f aca="false">IF(ISNA(VLOOKUP(A185,'Données projet'!$A$61:$I$81,5,0)),0%,VLOOKUP(A185,'Données projet'!$A$61:$I$81,5,0)*VLOOKUP('Données projet'!$B$10,Paramètres!$A$1:$I$89,7,0))</f>
        <v>0</v>
      </c>
      <c r="AS185" s="122" t="n">
        <f aca="false">IF(ISNA(VLOOKUP(A185,'Données projet'!$A$61:$I$81,6,0)),0%,VLOOKUP(A185,'Données projet'!$A$61:$I$81,6,0)*VLOOKUP('Données projet'!$B$10,Paramètres!$A$1:$I$89,7,0))</f>
        <v>0</v>
      </c>
      <c r="AT185" s="122" t="n">
        <f aca="false">IF(ISNA(VLOOKUP(A185,'Données projet'!$A$61:$I$81,7,0)),0%,VLOOKUP(A185,'Données projet'!$A$61:$I$81,7,0))</f>
        <v>0</v>
      </c>
      <c r="AU185" s="129" t="n">
        <f aca="false">EXP(-LN(2)/35)*AU184+(1-EXP(-LN(2)/35))/(LN(2)/35)*AQ185*AR185*VLOOKUP('Données projet'!$B$10,Paramètres!$A$1:$I$89,3,0)*0.475*44/12</f>
        <v>0.168830875661905</v>
      </c>
      <c r="AV185" s="129" t="n">
        <f aca="false">EXP(-LN(2)/25)*AV184+(1-EXP(-LN(2)/25))/(LN(2)/25)*Calculateur!AQ185*Calculateur!AS185*VLOOKUP('Données projet'!$B$10,Paramètres!$A$1:$I$89,3,0)*0.475*44/12</f>
        <v>0.195244654941374</v>
      </c>
      <c r="AW185" s="129" t="n">
        <f aca="false">EXP(-LN(2)/2)*AW184+(1-EXP(-LN(2)/2))/(LN(2)/2)*AQ185*AT185*VLOOKUP('Données projet'!$B$10,Paramètres!$A$1:$I$89,3,0)*0.475*44/12</f>
        <v>7.86558326640127E-023</v>
      </c>
      <c r="AX185" s="129" t="n">
        <f aca="false">SUM(AU185:AW185)</f>
        <v>0.364075530603279</v>
      </c>
      <c r="AY185" s="124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8" t="e">
        <f aca="false">VLOOKUP(A185,'Données projet'!$A$87:$I$107,2,0)</f>
        <v>#N/A</v>
      </c>
      <c r="BB185" s="118" t="e">
        <f aca="false">VLOOKUP(A185,'Données projet'!$A$87:$I$107,9,0)</f>
        <v>#N/A</v>
      </c>
      <c r="BC185" s="118" t="e">
        <f aca="false" t="array" ref="BC185:BC185">INDEX(BB:BB,MIN(IF(ISNUMBER(BB185:BB381),ROW(BB185:BB381),"")))</f>
        <v>#N/A</v>
      </c>
      <c r="BD185" s="118" t="n">
        <f aca="false">IF('Données projet'!$A$88&gt;35,BD184+BC185-BL184,IF(A185&lt;'Données projet'!$A$88,$BA$205^A185,IF(A185='Données projet'!$A$88,'Données projet'!$B$88,BD184+BC185-BL184)))</f>
        <v>1.98951966012828E-013</v>
      </c>
      <c r="BE185" s="117" t="n">
        <f aca="false">BD185*VLOOKUP('Données projet'!$B$11,Paramètres!$A$1:$I$89,3,0)*VLOOKUP('Données projet'!$B$11,Paramètres!$A$1:$I$89,5,0)</f>
        <v>1.73804437508807E-013</v>
      </c>
      <c r="BF185" s="117" t="n">
        <f aca="false">EXP(-1.0587+0.8836*LN(BE185)+0.284)</f>
        <v>2.44832936339505E-012</v>
      </c>
      <c r="BG185" s="128" t="n">
        <f aca="false">(BE185+BF185)*0.475*44/12</f>
        <v>4.56688303657421E-012</v>
      </c>
      <c r="BH185" s="120" t="n">
        <f aca="false">BG185+(AY185+AZ185)*44/12</f>
        <v>293.333333333338</v>
      </c>
      <c r="BI185" s="120" t="n">
        <f aca="true">AVERAGE(OFFSET($BH$3,0,0,'Données projet'!$E$11+1,1))-AVERAGE(OFFSET($H$3,0,0,'Données projet'!$E$11+1,1))</f>
        <v>321.235999689929</v>
      </c>
      <c r="BJ185" s="120" t="n">
        <f aca="false">$BJ$3</f>
        <v>388.051958478005</v>
      </c>
      <c r="BK185" s="121" t="n">
        <f aca="false">IF(ISNA(VLOOKUP(A185,'Données projet'!$A$87:$I$107,3,0)),0,VLOOKUP(A185,'Données projet'!$A$87:$I$107,3,0))</f>
        <v>0</v>
      </c>
      <c r="BL185" s="121" t="n">
        <f aca="false">IF(ISNA(VLOOKUP(A185,'Données projet'!$A$87:$I$107,4,0)),0,VLOOKUP(A185,'Données projet'!$A$87:$I$107,4,0))</f>
        <v>0</v>
      </c>
      <c r="BM185" s="122" t="n">
        <f aca="false">IF(ISNA(VLOOKUP(A185,'Données projet'!$A$87:$I$107,5,0)),0%,VLOOKUP(A185,'Données projet'!$A$87:$I$107,5,0)*VLOOKUP('Données projet'!$B$11,Paramètres!$A$1:$I$89,7,0))</f>
        <v>0</v>
      </c>
      <c r="BN185" s="122" t="n">
        <f aca="false">IF(ISNA(VLOOKUP(A185,'Données projet'!$A$87:$I$107,6,0)),0%,VLOOKUP(A185,'Données projet'!$A$87:$I$107,6,0)*VLOOKUP('Données projet'!$B$11,Paramètres!$A$1:$I$89,7,0))</f>
        <v>0</v>
      </c>
      <c r="BO185" s="122" t="n">
        <f aca="false">IF(ISNA(VLOOKUP(A185,'Données projet'!$A$87:$I$107,7,0)),0%,VLOOKUP(A185,'Données projet'!$A$87:$I$107,7,0))</f>
        <v>0</v>
      </c>
      <c r="BP185" s="129" t="n">
        <f aca="false">EXP(-LN(2)/35)*BP184+(1-EXP(-LN(2)/35))/(LN(2)/35)*BL185*BM185*VLOOKUP('Données projet'!$B$11,Paramètres!$A$1:$I$89,3,0)*0.475*44/12</f>
        <v>0.423870401305327</v>
      </c>
      <c r="BQ185" s="129" t="n">
        <f aca="false">EXP(-LN(2)/25)*BQ184+(1-EXP(-LN(2)/25))/(LN(2)/25)*Calculateur!BL185*Calculateur!BN185*VLOOKUP('Données projet'!$B$11,Paramètres!$A$1:$I$89,3,0)*0.475*44/12</f>
        <v>0.199294146948648</v>
      </c>
      <c r="BR185" s="129" t="n">
        <f aca="false">EXP(-LN(2)/2)*BR184+(1-EXP(-LN(2)/2))/(LN(2)/2)*BL185*BO185*VLOOKUP('Données projet'!$B$11,Paramètres!$A$1:$I$89,3,0)*0.475*44/12</f>
        <v>7.99520190143072E-023</v>
      </c>
      <c r="BS185" s="130" t="n">
        <f aca="false">SUM(BP185:BR185)</f>
        <v>0.623164548253975</v>
      </c>
      <c r="BT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8" t="e">
        <f aca="false">VLOOKUP(A185,'Données projet'!$A$113:$I$133,2,0)</f>
        <v>#N/A</v>
      </c>
      <c r="BW185" s="118" t="e">
        <f aca="false">VLOOKUP(A185,'Données projet'!$A$113:$I$133,9,0)</f>
        <v>#N/A</v>
      </c>
      <c r="BX185" s="118" t="e">
        <f aca="false" t="array" ref="BX185:BX185">INDEX(BW:BW,MIN(IF(ISNUMBER(BW185:BW381),ROW(BW185:BW381),"")))</f>
        <v>#N/A</v>
      </c>
      <c r="BY185" s="118" t="n">
        <f aca="false">IF('Données projet'!$A$114&gt;35,BY184+BX185-CG184,IF(A185&lt;'Données projet'!$A$114,$BV$205^A185,IF(A185='Données projet'!$A$114,'Données projet'!$B$114,BY184+BX185-CG184)))</f>
        <v>0</v>
      </c>
      <c r="BZ185" s="117" t="n">
        <f aca="false">BY185*VLOOKUP('Données projet'!$B$12,Paramètres!$A$1:$I$89,3,0)*VLOOKUP('Données projet'!$B$12,Paramètres!$A$1:$I$89,5,0)</f>
        <v>0</v>
      </c>
      <c r="CA185" s="117" t="e">
        <f aca="false">EXP(-1.0587+0.8836*LN(BZ185)+0.284)</f>
        <v>#VALUE!</v>
      </c>
      <c r="CB185" s="128" t="e">
        <f aca="false">(BZ185+CA185)*0.475*44/12</f>
        <v>#VALUE!</v>
      </c>
      <c r="CC185" s="120" t="e">
        <f aca="false">CB185+(BT185+BU185)*44/12</f>
        <v>#VALUE!</v>
      </c>
      <c r="CD185" s="120" t="n">
        <f aca="true">AVERAGE(OFFSET($CC$3,0,0,'Données projet'!$E$12+1,1))-AVERAGE(OFFSET($H$3,0,0,'Données projet'!$E$12+1,1))</f>
        <v>240.228848647662</v>
      </c>
      <c r="CE185" s="120" t="n">
        <f aca="false">$CE$3</f>
        <v>343.237768841432</v>
      </c>
      <c r="CF185" s="121" t="n">
        <f aca="false">IF(ISNA(VLOOKUP(A185,'Données projet'!$A$113:$I$133,3,0)),0,VLOOKUP(A185,'Données projet'!$A$113:$I$133,3,0))</f>
        <v>0</v>
      </c>
      <c r="CG185" s="121" t="n">
        <f aca="false">IF(ISNA(VLOOKUP(A185,'Données projet'!$A$113:$I$133,4,0)),0,VLOOKUP(A185,'Données projet'!$A$113:$I$133,4,0))</f>
        <v>0</v>
      </c>
      <c r="CH185" s="122" t="n">
        <f aca="false">IF(ISNA(VLOOKUP(A185,'Données projet'!$A$113:$I$133,5,0)),0%,VLOOKUP(A185,'Données projet'!$A$113:$I$133,5,0)*VLOOKUP('Données projet'!$B$12,Paramètres!$A$1:$I$89,7,0))</f>
        <v>0</v>
      </c>
      <c r="CI185" s="122" t="n">
        <f aca="false">IF(ISNA(VLOOKUP(A185,'Données projet'!$A$113:$I$133,6,0)),0%,VLOOKUP(A185,'Données projet'!$A$113:$I$133,6,0)*VLOOKUP('Données projet'!$B$12,Paramètres!$A$1:$I$89,7,0))</f>
        <v>0</v>
      </c>
      <c r="CJ185" s="122" t="n">
        <f aca="false">IF(ISNA(VLOOKUP(A185,'Données projet'!$A$113:$I$133,7,0)),0%,VLOOKUP(A185,'Données projet'!$A$113:$I$133,7,0))</f>
        <v>0</v>
      </c>
      <c r="CK185" s="129" t="n">
        <f aca="false">EXP(-LN(2)/35)*CK184+(1-EXP(-LN(2)/35))/(LN(2)/35)*CG185*CH185*VLOOKUP('Données projet'!$B$12,Paramètres!$A$1:$I$89,3,0)*0.475*44/12</f>
        <v>0.259441708054295</v>
      </c>
      <c r="CL185" s="129" t="n">
        <f aca="false">EXP(-LN(2)/25)*CL184+(1-EXP(-LN(2)/25))/(LN(2)/25)*Calculateur!CG185*Calculateur!CI185*VLOOKUP('Données projet'!$B$12,Paramètres!$A$1:$I$89,3,0)*0.475*44/12</f>
        <v>0.351965000626895</v>
      </c>
      <c r="CM185" s="129" t="n">
        <f aca="false">EXP(-LN(2)/2)*CM184+(1-EXP(-LN(2)/2))/(LN(2)/2)*CG185*CJ185*VLOOKUP('Données projet'!$B$12,Paramètres!$A$1:$I$89,3,0)*0.475*44/12</f>
        <v>1.27582107150782E-022</v>
      </c>
      <c r="CN185" s="130" t="n">
        <f aca="false">SUM(CK185:CM185)</f>
        <v>0.61140670868119</v>
      </c>
      <c r="CO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8" t="e">
        <f aca="false">VLOOKUP(A185,'Données projet'!$A$139:$I$159,2,0)</f>
        <v>#N/A</v>
      </c>
      <c r="CR185" s="118" t="e">
        <f aca="false">VLOOKUP(A185,'Données projet'!$A$139:$I$159,9,0)</f>
        <v>#N/A</v>
      </c>
      <c r="CS185" s="118" t="e">
        <f aca="false" t="array" ref="CS185:CS185">INDEX(CR:CR,MIN(IF(ISNUMBER(CR185:CR381),ROW(CR185:CR381),"")))</f>
        <v>#N/A</v>
      </c>
      <c r="CT185" s="118" t="n">
        <f aca="false">IF('Données projet'!$A$140&gt;35,CT184+CS185-DB184,IF(A185&lt;'Données projet'!$A$140,$CQ$205^A185,IF(A185='Données projet'!$A$140,'Données projet'!$B$140,CT184+CS185-DB184)))</f>
        <v>-5.6843418860808E-014</v>
      </c>
      <c r="CU185" s="125" t="n">
        <f aca="false">CT185*VLOOKUP('Données projet'!$B$13,Paramètres!$A$1:$I$89,3,0)*VLOOKUP('Données projet'!$B$13,Paramètres!$A$1:$I$89,5,0)</f>
        <v>-3.10365066980012E-014</v>
      </c>
      <c r="CV185" s="117" t="e">
        <f aca="false">EXP(-1.0587+0.8836*LN(CU185)+0.284)</f>
        <v>#VALUE!</v>
      </c>
      <c r="CW185" s="128" t="e">
        <f aca="false">(CU185+CV185)*0.475*44/12</f>
        <v>#VALUE!</v>
      </c>
      <c r="CX185" s="120" t="e">
        <f aca="false">CW185+(CO185+CP185)*44/12</f>
        <v>#VALUE!</v>
      </c>
      <c r="CY185" s="120" t="n">
        <f aca="true">AVERAGE(OFFSET($CX$3,0,0,'Données projet'!$E$13+1,1))-AVERAGE(OFFSET($H$3,0,0,'Données projet'!$E$13+1,1))</f>
        <v>207.023069645676</v>
      </c>
      <c r="CZ185" s="120" t="n">
        <f aca="false">$CZ$3</f>
        <v>342.068879333518</v>
      </c>
      <c r="DA185" s="121" t="n">
        <f aca="false">IF(ISNA(VLOOKUP(A185,'Données projet'!$A$139:$I$159,3,0)),0,VLOOKUP(A185,'Données projet'!$A$139:$I$159,3,0))</f>
        <v>0</v>
      </c>
      <c r="DB185" s="121" t="n">
        <f aca="false">IF(ISNA(VLOOKUP(A185,'Données projet'!$A$139:$I$159,4,0)),0,VLOOKUP(A185,'Données projet'!$A$139:$I$159,4,0))</f>
        <v>0</v>
      </c>
      <c r="DC185" s="122" t="n">
        <f aca="false">IF(ISNA(VLOOKUP(A185,'Données projet'!$A$139:$I$159,5,0)),0%,VLOOKUP(A185,'Données projet'!$A$139:$I$159,5,0)*VLOOKUP('Données projet'!$B$13,Paramètres!$A$1:$I$89,7,0))</f>
        <v>0</v>
      </c>
      <c r="DD185" s="122" t="n">
        <f aca="false">IF(ISNA(VLOOKUP(A185,'Données projet'!$A$139:$I$159,6,0)),0%,VLOOKUP(A185,'Données projet'!$A$139:$I$159,6,0)*VLOOKUP('Données projet'!$B$13,Paramètres!$A$1:$I$89,7,0))</f>
        <v>0</v>
      </c>
      <c r="DE185" s="122" t="n">
        <f aca="false">IF(ISNA(VLOOKUP(A185,'Données projet'!$A$139:$I$159,7,0)),0%,VLOOKUP(A185,'Données projet'!$A$139:$I$159,7,0))</f>
        <v>0</v>
      </c>
      <c r="DF185" s="129" t="n">
        <f aca="false">EXP(-LN(2)/35)*DF184+(1-EXP(-LN(2)/35))/(LN(2)/35)*DB185*DC185*VLOOKUP('Données projet'!$B$13,Paramètres!$A$1:$I$89,3,0)*0.475*44/12</f>
        <v>0.325525916709634</v>
      </c>
      <c r="DG185" s="129" t="n">
        <f aca="false">EXP(-LN(2)/25)*DG184+(1-EXP(-LN(2)/25))/(LN(2)/25)*Calculateur!DB185*Calculateur!DD185*VLOOKUP('Données projet'!$B$13,Paramètres!$A$1:$I$89,3,0)*0.475*44/12</f>
        <v>0.575316186534887</v>
      </c>
      <c r="DH185" s="129" t="n">
        <f aca="false">EXP(-LN(2)/2)*DH184+(1-EXP(-LN(2)/2))/(LN(2)/2)*DB185*DE185*VLOOKUP('Données projet'!$B$13,Paramètres!$A$1:$I$89,3,0)*0.475*44/12</f>
        <v>1.75680620696906E-022</v>
      </c>
      <c r="DI185" s="130" t="n">
        <f aca="false">SUM(DF185:DH185)</f>
        <v>0.900842103244521</v>
      </c>
      <c r="DJ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8" t="e">
        <f aca="false">VLOOKUP(A185,'Données projet'!$A$165:$I$185,2,0)</f>
        <v>#N/A</v>
      </c>
      <c r="DM185" s="118" t="e">
        <f aca="false">VLOOKUP(A185,'Données projet'!$A$165:$I$185,9,0)</f>
        <v>#N/A</v>
      </c>
      <c r="DN185" s="118" t="e">
        <f aca="false" t="array" ref="DN185:DN185">INDEX(DM:DM,MIN(IF(ISNUMBER(DM185:DM381),ROW(DM185:DM381),"")))</f>
        <v>#N/A</v>
      </c>
      <c r="DO185" s="118" t="n">
        <f aca="false">IF('Données projet'!$A$166&gt;35,DO184+DN185-DW184,IF(A185&lt;'Données projet'!$A$166,$DL$205^A185,IF(A185='Données projet'!$A$166,'Données projet'!$B$166,DO184+DN185-DW184)))</f>
        <v>0</v>
      </c>
      <c r="DP185" s="125" t="n">
        <f aca="false">DO185*VLOOKUP('Données projet'!$B$14,Paramètres!$A$1:$I$89,3,0)*VLOOKUP('Données projet'!$B$14,Paramètres!$A$1:$I$89,5,0)</f>
        <v>0</v>
      </c>
      <c r="DQ185" s="117" t="e">
        <f aca="false">EXP(-1.0587+0.8836*LN(DP185)+0.284)</f>
        <v>#VALUE!</v>
      </c>
      <c r="DR185" s="128" t="e">
        <f aca="false">(DP185+DQ185)*0.475*44/12</f>
        <v>#VALUE!</v>
      </c>
      <c r="DS185" s="120" t="e">
        <f aca="false">DR185+(DJ185+DK185)*44/12</f>
        <v>#VALUE!</v>
      </c>
      <c r="DT185" s="120" t="n">
        <f aca="true">AVERAGE(OFFSET($DS$3,0,0,'Données projet'!$E$14+1,1))-AVERAGE(OFFSET($H$3,0,0,'Données projet'!$E$14+1,1))</f>
        <v>549.432320957297</v>
      </c>
      <c r="DU185" s="120" t="n">
        <f aca="false">$DU$3</f>
        <v>280.26155987301</v>
      </c>
      <c r="DV185" s="121" t="n">
        <f aca="false">IF(ISNA(VLOOKUP(A185,'Données projet'!$A$165:$I$185,3,0)),0,VLOOKUP(A185,'Données projet'!$A$165:$I$185,3,0))</f>
        <v>0</v>
      </c>
      <c r="DW185" s="121" t="n">
        <f aca="false">IF(ISNA(VLOOKUP(A185,'Données projet'!$A$165:$I$185,4,0)),0,VLOOKUP(A185,'Données projet'!$A$165:$I$185,4,0))</f>
        <v>0</v>
      </c>
      <c r="DX185" s="122" t="n">
        <f aca="false">IF(ISNA(VLOOKUP(A185,'Données projet'!$A$165:$I$185,5,0)),0%,VLOOKUP(A185,'Données projet'!$A$165:$I$185,5,0)*VLOOKUP('Données projet'!$B$14,Paramètres!$A$1:$I$89,7,0))</f>
        <v>0</v>
      </c>
      <c r="DY185" s="122" t="n">
        <f aca="false">IF(ISNA(VLOOKUP(A185,'Données projet'!$A$165:$I$185,6,0)),0%,VLOOKUP(A185,'Données projet'!$A$165:$I$185,6,0)*VLOOKUP('Données projet'!$B$14,Paramètres!$A$1:$I$89,7,0))</f>
        <v>0</v>
      </c>
      <c r="DZ185" s="122" t="n">
        <f aca="false">IF(ISNA(VLOOKUP(A185,'Données projet'!$A$165:$I$185,7,0)),0%,VLOOKUP(A185,'Données projet'!$A$165:$I$185,7,0))</f>
        <v>0</v>
      </c>
      <c r="EA185" s="129" t="n">
        <f aca="false">EXP(-LN(2)/35)*EA184+(1-EXP(-LN(2)/35))/(LN(2)/35)*DW185*DX185*VLOOKUP('Données projet'!$B$14,Paramètres!$A$1:$I$89,3,0)*0.475*44/12</f>
        <v>0.118360860339962</v>
      </c>
      <c r="EB185" s="129" t="n">
        <f aca="false">EXP(-LN(2)/25)*EB184+(1-EXP(-LN(2)/25))/(LN(2)/25)*Calculateur!DW185*Calculateur!DY185*VLOOKUP('Données projet'!$B$14,Paramètres!$A$1:$I$89,3,0)*0.475*44/12</f>
        <v>0.114614335146605</v>
      </c>
      <c r="EC185" s="129" t="n">
        <f aca="false">EXP(-LN(2)/2)*EC184+(1-EXP(-LN(2)/2))/(LN(2)/2)*DW185*DZ185*VLOOKUP('Données projet'!$B$14,Paramètres!$A$1:$I$89,3,0)*0.475*44/12</f>
        <v>8.09851447991746E-023</v>
      </c>
      <c r="ED185" s="130" t="n">
        <f aca="false">SUM(EA185:EC185)</f>
        <v>0.232975195486567</v>
      </c>
      <c r="EE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8" t="e">
        <f aca="false">VLOOKUP(A185,'Données projet'!$A$191:$I$211,2,0)</f>
        <v>#N/A</v>
      </c>
      <c r="EH185" s="118" t="e">
        <f aca="false">VLOOKUP(A185,'Données projet'!$A$191:$I$211,9,0)</f>
        <v>#N/A</v>
      </c>
      <c r="EI185" s="118" t="e">
        <f aca="false" t="array" ref="EI185:EI185">INDEX(EH:EH,MIN(IF(ISNUMBER(EH185:EH381),ROW(EH185:EH381),"")))</f>
        <v>#N/A</v>
      </c>
      <c r="EJ185" s="118" t="n">
        <f aca="false">IF('Données projet'!$A$192&gt;35,EJ184+EI185-ER184,IF(A185&lt;'Données projet'!$A$192,$EG$205^A185,IF(A185='Données projet'!$A$192,'Données projet'!$B$192,EJ184+EI185-ER184)))</f>
        <v>0</v>
      </c>
      <c r="EK185" s="125" t="e">
        <f aca="false">EJ185*VLOOKUP('Données projet'!$B$15,Paramètres!$A$1:$I$89,3,0)*VLOOKUP('Données projet'!$B$15,Paramètres!$A$1:$I$89,5,0)</f>
        <v>#N/A</v>
      </c>
      <c r="EL185" s="117" t="e">
        <f aca="false">EXP(-1.0587+0.8836*LN(EK185)+0.284)</f>
        <v>#N/A</v>
      </c>
      <c r="EM185" s="128" t="e">
        <f aca="false">(EK185+EL185)*0.475*44/12</f>
        <v>#N/A</v>
      </c>
      <c r="EN185" s="120" t="e">
        <f aca="false">EM185+(EE185+EF185)*44/12</f>
        <v>#N/A</v>
      </c>
      <c r="EO185" s="120" t="e">
        <f aca="true">AVERAGE(OFFSET($EN$3,0,0,'Données projet'!$E$15+1,1))-AVERAGE(OFFSET($H$3,0,0,'Données projet'!$E$15+1,1))</f>
        <v>#N/A</v>
      </c>
      <c r="EP185" s="120" t="e">
        <f aca="false">$EP$3</f>
        <v>#N/A</v>
      </c>
      <c r="EQ185" s="121" t="n">
        <f aca="false">IF(ISNA(VLOOKUP(A185,'Données projet'!$A$191:$I$211,3,0)),0,VLOOKUP(A185,'Données projet'!$A$191:$I$211,3,0))</f>
        <v>0</v>
      </c>
      <c r="ER185" s="121" t="n">
        <f aca="false">IF(ISNA(VLOOKUP(A185,'Données projet'!$A$191:$I$211,4,0)),0,VLOOKUP(A185,'Données projet'!$A$191:$I$211,4,0))</f>
        <v>0</v>
      </c>
      <c r="ES185" s="122" t="n">
        <f aca="false">IF(ISNA(VLOOKUP(A185,'Données projet'!$A$191:$I$211,5,0)),0%,VLOOKUP(A185,'Données projet'!$A$191:$I$211,5,0)*VLOOKUP('Données projet'!$B$15,Paramètres!$A$1:$I$89,7,0))</f>
        <v>0</v>
      </c>
      <c r="ET185" s="122" t="n">
        <f aca="false">IF(ISNA(VLOOKUP(A185,'Données projet'!$A$191:$I$211,6,0)),0%,VLOOKUP(A185,'Données projet'!$A$191:$I$211,6,0)*VLOOKUP('Données projet'!$B$15,Paramètres!$A$1:$I$89,7,0))</f>
        <v>0</v>
      </c>
      <c r="EU185" s="122" t="n">
        <f aca="false">IF(ISNA(VLOOKUP(A185,'Données projet'!$A$191:$I$211,7,0)),0%,VLOOKUP(A185,'Données projet'!$A$191:$I$211,7,0))</f>
        <v>0</v>
      </c>
      <c r="EV185" s="129" t="e">
        <f aca="false">EXP(-LN(2)/35)*EV184+(1-EXP(-LN(2)/35))/(LN(2)/35)*ER185*ES185*VLOOKUP('Données projet'!$B$15,Paramètres!$A$1:$I$89,3,0)*0.475*44/12</f>
        <v>#N/A</v>
      </c>
      <c r="EW185" s="129" t="e">
        <f aca="false">EXP(-LN(2)/25)*EW184+(1-EXP(-LN(2)/25))/(LN(2)/25)*Calculateur!ER185*Calculateur!ET185*VLOOKUP('Données projet'!$B$15,Paramètres!$A$1:$I$89,3,0)*0.475*44/12</f>
        <v>#N/A</v>
      </c>
      <c r="EX185" s="129" t="e">
        <f aca="false">EXP(-LN(2)/2)*EX184+(1-EXP(-LN(2)/2))/(LN(2)/2)*ER185*EU185*VLOOKUP('Données projet'!$B$15,Paramètres!$A$1:$I$89,3,0)*0.475*44/12</f>
        <v>#N/A</v>
      </c>
      <c r="EY185" s="130" t="e">
        <f aca="false">SUM(EV185:EX185)</f>
        <v>#N/A</v>
      </c>
      <c r="EZ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8" t="e">
        <f aca="false">VLOOKUP(A185,'Données projet'!$A$217:$I$237,2,0)</f>
        <v>#N/A</v>
      </c>
      <c r="FC185" s="118" t="e">
        <f aca="false">VLOOKUP(A185,'Données projet'!$A$217:$I$237,9,0)</f>
        <v>#N/A</v>
      </c>
      <c r="FD185" s="118" t="e">
        <f aca="false" t="array" ref="FD185:FD185">INDEX(FC:FC,MIN(IF(ISNUMBER(FC185:FC381),ROW(FC185:FC381),"")))</f>
        <v>#N/A</v>
      </c>
      <c r="FE185" s="118" t="n">
        <f aca="false">IF('Données projet'!$A$218&gt;35,FE184+FD185-FM184,IF(A185&lt;'Données projet'!$A$218,$FB$205^A185,IF(A185='Données projet'!$A$218,'Données projet'!$B$218,FE184+FD185-FM184)))</f>
        <v>0</v>
      </c>
      <c r="FF185" s="125" t="e">
        <f aca="false">FE185*VLOOKUP('Données projet'!$B$16,Paramètres!$A$1:$I$89,3,0)*VLOOKUP('Données projet'!$B$16,Paramètres!$A$1:$I$89,5,0)</f>
        <v>#N/A</v>
      </c>
      <c r="FG185" s="117" t="e">
        <f aca="false">EXP(-1.0587+0.8836*LN(FF185)+0.284)</f>
        <v>#N/A</v>
      </c>
      <c r="FH185" s="128" t="e">
        <f aca="false">(FF185+FG185)*0.475*44/12</f>
        <v>#N/A</v>
      </c>
      <c r="FI185" s="120" t="e">
        <f aca="false">FH185+(EZ185+FA185)*44/12</f>
        <v>#N/A</v>
      </c>
      <c r="FJ185" s="120" t="e">
        <f aca="true">AVERAGE(OFFSET($FI$3,0,0,'Données projet'!$E$16+1,1))-AVERAGE(OFFSET($H$3,0,0,'Données projet'!$E$16+1,1))</f>
        <v>#N/A</v>
      </c>
      <c r="FK185" s="120" t="e">
        <f aca="false">$FK$3</f>
        <v>#N/A</v>
      </c>
      <c r="FL185" s="121" t="n">
        <f aca="false">IF(ISNA(VLOOKUP(A185,'Données projet'!$A$217:$I$237,3,0)),0,VLOOKUP(A185,'Données projet'!$A$217:$I$237,3,0))</f>
        <v>0</v>
      </c>
      <c r="FM185" s="121" t="n">
        <f aca="false">IF(ISNA(VLOOKUP(A185,'Données projet'!$A$217:$I$237,4,0)),0,VLOOKUP(A185,'Données projet'!$A$217:$I$237,4,0))</f>
        <v>0</v>
      </c>
      <c r="FN185" s="122" t="n">
        <f aca="false">IF(ISNA(VLOOKUP(A185,'Données projet'!$A$217:$I$237,5,0)),0%,VLOOKUP(A185,'Données projet'!$A$217:$I$237,5,0)*VLOOKUP('Données projet'!$B$16,Paramètres!$A$1:$I$89,7,0))</f>
        <v>0</v>
      </c>
      <c r="FO185" s="122" t="n">
        <f aca="false">IF(ISNA(VLOOKUP(A185,'Données projet'!$A$217:$I$237,6,0)),0%,VLOOKUP(A185,'Données projet'!$A$217:$I$237,6,0)*VLOOKUP('Données projet'!$B$16,Paramètres!$A$1:$I$89,7,0))</f>
        <v>0</v>
      </c>
      <c r="FP185" s="122" t="n">
        <f aca="false">IF(ISNA(VLOOKUP(A185,'Données projet'!$A$217:$I$237,7,0)),0%,VLOOKUP(A185,'Données projet'!$A$217:$I$237,7,0))</f>
        <v>0</v>
      </c>
      <c r="FQ185" s="129" t="e">
        <f aca="false">EXP(-LN(2)/35)*FQ184+(1-EXP(-LN(2)/35))/(LN(2)/35)*FM185*FN185*VLOOKUP('Données projet'!$B$16,Paramètres!$A$1:$I$89,3,0)*0.475*44/12</f>
        <v>#N/A</v>
      </c>
      <c r="FR185" s="129" t="e">
        <f aca="false">EXP(-LN(2)/25)*FR184+(1-EXP(-LN(2)/25))/(LN(2)/25)*Calculateur!FM185*Calculateur!FO185*VLOOKUP('Données projet'!$B$16,Paramètres!$A$1:$I$89,3,0)*0.475*44/12</f>
        <v>#N/A</v>
      </c>
      <c r="FS185" s="129" t="e">
        <f aca="false">EXP(-LN(2)/2)*FS184+(1-EXP(-LN(2)/2))/(LN(2)/2)*FM185*FP185*VLOOKUP('Données projet'!$B$16,Paramètres!$A$1:$I$89,3,0)*0.475*44/12</f>
        <v>#N/A</v>
      </c>
      <c r="FT185" s="130" t="e">
        <f aca="false">SUM(FQ185:FS185)</f>
        <v>#N/A</v>
      </c>
      <c r="FU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8" t="e">
        <f aca="false">VLOOKUP(A185,'Données projet'!$A$243:$I$263,2,0)</f>
        <v>#N/A</v>
      </c>
      <c r="FX185" s="118" t="e">
        <f aca="false">VLOOKUP(A185,'Données projet'!$A$243:$I$263,9,0)</f>
        <v>#N/A</v>
      </c>
      <c r="FY185" s="118" t="e">
        <f aca="false" t="array" ref="FY185:FY185">INDEX(FX:FX,MIN(IF(ISNUMBER(FX185:FX381),ROW(FX185:FX381),"")))</f>
        <v>#N/A</v>
      </c>
      <c r="FZ185" s="118" t="n">
        <f aca="false">IF('Données projet'!$A$244&gt;35,FZ184+FY185-GH184,IF(A185&lt;'Données projet'!$A$244,$FW$205^A185,IF(A185='Données projet'!$A$244,'Données projet'!$B$244,FZ184+FY185-GH184)))</f>
        <v>0</v>
      </c>
      <c r="GA185" s="125" t="e">
        <f aca="false">FZ185*VLOOKUP('Données projet'!$B$17,Paramètres!$A$1:$I$89,3,0)*VLOOKUP('Données projet'!$B$17,Paramètres!$A$1:$I$89,5,0)</f>
        <v>#N/A</v>
      </c>
      <c r="GB185" s="117" t="e">
        <f aca="false">EXP(-1.0587+0.8836*LN(GA185)+0.284)</f>
        <v>#N/A</v>
      </c>
      <c r="GC185" s="128" t="e">
        <f aca="false">(GA185+GB185)*0.475*44/12</f>
        <v>#N/A</v>
      </c>
      <c r="GD185" s="120" t="e">
        <f aca="false">GC185+(FU185+FV185)*44/12</f>
        <v>#N/A</v>
      </c>
      <c r="GE185" s="120" t="e">
        <f aca="true">AVERAGE(OFFSET($GD$3,0,0,'Données projet'!$E$17+1,1))-AVERAGE(OFFSET($H$3,0,0,'Données projet'!$E$17+1,1))</f>
        <v>#N/A</v>
      </c>
      <c r="GF185" s="120" t="e">
        <f aca="false">$GF$3</f>
        <v>#N/A</v>
      </c>
      <c r="GG185" s="121" t="n">
        <f aca="false">IF(ISNA(VLOOKUP(A185,'Données projet'!$A$243:$I$263,3,0)),0,VLOOKUP(A185,'Données projet'!$A$243:$I$263,3,0))</f>
        <v>0</v>
      </c>
      <c r="GH185" s="121" t="n">
        <f aca="false">IF(ISNA(VLOOKUP(A185,'Données projet'!$A$243:$I$263,4,0)),0,VLOOKUP(A185,'Données projet'!$A$243:$I$263,4,0))</f>
        <v>0</v>
      </c>
      <c r="GI185" s="122" t="n">
        <f aca="false">IF(ISNA(VLOOKUP(A185,'Données projet'!$A$243:$I$263,5,0)),0%,VLOOKUP(A185,'Données projet'!$A$243:$I$263,5,0)*VLOOKUP('Données projet'!$B$17,Paramètres!$A$1:$I$89,7,0))</f>
        <v>0</v>
      </c>
      <c r="GJ185" s="122" t="n">
        <f aca="false">IF(ISNA(VLOOKUP(A185,'Données projet'!$A$243:$I$263,6,0)),0%,VLOOKUP(A185,'Données projet'!$A$243:$I$263,6,0)*VLOOKUP('Données projet'!$B$17,Paramètres!$A$1:$I$89,7,0))</f>
        <v>0</v>
      </c>
      <c r="GK185" s="122" t="n">
        <f aca="false">IF(ISNA(VLOOKUP(A185,'Données projet'!$A$243:$I$263,7,0)),0%,VLOOKUP(A185,'Données projet'!$A$243:$I$263,7,0))</f>
        <v>0</v>
      </c>
      <c r="GL185" s="129" t="e">
        <f aca="false">EXP(-LN(2)/35)*GL184+(1-EXP(-LN(2)/35))/(LN(2)/35)*GH185*GI185*VLOOKUP('Données projet'!$B$17,Paramètres!$A$1:$I$89,3,0)*0.475*44/12</f>
        <v>#N/A</v>
      </c>
      <c r="GM185" s="129" t="e">
        <f aca="false">EXP(-LN(2)/25)*GM184+(1-EXP(-LN(2)/25))/(LN(2)/25)*Calculateur!GH185*Calculateur!GJ185*VLOOKUP('Données projet'!$B$17,Paramètres!$A$1:$I$89,3,0)*0.475*44/12</f>
        <v>#N/A</v>
      </c>
      <c r="GN185" s="129" t="e">
        <f aca="false">EXP(-LN(2)/2)*GN184+(1-EXP(-LN(2)/2))/(LN(2)/2)*GH185*GK185*VLOOKUP('Données projet'!$B$17,Paramètres!$A$1:$I$89,3,0)*0.475*44/12</f>
        <v>#N/A</v>
      </c>
      <c r="GO185" s="129" t="e">
        <f aca="false">SUM(GL185:GN185)</f>
        <v>#N/A</v>
      </c>
      <c r="GP185" s="126" t="n">
        <f aca="false"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8" t="n">
        <f aca="false"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8" t="e">
        <f aca="false">VLOOKUP(A185,'Données projet'!$A$269:$I$289,2,0)</f>
        <v>#N/A</v>
      </c>
      <c r="GS185" s="118" t="e">
        <f aca="false">VLOOKUP(A185,'Données projet'!$A$269:$I$289,9,0)</f>
        <v>#N/A</v>
      </c>
      <c r="GT185" s="118" t="e">
        <f aca="false" t="array" ref="GT185:GT185">INDEX(GS:GS,MIN(IF(ISNUMBER(GS185:GS381),ROW(GS185:GS381),"")))</f>
        <v>#N/A</v>
      </c>
      <c r="GU185" s="118" t="n">
        <f aca="false">IF('Données projet'!$A$270&gt;35,GU184+GT185-HC184,IF(A185&lt;'Données projet'!$A$270,$GR$205^A185,IF(A185='Données projet'!$A$270,'Données projet'!$B$270,GU184+GT185-HC184)))</f>
        <v>0</v>
      </c>
      <c r="GV185" s="125" t="e">
        <f aca="false">GU185*VLOOKUP('Données projet'!$B$18,Paramètres!$A$1:$I$89,3,0)*VLOOKUP('Données projet'!$B$18,Paramètres!$A$1:$I$89,5,0)</f>
        <v>#N/A</v>
      </c>
      <c r="GW185" s="117" t="e">
        <f aca="false">EXP(-1.0587+0.8836*LN(GV185)+0.284)</f>
        <v>#N/A</v>
      </c>
      <c r="GX185" s="128" t="e">
        <f aca="false">(GV185+GW185)*0.475*44/12</f>
        <v>#N/A</v>
      </c>
      <c r="GY185" s="120" t="e">
        <f aca="false">GX185+(GP185+GQ185)*44/12</f>
        <v>#N/A</v>
      </c>
      <c r="GZ185" s="120" t="e">
        <f aca="true">AVERAGE(OFFSET($GY$3,0,0,'Données projet'!$E$18+1,1))-AVERAGE(OFFSET($H$3,0,0,'Données projet'!$E$18+1,1))</f>
        <v>#N/A</v>
      </c>
      <c r="HA185" s="120" t="e">
        <f aca="false">$HA$3</f>
        <v>#N/A</v>
      </c>
      <c r="HB185" s="121" t="n">
        <f aca="false">IF(ISNA(VLOOKUP(A185,'Données projet'!$A$269:$I$289,3,0)),0,VLOOKUP(A185,'Données projet'!$A$269:$I$289,3,0))</f>
        <v>0</v>
      </c>
      <c r="HC185" s="121" t="n">
        <f aca="false">IF(ISNA(VLOOKUP(A185,'Données projet'!$A$269:$I$289,4,0)),0,VLOOKUP(A185,'Données projet'!$A$269:$I$289,4,0))</f>
        <v>0</v>
      </c>
      <c r="HD185" s="122" t="n">
        <f aca="false">IF(ISNA(VLOOKUP(A185,'Données projet'!$A$269:$I$289,5,0)),0%,VLOOKUP(A185,'Données projet'!$A$269:$I$289,5,0)*VLOOKUP('Données projet'!$B$18,Paramètres!$A$1:$I$89,7,0))</f>
        <v>0</v>
      </c>
      <c r="HE185" s="122" t="n">
        <f aca="false">IF(ISNA(VLOOKUP(A185,'Données projet'!$A$269:$I$289,6,0)),0%,VLOOKUP(A185,'Données projet'!$A$269:$I$289,6,0)*VLOOKUP('Données projet'!$B$18,Paramètres!$A$1:$I$89,7,0))</f>
        <v>0</v>
      </c>
      <c r="HF185" s="122" t="n">
        <f aca="false">IF(ISNA(VLOOKUP(A185,'Données projet'!$A$269:$I$289,7,0)),0%,VLOOKUP(A185,'Données projet'!$A$269:$I$289,7,0))</f>
        <v>0</v>
      </c>
      <c r="HG185" s="129" t="e">
        <f aca="false">EXP(-LN(2)/35)*HG184+(1-EXP(-LN(2)/35))/(LN(2)/35)*HC185*HD185*VLOOKUP('Données projet'!$B$18,Paramètres!$A$1:$I$89,3,0)*0.475*44/12</f>
        <v>#N/A</v>
      </c>
      <c r="HH185" s="129" t="e">
        <f aca="false">EXP(-LN(2)/25)*HH184+(1-EXP(-LN(2)/25))/(LN(2)/25)*Calculateur!HC185*Calculateur!HE185*VLOOKUP('Données projet'!$B$18,Paramètres!$A$1:$I$89,3,0)*0.475*44/12</f>
        <v>#N/A</v>
      </c>
      <c r="HI185" s="129" t="e">
        <f aca="false">EXP(-LN(2)/2)*HI184+(1-EXP(-LN(2)/2))/(LN(2)/2)*HC185*HF185*VLOOKUP('Données projet'!$B$18,Paramètres!$A$1:$I$89,3,0)*0.475*44/12</f>
        <v>#N/A</v>
      </c>
      <c r="HJ185" s="130" t="e">
        <f aca="false">SUM(HG185:HI185)</f>
        <v>#N/A</v>
      </c>
    </row>
    <row r="186" customFormat="false" ht="14.25" hidden="false" customHeight="false" outlineLevel="0" collapsed="false">
      <c r="A186" s="112" t="n">
        <f aca="false">A185+1</f>
        <v>183</v>
      </c>
      <c r="B186" s="113" t="n">
        <f aca="false">'Scénario référence'!$B$16*5+'Scénario référence'!$B$17*0+'Scénario référence'!$B$18*5</f>
        <v>0</v>
      </c>
      <c r="C186" s="127" t="n">
        <f aca="false"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4" t="n">
        <f aca="false">IFERROR(EXP(-1.0587+0.8836*LN(C186)+0.284),0)</f>
        <v>0</v>
      </c>
      <c r="E18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6" s="114" t="n">
        <f aca="false">IF(OR('Scénario référence'!$F$8&gt;0,'Scénario référence'!$F$9&gt;0),('Scénario référence'!$F$8+'Scénario référence'!$F$9)*10,0)</f>
        <v>0</v>
      </c>
      <c r="G186" s="114" t="n">
        <f aca="false"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15" t="n">
        <f aca="false">(B186+E186+F186)*44/12+(C186+D186)*0.475*44/12</f>
        <v>256.666666666667</v>
      </c>
      <c r="I186" s="11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7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8" t="e">
        <f aca="false">VLOOKUP(A186,'Données projet'!$A$35:$I$55,2,0)</f>
        <v>#N/A</v>
      </c>
      <c r="L186" s="118" t="e">
        <f aca="false">VLOOKUP(A186,'Données projet'!$A$35:$I$55,9,0)</f>
        <v>#N/A</v>
      </c>
      <c r="M186" s="118" t="e">
        <f aca="false" t="array" ref="M186:M186">INDEX(L:L,MIN(IF(ISNUMBER(L186:L382),ROW(L186:L382),"")))</f>
        <v>#N/A</v>
      </c>
      <c r="N186" s="117" t="n">
        <f aca="false">IF('Données projet'!$A$36&gt;35,N185+M186-V185,IF(A186&lt;'Données projet'!$A$36,$K$205^A186,IF(A186='Données projet'!$A$36,'Données projet'!$B$36,N185+M186-V185)))</f>
        <v>-1.13686837721616E-013</v>
      </c>
      <c r="O186" s="117" t="n">
        <f aca="false">N186*VLOOKUP('Données projet'!$B$9,Paramètres!$A$1:$I$89,3,0)*VLOOKUP('Données projet'!$B$9,Paramètres!$A$1:$I$89,5,0)</f>
        <v>-5.32054400537163E-014</v>
      </c>
      <c r="P186" s="117" t="e">
        <f aca="false">EXP(-1.0587+0.8836*LN(O186)+0.284)</f>
        <v>#VALUE!</v>
      </c>
      <c r="Q186" s="128" t="e">
        <f aca="false">(O186+P186)*0.475*44/12</f>
        <v>#VALUE!</v>
      </c>
      <c r="R186" s="120" t="e">
        <f aca="false">Q186+(I186+J186)*44/12</f>
        <v>#VALUE!</v>
      </c>
      <c r="S186" s="120" t="n">
        <f aca="true">AVERAGE(OFFSET($R$3,0,0,'Données projet'!$E$9+1,1))-AVERAGE(OFFSET($H$3,0,0,'Données projet'!$E$9+1,1))</f>
        <v>319.229030946746</v>
      </c>
      <c r="T186" s="120" t="n">
        <f aca="false">$T$3</f>
        <v>254.586909731428</v>
      </c>
      <c r="U186" s="121" t="n">
        <f aca="false">IF(ISNA(VLOOKUP(A186,'Données projet'!$A$35:$I$55,3,0)),0,VLOOKUP(A186,'Données projet'!$A$35:$I$55,3,0))</f>
        <v>0</v>
      </c>
      <c r="V186" s="121" t="n">
        <f aca="false">IF(ISNA(VLOOKUP(A186,'Données projet'!$A$35:$I$55,4,0)),0,VLOOKUP(A186,'Données projet'!$A$35:$I$55,4,0))</f>
        <v>0</v>
      </c>
      <c r="W186" s="122" t="n">
        <f aca="false">IF(ISNA(VLOOKUP(A186,'Données projet'!$A$35:$I$55,5,0)),0%,VLOOKUP(A186,'Données projet'!$A$35:$I$55,5,0)*VLOOKUP('Données projet'!$B$9,Paramètres!$A$1:$I$89,7,0))</f>
        <v>0</v>
      </c>
      <c r="X186" s="122" t="n">
        <f aca="false">IF(ISNA(VLOOKUP(A186,'Données projet'!$A$35:$I$55,6,0)),0%,VLOOKUP(A186,'Données projet'!$A$35:$I$55,6,0)*VLOOKUP('Données projet'!$B$9,Paramètres!$A$1:$I$89,7,0))</f>
        <v>0</v>
      </c>
      <c r="Y186" s="122" t="n">
        <f aca="false">IF(ISNA(VLOOKUP(A186,'Données projet'!$A$35:$I$55,7,0)),0%,VLOOKUP(A186,'Données projet'!$A$35:$I$55,7,0))</f>
        <v>0</v>
      </c>
      <c r="Z186" s="129" t="n">
        <f aca="false">EXP(-LN(2)/35)*Z185+(1-EXP(-LN(2)/35))/(LN(2)/35)*V186*W186*VLOOKUP('Données projet'!$B$9,Paramètres!$A$1:$I$89,3,0)*0.475*44/12</f>
        <v>0.438501780166074</v>
      </c>
      <c r="AA186" s="129" t="n">
        <f aca="false">EXP(-LN(2)/25)*AA185+(1-EXP(-LN(2)/25))/(LN(2)/25)*Calculateur!V186*Calculateur!X186*VLOOKUP('Données projet'!$B$9,Paramètres!$A$1:$I$89,3,0)*0.475*44/12</f>
        <v>0.16033292424315</v>
      </c>
      <c r="AB186" s="129" t="n">
        <f aca="false">EXP(-LN(2)/2)*AB185+(1-EXP(-LN(2)/2))/(LN(2)/2)*V186*Y186*VLOOKUP('Données projet'!$B$9,Paramètres!$A$1:$I$89,3,0)*0.475*44/12</f>
        <v>1.03346902153425E-022</v>
      </c>
      <c r="AC186" s="130" t="n">
        <f aca="false">SUM(Z186:AB186)</f>
        <v>0.598834704409224</v>
      </c>
      <c r="AD186" s="117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7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8" t="e">
        <f aca="false">VLOOKUP(A186,'Données projet'!$A$61:$I$81,2,0)</f>
        <v>#N/A</v>
      </c>
      <c r="AG186" s="118" t="e">
        <f aca="false">VLOOKUP(A186,'Données projet'!$A$61:$I$81,9,0)</f>
        <v>#N/A</v>
      </c>
      <c r="AH186" s="118" t="e">
        <f aca="false" t="array" ref="AH186:AH186">INDEX(AG:AG,MIN(IF(ISNUMBER(AG186:AG382),ROW(AG186:AG382),"")))</f>
        <v>#N/A</v>
      </c>
      <c r="AI186" s="117" t="n">
        <f aca="false">IF('Données projet'!$A$62&gt;35,AI185+AH186-AQ185,IF(A186&lt;'Données projet'!$A$62,$AF$205^A186,IF(A186='Données projet'!$A$62,'Données projet'!$B$62,AI185+AH186-AQ185)))</f>
        <v>1.13686837721616E-013</v>
      </c>
      <c r="AJ186" s="117" t="n">
        <f aca="false">AI186*VLOOKUP('Données projet'!$B$10,Paramètres!$A$1:$I$89,3,0)*VLOOKUP('Données projet'!$B$10,Paramètres!$A$1:$I$89,5,0)</f>
        <v>6.35509422863834E-014</v>
      </c>
      <c r="AK186" s="117" t="n">
        <f aca="false">EXP(-1.0587+0.8836*LN(AJ186)+0.284)</f>
        <v>1.0064464192544E-012</v>
      </c>
      <c r="AL186" s="128" t="n">
        <f aca="false">(AJ186+AK186)*0.475*44/12</f>
        <v>1.86357873801686E-012</v>
      </c>
      <c r="AM186" s="120" t="n">
        <f aca="false">AL186+(AD186+AE186)*44/12</f>
        <v>293.333333333335</v>
      </c>
      <c r="AN186" s="120" t="n">
        <f aca="true">AVERAGE(OFFSET($AM$3,0,0,'Données projet'!$E$10+1,1))-AVERAGE(OFFSET($H$3,0,0,'Données projet'!$E$10+1,1))</f>
        <v>365.705101827279</v>
      </c>
      <c r="AO186" s="120" t="n">
        <f aca="false">$AO$3</f>
        <v>436.238338449625</v>
      </c>
      <c r="AP186" s="121" t="n">
        <f aca="false">IF(ISNA(VLOOKUP(A186,'Données projet'!$A$61:$I$81,3,0)),0,VLOOKUP(A186,'Données projet'!$A$61:$I$81,3,0))</f>
        <v>0</v>
      </c>
      <c r="AQ186" s="121" t="n">
        <f aca="false">IF(ISNA(VLOOKUP(A186,'Données projet'!$A$61:$I$81,4,0)),0,VLOOKUP(A186,'Données projet'!$A$61:$I$81,4,0))</f>
        <v>0</v>
      </c>
      <c r="AR186" s="122" t="n">
        <f aca="false">IF(ISNA(VLOOKUP(A186,'Données projet'!$A$61:$I$81,5,0)),0%,VLOOKUP(A186,'Données projet'!$A$61:$I$81,5,0)*VLOOKUP('Données projet'!$B$10,Paramètres!$A$1:$I$89,7,0))</f>
        <v>0</v>
      </c>
      <c r="AS186" s="122" t="n">
        <f aca="false">IF(ISNA(VLOOKUP(A186,'Données projet'!$A$61:$I$81,6,0)),0%,VLOOKUP(A186,'Données projet'!$A$61:$I$81,6,0)*VLOOKUP('Données projet'!$B$10,Paramètres!$A$1:$I$89,7,0))</f>
        <v>0</v>
      </c>
      <c r="AT186" s="122" t="n">
        <f aca="false">IF(ISNA(VLOOKUP(A186,'Données projet'!$A$61:$I$81,7,0)),0%,VLOOKUP(A186,'Données projet'!$A$61:$I$81,7,0))</f>
        <v>0</v>
      </c>
      <c r="AU186" s="129" t="n">
        <f aca="false">EXP(-LN(2)/35)*AU185+(1-EXP(-LN(2)/35))/(LN(2)/35)*AQ186*AR186*VLOOKUP('Données projet'!$B$10,Paramètres!$A$1:$I$89,3,0)*0.475*44/12</f>
        <v>0.165520205166841</v>
      </c>
      <c r="AV186" s="129" t="n">
        <f aca="false">EXP(-LN(2)/25)*AV185+(1-EXP(-LN(2)/25))/(LN(2)/25)*Calculateur!AQ186*Calculateur!AS186*VLOOKUP('Données projet'!$B$10,Paramètres!$A$1:$I$89,3,0)*0.475*44/12</f>
        <v>0.189905679584532</v>
      </c>
      <c r="AW186" s="129" t="n">
        <f aca="false">EXP(-LN(2)/2)*AW185+(1-EXP(-LN(2)/2))/(LN(2)/2)*AQ186*AT186*VLOOKUP('Données projet'!$B$10,Paramètres!$A$1:$I$89,3,0)*0.475*44/12</f>
        <v>5.56180726565977E-023</v>
      </c>
      <c r="AX186" s="129" t="n">
        <f aca="false">SUM(AU186:AW186)</f>
        <v>0.355425884751373</v>
      </c>
      <c r="AY186" s="124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8" t="e">
        <f aca="false">VLOOKUP(A186,'Données projet'!$A$87:$I$107,2,0)</f>
        <v>#N/A</v>
      </c>
      <c r="BB186" s="118" t="e">
        <f aca="false">VLOOKUP(A186,'Données projet'!$A$87:$I$107,9,0)</f>
        <v>#N/A</v>
      </c>
      <c r="BC186" s="118" t="e">
        <f aca="false" t="array" ref="BC186:BC186">INDEX(BB:BB,MIN(IF(ISNUMBER(BB186:BB382),ROW(BB186:BB382),"")))</f>
        <v>#N/A</v>
      </c>
      <c r="BD186" s="118" t="n">
        <f aca="false">IF('Données projet'!$A$88&gt;35,BD185+BC186-BL185,IF(A186&lt;'Données projet'!$A$88,$BA$205^A186,IF(A186='Données projet'!$A$88,'Données projet'!$B$88,BD185+BC186-BL185)))</f>
        <v>1.98951966012828E-013</v>
      </c>
      <c r="BE186" s="117" t="n">
        <f aca="false">BD186*VLOOKUP('Données projet'!$B$11,Paramètres!$A$1:$I$89,3,0)*VLOOKUP('Données projet'!$B$11,Paramètres!$A$1:$I$89,5,0)</f>
        <v>1.73804437508807E-013</v>
      </c>
      <c r="BF186" s="117" t="n">
        <f aca="false">EXP(-1.0587+0.8836*LN(BE186)+0.284)</f>
        <v>2.44832936339505E-012</v>
      </c>
      <c r="BG186" s="128" t="n">
        <f aca="false">(BE186+BF186)*0.475*44/12</f>
        <v>4.56688303657421E-012</v>
      </c>
      <c r="BH186" s="120" t="n">
        <f aca="false">BG186+(AY186+AZ186)*44/12</f>
        <v>293.333333333338</v>
      </c>
      <c r="BI186" s="120" t="n">
        <f aca="true">AVERAGE(OFFSET($BH$3,0,0,'Données projet'!$E$11+1,1))-AVERAGE(OFFSET($H$3,0,0,'Données projet'!$E$11+1,1))</f>
        <v>321.235999689929</v>
      </c>
      <c r="BJ186" s="120" t="n">
        <f aca="false">$BJ$3</f>
        <v>388.051958478005</v>
      </c>
      <c r="BK186" s="121" t="n">
        <f aca="false">IF(ISNA(VLOOKUP(A186,'Données projet'!$A$87:$I$107,3,0)),0,VLOOKUP(A186,'Données projet'!$A$87:$I$107,3,0))</f>
        <v>0</v>
      </c>
      <c r="BL186" s="121" t="n">
        <f aca="false">IF(ISNA(VLOOKUP(A186,'Données projet'!$A$87:$I$107,4,0)),0,VLOOKUP(A186,'Données projet'!$A$87:$I$107,4,0))</f>
        <v>0</v>
      </c>
      <c r="BM186" s="122" t="n">
        <f aca="false">IF(ISNA(VLOOKUP(A186,'Données projet'!$A$87:$I$107,5,0)),0%,VLOOKUP(A186,'Données projet'!$A$87:$I$107,5,0)*VLOOKUP('Données projet'!$B$11,Paramètres!$A$1:$I$89,7,0))</f>
        <v>0</v>
      </c>
      <c r="BN186" s="122" t="n">
        <f aca="false">IF(ISNA(VLOOKUP(A186,'Données projet'!$A$87:$I$107,6,0)),0%,VLOOKUP(A186,'Données projet'!$A$87:$I$107,6,0)*VLOOKUP('Données projet'!$B$11,Paramètres!$A$1:$I$89,7,0))</f>
        <v>0</v>
      </c>
      <c r="BO186" s="122" t="n">
        <f aca="false">IF(ISNA(VLOOKUP(A186,'Données projet'!$A$87:$I$107,7,0)),0%,VLOOKUP(A186,'Données projet'!$A$87:$I$107,7,0))</f>
        <v>0</v>
      </c>
      <c r="BP186" s="129" t="n">
        <f aca="false">EXP(-LN(2)/35)*BP185+(1-EXP(-LN(2)/35))/(LN(2)/35)*BL186*BM186*VLOOKUP('Données projet'!$B$11,Paramètres!$A$1:$I$89,3,0)*0.475*44/12</f>
        <v>0.415558561271146</v>
      </c>
      <c r="BQ186" s="129" t="n">
        <f aca="false">EXP(-LN(2)/25)*BQ185+(1-EXP(-LN(2)/25))/(LN(2)/25)*Calculateur!BL186*Calculateur!BN186*VLOOKUP('Données projet'!$B$11,Paramètres!$A$1:$I$89,3,0)*0.475*44/12</f>
        <v>0.193844438019914</v>
      </c>
      <c r="BR186" s="129" t="n">
        <f aca="false">EXP(-LN(2)/2)*BR185+(1-EXP(-LN(2)/2))/(LN(2)/2)*BL186*BO186*VLOOKUP('Données projet'!$B$11,Paramètres!$A$1:$I$89,3,0)*0.475*44/12</f>
        <v>5.65346148145724E-023</v>
      </c>
      <c r="BS186" s="130" t="n">
        <f aca="false">SUM(BP186:BR186)</f>
        <v>0.60940299929106</v>
      </c>
      <c r="BT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8" t="e">
        <f aca="false">VLOOKUP(A186,'Données projet'!$A$113:$I$133,2,0)</f>
        <v>#N/A</v>
      </c>
      <c r="BW186" s="118" t="e">
        <f aca="false">VLOOKUP(A186,'Données projet'!$A$113:$I$133,9,0)</f>
        <v>#N/A</v>
      </c>
      <c r="BX186" s="118" t="e">
        <f aca="false" t="array" ref="BX186:BX186">INDEX(BW:BW,MIN(IF(ISNUMBER(BW186:BW382),ROW(BW186:BW382),"")))</f>
        <v>#N/A</v>
      </c>
      <c r="BY186" s="118" t="n">
        <f aca="false">IF('Données projet'!$A$114&gt;35,BY185+BX186-CG185,IF(A186&lt;'Données projet'!$A$114,$BV$205^A186,IF(A186='Données projet'!$A$114,'Données projet'!$B$114,BY185+BX186-CG185)))</f>
        <v>0</v>
      </c>
      <c r="BZ186" s="117" t="n">
        <f aca="false">BY186*VLOOKUP('Données projet'!$B$12,Paramètres!$A$1:$I$89,3,0)*VLOOKUP('Données projet'!$B$12,Paramètres!$A$1:$I$89,5,0)</f>
        <v>0</v>
      </c>
      <c r="CA186" s="117" t="e">
        <f aca="false">EXP(-1.0587+0.8836*LN(BZ186)+0.284)</f>
        <v>#VALUE!</v>
      </c>
      <c r="CB186" s="128" t="e">
        <f aca="false">(BZ186+CA186)*0.475*44/12</f>
        <v>#VALUE!</v>
      </c>
      <c r="CC186" s="120" t="e">
        <f aca="false">CB186+(BT186+BU186)*44/12</f>
        <v>#VALUE!</v>
      </c>
      <c r="CD186" s="120" t="n">
        <f aca="true">AVERAGE(OFFSET($CC$3,0,0,'Données projet'!$E$12+1,1))-AVERAGE(OFFSET($H$3,0,0,'Données projet'!$E$12+1,1))</f>
        <v>240.228848647662</v>
      </c>
      <c r="CE186" s="120" t="n">
        <f aca="false">$CE$3</f>
        <v>343.237768841432</v>
      </c>
      <c r="CF186" s="121" t="n">
        <f aca="false">IF(ISNA(VLOOKUP(A186,'Données projet'!$A$113:$I$133,3,0)),0,VLOOKUP(A186,'Données projet'!$A$113:$I$133,3,0))</f>
        <v>0</v>
      </c>
      <c r="CG186" s="121" t="n">
        <f aca="false">IF(ISNA(VLOOKUP(A186,'Données projet'!$A$113:$I$133,4,0)),0,VLOOKUP(A186,'Données projet'!$A$113:$I$133,4,0))</f>
        <v>0</v>
      </c>
      <c r="CH186" s="122" t="n">
        <f aca="false">IF(ISNA(VLOOKUP(A186,'Données projet'!$A$113:$I$133,5,0)),0%,VLOOKUP(A186,'Données projet'!$A$113:$I$133,5,0)*VLOOKUP('Données projet'!$B$12,Paramètres!$A$1:$I$89,7,0))</f>
        <v>0</v>
      </c>
      <c r="CI186" s="122" t="n">
        <f aca="false">IF(ISNA(VLOOKUP(A186,'Données projet'!$A$113:$I$133,6,0)),0%,VLOOKUP(A186,'Données projet'!$A$113:$I$133,6,0)*VLOOKUP('Données projet'!$B$12,Paramètres!$A$1:$I$89,7,0))</f>
        <v>0</v>
      </c>
      <c r="CJ186" s="122" t="n">
        <f aca="false">IF(ISNA(VLOOKUP(A186,'Données projet'!$A$113:$I$133,7,0)),0%,VLOOKUP(A186,'Données projet'!$A$113:$I$133,7,0))</f>
        <v>0</v>
      </c>
      <c r="CK186" s="129" t="n">
        <f aca="false">EXP(-LN(2)/35)*CK185+(1-EXP(-LN(2)/35))/(LN(2)/35)*CG186*CH186*VLOOKUP('Données projet'!$B$12,Paramètres!$A$1:$I$89,3,0)*0.475*44/12</f>
        <v>0.254354214403167</v>
      </c>
      <c r="CL186" s="129" t="n">
        <f aca="false">EXP(-LN(2)/25)*CL185+(1-EXP(-LN(2)/25))/(LN(2)/25)*Calculateur!CG186*Calculateur!CI186*VLOOKUP('Données projet'!$B$12,Paramètres!$A$1:$I$89,3,0)*0.475*44/12</f>
        <v>0.342340499175718</v>
      </c>
      <c r="CM186" s="129" t="n">
        <f aca="false">EXP(-LN(2)/2)*CM185+(1-EXP(-LN(2)/2))/(LN(2)/2)*CG186*CJ186*VLOOKUP('Données projet'!$B$12,Paramètres!$A$1:$I$89,3,0)*0.475*44/12</f>
        <v>9.02141731243869E-023</v>
      </c>
      <c r="CN186" s="130" t="n">
        <f aca="false">SUM(CK186:CM186)</f>
        <v>0.596694713578885</v>
      </c>
      <c r="CO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8" t="e">
        <f aca="false">VLOOKUP(A186,'Données projet'!$A$139:$I$159,2,0)</f>
        <v>#N/A</v>
      </c>
      <c r="CR186" s="118" t="e">
        <f aca="false">VLOOKUP(A186,'Données projet'!$A$139:$I$159,9,0)</f>
        <v>#N/A</v>
      </c>
      <c r="CS186" s="118" t="e">
        <f aca="false" t="array" ref="CS186:CS186">INDEX(CR:CR,MIN(IF(ISNUMBER(CR186:CR382),ROW(CR186:CR382),"")))</f>
        <v>#N/A</v>
      </c>
      <c r="CT186" s="118" t="n">
        <f aca="false">IF('Données projet'!$A$140&gt;35,CT185+CS186-DB185,IF(A186&lt;'Données projet'!$A$140,$CQ$205^A186,IF(A186='Données projet'!$A$140,'Données projet'!$B$140,CT185+CS186-DB185)))</f>
        <v>-5.6843418860808E-014</v>
      </c>
      <c r="CU186" s="125" t="n">
        <f aca="false">CT186*VLOOKUP('Données projet'!$B$13,Paramètres!$A$1:$I$89,3,0)*VLOOKUP('Données projet'!$B$13,Paramètres!$A$1:$I$89,5,0)</f>
        <v>-3.10365066980012E-014</v>
      </c>
      <c r="CV186" s="117" t="e">
        <f aca="false">EXP(-1.0587+0.8836*LN(CU186)+0.284)</f>
        <v>#VALUE!</v>
      </c>
      <c r="CW186" s="128" t="e">
        <f aca="false">(CU186+CV186)*0.475*44/12</f>
        <v>#VALUE!</v>
      </c>
      <c r="CX186" s="120" t="e">
        <f aca="false">CW186+(CO186+CP186)*44/12</f>
        <v>#VALUE!</v>
      </c>
      <c r="CY186" s="120" t="n">
        <f aca="true">AVERAGE(OFFSET($CX$3,0,0,'Données projet'!$E$13+1,1))-AVERAGE(OFFSET($H$3,0,0,'Données projet'!$E$13+1,1))</f>
        <v>207.023069645676</v>
      </c>
      <c r="CZ186" s="120" t="n">
        <f aca="false">$CZ$3</f>
        <v>342.068879333518</v>
      </c>
      <c r="DA186" s="121" t="n">
        <f aca="false">IF(ISNA(VLOOKUP(A186,'Données projet'!$A$139:$I$159,3,0)),0,VLOOKUP(A186,'Données projet'!$A$139:$I$159,3,0))</f>
        <v>0</v>
      </c>
      <c r="DB186" s="121" t="n">
        <f aca="false">IF(ISNA(VLOOKUP(A186,'Données projet'!$A$139:$I$159,4,0)),0,VLOOKUP(A186,'Données projet'!$A$139:$I$159,4,0))</f>
        <v>0</v>
      </c>
      <c r="DC186" s="122" t="n">
        <f aca="false">IF(ISNA(VLOOKUP(A186,'Données projet'!$A$139:$I$159,5,0)),0%,VLOOKUP(A186,'Données projet'!$A$139:$I$159,5,0)*VLOOKUP('Données projet'!$B$13,Paramètres!$A$1:$I$89,7,0))</f>
        <v>0</v>
      </c>
      <c r="DD186" s="122" t="n">
        <f aca="false">IF(ISNA(VLOOKUP(A186,'Données projet'!$A$139:$I$159,6,0)),0%,VLOOKUP(A186,'Données projet'!$A$139:$I$159,6,0)*VLOOKUP('Données projet'!$B$13,Paramètres!$A$1:$I$89,7,0))</f>
        <v>0</v>
      </c>
      <c r="DE186" s="122" t="n">
        <f aca="false">IF(ISNA(VLOOKUP(A186,'Données projet'!$A$139:$I$159,7,0)),0%,VLOOKUP(A186,'Données projet'!$A$139:$I$159,7,0))</f>
        <v>0</v>
      </c>
      <c r="DF186" s="129" t="n">
        <f aca="false">EXP(-LN(2)/35)*DF185+(1-EXP(-LN(2)/35))/(LN(2)/35)*DB186*DC186*VLOOKUP('Données projet'!$B$13,Paramètres!$A$1:$I$89,3,0)*0.475*44/12</f>
        <v>0.319142552034162</v>
      </c>
      <c r="DG186" s="129" t="n">
        <f aca="false">EXP(-LN(2)/25)*DG185+(1-EXP(-LN(2)/25))/(LN(2)/25)*Calculateur!DB186*Calculateur!DD186*VLOOKUP('Données projet'!$B$13,Paramètres!$A$1:$I$89,3,0)*0.475*44/12</f>
        <v>0.559584135159527</v>
      </c>
      <c r="DH186" s="129" t="n">
        <f aca="false">EXP(-LN(2)/2)*DH185+(1-EXP(-LN(2)/2))/(LN(2)/2)*DB186*DE186*VLOOKUP('Données projet'!$B$13,Paramètres!$A$1:$I$89,3,0)*0.475*44/12</f>
        <v>1.24224958217844E-022</v>
      </c>
      <c r="DI186" s="130" t="n">
        <f aca="false">SUM(DF186:DH186)</f>
        <v>0.878726687193689</v>
      </c>
      <c r="DJ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8" t="e">
        <f aca="false">VLOOKUP(A186,'Données projet'!$A$165:$I$185,2,0)</f>
        <v>#N/A</v>
      </c>
      <c r="DM186" s="118" t="e">
        <f aca="false">VLOOKUP(A186,'Données projet'!$A$165:$I$185,9,0)</f>
        <v>#N/A</v>
      </c>
      <c r="DN186" s="118" t="e">
        <f aca="false" t="array" ref="DN186:DN186">INDEX(DM:DM,MIN(IF(ISNUMBER(DM186:DM382),ROW(DM186:DM382),"")))</f>
        <v>#N/A</v>
      </c>
      <c r="DO186" s="118" t="n">
        <f aca="false">IF('Données projet'!$A$166&gt;35,DO185+DN186-DW185,IF(A186&lt;'Données projet'!$A$166,$DL$205^A186,IF(A186='Données projet'!$A$166,'Données projet'!$B$166,DO185+DN186-DW185)))</f>
        <v>0</v>
      </c>
      <c r="DP186" s="125" t="n">
        <f aca="false">DO186*VLOOKUP('Données projet'!$B$14,Paramètres!$A$1:$I$89,3,0)*VLOOKUP('Données projet'!$B$14,Paramètres!$A$1:$I$89,5,0)</f>
        <v>0</v>
      </c>
      <c r="DQ186" s="117" t="e">
        <f aca="false">EXP(-1.0587+0.8836*LN(DP186)+0.284)</f>
        <v>#VALUE!</v>
      </c>
      <c r="DR186" s="128" t="e">
        <f aca="false">(DP186+DQ186)*0.475*44/12</f>
        <v>#VALUE!</v>
      </c>
      <c r="DS186" s="120" t="e">
        <f aca="false">DR186+(DJ186+DK186)*44/12</f>
        <v>#VALUE!</v>
      </c>
      <c r="DT186" s="120" t="n">
        <f aca="true">AVERAGE(OFFSET($DS$3,0,0,'Données projet'!$E$14+1,1))-AVERAGE(OFFSET($H$3,0,0,'Données projet'!$E$14+1,1))</f>
        <v>549.432320957297</v>
      </c>
      <c r="DU186" s="120" t="n">
        <f aca="false">$DU$3</f>
        <v>280.26155987301</v>
      </c>
      <c r="DV186" s="121" t="n">
        <f aca="false">IF(ISNA(VLOOKUP(A186,'Données projet'!$A$165:$I$185,3,0)),0,VLOOKUP(A186,'Données projet'!$A$165:$I$185,3,0))</f>
        <v>0</v>
      </c>
      <c r="DW186" s="121" t="n">
        <f aca="false">IF(ISNA(VLOOKUP(A186,'Données projet'!$A$165:$I$185,4,0)),0,VLOOKUP(A186,'Données projet'!$A$165:$I$185,4,0))</f>
        <v>0</v>
      </c>
      <c r="DX186" s="122" t="n">
        <f aca="false">IF(ISNA(VLOOKUP(A186,'Données projet'!$A$165:$I$185,5,0)),0%,VLOOKUP(A186,'Données projet'!$A$165:$I$185,5,0)*VLOOKUP('Données projet'!$B$14,Paramètres!$A$1:$I$89,7,0))</f>
        <v>0</v>
      </c>
      <c r="DY186" s="122" t="n">
        <f aca="false">IF(ISNA(VLOOKUP(A186,'Données projet'!$A$165:$I$185,6,0)),0%,VLOOKUP(A186,'Données projet'!$A$165:$I$185,6,0)*VLOOKUP('Données projet'!$B$14,Paramètres!$A$1:$I$89,7,0))</f>
        <v>0</v>
      </c>
      <c r="DZ186" s="122" t="n">
        <f aca="false">IF(ISNA(VLOOKUP(A186,'Données projet'!$A$165:$I$185,7,0)),0%,VLOOKUP(A186,'Données projet'!$A$165:$I$185,7,0))</f>
        <v>0</v>
      </c>
      <c r="EA186" s="129" t="n">
        <f aca="false">EXP(-LN(2)/35)*EA185+(1-EXP(-LN(2)/35))/(LN(2)/35)*DW186*DX186*VLOOKUP('Données projet'!$B$14,Paramètres!$A$1:$I$89,3,0)*0.475*44/12</f>
        <v>0.116039876061692</v>
      </c>
      <c r="EB186" s="129" t="n">
        <f aca="false">EXP(-LN(2)/25)*EB185+(1-EXP(-LN(2)/25))/(LN(2)/25)*Calculateur!DW186*Calculateur!DY186*VLOOKUP('Données projet'!$B$14,Paramètres!$A$1:$I$89,3,0)*0.475*44/12</f>
        <v>0.111480200124715</v>
      </c>
      <c r="EC186" s="129" t="n">
        <f aca="false">EXP(-LN(2)/2)*EC185+(1-EXP(-LN(2)/2))/(LN(2)/2)*DW186*DZ186*VLOOKUP('Données projet'!$B$14,Paramètres!$A$1:$I$89,3,0)*0.475*44/12</f>
        <v>5.72651450628708E-023</v>
      </c>
      <c r="ED186" s="130" t="n">
        <f aca="false">SUM(EA186:EC186)</f>
        <v>0.227520076186407</v>
      </c>
      <c r="EE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8" t="e">
        <f aca="false">VLOOKUP(A186,'Données projet'!$A$191:$I$211,2,0)</f>
        <v>#N/A</v>
      </c>
      <c r="EH186" s="118" t="e">
        <f aca="false">VLOOKUP(A186,'Données projet'!$A$191:$I$211,9,0)</f>
        <v>#N/A</v>
      </c>
      <c r="EI186" s="118" t="e">
        <f aca="false" t="array" ref="EI186:EI186">INDEX(EH:EH,MIN(IF(ISNUMBER(EH186:EH382),ROW(EH186:EH382),"")))</f>
        <v>#N/A</v>
      </c>
      <c r="EJ186" s="118" t="n">
        <f aca="false">IF('Données projet'!$A$192&gt;35,EJ185+EI186-ER185,IF(A186&lt;'Données projet'!$A$192,$EG$205^A186,IF(A186='Données projet'!$A$192,'Données projet'!$B$192,EJ185+EI186-ER185)))</f>
        <v>0</v>
      </c>
      <c r="EK186" s="125" t="e">
        <f aca="false">EJ186*VLOOKUP('Données projet'!$B$15,Paramètres!$A$1:$I$89,3,0)*VLOOKUP('Données projet'!$B$15,Paramètres!$A$1:$I$89,5,0)</f>
        <v>#N/A</v>
      </c>
      <c r="EL186" s="117" t="e">
        <f aca="false">EXP(-1.0587+0.8836*LN(EK186)+0.284)</f>
        <v>#N/A</v>
      </c>
      <c r="EM186" s="128" t="e">
        <f aca="false">(EK186+EL186)*0.475*44/12</f>
        <v>#N/A</v>
      </c>
      <c r="EN186" s="120" t="e">
        <f aca="false">EM186+(EE186+EF186)*44/12</f>
        <v>#N/A</v>
      </c>
      <c r="EO186" s="120" t="e">
        <f aca="true">AVERAGE(OFFSET($EN$3,0,0,'Données projet'!$E$15+1,1))-AVERAGE(OFFSET($H$3,0,0,'Données projet'!$E$15+1,1))</f>
        <v>#N/A</v>
      </c>
      <c r="EP186" s="120" t="e">
        <f aca="false">$EP$3</f>
        <v>#N/A</v>
      </c>
      <c r="EQ186" s="121" t="n">
        <f aca="false">IF(ISNA(VLOOKUP(A186,'Données projet'!$A$191:$I$211,3,0)),0,VLOOKUP(A186,'Données projet'!$A$191:$I$211,3,0))</f>
        <v>0</v>
      </c>
      <c r="ER186" s="121" t="n">
        <f aca="false">IF(ISNA(VLOOKUP(A186,'Données projet'!$A$191:$I$211,4,0)),0,VLOOKUP(A186,'Données projet'!$A$191:$I$211,4,0))</f>
        <v>0</v>
      </c>
      <c r="ES186" s="122" t="n">
        <f aca="false">IF(ISNA(VLOOKUP(A186,'Données projet'!$A$191:$I$211,5,0)),0%,VLOOKUP(A186,'Données projet'!$A$191:$I$211,5,0)*VLOOKUP('Données projet'!$B$15,Paramètres!$A$1:$I$89,7,0))</f>
        <v>0</v>
      </c>
      <c r="ET186" s="122" t="n">
        <f aca="false">IF(ISNA(VLOOKUP(A186,'Données projet'!$A$191:$I$211,6,0)),0%,VLOOKUP(A186,'Données projet'!$A$191:$I$211,6,0)*VLOOKUP('Données projet'!$B$15,Paramètres!$A$1:$I$89,7,0))</f>
        <v>0</v>
      </c>
      <c r="EU186" s="122" t="n">
        <f aca="false">IF(ISNA(VLOOKUP(A186,'Données projet'!$A$191:$I$211,7,0)),0%,VLOOKUP(A186,'Données projet'!$A$191:$I$211,7,0))</f>
        <v>0</v>
      </c>
      <c r="EV186" s="129" t="e">
        <f aca="false">EXP(-LN(2)/35)*EV185+(1-EXP(-LN(2)/35))/(LN(2)/35)*ER186*ES186*VLOOKUP('Données projet'!$B$15,Paramètres!$A$1:$I$89,3,0)*0.475*44/12</f>
        <v>#N/A</v>
      </c>
      <c r="EW186" s="129" t="e">
        <f aca="false">EXP(-LN(2)/25)*EW185+(1-EXP(-LN(2)/25))/(LN(2)/25)*Calculateur!ER186*Calculateur!ET186*VLOOKUP('Données projet'!$B$15,Paramètres!$A$1:$I$89,3,0)*0.475*44/12</f>
        <v>#N/A</v>
      </c>
      <c r="EX186" s="129" t="e">
        <f aca="false">EXP(-LN(2)/2)*EX185+(1-EXP(-LN(2)/2))/(LN(2)/2)*ER186*EU186*VLOOKUP('Données projet'!$B$15,Paramètres!$A$1:$I$89,3,0)*0.475*44/12</f>
        <v>#N/A</v>
      </c>
      <c r="EY186" s="130" t="e">
        <f aca="false">SUM(EV186:EX186)</f>
        <v>#N/A</v>
      </c>
      <c r="EZ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8" t="e">
        <f aca="false">VLOOKUP(A186,'Données projet'!$A$217:$I$237,2,0)</f>
        <v>#N/A</v>
      </c>
      <c r="FC186" s="118" t="e">
        <f aca="false">VLOOKUP(A186,'Données projet'!$A$217:$I$237,9,0)</f>
        <v>#N/A</v>
      </c>
      <c r="FD186" s="118" t="e">
        <f aca="false" t="array" ref="FD186:FD186">INDEX(FC:FC,MIN(IF(ISNUMBER(FC186:FC382),ROW(FC186:FC382),"")))</f>
        <v>#N/A</v>
      </c>
      <c r="FE186" s="118" t="n">
        <f aca="false">IF('Données projet'!$A$218&gt;35,FE185+FD186-FM185,IF(A186&lt;'Données projet'!$A$218,$FB$205^A186,IF(A186='Données projet'!$A$218,'Données projet'!$B$218,FE185+FD186-FM185)))</f>
        <v>0</v>
      </c>
      <c r="FF186" s="125" t="e">
        <f aca="false">FE186*VLOOKUP('Données projet'!$B$16,Paramètres!$A$1:$I$89,3,0)*VLOOKUP('Données projet'!$B$16,Paramètres!$A$1:$I$89,5,0)</f>
        <v>#N/A</v>
      </c>
      <c r="FG186" s="117" t="e">
        <f aca="false">EXP(-1.0587+0.8836*LN(FF186)+0.284)</f>
        <v>#N/A</v>
      </c>
      <c r="FH186" s="128" t="e">
        <f aca="false">(FF186+FG186)*0.475*44/12</f>
        <v>#N/A</v>
      </c>
      <c r="FI186" s="120" t="e">
        <f aca="false">FH186+(EZ186+FA186)*44/12</f>
        <v>#N/A</v>
      </c>
      <c r="FJ186" s="120" t="e">
        <f aca="true">AVERAGE(OFFSET($FI$3,0,0,'Données projet'!$E$16+1,1))-AVERAGE(OFFSET($H$3,0,0,'Données projet'!$E$16+1,1))</f>
        <v>#N/A</v>
      </c>
      <c r="FK186" s="120" t="e">
        <f aca="false">$FK$3</f>
        <v>#N/A</v>
      </c>
      <c r="FL186" s="121" t="n">
        <f aca="false">IF(ISNA(VLOOKUP(A186,'Données projet'!$A$217:$I$237,3,0)),0,VLOOKUP(A186,'Données projet'!$A$217:$I$237,3,0))</f>
        <v>0</v>
      </c>
      <c r="FM186" s="121" t="n">
        <f aca="false">IF(ISNA(VLOOKUP(A186,'Données projet'!$A$217:$I$237,4,0)),0,VLOOKUP(A186,'Données projet'!$A$217:$I$237,4,0))</f>
        <v>0</v>
      </c>
      <c r="FN186" s="122" t="n">
        <f aca="false">IF(ISNA(VLOOKUP(A186,'Données projet'!$A$217:$I$237,5,0)),0%,VLOOKUP(A186,'Données projet'!$A$217:$I$237,5,0)*VLOOKUP('Données projet'!$B$16,Paramètres!$A$1:$I$89,7,0))</f>
        <v>0</v>
      </c>
      <c r="FO186" s="122" t="n">
        <f aca="false">IF(ISNA(VLOOKUP(A186,'Données projet'!$A$217:$I$237,6,0)),0%,VLOOKUP(A186,'Données projet'!$A$217:$I$237,6,0)*VLOOKUP('Données projet'!$B$16,Paramètres!$A$1:$I$89,7,0))</f>
        <v>0</v>
      </c>
      <c r="FP186" s="122" t="n">
        <f aca="false">IF(ISNA(VLOOKUP(A186,'Données projet'!$A$217:$I$237,7,0)),0%,VLOOKUP(A186,'Données projet'!$A$217:$I$237,7,0))</f>
        <v>0</v>
      </c>
      <c r="FQ186" s="129" t="e">
        <f aca="false">EXP(-LN(2)/35)*FQ185+(1-EXP(-LN(2)/35))/(LN(2)/35)*FM186*FN186*VLOOKUP('Données projet'!$B$16,Paramètres!$A$1:$I$89,3,0)*0.475*44/12</f>
        <v>#N/A</v>
      </c>
      <c r="FR186" s="129" t="e">
        <f aca="false">EXP(-LN(2)/25)*FR185+(1-EXP(-LN(2)/25))/(LN(2)/25)*Calculateur!FM186*Calculateur!FO186*VLOOKUP('Données projet'!$B$16,Paramètres!$A$1:$I$89,3,0)*0.475*44/12</f>
        <v>#N/A</v>
      </c>
      <c r="FS186" s="129" t="e">
        <f aca="false">EXP(-LN(2)/2)*FS185+(1-EXP(-LN(2)/2))/(LN(2)/2)*FM186*FP186*VLOOKUP('Données projet'!$B$16,Paramètres!$A$1:$I$89,3,0)*0.475*44/12</f>
        <v>#N/A</v>
      </c>
      <c r="FT186" s="130" t="e">
        <f aca="false">SUM(FQ186:FS186)</f>
        <v>#N/A</v>
      </c>
      <c r="FU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8" t="e">
        <f aca="false">VLOOKUP(A186,'Données projet'!$A$243:$I$263,2,0)</f>
        <v>#N/A</v>
      </c>
      <c r="FX186" s="118" t="e">
        <f aca="false">VLOOKUP(A186,'Données projet'!$A$243:$I$263,9,0)</f>
        <v>#N/A</v>
      </c>
      <c r="FY186" s="118" t="e">
        <f aca="false" t="array" ref="FY186:FY186">INDEX(FX:FX,MIN(IF(ISNUMBER(FX186:FX382),ROW(FX186:FX382),"")))</f>
        <v>#N/A</v>
      </c>
      <c r="FZ186" s="118" t="n">
        <f aca="false">IF('Données projet'!$A$244&gt;35,FZ185+FY186-GH185,IF(A186&lt;'Données projet'!$A$244,$FW$205^A186,IF(A186='Données projet'!$A$244,'Données projet'!$B$244,FZ185+FY186-GH185)))</f>
        <v>0</v>
      </c>
      <c r="GA186" s="125" t="e">
        <f aca="false">FZ186*VLOOKUP('Données projet'!$B$17,Paramètres!$A$1:$I$89,3,0)*VLOOKUP('Données projet'!$B$17,Paramètres!$A$1:$I$89,5,0)</f>
        <v>#N/A</v>
      </c>
      <c r="GB186" s="117" t="e">
        <f aca="false">EXP(-1.0587+0.8836*LN(GA186)+0.284)</f>
        <v>#N/A</v>
      </c>
      <c r="GC186" s="128" t="e">
        <f aca="false">(GA186+GB186)*0.475*44/12</f>
        <v>#N/A</v>
      </c>
      <c r="GD186" s="120" t="e">
        <f aca="false">GC186+(FU186+FV186)*44/12</f>
        <v>#N/A</v>
      </c>
      <c r="GE186" s="120" t="e">
        <f aca="true">AVERAGE(OFFSET($GD$3,0,0,'Données projet'!$E$17+1,1))-AVERAGE(OFFSET($H$3,0,0,'Données projet'!$E$17+1,1))</f>
        <v>#N/A</v>
      </c>
      <c r="GF186" s="120" t="e">
        <f aca="false">$GF$3</f>
        <v>#N/A</v>
      </c>
      <c r="GG186" s="121" t="n">
        <f aca="false">IF(ISNA(VLOOKUP(A186,'Données projet'!$A$243:$I$263,3,0)),0,VLOOKUP(A186,'Données projet'!$A$243:$I$263,3,0))</f>
        <v>0</v>
      </c>
      <c r="GH186" s="121" t="n">
        <f aca="false">IF(ISNA(VLOOKUP(A186,'Données projet'!$A$243:$I$263,4,0)),0,VLOOKUP(A186,'Données projet'!$A$243:$I$263,4,0))</f>
        <v>0</v>
      </c>
      <c r="GI186" s="122" t="n">
        <f aca="false">IF(ISNA(VLOOKUP(A186,'Données projet'!$A$243:$I$263,5,0)),0%,VLOOKUP(A186,'Données projet'!$A$243:$I$263,5,0)*VLOOKUP('Données projet'!$B$17,Paramètres!$A$1:$I$89,7,0))</f>
        <v>0</v>
      </c>
      <c r="GJ186" s="122" t="n">
        <f aca="false">IF(ISNA(VLOOKUP(A186,'Données projet'!$A$243:$I$263,6,0)),0%,VLOOKUP(A186,'Données projet'!$A$243:$I$263,6,0)*VLOOKUP('Données projet'!$B$17,Paramètres!$A$1:$I$89,7,0))</f>
        <v>0</v>
      </c>
      <c r="GK186" s="122" t="n">
        <f aca="false">IF(ISNA(VLOOKUP(A186,'Données projet'!$A$243:$I$263,7,0)),0%,VLOOKUP(A186,'Données projet'!$A$243:$I$263,7,0))</f>
        <v>0</v>
      </c>
      <c r="GL186" s="129" t="e">
        <f aca="false">EXP(-LN(2)/35)*GL185+(1-EXP(-LN(2)/35))/(LN(2)/35)*GH186*GI186*VLOOKUP('Données projet'!$B$17,Paramètres!$A$1:$I$89,3,0)*0.475*44/12</f>
        <v>#N/A</v>
      </c>
      <c r="GM186" s="129" t="e">
        <f aca="false">EXP(-LN(2)/25)*GM185+(1-EXP(-LN(2)/25))/(LN(2)/25)*Calculateur!GH186*Calculateur!GJ186*VLOOKUP('Données projet'!$B$17,Paramètres!$A$1:$I$89,3,0)*0.475*44/12</f>
        <v>#N/A</v>
      </c>
      <c r="GN186" s="129" t="e">
        <f aca="false">EXP(-LN(2)/2)*GN185+(1-EXP(-LN(2)/2))/(LN(2)/2)*GH186*GK186*VLOOKUP('Données projet'!$B$17,Paramètres!$A$1:$I$89,3,0)*0.475*44/12</f>
        <v>#N/A</v>
      </c>
      <c r="GO186" s="129" t="e">
        <f aca="false">SUM(GL186:GN186)</f>
        <v>#N/A</v>
      </c>
      <c r="GP186" s="126" t="n">
        <f aca="false"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8" t="n">
        <f aca="false"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8" t="e">
        <f aca="false">VLOOKUP(A186,'Données projet'!$A$269:$I$289,2,0)</f>
        <v>#N/A</v>
      </c>
      <c r="GS186" s="118" t="e">
        <f aca="false">VLOOKUP(A186,'Données projet'!$A$269:$I$289,9,0)</f>
        <v>#N/A</v>
      </c>
      <c r="GT186" s="118" t="e">
        <f aca="false" t="array" ref="GT186:GT186">INDEX(GS:GS,MIN(IF(ISNUMBER(GS186:GS382),ROW(GS186:GS382),"")))</f>
        <v>#N/A</v>
      </c>
      <c r="GU186" s="118" t="n">
        <f aca="false">IF('Données projet'!$A$270&gt;35,GU185+GT186-HC185,IF(A186&lt;'Données projet'!$A$270,$GR$205^A186,IF(A186='Données projet'!$A$270,'Données projet'!$B$270,GU185+GT186-HC185)))</f>
        <v>0</v>
      </c>
      <c r="GV186" s="125" t="e">
        <f aca="false">GU186*VLOOKUP('Données projet'!$B$18,Paramètres!$A$1:$I$89,3,0)*VLOOKUP('Données projet'!$B$18,Paramètres!$A$1:$I$89,5,0)</f>
        <v>#N/A</v>
      </c>
      <c r="GW186" s="117" t="e">
        <f aca="false">EXP(-1.0587+0.8836*LN(GV186)+0.284)</f>
        <v>#N/A</v>
      </c>
      <c r="GX186" s="128" t="e">
        <f aca="false">(GV186+GW186)*0.475*44/12</f>
        <v>#N/A</v>
      </c>
      <c r="GY186" s="120" t="e">
        <f aca="false">GX186+(GP186+GQ186)*44/12</f>
        <v>#N/A</v>
      </c>
      <c r="GZ186" s="120" t="e">
        <f aca="true">AVERAGE(OFFSET($GY$3,0,0,'Données projet'!$E$18+1,1))-AVERAGE(OFFSET($H$3,0,0,'Données projet'!$E$18+1,1))</f>
        <v>#N/A</v>
      </c>
      <c r="HA186" s="120" t="e">
        <f aca="false">$HA$3</f>
        <v>#N/A</v>
      </c>
      <c r="HB186" s="121" t="n">
        <f aca="false">IF(ISNA(VLOOKUP(A186,'Données projet'!$A$269:$I$289,3,0)),0,VLOOKUP(A186,'Données projet'!$A$269:$I$289,3,0))</f>
        <v>0</v>
      </c>
      <c r="HC186" s="121" t="n">
        <f aca="false">IF(ISNA(VLOOKUP(A186,'Données projet'!$A$269:$I$289,4,0)),0,VLOOKUP(A186,'Données projet'!$A$269:$I$289,4,0))</f>
        <v>0</v>
      </c>
      <c r="HD186" s="122" t="n">
        <f aca="false">IF(ISNA(VLOOKUP(A186,'Données projet'!$A$269:$I$289,5,0)),0%,VLOOKUP(A186,'Données projet'!$A$269:$I$289,5,0)*VLOOKUP('Données projet'!$B$18,Paramètres!$A$1:$I$89,7,0))</f>
        <v>0</v>
      </c>
      <c r="HE186" s="122" t="n">
        <f aca="false">IF(ISNA(VLOOKUP(A186,'Données projet'!$A$269:$I$289,6,0)),0%,VLOOKUP(A186,'Données projet'!$A$269:$I$289,6,0)*VLOOKUP('Données projet'!$B$18,Paramètres!$A$1:$I$89,7,0))</f>
        <v>0</v>
      </c>
      <c r="HF186" s="122" t="n">
        <f aca="false">IF(ISNA(VLOOKUP(A186,'Données projet'!$A$269:$I$289,7,0)),0%,VLOOKUP(A186,'Données projet'!$A$269:$I$289,7,0))</f>
        <v>0</v>
      </c>
      <c r="HG186" s="129" t="e">
        <f aca="false">EXP(-LN(2)/35)*HG185+(1-EXP(-LN(2)/35))/(LN(2)/35)*HC186*HD186*VLOOKUP('Données projet'!$B$18,Paramètres!$A$1:$I$89,3,0)*0.475*44/12</f>
        <v>#N/A</v>
      </c>
      <c r="HH186" s="129" t="e">
        <f aca="false">EXP(-LN(2)/25)*HH185+(1-EXP(-LN(2)/25))/(LN(2)/25)*Calculateur!HC186*Calculateur!HE186*VLOOKUP('Données projet'!$B$18,Paramètres!$A$1:$I$89,3,0)*0.475*44/12</f>
        <v>#N/A</v>
      </c>
      <c r="HI186" s="129" t="e">
        <f aca="false">EXP(-LN(2)/2)*HI185+(1-EXP(-LN(2)/2))/(LN(2)/2)*HC186*HF186*VLOOKUP('Données projet'!$B$18,Paramètres!$A$1:$I$89,3,0)*0.475*44/12</f>
        <v>#N/A</v>
      </c>
      <c r="HJ186" s="130" t="e">
        <f aca="false">SUM(HG186:HI186)</f>
        <v>#N/A</v>
      </c>
    </row>
    <row r="187" customFormat="false" ht="14.25" hidden="false" customHeight="false" outlineLevel="0" collapsed="false">
      <c r="A187" s="112" t="n">
        <f aca="false">A186+1</f>
        <v>184</v>
      </c>
      <c r="B187" s="113" t="n">
        <f aca="false">'Scénario référence'!$B$16*5+'Scénario référence'!$B$17*0+'Scénario référence'!$B$18*5</f>
        <v>0</v>
      </c>
      <c r="C187" s="127" t="n">
        <f aca="false"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4" t="n">
        <f aca="false">IFERROR(EXP(-1.0587+0.8836*LN(C187)+0.284),0)</f>
        <v>0</v>
      </c>
      <c r="E18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7" s="114" t="n">
        <f aca="false">IF(OR('Scénario référence'!$F$8&gt;0,'Scénario référence'!$F$9&gt;0),('Scénario référence'!$F$8+'Scénario référence'!$F$9)*10,0)</f>
        <v>0</v>
      </c>
      <c r="G187" s="114" t="n">
        <f aca="false"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15" t="n">
        <f aca="false">(B187+E187+F187)*44/12+(C187+D187)*0.475*44/12</f>
        <v>256.666666666667</v>
      </c>
      <c r="I187" s="11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7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8" t="e">
        <f aca="false">VLOOKUP(A187,'Données projet'!$A$35:$I$55,2,0)</f>
        <v>#N/A</v>
      </c>
      <c r="L187" s="118" t="e">
        <f aca="false">VLOOKUP(A187,'Données projet'!$A$35:$I$55,9,0)</f>
        <v>#N/A</v>
      </c>
      <c r="M187" s="118" t="e">
        <f aca="false" t="array" ref="M187:M187">INDEX(L:L,MIN(IF(ISNUMBER(L187:L383),ROW(L187:L383),"")))</f>
        <v>#N/A</v>
      </c>
      <c r="N187" s="117" t="n">
        <f aca="false">IF('Données projet'!$A$36&gt;35,N186+M187-V186,IF(A187&lt;'Données projet'!$A$36,$K$205^A187,IF(A187='Données projet'!$A$36,'Données projet'!$B$36,N186+M187-V186)))</f>
        <v>-1.13686837721616E-013</v>
      </c>
      <c r="O187" s="117" t="n">
        <f aca="false">N187*VLOOKUP('Données projet'!$B$9,Paramètres!$A$1:$I$89,3,0)*VLOOKUP('Données projet'!$B$9,Paramètres!$A$1:$I$89,5,0)</f>
        <v>-5.32054400537163E-014</v>
      </c>
      <c r="P187" s="117" t="e">
        <f aca="false">EXP(-1.0587+0.8836*LN(O187)+0.284)</f>
        <v>#VALUE!</v>
      </c>
      <c r="Q187" s="128" t="e">
        <f aca="false">(O187+P187)*0.475*44/12</f>
        <v>#VALUE!</v>
      </c>
      <c r="R187" s="120" t="e">
        <f aca="false">Q187+(I187+J187)*44/12</f>
        <v>#VALUE!</v>
      </c>
      <c r="S187" s="120" t="n">
        <f aca="true">AVERAGE(OFFSET($R$3,0,0,'Données projet'!$E$9+1,1))-AVERAGE(OFFSET($H$3,0,0,'Données projet'!$E$9+1,1))</f>
        <v>319.229030946746</v>
      </c>
      <c r="T187" s="120" t="n">
        <f aca="false">$T$3</f>
        <v>254.586909731428</v>
      </c>
      <c r="U187" s="121" t="n">
        <f aca="false">IF(ISNA(VLOOKUP(A187,'Données projet'!$A$35:$I$55,3,0)),0,VLOOKUP(A187,'Données projet'!$A$35:$I$55,3,0))</f>
        <v>0</v>
      </c>
      <c r="V187" s="121" t="n">
        <f aca="false">IF(ISNA(VLOOKUP(A187,'Données projet'!$A$35:$I$55,4,0)),0,VLOOKUP(A187,'Données projet'!$A$35:$I$55,4,0))</f>
        <v>0</v>
      </c>
      <c r="W187" s="122" t="n">
        <f aca="false">IF(ISNA(VLOOKUP(A187,'Données projet'!$A$35:$I$55,5,0)),0%,VLOOKUP(A187,'Données projet'!$A$35:$I$55,5,0)*VLOOKUP('Données projet'!$B$9,Paramètres!$A$1:$I$89,7,0))</f>
        <v>0</v>
      </c>
      <c r="X187" s="122" t="n">
        <f aca="false">IF(ISNA(VLOOKUP(A187,'Données projet'!$A$35:$I$55,6,0)),0%,VLOOKUP(A187,'Données projet'!$A$35:$I$55,6,0)*VLOOKUP('Données projet'!$B$9,Paramètres!$A$1:$I$89,7,0))</f>
        <v>0</v>
      </c>
      <c r="Y187" s="122" t="n">
        <f aca="false">IF(ISNA(VLOOKUP(A187,'Données projet'!$A$35:$I$55,7,0)),0%,VLOOKUP(A187,'Données projet'!$A$35:$I$55,7,0))</f>
        <v>0</v>
      </c>
      <c r="Z187" s="129" t="n">
        <f aca="false">EXP(-LN(2)/35)*Z186+(1-EXP(-LN(2)/35))/(LN(2)/35)*V187*W187*VLOOKUP('Données projet'!$B$9,Paramètres!$A$1:$I$89,3,0)*0.475*44/12</f>
        <v>0.429903027716694</v>
      </c>
      <c r="AA187" s="129" t="n">
        <f aca="false">EXP(-LN(2)/25)*AA186+(1-EXP(-LN(2)/25))/(LN(2)/25)*Calculateur!V187*Calculateur!X187*VLOOKUP('Données projet'!$B$9,Paramètres!$A$1:$I$89,3,0)*0.475*44/12</f>
        <v>0.155948611998179</v>
      </c>
      <c r="AB187" s="129" t="n">
        <f aca="false">EXP(-LN(2)/2)*AB186+(1-EXP(-LN(2)/2))/(LN(2)/2)*V187*Y187*VLOOKUP('Données projet'!$B$9,Paramètres!$A$1:$I$89,3,0)*0.475*44/12</f>
        <v>7.30772953273095E-023</v>
      </c>
      <c r="AC187" s="130" t="n">
        <f aca="false">SUM(Z187:AB187)</f>
        <v>0.585851639714873</v>
      </c>
      <c r="AD187" s="117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7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8" t="e">
        <f aca="false">VLOOKUP(A187,'Données projet'!$A$61:$I$81,2,0)</f>
        <v>#N/A</v>
      </c>
      <c r="AG187" s="118" t="e">
        <f aca="false">VLOOKUP(A187,'Données projet'!$A$61:$I$81,9,0)</f>
        <v>#N/A</v>
      </c>
      <c r="AH187" s="118" t="e">
        <f aca="false" t="array" ref="AH187:AH187">INDEX(AG:AG,MIN(IF(ISNUMBER(AG187:AG383),ROW(AG187:AG383),"")))</f>
        <v>#N/A</v>
      </c>
      <c r="AI187" s="117" t="n">
        <f aca="false">IF('Données projet'!$A$62&gt;35,AI186+AH187-AQ186,IF(A187&lt;'Données projet'!$A$62,$AF$205^A187,IF(A187='Données projet'!$A$62,'Données projet'!$B$62,AI186+AH187-AQ186)))</f>
        <v>1.13686837721616E-013</v>
      </c>
      <c r="AJ187" s="117" t="n">
        <f aca="false">AI187*VLOOKUP('Données projet'!$B$10,Paramètres!$A$1:$I$89,3,0)*VLOOKUP('Données projet'!$B$10,Paramètres!$A$1:$I$89,5,0)</f>
        <v>6.35509422863834E-014</v>
      </c>
      <c r="AK187" s="117" t="n">
        <f aca="false">EXP(-1.0587+0.8836*LN(AJ187)+0.284)</f>
        <v>1.0064464192544E-012</v>
      </c>
      <c r="AL187" s="128" t="n">
        <f aca="false">(AJ187+AK187)*0.475*44/12</f>
        <v>1.86357873801686E-012</v>
      </c>
      <c r="AM187" s="120" t="n">
        <f aca="false">AL187+(AD187+AE187)*44/12</f>
        <v>293.333333333335</v>
      </c>
      <c r="AN187" s="120" t="n">
        <f aca="true">AVERAGE(OFFSET($AM$3,0,0,'Données projet'!$E$10+1,1))-AVERAGE(OFFSET($H$3,0,0,'Données projet'!$E$10+1,1))</f>
        <v>365.705101827279</v>
      </c>
      <c r="AO187" s="120" t="n">
        <f aca="false">$AO$3</f>
        <v>436.238338449625</v>
      </c>
      <c r="AP187" s="121" t="n">
        <f aca="false">IF(ISNA(VLOOKUP(A187,'Données projet'!$A$61:$I$81,3,0)),0,VLOOKUP(A187,'Données projet'!$A$61:$I$81,3,0))</f>
        <v>0</v>
      </c>
      <c r="AQ187" s="121" t="n">
        <f aca="false">IF(ISNA(VLOOKUP(A187,'Données projet'!$A$61:$I$81,4,0)),0,VLOOKUP(A187,'Données projet'!$A$61:$I$81,4,0))</f>
        <v>0</v>
      </c>
      <c r="AR187" s="122" t="n">
        <f aca="false">IF(ISNA(VLOOKUP(A187,'Données projet'!$A$61:$I$81,5,0)),0%,VLOOKUP(A187,'Données projet'!$A$61:$I$81,5,0)*VLOOKUP('Données projet'!$B$10,Paramètres!$A$1:$I$89,7,0))</f>
        <v>0</v>
      </c>
      <c r="AS187" s="122" t="n">
        <f aca="false">IF(ISNA(VLOOKUP(A187,'Données projet'!$A$61:$I$81,6,0)),0%,VLOOKUP(A187,'Données projet'!$A$61:$I$81,6,0)*VLOOKUP('Données projet'!$B$10,Paramètres!$A$1:$I$89,7,0))</f>
        <v>0</v>
      </c>
      <c r="AT187" s="122" t="n">
        <f aca="false">IF(ISNA(VLOOKUP(A187,'Données projet'!$A$61:$I$81,7,0)),0%,VLOOKUP(A187,'Données projet'!$A$61:$I$81,7,0))</f>
        <v>0</v>
      </c>
      <c r="AU187" s="129" t="n">
        <f aca="false">EXP(-LN(2)/35)*AU186+(1-EXP(-LN(2)/35))/(LN(2)/35)*AQ187*AR187*VLOOKUP('Données projet'!$B$10,Paramètres!$A$1:$I$89,3,0)*0.475*44/12</f>
        <v>0.162274454900875</v>
      </c>
      <c r="AV187" s="129" t="n">
        <f aca="false">EXP(-LN(2)/25)*AV186+(1-EXP(-LN(2)/25))/(LN(2)/25)*Calculateur!AQ187*Calculateur!AS187*VLOOKUP('Données projet'!$B$10,Paramètres!$A$1:$I$89,3,0)*0.475*44/12</f>
        <v>0.184712698789587</v>
      </c>
      <c r="AW187" s="129" t="n">
        <f aca="false">EXP(-LN(2)/2)*AW186+(1-EXP(-LN(2)/2))/(LN(2)/2)*AQ187*AT187*VLOOKUP('Données projet'!$B$10,Paramètres!$A$1:$I$89,3,0)*0.475*44/12</f>
        <v>3.93279163320063E-023</v>
      </c>
      <c r="AX187" s="129" t="n">
        <f aca="false">SUM(AU187:AW187)</f>
        <v>0.346987153690463</v>
      </c>
      <c r="AY187" s="124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8" t="e">
        <f aca="false">VLOOKUP(A187,'Données projet'!$A$87:$I$107,2,0)</f>
        <v>#N/A</v>
      </c>
      <c r="BB187" s="118" t="e">
        <f aca="false">VLOOKUP(A187,'Données projet'!$A$87:$I$107,9,0)</f>
        <v>#N/A</v>
      </c>
      <c r="BC187" s="118" t="e">
        <f aca="false" t="array" ref="BC187:BC187">INDEX(BB:BB,MIN(IF(ISNUMBER(BB187:BB383),ROW(BB187:BB383),"")))</f>
        <v>#N/A</v>
      </c>
      <c r="BD187" s="118" t="n">
        <f aca="false">IF('Données projet'!$A$88&gt;35,BD186+BC187-BL186,IF(A187&lt;'Données projet'!$A$88,$BA$205^A187,IF(A187='Données projet'!$A$88,'Données projet'!$B$88,BD186+BC187-BL186)))</f>
        <v>1.98951966012828E-013</v>
      </c>
      <c r="BE187" s="117" t="n">
        <f aca="false">BD187*VLOOKUP('Données projet'!$B$11,Paramètres!$A$1:$I$89,3,0)*VLOOKUP('Données projet'!$B$11,Paramètres!$A$1:$I$89,5,0)</f>
        <v>1.73804437508807E-013</v>
      </c>
      <c r="BF187" s="117" t="n">
        <f aca="false">EXP(-1.0587+0.8836*LN(BE187)+0.284)</f>
        <v>2.44832936339505E-012</v>
      </c>
      <c r="BG187" s="128" t="n">
        <f aca="false">(BE187+BF187)*0.475*44/12</f>
        <v>4.56688303657421E-012</v>
      </c>
      <c r="BH187" s="120" t="n">
        <f aca="false">BG187+(AY187+AZ187)*44/12</f>
        <v>293.333333333338</v>
      </c>
      <c r="BI187" s="120" t="n">
        <f aca="true">AVERAGE(OFFSET($BH$3,0,0,'Données projet'!$E$11+1,1))-AVERAGE(OFFSET($H$3,0,0,'Données projet'!$E$11+1,1))</f>
        <v>321.235999689929</v>
      </c>
      <c r="BJ187" s="120" t="n">
        <f aca="false">$BJ$3</f>
        <v>388.051958478005</v>
      </c>
      <c r="BK187" s="121" t="n">
        <f aca="false">IF(ISNA(VLOOKUP(A187,'Données projet'!$A$87:$I$107,3,0)),0,VLOOKUP(A187,'Données projet'!$A$87:$I$107,3,0))</f>
        <v>0</v>
      </c>
      <c r="BL187" s="121" t="n">
        <f aca="false">IF(ISNA(VLOOKUP(A187,'Données projet'!$A$87:$I$107,4,0)),0,VLOOKUP(A187,'Données projet'!$A$87:$I$107,4,0))</f>
        <v>0</v>
      </c>
      <c r="BM187" s="122" t="n">
        <f aca="false">IF(ISNA(VLOOKUP(A187,'Données projet'!$A$87:$I$107,5,0)),0%,VLOOKUP(A187,'Données projet'!$A$87:$I$107,5,0)*VLOOKUP('Données projet'!$B$11,Paramètres!$A$1:$I$89,7,0))</f>
        <v>0</v>
      </c>
      <c r="BN187" s="122" t="n">
        <f aca="false">IF(ISNA(VLOOKUP(A187,'Données projet'!$A$87:$I$107,6,0)),0%,VLOOKUP(A187,'Données projet'!$A$87:$I$107,6,0)*VLOOKUP('Données projet'!$B$11,Paramètres!$A$1:$I$89,7,0))</f>
        <v>0</v>
      </c>
      <c r="BO187" s="122" t="n">
        <f aca="false">IF(ISNA(VLOOKUP(A187,'Données projet'!$A$87:$I$107,7,0)),0%,VLOOKUP(A187,'Données projet'!$A$87:$I$107,7,0))</f>
        <v>0</v>
      </c>
      <c r="BP187" s="129" t="n">
        <f aca="false">EXP(-LN(2)/35)*BP186+(1-EXP(-LN(2)/35))/(LN(2)/35)*BL187*BM187*VLOOKUP('Données projet'!$B$11,Paramètres!$A$1:$I$89,3,0)*0.475*44/12</f>
        <v>0.407409711350313</v>
      </c>
      <c r="BQ187" s="129" t="n">
        <f aca="false">EXP(-LN(2)/25)*BQ186+(1-EXP(-LN(2)/25))/(LN(2)/25)*Calculateur!BL187*Calculateur!BN187*VLOOKUP('Données projet'!$B$11,Paramètres!$A$1:$I$89,3,0)*0.475*44/12</f>
        <v>0.188543751668423</v>
      </c>
      <c r="BR187" s="129" t="n">
        <f aca="false">EXP(-LN(2)/2)*BR186+(1-EXP(-LN(2)/2))/(LN(2)/2)*BL187*BO187*VLOOKUP('Données projet'!$B$11,Paramètres!$A$1:$I$89,3,0)*0.475*44/12</f>
        <v>3.99760095071536E-023</v>
      </c>
      <c r="BS187" s="130" t="n">
        <f aca="false">SUM(BP187:BR187)</f>
        <v>0.595953463018737</v>
      </c>
      <c r="BT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8" t="e">
        <f aca="false">VLOOKUP(A187,'Données projet'!$A$113:$I$133,2,0)</f>
        <v>#N/A</v>
      </c>
      <c r="BW187" s="118" t="e">
        <f aca="false">VLOOKUP(A187,'Données projet'!$A$113:$I$133,9,0)</f>
        <v>#N/A</v>
      </c>
      <c r="BX187" s="118" t="e">
        <f aca="false" t="array" ref="BX187:BX187">INDEX(BW:BW,MIN(IF(ISNUMBER(BW187:BW383),ROW(BW187:BW383),"")))</f>
        <v>#N/A</v>
      </c>
      <c r="BY187" s="118" t="n">
        <f aca="false">IF('Données projet'!$A$114&gt;35,BY186+BX187-CG186,IF(A187&lt;'Données projet'!$A$114,$BV$205^A187,IF(A187='Données projet'!$A$114,'Données projet'!$B$114,BY186+BX187-CG186)))</f>
        <v>0</v>
      </c>
      <c r="BZ187" s="117" t="n">
        <f aca="false">BY187*VLOOKUP('Données projet'!$B$12,Paramètres!$A$1:$I$89,3,0)*VLOOKUP('Données projet'!$B$12,Paramètres!$A$1:$I$89,5,0)</f>
        <v>0</v>
      </c>
      <c r="CA187" s="117" t="e">
        <f aca="false">EXP(-1.0587+0.8836*LN(BZ187)+0.284)</f>
        <v>#VALUE!</v>
      </c>
      <c r="CB187" s="128" t="e">
        <f aca="false">(BZ187+CA187)*0.475*44/12</f>
        <v>#VALUE!</v>
      </c>
      <c r="CC187" s="120" t="e">
        <f aca="false">CB187+(BT187+BU187)*44/12</f>
        <v>#VALUE!</v>
      </c>
      <c r="CD187" s="120" t="n">
        <f aca="true">AVERAGE(OFFSET($CC$3,0,0,'Données projet'!$E$12+1,1))-AVERAGE(OFFSET($H$3,0,0,'Données projet'!$E$12+1,1))</f>
        <v>240.228848647662</v>
      </c>
      <c r="CE187" s="120" t="n">
        <f aca="false">$CE$3</f>
        <v>343.237768841432</v>
      </c>
      <c r="CF187" s="121" t="n">
        <f aca="false">IF(ISNA(VLOOKUP(A187,'Données projet'!$A$113:$I$133,3,0)),0,VLOOKUP(A187,'Données projet'!$A$113:$I$133,3,0))</f>
        <v>0</v>
      </c>
      <c r="CG187" s="121" t="n">
        <f aca="false">IF(ISNA(VLOOKUP(A187,'Données projet'!$A$113:$I$133,4,0)),0,VLOOKUP(A187,'Données projet'!$A$113:$I$133,4,0))</f>
        <v>0</v>
      </c>
      <c r="CH187" s="122" t="n">
        <f aca="false">IF(ISNA(VLOOKUP(A187,'Données projet'!$A$113:$I$133,5,0)),0%,VLOOKUP(A187,'Données projet'!$A$113:$I$133,5,0)*VLOOKUP('Données projet'!$B$12,Paramètres!$A$1:$I$89,7,0))</f>
        <v>0</v>
      </c>
      <c r="CI187" s="122" t="n">
        <f aca="false">IF(ISNA(VLOOKUP(A187,'Données projet'!$A$113:$I$133,6,0)),0%,VLOOKUP(A187,'Données projet'!$A$113:$I$133,6,0)*VLOOKUP('Données projet'!$B$12,Paramètres!$A$1:$I$89,7,0))</f>
        <v>0</v>
      </c>
      <c r="CJ187" s="122" t="n">
        <f aca="false">IF(ISNA(VLOOKUP(A187,'Données projet'!$A$113:$I$133,7,0)),0%,VLOOKUP(A187,'Données projet'!$A$113:$I$133,7,0))</f>
        <v>0</v>
      </c>
      <c r="CK187" s="129" t="n">
        <f aca="false">EXP(-LN(2)/35)*CK186+(1-EXP(-LN(2)/35))/(LN(2)/35)*CG187*CH187*VLOOKUP('Données projet'!$B$12,Paramètres!$A$1:$I$89,3,0)*0.475*44/12</f>
        <v>0.249366483399473</v>
      </c>
      <c r="CL187" s="129" t="n">
        <f aca="false">EXP(-LN(2)/25)*CL186+(1-EXP(-LN(2)/25))/(LN(2)/25)*Calculateur!CG187*Calculateur!CI187*VLOOKUP('Données projet'!$B$12,Paramètres!$A$1:$I$89,3,0)*0.475*44/12</f>
        <v>0.332979180222854</v>
      </c>
      <c r="CM187" s="129" t="n">
        <f aca="false">EXP(-LN(2)/2)*CM186+(1-EXP(-LN(2)/2))/(LN(2)/2)*CG187*CJ187*VLOOKUP('Données projet'!$B$12,Paramètres!$A$1:$I$89,3,0)*0.475*44/12</f>
        <v>6.37910535753912E-023</v>
      </c>
      <c r="CN187" s="130" t="n">
        <f aca="false">SUM(CK187:CM187)</f>
        <v>0.582345663622326</v>
      </c>
      <c r="CO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8" t="e">
        <f aca="false">VLOOKUP(A187,'Données projet'!$A$139:$I$159,2,0)</f>
        <v>#N/A</v>
      </c>
      <c r="CR187" s="118" t="e">
        <f aca="false">VLOOKUP(A187,'Données projet'!$A$139:$I$159,9,0)</f>
        <v>#N/A</v>
      </c>
      <c r="CS187" s="118" t="e">
        <f aca="false" t="array" ref="CS187:CS187">INDEX(CR:CR,MIN(IF(ISNUMBER(CR187:CR383),ROW(CR187:CR383),"")))</f>
        <v>#N/A</v>
      </c>
      <c r="CT187" s="118" t="n">
        <f aca="false">IF('Données projet'!$A$140&gt;35,CT186+CS187-DB186,IF(A187&lt;'Données projet'!$A$140,$CQ$205^A187,IF(A187='Données projet'!$A$140,'Données projet'!$B$140,CT186+CS187-DB186)))</f>
        <v>-5.6843418860808E-014</v>
      </c>
      <c r="CU187" s="125" t="n">
        <f aca="false">CT187*VLOOKUP('Données projet'!$B$13,Paramètres!$A$1:$I$89,3,0)*VLOOKUP('Données projet'!$B$13,Paramètres!$A$1:$I$89,5,0)</f>
        <v>-3.10365066980012E-014</v>
      </c>
      <c r="CV187" s="117" t="e">
        <f aca="false">EXP(-1.0587+0.8836*LN(CU187)+0.284)</f>
        <v>#VALUE!</v>
      </c>
      <c r="CW187" s="128" t="e">
        <f aca="false">(CU187+CV187)*0.475*44/12</f>
        <v>#VALUE!</v>
      </c>
      <c r="CX187" s="120" t="e">
        <f aca="false">CW187+(CO187+CP187)*44/12</f>
        <v>#VALUE!</v>
      </c>
      <c r="CY187" s="120" t="n">
        <f aca="true">AVERAGE(OFFSET($CX$3,0,0,'Données projet'!$E$13+1,1))-AVERAGE(OFFSET($H$3,0,0,'Données projet'!$E$13+1,1))</f>
        <v>207.023069645676</v>
      </c>
      <c r="CZ187" s="120" t="n">
        <f aca="false">$CZ$3</f>
        <v>342.068879333518</v>
      </c>
      <c r="DA187" s="121" t="n">
        <f aca="false">IF(ISNA(VLOOKUP(A187,'Données projet'!$A$139:$I$159,3,0)),0,VLOOKUP(A187,'Données projet'!$A$139:$I$159,3,0))</f>
        <v>0</v>
      </c>
      <c r="DB187" s="121" t="n">
        <f aca="false">IF(ISNA(VLOOKUP(A187,'Données projet'!$A$139:$I$159,4,0)),0,VLOOKUP(A187,'Données projet'!$A$139:$I$159,4,0))</f>
        <v>0</v>
      </c>
      <c r="DC187" s="122" t="n">
        <f aca="false">IF(ISNA(VLOOKUP(A187,'Données projet'!$A$139:$I$159,5,0)),0%,VLOOKUP(A187,'Données projet'!$A$139:$I$159,5,0)*VLOOKUP('Données projet'!$B$13,Paramètres!$A$1:$I$89,7,0))</f>
        <v>0</v>
      </c>
      <c r="DD187" s="122" t="n">
        <f aca="false">IF(ISNA(VLOOKUP(A187,'Données projet'!$A$139:$I$159,6,0)),0%,VLOOKUP(A187,'Données projet'!$A$139:$I$159,6,0)*VLOOKUP('Données projet'!$B$13,Paramètres!$A$1:$I$89,7,0))</f>
        <v>0</v>
      </c>
      <c r="DE187" s="122" t="n">
        <f aca="false">IF(ISNA(VLOOKUP(A187,'Données projet'!$A$139:$I$159,7,0)),0%,VLOOKUP(A187,'Données projet'!$A$139:$I$159,7,0))</f>
        <v>0</v>
      </c>
      <c r="DF187" s="129" t="n">
        <f aca="false">EXP(-LN(2)/35)*DF186+(1-EXP(-LN(2)/35))/(LN(2)/35)*DB187*DC187*VLOOKUP('Données projet'!$B$13,Paramètres!$A$1:$I$89,3,0)*0.475*44/12</f>
        <v>0.312884361246508</v>
      </c>
      <c r="DG187" s="129" t="n">
        <f aca="false">EXP(-LN(2)/25)*DG186+(1-EXP(-LN(2)/25))/(LN(2)/25)*Calculateur!DB187*Calculateur!DD187*VLOOKUP('Données projet'!$B$13,Paramètres!$A$1:$I$89,3,0)*0.475*44/12</f>
        <v>0.544282277556339</v>
      </c>
      <c r="DH187" s="129" t="n">
        <f aca="false">EXP(-LN(2)/2)*DH186+(1-EXP(-LN(2)/2))/(LN(2)/2)*DB187*DE187*VLOOKUP('Données projet'!$B$13,Paramètres!$A$1:$I$89,3,0)*0.475*44/12</f>
        <v>8.78403103484528E-023</v>
      </c>
      <c r="DI187" s="130" t="n">
        <f aca="false">SUM(DF187:DH187)</f>
        <v>0.857166638802847</v>
      </c>
      <c r="DJ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8" t="e">
        <f aca="false">VLOOKUP(A187,'Données projet'!$A$165:$I$185,2,0)</f>
        <v>#N/A</v>
      </c>
      <c r="DM187" s="118" t="e">
        <f aca="false">VLOOKUP(A187,'Données projet'!$A$165:$I$185,9,0)</f>
        <v>#N/A</v>
      </c>
      <c r="DN187" s="118" t="e">
        <f aca="false" t="array" ref="DN187:DN187">INDEX(DM:DM,MIN(IF(ISNUMBER(DM187:DM383),ROW(DM187:DM383),"")))</f>
        <v>#N/A</v>
      </c>
      <c r="DO187" s="118" t="n">
        <f aca="false">IF('Données projet'!$A$166&gt;35,DO186+DN187-DW186,IF(A187&lt;'Données projet'!$A$166,$DL$205^A187,IF(A187='Données projet'!$A$166,'Données projet'!$B$166,DO186+DN187-DW186)))</f>
        <v>0</v>
      </c>
      <c r="DP187" s="125" t="n">
        <f aca="false">DO187*VLOOKUP('Données projet'!$B$14,Paramètres!$A$1:$I$89,3,0)*VLOOKUP('Données projet'!$B$14,Paramètres!$A$1:$I$89,5,0)</f>
        <v>0</v>
      </c>
      <c r="DQ187" s="117" t="e">
        <f aca="false">EXP(-1.0587+0.8836*LN(DP187)+0.284)</f>
        <v>#VALUE!</v>
      </c>
      <c r="DR187" s="128" t="e">
        <f aca="false">(DP187+DQ187)*0.475*44/12</f>
        <v>#VALUE!</v>
      </c>
      <c r="DS187" s="120" t="e">
        <f aca="false">DR187+(DJ187+DK187)*44/12</f>
        <v>#VALUE!</v>
      </c>
      <c r="DT187" s="120" t="n">
        <f aca="true">AVERAGE(OFFSET($DS$3,0,0,'Données projet'!$E$14+1,1))-AVERAGE(OFFSET($H$3,0,0,'Données projet'!$E$14+1,1))</f>
        <v>549.432320957297</v>
      </c>
      <c r="DU187" s="120" t="n">
        <f aca="false">$DU$3</f>
        <v>280.26155987301</v>
      </c>
      <c r="DV187" s="121" t="n">
        <f aca="false">IF(ISNA(VLOOKUP(A187,'Données projet'!$A$165:$I$185,3,0)),0,VLOOKUP(A187,'Données projet'!$A$165:$I$185,3,0))</f>
        <v>0</v>
      </c>
      <c r="DW187" s="121" t="n">
        <f aca="false">IF(ISNA(VLOOKUP(A187,'Données projet'!$A$165:$I$185,4,0)),0,VLOOKUP(A187,'Données projet'!$A$165:$I$185,4,0))</f>
        <v>0</v>
      </c>
      <c r="DX187" s="122" t="n">
        <f aca="false">IF(ISNA(VLOOKUP(A187,'Données projet'!$A$165:$I$185,5,0)),0%,VLOOKUP(A187,'Données projet'!$A$165:$I$185,5,0)*VLOOKUP('Données projet'!$B$14,Paramètres!$A$1:$I$89,7,0))</f>
        <v>0</v>
      </c>
      <c r="DY187" s="122" t="n">
        <f aca="false">IF(ISNA(VLOOKUP(A187,'Données projet'!$A$165:$I$185,6,0)),0%,VLOOKUP(A187,'Données projet'!$A$165:$I$185,6,0)*VLOOKUP('Données projet'!$B$14,Paramètres!$A$1:$I$89,7,0))</f>
        <v>0</v>
      </c>
      <c r="DZ187" s="122" t="n">
        <f aca="false">IF(ISNA(VLOOKUP(A187,'Données projet'!$A$165:$I$185,7,0)),0%,VLOOKUP(A187,'Données projet'!$A$165:$I$185,7,0))</f>
        <v>0</v>
      </c>
      <c r="EA187" s="129" t="n">
        <f aca="false">EXP(-LN(2)/35)*EA186+(1-EXP(-LN(2)/35))/(LN(2)/35)*DW187*DX187*VLOOKUP('Données projet'!$B$14,Paramètres!$A$1:$I$89,3,0)*0.475*44/12</f>
        <v>0.113764404869458</v>
      </c>
      <c r="EB187" s="129" t="n">
        <f aca="false">EXP(-LN(2)/25)*EB186+(1-EXP(-LN(2)/25))/(LN(2)/25)*Calculateur!DW187*Calculateur!DY187*VLOOKUP('Données projet'!$B$14,Paramètres!$A$1:$I$89,3,0)*0.475*44/12</f>
        <v>0.108431768189816</v>
      </c>
      <c r="EC187" s="129" t="n">
        <f aca="false">EXP(-LN(2)/2)*EC186+(1-EXP(-LN(2)/2))/(LN(2)/2)*DW187*DZ187*VLOOKUP('Données projet'!$B$14,Paramètres!$A$1:$I$89,3,0)*0.475*44/12</f>
        <v>4.04925723995873E-023</v>
      </c>
      <c r="ED187" s="130" t="n">
        <f aca="false">SUM(EA187:EC187)</f>
        <v>0.222196173059273</v>
      </c>
      <c r="EE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8" t="e">
        <f aca="false">VLOOKUP(A187,'Données projet'!$A$191:$I$211,2,0)</f>
        <v>#N/A</v>
      </c>
      <c r="EH187" s="118" t="e">
        <f aca="false">VLOOKUP(A187,'Données projet'!$A$191:$I$211,9,0)</f>
        <v>#N/A</v>
      </c>
      <c r="EI187" s="118" t="e">
        <f aca="false" t="array" ref="EI187:EI187">INDEX(EH:EH,MIN(IF(ISNUMBER(EH187:EH383),ROW(EH187:EH383),"")))</f>
        <v>#N/A</v>
      </c>
      <c r="EJ187" s="118" t="n">
        <f aca="false">IF('Données projet'!$A$192&gt;35,EJ186+EI187-ER186,IF(A187&lt;'Données projet'!$A$192,$EG$205^A187,IF(A187='Données projet'!$A$192,'Données projet'!$B$192,EJ186+EI187-ER186)))</f>
        <v>0</v>
      </c>
      <c r="EK187" s="125" t="e">
        <f aca="false">EJ187*VLOOKUP('Données projet'!$B$15,Paramètres!$A$1:$I$89,3,0)*VLOOKUP('Données projet'!$B$15,Paramètres!$A$1:$I$89,5,0)</f>
        <v>#N/A</v>
      </c>
      <c r="EL187" s="117" t="e">
        <f aca="false">EXP(-1.0587+0.8836*LN(EK187)+0.284)</f>
        <v>#N/A</v>
      </c>
      <c r="EM187" s="128" t="e">
        <f aca="false">(EK187+EL187)*0.475*44/12</f>
        <v>#N/A</v>
      </c>
      <c r="EN187" s="120" t="e">
        <f aca="false">EM187+(EE187+EF187)*44/12</f>
        <v>#N/A</v>
      </c>
      <c r="EO187" s="120" t="e">
        <f aca="true">AVERAGE(OFFSET($EN$3,0,0,'Données projet'!$E$15+1,1))-AVERAGE(OFFSET($H$3,0,0,'Données projet'!$E$15+1,1))</f>
        <v>#N/A</v>
      </c>
      <c r="EP187" s="120" t="e">
        <f aca="false">$EP$3</f>
        <v>#N/A</v>
      </c>
      <c r="EQ187" s="121" t="n">
        <f aca="false">IF(ISNA(VLOOKUP(A187,'Données projet'!$A$191:$I$211,3,0)),0,VLOOKUP(A187,'Données projet'!$A$191:$I$211,3,0))</f>
        <v>0</v>
      </c>
      <c r="ER187" s="121" t="n">
        <f aca="false">IF(ISNA(VLOOKUP(A187,'Données projet'!$A$191:$I$211,4,0)),0,VLOOKUP(A187,'Données projet'!$A$191:$I$211,4,0))</f>
        <v>0</v>
      </c>
      <c r="ES187" s="122" t="n">
        <f aca="false">IF(ISNA(VLOOKUP(A187,'Données projet'!$A$191:$I$211,5,0)),0%,VLOOKUP(A187,'Données projet'!$A$191:$I$211,5,0)*VLOOKUP('Données projet'!$B$15,Paramètres!$A$1:$I$89,7,0))</f>
        <v>0</v>
      </c>
      <c r="ET187" s="122" t="n">
        <f aca="false">IF(ISNA(VLOOKUP(A187,'Données projet'!$A$191:$I$211,6,0)),0%,VLOOKUP(A187,'Données projet'!$A$191:$I$211,6,0)*VLOOKUP('Données projet'!$B$15,Paramètres!$A$1:$I$89,7,0))</f>
        <v>0</v>
      </c>
      <c r="EU187" s="122" t="n">
        <f aca="false">IF(ISNA(VLOOKUP(A187,'Données projet'!$A$191:$I$211,7,0)),0%,VLOOKUP(A187,'Données projet'!$A$191:$I$211,7,0))</f>
        <v>0</v>
      </c>
      <c r="EV187" s="129" t="e">
        <f aca="false">EXP(-LN(2)/35)*EV186+(1-EXP(-LN(2)/35))/(LN(2)/35)*ER187*ES187*VLOOKUP('Données projet'!$B$15,Paramètres!$A$1:$I$89,3,0)*0.475*44/12</f>
        <v>#N/A</v>
      </c>
      <c r="EW187" s="129" t="e">
        <f aca="false">EXP(-LN(2)/25)*EW186+(1-EXP(-LN(2)/25))/(LN(2)/25)*Calculateur!ER187*Calculateur!ET187*VLOOKUP('Données projet'!$B$15,Paramètres!$A$1:$I$89,3,0)*0.475*44/12</f>
        <v>#N/A</v>
      </c>
      <c r="EX187" s="129" t="e">
        <f aca="false">EXP(-LN(2)/2)*EX186+(1-EXP(-LN(2)/2))/(LN(2)/2)*ER187*EU187*VLOOKUP('Données projet'!$B$15,Paramètres!$A$1:$I$89,3,0)*0.475*44/12</f>
        <v>#N/A</v>
      </c>
      <c r="EY187" s="130" t="e">
        <f aca="false">SUM(EV187:EX187)</f>
        <v>#N/A</v>
      </c>
      <c r="EZ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8" t="e">
        <f aca="false">VLOOKUP(A187,'Données projet'!$A$217:$I$237,2,0)</f>
        <v>#N/A</v>
      </c>
      <c r="FC187" s="118" t="e">
        <f aca="false">VLOOKUP(A187,'Données projet'!$A$217:$I$237,9,0)</f>
        <v>#N/A</v>
      </c>
      <c r="FD187" s="118" t="e">
        <f aca="false" t="array" ref="FD187:FD187">INDEX(FC:FC,MIN(IF(ISNUMBER(FC187:FC383),ROW(FC187:FC383),"")))</f>
        <v>#N/A</v>
      </c>
      <c r="FE187" s="118" t="n">
        <f aca="false">IF('Données projet'!$A$218&gt;35,FE186+FD187-FM186,IF(A187&lt;'Données projet'!$A$218,$FB$205^A187,IF(A187='Données projet'!$A$218,'Données projet'!$B$218,FE186+FD187-FM186)))</f>
        <v>0</v>
      </c>
      <c r="FF187" s="125" t="e">
        <f aca="false">FE187*VLOOKUP('Données projet'!$B$16,Paramètres!$A$1:$I$89,3,0)*VLOOKUP('Données projet'!$B$16,Paramètres!$A$1:$I$89,5,0)</f>
        <v>#N/A</v>
      </c>
      <c r="FG187" s="117" t="e">
        <f aca="false">EXP(-1.0587+0.8836*LN(FF187)+0.284)</f>
        <v>#N/A</v>
      </c>
      <c r="FH187" s="128" t="e">
        <f aca="false">(FF187+FG187)*0.475*44/12</f>
        <v>#N/A</v>
      </c>
      <c r="FI187" s="120" t="e">
        <f aca="false">FH187+(EZ187+FA187)*44/12</f>
        <v>#N/A</v>
      </c>
      <c r="FJ187" s="120" t="e">
        <f aca="true">AVERAGE(OFFSET($FI$3,0,0,'Données projet'!$E$16+1,1))-AVERAGE(OFFSET($H$3,0,0,'Données projet'!$E$16+1,1))</f>
        <v>#N/A</v>
      </c>
      <c r="FK187" s="120" t="e">
        <f aca="false">$FK$3</f>
        <v>#N/A</v>
      </c>
      <c r="FL187" s="121" t="n">
        <f aca="false">IF(ISNA(VLOOKUP(A187,'Données projet'!$A$217:$I$237,3,0)),0,VLOOKUP(A187,'Données projet'!$A$217:$I$237,3,0))</f>
        <v>0</v>
      </c>
      <c r="FM187" s="121" t="n">
        <f aca="false">IF(ISNA(VLOOKUP(A187,'Données projet'!$A$217:$I$237,4,0)),0,VLOOKUP(A187,'Données projet'!$A$217:$I$237,4,0))</f>
        <v>0</v>
      </c>
      <c r="FN187" s="122" t="n">
        <f aca="false">IF(ISNA(VLOOKUP(A187,'Données projet'!$A$217:$I$237,5,0)),0%,VLOOKUP(A187,'Données projet'!$A$217:$I$237,5,0)*VLOOKUP('Données projet'!$B$16,Paramètres!$A$1:$I$89,7,0))</f>
        <v>0</v>
      </c>
      <c r="FO187" s="122" t="n">
        <f aca="false">IF(ISNA(VLOOKUP(A187,'Données projet'!$A$217:$I$237,6,0)),0%,VLOOKUP(A187,'Données projet'!$A$217:$I$237,6,0)*VLOOKUP('Données projet'!$B$16,Paramètres!$A$1:$I$89,7,0))</f>
        <v>0</v>
      </c>
      <c r="FP187" s="122" t="n">
        <f aca="false">IF(ISNA(VLOOKUP(A187,'Données projet'!$A$217:$I$237,7,0)),0%,VLOOKUP(A187,'Données projet'!$A$217:$I$237,7,0))</f>
        <v>0</v>
      </c>
      <c r="FQ187" s="129" t="e">
        <f aca="false">EXP(-LN(2)/35)*FQ186+(1-EXP(-LN(2)/35))/(LN(2)/35)*FM187*FN187*VLOOKUP('Données projet'!$B$16,Paramètres!$A$1:$I$89,3,0)*0.475*44/12</f>
        <v>#N/A</v>
      </c>
      <c r="FR187" s="129" t="e">
        <f aca="false">EXP(-LN(2)/25)*FR186+(1-EXP(-LN(2)/25))/(LN(2)/25)*Calculateur!FM187*Calculateur!FO187*VLOOKUP('Données projet'!$B$16,Paramètres!$A$1:$I$89,3,0)*0.475*44/12</f>
        <v>#N/A</v>
      </c>
      <c r="FS187" s="129" t="e">
        <f aca="false">EXP(-LN(2)/2)*FS186+(1-EXP(-LN(2)/2))/(LN(2)/2)*FM187*FP187*VLOOKUP('Données projet'!$B$16,Paramètres!$A$1:$I$89,3,0)*0.475*44/12</f>
        <v>#N/A</v>
      </c>
      <c r="FT187" s="130" t="e">
        <f aca="false">SUM(FQ187:FS187)</f>
        <v>#N/A</v>
      </c>
      <c r="FU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8" t="e">
        <f aca="false">VLOOKUP(A187,'Données projet'!$A$243:$I$263,2,0)</f>
        <v>#N/A</v>
      </c>
      <c r="FX187" s="118" t="e">
        <f aca="false">VLOOKUP(A187,'Données projet'!$A$243:$I$263,9,0)</f>
        <v>#N/A</v>
      </c>
      <c r="FY187" s="118" t="e">
        <f aca="false" t="array" ref="FY187:FY187">INDEX(FX:FX,MIN(IF(ISNUMBER(FX187:FX383),ROW(FX187:FX383),"")))</f>
        <v>#N/A</v>
      </c>
      <c r="FZ187" s="118" t="n">
        <f aca="false">IF('Données projet'!$A$244&gt;35,FZ186+FY187-GH186,IF(A187&lt;'Données projet'!$A$244,$FW$205^A187,IF(A187='Données projet'!$A$244,'Données projet'!$B$244,FZ186+FY187-GH186)))</f>
        <v>0</v>
      </c>
      <c r="GA187" s="125" t="e">
        <f aca="false">FZ187*VLOOKUP('Données projet'!$B$17,Paramètres!$A$1:$I$89,3,0)*VLOOKUP('Données projet'!$B$17,Paramètres!$A$1:$I$89,5,0)</f>
        <v>#N/A</v>
      </c>
      <c r="GB187" s="117" t="e">
        <f aca="false">EXP(-1.0587+0.8836*LN(GA187)+0.284)</f>
        <v>#N/A</v>
      </c>
      <c r="GC187" s="128" t="e">
        <f aca="false">(GA187+GB187)*0.475*44/12</f>
        <v>#N/A</v>
      </c>
      <c r="GD187" s="120" t="e">
        <f aca="false">GC187+(FU187+FV187)*44/12</f>
        <v>#N/A</v>
      </c>
      <c r="GE187" s="120" t="e">
        <f aca="true">AVERAGE(OFFSET($GD$3,0,0,'Données projet'!$E$17+1,1))-AVERAGE(OFFSET($H$3,0,0,'Données projet'!$E$17+1,1))</f>
        <v>#N/A</v>
      </c>
      <c r="GF187" s="120" t="e">
        <f aca="false">$GF$3</f>
        <v>#N/A</v>
      </c>
      <c r="GG187" s="121" t="n">
        <f aca="false">IF(ISNA(VLOOKUP(A187,'Données projet'!$A$243:$I$263,3,0)),0,VLOOKUP(A187,'Données projet'!$A$243:$I$263,3,0))</f>
        <v>0</v>
      </c>
      <c r="GH187" s="121" t="n">
        <f aca="false">IF(ISNA(VLOOKUP(A187,'Données projet'!$A$243:$I$263,4,0)),0,VLOOKUP(A187,'Données projet'!$A$243:$I$263,4,0))</f>
        <v>0</v>
      </c>
      <c r="GI187" s="122" t="n">
        <f aca="false">IF(ISNA(VLOOKUP(A187,'Données projet'!$A$243:$I$263,5,0)),0%,VLOOKUP(A187,'Données projet'!$A$243:$I$263,5,0)*VLOOKUP('Données projet'!$B$17,Paramètres!$A$1:$I$89,7,0))</f>
        <v>0</v>
      </c>
      <c r="GJ187" s="122" t="n">
        <f aca="false">IF(ISNA(VLOOKUP(A187,'Données projet'!$A$243:$I$263,6,0)),0%,VLOOKUP(A187,'Données projet'!$A$243:$I$263,6,0)*VLOOKUP('Données projet'!$B$17,Paramètres!$A$1:$I$89,7,0))</f>
        <v>0</v>
      </c>
      <c r="GK187" s="122" t="n">
        <f aca="false">IF(ISNA(VLOOKUP(A187,'Données projet'!$A$243:$I$263,7,0)),0%,VLOOKUP(A187,'Données projet'!$A$243:$I$263,7,0))</f>
        <v>0</v>
      </c>
      <c r="GL187" s="129" t="e">
        <f aca="false">EXP(-LN(2)/35)*GL186+(1-EXP(-LN(2)/35))/(LN(2)/35)*GH187*GI187*VLOOKUP('Données projet'!$B$17,Paramètres!$A$1:$I$89,3,0)*0.475*44/12</f>
        <v>#N/A</v>
      </c>
      <c r="GM187" s="129" t="e">
        <f aca="false">EXP(-LN(2)/25)*GM186+(1-EXP(-LN(2)/25))/(LN(2)/25)*Calculateur!GH187*Calculateur!GJ187*VLOOKUP('Données projet'!$B$17,Paramètres!$A$1:$I$89,3,0)*0.475*44/12</f>
        <v>#N/A</v>
      </c>
      <c r="GN187" s="129" t="e">
        <f aca="false">EXP(-LN(2)/2)*GN186+(1-EXP(-LN(2)/2))/(LN(2)/2)*GH187*GK187*VLOOKUP('Données projet'!$B$17,Paramètres!$A$1:$I$89,3,0)*0.475*44/12</f>
        <v>#N/A</v>
      </c>
      <c r="GO187" s="129" t="e">
        <f aca="false">SUM(GL187:GN187)</f>
        <v>#N/A</v>
      </c>
      <c r="GP187" s="126" t="n">
        <f aca="false"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8" t="n">
        <f aca="false"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8" t="e">
        <f aca="false">VLOOKUP(A187,'Données projet'!$A$269:$I$289,2,0)</f>
        <v>#N/A</v>
      </c>
      <c r="GS187" s="118" t="e">
        <f aca="false">VLOOKUP(A187,'Données projet'!$A$269:$I$289,9,0)</f>
        <v>#N/A</v>
      </c>
      <c r="GT187" s="118" t="e">
        <f aca="false" t="array" ref="GT187:GT187">INDEX(GS:GS,MIN(IF(ISNUMBER(GS187:GS383),ROW(GS187:GS383),"")))</f>
        <v>#N/A</v>
      </c>
      <c r="GU187" s="118" t="n">
        <f aca="false">IF('Données projet'!$A$270&gt;35,GU186+GT187-HC186,IF(A187&lt;'Données projet'!$A$270,$GR$205^A187,IF(A187='Données projet'!$A$270,'Données projet'!$B$270,GU186+GT187-HC186)))</f>
        <v>0</v>
      </c>
      <c r="GV187" s="125" t="e">
        <f aca="false">GU187*VLOOKUP('Données projet'!$B$18,Paramètres!$A$1:$I$89,3,0)*VLOOKUP('Données projet'!$B$18,Paramètres!$A$1:$I$89,5,0)</f>
        <v>#N/A</v>
      </c>
      <c r="GW187" s="117" t="e">
        <f aca="false">EXP(-1.0587+0.8836*LN(GV187)+0.284)</f>
        <v>#N/A</v>
      </c>
      <c r="GX187" s="128" t="e">
        <f aca="false">(GV187+GW187)*0.475*44/12</f>
        <v>#N/A</v>
      </c>
      <c r="GY187" s="120" t="e">
        <f aca="false">GX187+(GP187+GQ187)*44/12</f>
        <v>#N/A</v>
      </c>
      <c r="GZ187" s="120" t="e">
        <f aca="true">AVERAGE(OFFSET($GY$3,0,0,'Données projet'!$E$18+1,1))-AVERAGE(OFFSET($H$3,0,0,'Données projet'!$E$18+1,1))</f>
        <v>#N/A</v>
      </c>
      <c r="HA187" s="120" t="e">
        <f aca="false">$HA$3</f>
        <v>#N/A</v>
      </c>
      <c r="HB187" s="121" t="n">
        <f aca="false">IF(ISNA(VLOOKUP(A187,'Données projet'!$A$269:$I$289,3,0)),0,VLOOKUP(A187,'Données projet'!$A$269:$I$289,3,0))</f>
        <v>0</v>
      </c>
      <c r="HC187" s="121" t="n">
        <f aca="false">IF(ISNA(VLOOKUP(A187,'Données projet'!$A$269:$I$289,4,0)),0,VLOOKUP(A187,'Données projet'!$A$269:$I$289,4,0))</f>
        <v>0</v>
      </c>
      <c r="HD187" s="122" t="n">
        <f aca="false">IF(ISNA(VLOOKUP(A187,'Données projet'!$A$269:$I$289,5,0)),0%,VLOOKUP(A187,'Données projet'!$A$269:$I$289,5,0)*VLOOKUP('Données projet'!$B$18,Paramètres!$A$1:$I$89,7,0))</f>
        <v>0</v>
      </c>
      <c r="HE187" s="122" t="n">
        <f aca="false">IF(ISNA(VLOOKUP(A187,'Données projet'!$A$269:$I$289,6,0)),0%,VLOOKUP(A187,'Données projet'!$A$269:$I$289,6,0)*VLOOKUP('Données projet'!$B$18,Paramètres!$A$1:$I$89,7,0))</f>
        <v>0</v>
      </c>
      <c r="HF187" s="122" t="n">
        <f aca="false">IF(ISNA(VLOOKUP(A187,'Données projet'!$A$269:$I$289,7,0)),0%,VLOOKUP(A187,'Données projet'!$A$269:$I$289,7,0))</f>
        <v>0</v>
      </c>
      <c r="HG187" s="129" t="e">
        <f aca="false">EXP(-LN(2)/35)*HG186+(1-EXP(-LN(2)/35))/(LN(2)/35)*HC187*HD187*VLOOKUP('Données projet'!$B$18,Paramètres!$A$1:$I$89,3,0)*0.475*44/12</f>
        <v>#N/A</v>
      </c>
      <c r="HH187" s="129" t="e">
        <f aca="false">EXP(-LN(2)/25)*HH186+(1-EXP(-LN(2)/25))/(LN(2)/25)*Calculateur!HC187*Calculateur!HE187*VLOOKUP('Données projet'!$B$18,Paramètres!$A$1:$I$89,3,0)*0.475*44/12</f>
        <v>#N/A</v>
      </c>
      <c r="HI187" s="129" t="e">
        <f aca="false">EXP(-LN(2)/2)*HI186+(1-EXP(-LN(2)/2))/(LN(2)/2)*HC187*HF187*VLOOKUP('Données projet'!$B$18,Paramètres!$A$1:$I$89,3,0)*0.475*44/12</f>
        <v>#N/A</v>
      </c>
      <c r="HJ187" s="130" t="e">
        <f aca="false">SUM(HG187:HI187)</f>
        <v>#N/A</v>
      </c>
    </row>
    <row r="188" customFormat="false" ht="14.25" hidden="false" customHeight="false" outlineLevel="0" collapsed="false">
      <c r="A188" s="112" t="n">
        <f aca="false">A187+1</f>
        <v>185</v>
      </c>
      <c r="B188" s="113" t="n">
        <f aca="false">'Scénario référence'!$B$16*5+'Scénario référence'!$B$17*0+'Scénario référence'!$B$18*5</f>
        <v>0</v>
      </c>
      <c r="C188" s="127" t="n">
        <f aca="false"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4" t="n">
        <f aca="false">IFERROR(EXP(-1.0587+0.8836*LN(C188)+0.284),0)</f>
        <v>0</v>
      </c>
      <c r="E18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8" s="114" t="n">
        <f aca="false">IF(OR('Scénario référence'!$F$8&gt;0,'Scénario référence'!$F$9&gt;0),('Scénario référence'!$F$8+'Scénario référence'!$F$9)*10,0)</f>
        <v>0</v>
      </c>
      <c r="G188" s="114" t="n">
        <f aca="false"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15" t="n">
        <f aca="false">(B188+E188+F188)*44/12+(C188+D188)*0.475*44/12</f>
        <v>256.666666666667</v>
      </c>
      <c r="I188" s="11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7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8" t="e">
        <f aca="false">VLOOKUP(A188,'Données projet'!$A$35:$I$55,2,0)</f>
        <v>#N/A</v>
      </c>
      <c r="L188" s="118" t="e">
        <f aca="false">VLOOKUP(A188,'Données projet'!$A$35:$I$55,9,0)</f>
        <v>#N/A</v>
      </c>
      <c r="M188" s="118" t="e">
        <f aca="false" t="array" ref="M188:M188">INDEX(L:L,MIN(IF(ISNUMBER(L188:L384),ROW(L188:L384),"")))</f>
        <v>#N/A</v>
      </c>
      <c r="N188" s="117" t="n">
        <f aca="false">IF('Données projet'!$A$36&gt;35,N187+M188-V187,IF(A188&lt;'Données projet'!$A$36,$K$205^A188,IF(A188='Données projet'!$A$36,'Données projet'!$B$36,N187+M188-V187)))</f>
        <v>-1.13686837721616E-013</v>
      </c>
      <c r="O188" s="117" t="n">
        <f aca="false">N188*VLOOKUP('Données projet'!$B$9,Paramètres!$A$1:$I$89,3,0)*VLOOKUP('Données projet'!$B$9,Paramètres!$A$1:$I$89,5,0)</f>
        <v>-5.32054400537163E-014</v>
      </c>
      <c r="P188" s="117" t="e">
        <f aca="false">EXP(-1.0587+0.8836*LN(O188)+0.284)</f>
        <v>#VALUE!</v>
      </c>
      <c r="Q188" s="128" t="e">
        <f aca="false">(O188+P188)*0.475*44/12</f>
        <v>#VALUE!</v>
      </c>
      <c r="R188" s="120" t="e">
        <f aca="false">Q188+(I188+J188)*44/12</f>
        <v>#VALUE!</v>
      </c>
      <c r="S188" s="120" t="n">
        <f aca="true">AVERAGE(OFFSET($R$3,0,0,'Données projet'!$E$9+1,1))-AVERAGE(OFFSET($H$3,0,0,'Données projet'!$E$9+1,1))</f>
        <v>319.229030946746</v>
      </c>
      <c r="T188" s="120" t="n">
        <f aca="false">$T$3</f>
        <v>254.586909731428</v>
      </c>
      <c r="U188" s="121" t="n">
        <f aca="false">IF(ISNA(VLOOKUP(A188,'Données projet'!$A$35:$I$55,3,0)),0,VLOOKUP(A188,'Données projet'!$A$35:$I$55,3,0))</f>
        <v>0</v>
      </c>
      <c r="V188" s="121" t="n">
        <f aca="false">IF(ISNA(VLOOKUP(A188,'Données projet'!$A$35:$I$55,4,0)),0,VLOOKUP(A188,'Données projet'!$A$35:$I$55,4,0))</f>
        <v>0</v>
      </c>
      <c r="W188" s="122" t="n">
        <f aca="false">IF(ISNA(VLOOKUP(A188,'Données projet'!$A$35:$I$55,5,0)),0%,VLOOKUP(A188,'Données projet'!$A$35:$I$55,5,0)*VLOOKUP('Données projet'!$B$9,Paramètres!$A$1:$I$89,7,0))</f>
        <v>0</v>
      </c>
      <c r="X188" s="122" t="n">
        <f aca="false">IF(ISNA(VLOOKUP(A188,'Données projet'!$A$35:$I$55,6,0)),0%,VLOOKUP(A188,'Données projet'!$A$35:$I$55,6,0)*VLOOKUP('Données projet'!$B$9,Paramètres!$A$1:$I$89,7,0))</f>
        <v>0</v>
      </c>
      <c r="Y188" s="122" t="n">
        <f aca="false">IF(ISNA(VLOOKUP(A188,'Données projet'!$A$35:$I$55,7,0)),0%,VLOOKUP(A188,'Données projet'!$A$35:$I$55,7,0))</f>
        <v>0</v>
      </c>
      <c r="Z188" s="129" t="n">
        <f aca="false">EXP(-LN(2)/35)*Z187+(1-EXP(-LN(2)/35))/(LN(2)/35)*V188*W188*VLOOKUP('Données projet'!$B$9,Paramètres!$A$1:$I$89,3,0)*0.475*44/12</f>
        <v>0.421472891558125</v>
      </c>
      <c r="AA188" s="129" t="n">
        <f aca="false">EXP(-LN(2)/25)*AA187+(1-EXP(-LN(2)/25))/(LN(2)/25)*Calculateur!V188*Calculateur!X188*VLOOKUP('Données projet'!$B$9,Paramètres!$A$1:$I$89,3,0)*0.475*44/12</f>
        <v>0.151684189002108</v>
      </c>
      <c r="AB188" s="129" t="n">
        <f aca="false">EXP(-LN(2)/2)*AB187+(1-EXP(-LN(2)/2))/(LN(2)/2)*V188*Y188*VLOOKUP('Données projet'!$B$9,Paramètres!$A$1:$I$89,3,0)*0.475*44/12</f>
        <v>5.16734510767125E-023</v>
      </c>
      <c r="AC188" s="130" t="n">
        <f aca="false">SUM(Z188:AB188)</f>
        <v>0.573157080560233</v>
      </c>
      <c r="AD188" s="117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7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8" t="e">
        <f aca="false">VLOOKUP(A188,'Données projet'!$A$61:$I$81,2,0)</f>
        <v>#N/A</v>
      </c>
      <c r="AG188" s="118" t="e">
        <f aca="false">VLOOKUP(A188,'Données projet'!$A$61:$I$81,9,0)</f>
        <v>#N/A</v>
      </c>
      <c r="AH188" s="118" t="e">
        <f aca="false" t="array" ref="AH188:AH188">INDEX(AG:AG,MIN(IF(ISNUMBER(AG188:AG384),ROW(AG188:AG384),"")))</f>
        <v>#N/A</v>
      </c>
      <c r="AI188" s="117" t="n">
        <f aca="false">IF('Données projet'!$A$62&gt;35,AI187+AH188-AQ187,IF(A188&lt;'Données projet'!$A$62,$AF$205^A188,IF(A188='Données projet'!$A$62,'Données projet'!$B$62,AI187+AH188-AQ187)))</f>
        <v>1.13686837721616E-013</v>
      </c>
      <c r="AJ188" s="117" t="n">
        <f aca="false">AI188*VLOOKUP('Données projet'!$B$10,Paramètres!$A$1:$I$89,3,0)*VLOOKUP('Données projet'!$B$10,Paramètres!$A$1:$I$89,5,0)</f>
        <v>6.35509422863834E-014</v>
      </c>
      <c r="AK188" s="117" t="n">
        <f aca="false">EXP(-1.0587+0.8836*LN(AJ188)+0.284)</f>
        <v>1.0064464192544E-012</v>
      </c>
      <c r="AL188" s="128" t="n">
        <f aca="false">(AJ188+AK188)*0.475*44/12</f>
        <v>1.86357873801686E-012</v>
      </c>
      <c r="AM188" s="120" t="n">
        <f aca="false">AL188+(AD188+AE188)*44/12</f>
        <v>293.333333333335</v>
      </c>
      <c r="AN188" s="120" t="n">
        <f aca="true">AVERAGE(OFFSET($AM$3,0,0,'Données projet'!$E$10+1,1))-AVERAGE(OFFSET($H$3,0,0,'Données projet'!$E$10+1,1))</f>
        <v>365.705101827279</v>
      </c>
      <c r="AO188" s="120" t="n">
        <f aca="false">$AO$3</f>
        <v>436.238338449625</v>
      </c>
      <c r="AP188" s="121" t="n">
        <f aca="false">IF(ISNA(VLOOKUP(A188,'Données projet'!$A$61:$I$81,3,0)),0,VLOOKUP(A188,'Données projet'!$A$61:$I$81,3,0))</f>
        <v>0</v>
      </c>
      <c r="AQ188" s="121" t="n">
        <f aca="false">IF(ISNA(VLOOKUP(A188,'Données projet'!$A$61:$I$81,4,0)),0,VLOOKUP(A188,'Données projet'!$A$61:$I$81,4,0))</f>
        <v>0</v>
      </c>
      <c r="AR188" s="122" t="n">
        <f aca="false">IF(ISNA(VLOOKUP(A188,'Données projet'!$A$61:$I$81,5,0)),0%,VLOOKUP(A188,'Données projet'!$A$61:$I$81,5,0)*VLOOKUP('Données projet'!$B$10,Paramètres!$A$1:$I$89,7,0))</f>
        <v>0</v>
      </c>
      <c r="AS188" s="122" t="n">
        <f aca="false">IF(ISNA(VLOOKUP(A188,'Données projet'!$A$61:$I$81,6,0)),0%,VLOOKUP(A188,'Données projet'!$A$61:$I$81,6,0)*VLOOKUP('Données projet'!$B$10,Paramètres!$A$1:$I$89,7,0))</f>
        <v>0</v>
      </c>
      <c r="AT188" s="122" t="n">
        <f aca="false">IF(ISNA(VLOOKUP(A188,'Données projet'!$A$61:$I$81,7,0)),0%,VLOOKUP(A188,'Données projet'!$A$61:$I$81,7,0))</f>
        <v>0</v>
      </c>
      <c r="AU188" s="129" t="n">
        <f aca="false">EXP(-LN(2)/35)*AU187+(1-EXP(-LN(2)/35))/(LN(2)/35)*AQ188*AR188*VLOOKUP('Données projet'!$B$10,Paramètres!$A$1:$I$89,3,0)*0.475*44/12</f>
        <v>0.159092351817913</v>
      </c>
      <c r="AV188" s="129" t="n">
        <f aca="false">EXP(-LN(2)/25)*AV187+(1-EXP(-LN(2)/25))/(LN(2)/25)*Calculateur!AQ188*Calculateur!AS188*VLOOKUP('Données projet'!$B$10,Paramètres!$A$1:$I$89,3,0)*0.475*44/12</f>
        <v>0.179661720327567</v>
      </c>
      <c r="AW188" s="129" t="n">
        <f aca="false">EXP(-LN(2)/2)*AW187+(1-EXP(-LN(2)/2))/(LN(2)/2)*AQ188*AT188*VLOOKUP('Données projet'!$B$10,Paramètres!$A$1:$I$89,3,0)*0.475*44/12</f>
        <v>2.78090363282989E-023</v>
      </c>
      <c r="AX188" s="129" t="n">
        <f aca="false">SUM(AU188:AW188)</f>
        <v>0.338754072145481</v>
      </c>
      <c r="AY188" s="124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8" t="e">
        <f aca="false">VLOOKUP(A188,'Données projet'!$A$87:$I$107,2,0)</f>
        <v>#N/A</v>
      </c>
      <c r="BB188" s="118" t="e">
        <f aca="false">VLOOKUP(A188,'Données projet'!$A$87:$I$107,9,0)</f>
        <v>#N/A</v>
      </c>
      <c r="BC188" s="118" t="e">
        <f aca="false" t="array" ref="BC188:BC188">INDEX(BB:BB,MIN(IF(ISNUMBER(BB188:BB384),ROW(BB188:BB384),"")))</f>
        <v>#N/A</v>
      </c>
      <c r="BD188" s="118" t="n">
        <f aca="false">IF('Données projet'!$A$88&gt;35,BD187+BC188-BL187,IF(A188&lt;'Données projet'!$A$88,$BA$205^A188,IF(A188='Données projet'!$A$88,'Données projet'!$B$88,BD187+BC188-BL187)))</f>
        <v>1.98951966012828E-013</v>
      </c>
      <c r="BE188" s="117" t="n">
        <f aca="false">BD188*VLOOKUP('Données projet'!$B$11,Paramètres!$A$1:$I$89,3,0)*VLOOKUP('Données projet'!$B$11,Paramètres!$A$1:$I$89,5,0)</f>
        <v>1.73804437508807E-013</v>
      </c>
      <c r="BF188" s="117" t="n">
        <f aca="false">EXP(-1.0587+0.8836*LN(BE188)+0.284)</f>
        <v>2.44832936339505E-012</v>
      </c>
      <c r="BG188" s="128" t="n">
        <f aca="false">(BE188+BF188)*0.475*44/12</f>
        <v>4.56688303657421E-012</v>
      </c>
      <c r="BH188" s="120" t="n">
        <f aca="false">BG188+(AY188+AZ188)*44/12</f>
        <v>293.333333333338</v>
      </c>
      <c r="BI188" s="120" t="n">
        <f aca="true">AVERAGE(OFFSET($BH$3,0,0,'Données projet'!$E$11+1,1))-AVERAGE(OFFSET($H$3,0,0,'Données projet'!$E$11+1,1))</f>
        <v>321.235999689929</v>
      </c>
      <c r="BJ188" s="120" t="n">
        <f aca="false">$BJ$3</f>
        <v>388.051958478005</v>
      </c>
      <c r="BK188" s="121" t="n">
        <f aca="false">IF(ISNA(VLOOKUP(A188,'Données projet'!$A$87:$I$107,3,0)),0,VLOOKUP(A188,'Données projet'!$A$87:$I$107,3,0))</f>
        <v>0</v>
      </c>
      <c r="BL188" s="121" t="n">
        <f aca="false">IF(ISNA(VLOOKUP(A188,'Données projet'!$A$87:$I$107,4,0)),0,VLOOKUP(A188,'Données projet'!$A$87:$I$107,4,0))</f>
        <v>0</v>
      </c>
      <c r="BM188" s="122" t="n">
        <f aca="false">IF(ISNA(VLOOKUP(A188,'Données projet'!$A$87:$I$107,5,0)),0%,VLOOKUP(A188,'Données projet'!$A$87:$I$107,5,0)*VLOOKUP('Données projet'!$B$11,Paramètres!$A$1:$I$89,7,0))</f>
        <v>0</v>
      </c>
      <c r="BN188" s="122" t="n">
        <f aca="false">IF(ISNA(VLOOKUP(A188,'Données projet'!$A$87:$I$107,6,0)),0%,VLOOKUP(A188,'Données projet'!$A$87:$I$107,6,0)*VLOOKUP('Données projet'!$B$11,Paramètres!$A$1:$I$89,7,0))</f>
        <v>0</v>
      </c>
      <c r="BO188" s="122" t="n">
        <f aca="false">IF(ISNA(VLOOKUP(A188,'Données projet'!$A$87:$I$107,7,0)),0%,VLOOKUP(A188,'Données projet'!$A$87:$I$107,7,0))</f>
        <v>0</v>
      </c>
      <c r="BP188" s="129" t="n">
        <f aca="false">EXP(-LN(2)/35)*BP187+(1-EXP(-LN(2)/35))/(LN(2)/35)*BL188*BM188*VLOOKUP('Données projet'!$B$11,Paramètres!$A$1:$I$89,3,0)*0.475*44/12</f>
        <v>0.399420655406121</v>
      </c>
      <c r="BQ188" s="129" t="n">
        <f aca="false">EXP(-LN(2)/25)*BQ187+(1-EXP(-LN(2)/25))/(LN(2)/25)*Calculateur!BL188*Calculateur!BN188*VLOOKUP('Données projet'!$B$11,Paramètres!$A$1:$I$89,3,0)*0.475*44/12</f>
        <v>0.183388012863965</v>
      </c>
      <c r="BR188" s="129" t="n">
        <f aca="false">EXP(-LN(2)/2)*BR187+(1-EXP(-LN(2)/2))/(LN(2)/2)*BL188*BO188*VLOOKUP('Données projet'!$B$11,Paramètres!$A$1:$I$89,3,0)*0.475*44/12</f>
        <v>2.82673074072862E-023</v>
      </c>
      <c r="BS188" s="130" t="n">
        <f aca="false">SUM(BP188:BR188)</f>
        <v>0.582808668270086</v>
      </c>
      <c r="BT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8" t="e">
        <f aca="false">VLOOKUP(A188,'Données projet'!$A$113:$I$133,2,0)</f>
        <v>#N/A</v>
      </c>
      <c r="BW188" s="118" t="e">
        <f aca="false">VLOOKUP(A188,'Données projet'!$A$113:$I$133,9,0)</f>
        <v>#N/A</v>
      </c>
      <c r="BX188" s="118" t="e">
        <f aca="false" t="array" ref="BX188:BX188">INDEX(BW:BW,MIN(IF(ISNUMBER(BW188:BW384),ROW(BW188:BW384),"")))</f>
        <v>#N/A</v>
      </c>
      <c r="BY188" s="118" t="n">
        <f aca="false">IF('Données projet'!$A$114&gt;35,BY187+BX188-CG187,IF(A188&lt;'Données projet'!$A$114,$BV$205^A188,IF(A188='Données projet'!$A$114,'Données projet'!$B$114,BY187+BX188-CG187)))</f>
        <v>0</v>
      </c>
      <c r="BZ188" s="117" t="n">
        <f aca="false">BY188*VLOOKUP('Données projet'!$B$12,Paramètres!$A$1:$I$89,3,0)*VLOOKUP('Données projet'!$B$12,Paramètres!$A$1:$I$89,5,0)</f>
        <v>0</v>
      </c>
      <c r="CA188" s="117" t="e">
        <f aca="false">EXP(-1.0587+0.8836*LN(BZ188)+0.284)</f>
        <v>#VALUE!</v>
      </c>
      <c r="CB188" s="128" t="e">
        <f aca="false">(BZ188+CA188)*0.475*44/12</f>
        <v>#VALUE!</v>
      </c>
      <c r="CC188" s="120" t="e">
        <f aca="false">CB188+(BT188+BU188)*44/12</f>
        <v>#VALUE!</v>
      </c>
      <c r="CD188" s="120" t="n">
        <f aca="true">AVERAGE(OFFSET($CC$3,0,0,'Données projet'!$E$12+1,1))-AVERAGE(OFFSET($H$3,0,0,'Données projet'!$E$12+1,1))</f>
        <v>240.228848647662</v>
      </c>
      <c r="CE188" s="120" t="n">
        <f aca="false">$CE$3</f>
        <v>343.237768841432</v>
      </c>
      <c r="CF188" s="121" t="n">
        <f aca="false">IF(ISNA(VLOOKUP(A188,'Données projet'!$A$113:$I$133,3,0)),0,VLOOKUP(A188,'Données projet'!$A$113:$I$133,3,0))</f>
        <v>0</v>
      </c>
      <c r="CG188" s="121" t="n">
        <f aca="false">IF(ISNA(VLOOKUP(A188,'Données projet'!$A$113:$I$133,4,0)),0,VLOOKUP(A188,'Données projet'!$A$113:$I$133,4,0))</f>
        <v>0</v>
      </c>
      <c r="CH188" s="122" t="n">
        <f aca="false">IF(ISNA(VLOOKUP(A188,'Données projet'!$A$113:$I$133,5,0)),0%,VLOOKUP(A188,'Données projet'!$A$113:$I$133,5,0)*VLOOKUP('Données projet'!$B$12,Paramètres!$A$1:$I$89,7,0))</f>
        <v>0</v>
      </c>
      <c r="CI188" s="122" t="n">
        <f aca="false">IF(ISNA(VLOOKUP(A188,'Données projet'!$A$113:$I$133,6,0)),0%,VLOOKUP(A188,'Données projet'!$A$113:$I$133,6,0)*VLOOKUP('Données projet'!$B$12,Paramètres!$A$1:$I$89,7,0))</f>
        <v>0</v>
      </c>
      <c r="CJ188" s="122" t="n">
        <f aca="false">IF(ISNA(VLOOKUP(A188,'Données projet'!$A$113:$I$133,7,0)),0%,VLOOKUP(A188,'Données projet'!$A$113:$I$133,7,0))</f>
        <v>0</v>
      </c>
      <c r="CK188" s="129" t="n">
        <f aca="false">EXP(-LN(2)/35)*CK187+(1-EXP(-LN(2)/35))/(LN(2)/35)*CG188*CH188*VLOOKUP('Données projet'!$B$12,Paramètres!$A$1:$I$89,3,0)*0.475*44/12</f>
        <v>0.244476558758545</v>
      </c>
      <c r="CL188" s="129" t="n">
        <f aca="false">EXP(-LN(2)/25)*CL187+(1-EXP(-LN(2)/25))/(LN(2)/25)*Calculateur!CG188*Calculateur!CI188*VLOOKUP('Données projet'!$B$12,Paramètres!$A$1:$I$89,3,0)*0.475*44/12</f>
        <v>0.323873847029046</v>
      </c>
      <c r="CM188" s="129" t="n">
        <f aca="false">EXP(-LN(2)/2)*CM187+(1-EXP(-LN(2)/2))/(LN(2)/2)*CG188*CJ188*VLOOKUP('Données projet'!$B$12,Paramètres!$A$1:$I$89,3,0)*0.475*44/12</f>
        <v>4.51070865621935E-023</v>
      </c>
      <c r="CN188" s="130" t="n">
        <f aca="false">SUM(CK188:CM188)</f>
        <v>0.568350405787591</v>
      </c>
      <c r="CO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8" t="e">
        <f aca="false">VLOOKUP(A188,'Données projet'!$A$139:$I$159,2,0)</f>
        <v>#N/A</v>
      </c>
      <c r="CR188" s="118" t="e">
        <f aca="false">VLOOKUP(A188,'Données projet'!$A$139:$I$159,9,0)</f>
        <v>#N/A</v>
      </c>
      <c r="CS188" s="118" t="e">
        <f aca="false" t="array" ref="CS188:CS188">INDEX(CR:CR,MIN(IF(ISNUMBER(CR188:CR384),ROW(CR188:CR384),"")))</f>
        <v>#N/A</v>
      </c>
      <c r="CT188" s="118" t="n">
        <f aca="false">IF('Données projet'!$A$140&gt;35,CT187+CS188-DB187,IF(A188&lt;'Données projet'!$A$140,$CQ$205^A188,IF(A188='Données projet'!$A$140,'Données projet'!$B$140,CT187+CS188-DB187)))</f>
        <v>-5.6843418860808E-014</v>
      </c>
      <c r="CU188" s="125" t="n">
        <f aca="false">CT188*VLOOKUP('Données projet'!$B$13,Paramètres!$A$1:$I$89,3,0)*VLOOKUP('Données projet'!$B$13,Paramètres!$A$1:$I$89,5,0)</f>
        <v>-3.10365066980012E-014</v>
      </c>
      <c r="CV188" s="117" t="e">
        <f aca="false">EXP(-1.0587+0.8836*LN(CU188)+0.284)</f>
        <v>#VALUE!</v>
      </c>
      <c r="CW188" s="128" t="e">
        <f aca="false">(CU188+CV188)*0.475*44/12</f>
        <v>#VALUE!</v>
      </c>
      <c r="CX188" s="120" t="e">
        <f aca="false">CW188+(CO188+CP188)*44/12</f>
        <v>#VALUE!</v>
      </c>
      <c r="CY188" s="120" t="n">
        <f aca="true">AVERAGE(OFFSET($CX$3,0,0,'Données projet'!$E$13+1,1))-AVERAGE(OFFSET($H$3,0,0,'Données projet'!$E$13+1,1))</f>
        <v>207.023069645676</v>
      </c>
      <c r="CZ188" s="120" t="n">
        <f aca="false">$CZ$3</f>
        <v>342.068879333518</v>
      </c>
      <c r="DA188" s="121" t="n">
        <f aca="false">IF(ISNA(VLOOKUP(A188,'Données projet'!$A$139:$I$159,3,0)),0,VLOOKUP(A188,'Données projet'!$A$139:$I$159,3,0))</f>
        <v>0</v>
      </c>
      <c r="DB188" s="121" t="n">
        <f aca="false">IF(ISNA(VLOOKUP(A188,'Données projet'!$A$139:$I$159,4,0)),0,VLOOKUP(A188,'Données projet'!$A$139:$I$159,4,0))</f>
        <v>0</v>
      </c>
      <c r="DC188" s="122" t="n">
        <f aca="false">IF(ISNA(VLOOKUP(A188,'Données projet'!$A$139:$I$159,5,0)),0%,VLOOKUP(A188,'Données projet'!$A$139:$I$159,5,0)*VLOOKUP('Données projet'!$B$13,Paramètres!$A$1:$I$89,7,0))</f>
        <v>0</v>
      </c>
      <c r="DD188" s="122" t="n">
        <f aca="false">IF(ISNA(VLOOKUP(A188,'Données projet'!$A$139:$I$159,6,0)),0%,VLOOKUP(A188,'Données projet'!$A$139:$I$159,6,0)*VLOOKUP('Données projet'!$B$13,Paramètres!$A$1:$I$89,7,0))</f>
        <v>0</v>
      </c>
      <c r="DE188" s="122" t="n">
        <f aca="false">IF(ISNA(VLOOKUP(A188,'Données projet'!$A$139:$I$159,7,0)),0%,VLOOKUP(A188,'Données projet'!$A$139:$I$159,7,0))</f>
        <v>0</v>
      </c>
      <c r="DF188" s="129" t="n">
        <f aca="false">EXP(-LN(2)/35)*DF187+(1-EXP(-LN(2)/35))/(LN(2)/35)*DB188*DC188*VLOOKUP('Données projet'!$B$13,Paramètres!$A$1:$I$89,3,0)*0.475*44/12</f>
        <v>0.30674888976308</v>
      </c>
      <c r="DG188" s="129" t="n">
        <f aca="false">EXP(-LN(2)/25)*DG187+(1-EXP(-LN(2)/25))/(LN(2)/25)*Calculateur!DB188*Calculateur!DD188*VLOOKUP('Données projet'!$B$13,Paramètres!$A$1:$I$89,3,0)*0.475*44/12</f>
        <v>0.529398850054</v>
      </c>
      <c r="DH188" s="129" t="n">
        <f aca="false">EXP(-LN(2)/2)*DH187+(1-EXP(-LN(2)/2))/(LN(2)/2)*DB188*DE188*VLOOKUP('Données projet'!$B$13,Paramètres!$A$1:$I$89,3,0)*0.475*44/12</f>
        <v>6.21124791089219E-023</v>
      </c>
      <c r="DI188" s="130" t="n">
        <f aca="false">SUM(DF188:DH188)</f>
        <v>0.836147739817081</v>
      </c>
      <c r="DJ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8" t="e">
        <f aca="false">VLOOKUP(A188,'Données projet'!$A$165:$I$185,2,0)</f>
        <v>#N/A</v>
      </c>
      <c r="DM188" s="118" t="e">
        <f aca="false">VLOOKUP(A188,'Données projet'!$A$165:$I$185,9,0)</f>
        <v>#N/A</v>
      </c>
      <c r="DN188" s="118" t="e">
        <f aca="false" t="array" ref="DN188:DN188">INDEX(DM:DM,MIN(IF(ISNUMBER(DM188:DM384),ROW(DM188:DM384),"")))</f>
        <v>#N/A</v>
      </c>
      <c r="DO188" s="118" t="n">
        <f aca="false">IF('Données projet'!$A$166&gt;35,DO187+DN188-DW187,IF(A188&lt;'Données projet'!$A$166,$DL$205^A188,IF(A188='Données projet'!$A$166,'Données projet'!$B$166,DO187+DN188-DW187)))</f>
        <v>0</v>
      </c>
      <c r="DP188" s="125" t="n">
        <f aca="false">DO188*VLOOKUP('Données projet'!$B$14,Paramètres!$A$1:$I$89,3,0)*VLOOKUP('Données projet'!$B$14,Paramètres!$A$1:$I$89,5,0)</f>
        <v>0</v>
      </c>
      <c r="DQ188" s="117" t="e">
        <f aca="false">EXP(-1.0587+0.8836*LN(DP188)+0.284)</f>
        <v>#VALUE!</v>
      </c>
      <c r="DR188" s="128" t="e">
        <f aca="false">(DP188+DQ188)*0.475*44/12</f>
        <v>#VALUE!</v>
      </c>
      <c r="DS188" s="120" t="e">
        <f aca="false">DR188+(DJ188+DK188)*44/12</f>
        <v>#VALUE!</v>
      </c>
      <c r="DT188" s="120" t="n">
        <f aca="true">AVERAGE(OFFSET($DS$3,0,0,'Données projet'!$E$14+1,1))-AVERAGE(OFFSET($H$3,0,0,'Données projet'!$E$14+1,1))</f>
        <v>549.432320957297</v>
      </c>
      <c r="DU188" s="120" t="n">
        <f aca="false">$DU$3</f>
        <v>280.26155987301</v>
      </c>
      <c r="DV188" s="121" t="n">
        <f aca="false">IF(ISNA(VLOOKUP(A188,'Données projet'!$A$165:$I$185,3,0)),0,VLOOKUP(A188,'Données projet'!$A$165:$I$185,3,0))</f>
        <v>0</v>
      </c>
      <c r="DW188" s="121" t="n">
        <f aca="false">IF(ISNA(VLOOKUP(A188,'Données projet'!$A$165:$I$185,4,0)),0,VLOOKUP(A188,'Données projet'!$A$165:$I$185,4,0))</f>
        <v>0</v>
      </c>
      <c r="DX188" s="122" t="n">
        <f aca="false">IF(ISNA(VLOOKUP(A188,'Données projet'!$A$165:$I$185,5,0)),0%,VLOOKUP(A188,'Données projet'!$A$165:$I$185,5,0)*VLOOKUP('Données projet'!$B$14,Paramètres!$A$1:$I$89,7,0))</f>
        <v>0</v>
      </c>
      <c r="DY188" s="122" t="n">
        <f aca="false">IF(ISNA(VLOOKUP(A188,'Données projet'!$A$165:$I$185,6,0)),0%,VLOOKUP(A188,'Données projet'!$A$165:$I$185,6,0)*VLOOKUP('Données projet'!$B$14,Paramètres!$A$1:$I$89,7,0))</f>
        <v>0</v>
      </c>
      <c r="DZ188" s="122" t="n">
        <f aca="false">IF(ISNA(VLOOKUP(A188,'Données projet'!$A$165:$I$185,7,0)),0%,VLOOKUP(A188,'Données projet'!$A$165:$I$185,7,0))</f>
        <v>0</v>
      </c>
      <c r="EA188" s="129" t="n">
        <f aca="false">EXP(-LN(2)/35)*EA187+(1-EXP(-LN(2)/35))/(LN(2)/35)*DW188*DX188*VLOOKUP('Données projet'!$B$14,Paramètres!$A$1:$I$89,3,0)*0.475*44/12</f>
        <v>0.111533554279403</v>
      </c>
      <c r="EB188" s="129" t="n">
        <f aca="false">EXP(-LN(2)/25)*EB187+(1-EXP(-LN(2)/25))/(LN(2)/25)*Calculateur!DW188*Calculateur!DY188*VLOOKUP('Données projet'!$B$14,Paramètres!$A$1:$I$89,3,0)*0.475*44/12</f>
        <v>0.105466695786486</v>
      </c>
      <c r="EC188" s="129" t="n">
        <f aca="false">EXP(-LN(2)/2)*EC187+(1-EXP(-LN(2)/2))/(LN(2)/2)*DW188*DZ188*VLOOKUP('Données projet'!$B$14,Paramètres!$A$1:$I$89,3,0)*0.475*44/12</f>
        <v>2.86325725314354E-023</v>
      </c>
      <c r="ED188" s="130" t="n">
        <f aca="false">SUM(EA188:EC188)</f>
        <v>0.217000250065889</v>
      </c>
      <c r="EE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8" t="e">
        <f aca="false">VLOOKUP(A188,'Données projet'!$A$191:$I$211,2,0)</f>
        <v>#N/A</v>
      </c>
      <c r="EH188" s="118" t="e">
        <f aca="false">VLOOKUP(A188,'Données projet'!$A$191:$I$211,9,0)</f>
        <v>#N/A</v>
      </c>
      <c r="EI188" s="118" t="e">
        <f aca="false" t="array" ref="EI188:EI188">INDEX(EH:EH,MIN(IF(ISNUMBER(EH188:EH384),ROW(EH188:EH384),"")))</f>
        <v>#N/A</v>
      </c>
      <c r="EJ188" s="118" t="n">
        <f aca="false">IF('Données projet'!$A$192&gt;35,EJ187+EI188-ER187,IF(A188&lt;'Données projet'!$A$192,$EG$205^A188,IF(A188='Données projet'!$A$192,'Données projet'!$B$192,EJ187+EI188-ER187)))</f>
        <v>0</v>
      </c>
      <c r="EK188" s="125" t="e">
        <f aca="false">EJ188*VLOOKUP('Données projet'!$B$15,Paramètres!$A$1:$I$89,3,0)*VLOOKUP('Données projet'!$B$15,Paramètres!$A$1:$I$89,5,0)</f>
        <v>#N/A</v>
      </c>
      <c r="EL188" s="117" t="e">
        <f aca="false">EXP(-1.0587+0.8836*LN(EK188)+0.284)</f>
        <v>#N/A</v>
      </c>
      <c r="EM188" s="128" t="e">
        <f aca="false">(EK188+EL188)*0.475*44/12</f>
        <v>#N/A</v>
      </c>
      <c r="EN188" s="120" t="e">
        <f aca="false">EM188+(EE188+EF188)*44/12</f>
        <v>#N/A</v>
      </c>
      <c r="EO188" s="120" t="e">
        <f aca="true">AVERAGE(OFFSET($EN$3,0,0,'Données projet'!$E$15+1,1))-AVERAGE(OFFSET($H$3,0,0,'Données projet'!$E$15+1,1))</f>
        <v>#N/A</v>
      </c>
      <c r="EP188" s="120" t="e">
        <f aca="false">$EP$3</f>
        <v>#N/A</v>
      </c>
      <c r="EQ188" s="121" t="n">
        <f aca="false">IF(ISNA(VLOOKUP(A188,'Données projet'!$A$191:$I$211,3,0)),0,VLOOKUP(A188,'Données projet'!$A$191:$I$211,3,0))</f>
        <v>0</v>
      </c>
      <c r="ER188" s="121" t="n">
        <f aca="false">IF(ISNA(VLOOKUP(A188,'Données projet'!$A$191:$I$211,4,0)),0,VLOOKUP(A188,'Données projet'!$A$191:$I$211,4,0))</f>
        <v>0</v>
      </c>
      <c r="ES188" s="122" t="n">
        <f aca="false">IF(ISNA(VLOOKUP(A188,'Données projet'!$A$191:$I$211,5,0)),0%,VLOOKUP(A188,'Données projet'!$A$191:$I$211,5,0)*VLOOKUP('Données projet'!$B$15,Paramètres!$A$1:$I$89,7,0))</f>
        <v>0</v>
      </c>
      <c r="ET188" s="122" t="n">
        <f aca="false">IF(ISNA(VLOOKUP(A188,'Données projet'!$A$191:$I$211,6,0)),0%,VLOOKUP(A188,'Données projet'!$A$191:$I$211,6,0)*VLOOKUP('Données projet'!$B$15,Paramètres!$A$1:$I$89,7,0))</f>
        <v>0</v>
      </c>
      <c r="EU188" s="122" t="n">
        <f aca="false">IF(ISNA(VLOOKUP(A188,'Données projet'!$A$191:$I$211,7,0)),0%,VLOOKUP(A188,'Données projet'!$A$191:$I$211,7,0))</f>
        <v>0</v>
      </c>
      <c r="EV188" s="129" t="e">
        <f aca="false">EXP(-LN(2)/35)*EV187+(1-EXP(-LN(2)/35))/(LN(2)/35)*ER188*ES188*VLOOKUP('Données projet'!$B$15,Paramètres!$A$1:$I$89,3,0)*0.475*44/12</f>
        <v>#N/A</v>
      </c>
      <c r="EW188" s="129" t="e">
        <f aca="false">EXP(-LN(2)/25)*EW187+(1-EXP(-LN(2)/25))/(LN(2)/25)*Calculateur!ER188*Calculateur!ET188*VLOOKUP('Données projet'!$B$15,Paramètres!$A$1:$I$89,3,0)*0.475*44/12</f>
        <v>#N/A</v>
      </c>
      <c r="EX188" s="129" t="e">
        <f aca="false">EXP(-LN(2)/2)*EX187+(1-EXP(-LN(2)/2))/(LN(2)/2)*ER188*EU188*VLOOKUP('Données projet'!$B$15,Paramètres!$A$1:$I$89,3,0)*0.475*44/12</f>
        <v>#N/A</v>
      </c>
      <c r="EY188" s="130" t="e">
        <f aca="false">SUM(EV188:EX188)</f>
        <v>#N/A</v>
      </c>
      <c r="EZ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8" t="e">
        <f aca="false">VLOOKUP(A188,'Données projet'!$A$217:$I$237,2,0)</f>
        <v>#N/A</v>
      </c>
      <c r="FC188" s="118" t="e">
        <f aca="false">VLOOKUP(A188,'Données projet'!$A$217:$I$237,9,0)</f>
        <v>#N/A</v>
      </c>
      <c r="FD188" s="118" t="e">
        <f aca="false" t="array" ref="FD188:FD188">INDEX(FC:FC,MIN(IF(ISNUMBER(FC188:FC384),ROW(FC188:FC384),"")))</f>
        <v>#N/A</v>
      </c>
      <c r="FE188" s="118" t="n">
        <f aca="false">IF('Données projet'!$A$218&gt;35,FE187+FD188-FM187,IF(A188&lt;'Données projet'!$A$218,$FB$205^A188,IF(A188='Données projet'!$A$218,'Données projet'!$B$218,FE187+FD188-FM187)))</f>
        <v>0</v>
      </c>
      <c r="FF188" s="125" t="e">
        <f aca="false">FE188*VLOOKUP('Données projet'!$B$16,Paramètres!$A$1:$I$89,3,0)*VLOOKUP('Données projet'!$B$16,Paramètres!$A$1:$I$89,5,0)</f>
        <v>#N/A</v>
      </c>
      <c r="FG188" s="117" t="e">
        <f aca="false">EXP(-1.0587+0.8836*LN(FF188)+0.284)</f>
        <v>#N/A</v>
      </c>
      <c r="FH188" s="128" t="e">
        <f aca="false">(FF188+FG188)*0.475*44/12</f>
        <v>#N/A</v>
      </c>
      <c r="FI188" s="120" t="e">
        <f aca="false">FH188+(EZ188+FA188)*44/12</f>
        <v>#N/A</v>
      </c>
      <c r="FJ188" s="120" t="e">
        <f aca="true">AVERAGE(OFFSET($FI$3,0,0,'Données projet'!$E$16+1,1))-AVERAGE(OFFSET($H$3,0,0,'Données projet'!$E$16+1,1))</f>
        <v>#N/A</v>
      </c>
      <c r="FK188" s="120" t="e">
        <f aca="false">$FK$3</f>
        <v>#N/A</v>
      </c>
      <c r="FL188" s="121" t="n">
        <f aca="false">IF(ISNA(VLOOKUP(A188,'Données projet'!$A$217:$I$237,3,0)),0,VLOOKUP(A188,'Données projet'!$A$217:$I$237,3,0))</f>
        <v>0</v>
      </c>
      <c r="FM188" s="121" t="n">
        <f aca="false">IF(ISNA(VLOOKUP(A188,'Données projet'!$A$217:$I$237,4,0)),0,VLOOKUP(A188,'Données projet'!$A$217:$I$237,4,0))</f>
        <v>0</v>
      </c>
      <c r="FN188" s="122" t="n">
        <f aca="false">IF(ISNA(VLOOKUP(A188,'Données projet'!$A$217:$I$237,5,0)),0%,VLOOKUP(A188,'Données projet'!$A$217:$I$237,5,0)*VLOOKUP('Données projet'!$B$16,Paramètres!$A$1:$I$89,7,0))</f>
        <v>0</v>
      </c>
      <c r="FO188" s="122" t="n">
        <f aca="false">IF(ISNA(VLOOKUP(A188,'Données projet'!$A$217:$I$237,6,0)),0%,VLOOKUP(A188,'Données projet'!$A$217:$I$237,6,0)*VLOOKUP('Données projet'!$B$16,Paramètres!$A$1:$I$89,7,0))</f>
        <v>0</v>
      </c>
      <c r="FP188" s="122" t="n">
        <f aca="false">IF(ISNA(VLOOKUP(A188,'Données projet'!$A$217:$I$237,7,0)),0%,VLOOKUP(A188,'Données projet'!$A$217:$I$237,7,0))</f>
        <v>0</v>
      </c>
      <c r="FQ188" s="129" t="e">
        <f aca="false">EXP(-LN(2)/35)*FQ187+(1-EXP(-LN(2)/35))/(LN(2)/35)*FM188*FN188*VLOOKUP('Données projet'!$B$16,Paramètres!$A$1:$I$89,3,0)*0.475*44/12</f>
        <v>#N/A</v>
      </c>
      <c r="FR188" s="129" t="e">
        <f aca="false">EXP(-LN(2)/25)*FR187+(1-EXP(-LN(2)/25))/(LN(2)/25)*Calculateur!FM188*Calculateur!FO188*VLOOKUP('Données projet'!$B$16,Paramètres!$A$1:$I$89,3,0)*0.475*44/12</f>
        <v>#N/A</v>
      </c>
      <c r="FS188" s="129" t="e">
        <f aca="false">EXP(-LN(2)/2)*FS187+(1-EXP(-LN(2)/2))/(LN(2)/2)*FM188*FP188*VLOOKUP('Données projet'!$B$16,Paramètres!$A$1:$I$89,3,0)*0.475*44/12</f>
        <v>#N/A</v>
      </c>
      <c r="FT188" s="130" t="e">
        <f aca="false">SUM(FQ188:FS188)</f>
        <v>#N/A</v>
      </c>
      <c r="FU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8" t="e">
        <f aca="false">VLOOKUP(A188,'Données projet'!$A$243:$I$263,2,0)</f>
        <v>#N/A</v>
      </c>
      <c r="FX188" s="118" t="e">
        <f aca="false">VLOOKUP(A188,'Données projet'!$A$243:$I$263,9,0)</f>
        <v>#N/A</v>
      </c>
      <c r="FY188" s="118" t="e">
        <f aca="false" t="array" ref="FY188:FY188">INDEX(FX:FX,MIN(IF(ISNUMBER(FX188:FX384),ROW(FX188:FX384),"")))</f>
        <v>#N/A</v>
      </c>
      <c r="FZ188" s="118" t="n">
        <f aca="false">IF('Données projet'!$A$244&gt;35,FZ187+FY188-GH187,IF(A188&lt;'Données projet'!$A$244,$FW$205^A188,IF(A188='Données projet'!$A$244,'Données projet'!$B$244,FZ187+FY188-GH187)))</f>
        <v>0</v>
      </c>
      <c r="GA188" s="125" t="e">
        <f aca="false">FZ188*VLOOKUP('Données projet'!$B$17,Paramètres!$A$1:$I$89,3,0)*VLOOKUP('Données projet'!$B$17,Paramètres!$A$1:$I$89,5,0)</f>
        <v>#N/A</v>
      </c>
      <c r="GB188" s="117" t="e">
        <f aca="false">EXP(-1.0587+0.8836*LN(GA188)+0.284)</f>
        <v>#N/A</v>
      </c>
      <c r="GC188" s="128" t="e">
        <f aca="false">(GA188+GB188)*0.475*44/12</f>
        <v>#N/A</v>
      </c>
      <c r="GD188" s="120" t="e">
        <f aca="false">GC188+(FU188+FV188)*44/12</f>
        <v>#N/A</v>
      </c>
      <c r="GE188" s="120" t="e">
        <f aca="true">AVERAGE(OFFSET($GD$3,0,0,'Données projet'!$E$17+1,1))-AVERAGE(OFFSET($H$3,0,0,'Données projet'!$E$17+1,1))</f>
        <v>#N/A</v>
      </c>
      <c r="GF188" s="120" t="e">
        <f aca="false">$GF$3</f>
        <v>#N/A</v>
      </c>
      <c r="GG188" s="121" t="n">
        <f aca="false">IF(ISNA(VLOOKUP(A188,'Données projet'!$A$243:$I$263,3,0)),0,VLOOKUP(A188,'Données projet'!$A$243:$I$263,3,0))</f>
        <v>0</v>
      </c>
      <c r="GH188" s="121" t="n">
        <f aca="false">IF(ISNA(VLOOKUP(A188,'Données projet'!$A$243:$I$263,4,0)),0,VLOOKUP(A188,'Données projet'!$A$243:$I$263,4,0))</f>
        <v>0</v>
      </c>
      <c r="GI188" s="122" t="n">
        <f aca="false">IF(ISNA(VLOOKUP(A188,'Données projet'!$A$243:$I$263,5,0)),0%,VLOOKUP(A188,'Données projet'!$A$243:$I$263,5,0)*VLOOKUP('Données projet'!$B$17,Paramètres!$A$1:$I$89,7,0))</f>
        <v>0</v>
      </c>
      <c r="GJ188" s="122" t="n">
        <f aca="false">IF(ISNA(VLOOKUP(A188,'Données projet'!$A$243:$I$263,6,0)),0%,VLOOKUP(A188,'Données projet'!$A$243:$I$263,6,0)*VLOOKUP('Données projet'!$B$17,Paramètres!$A$1:$I$89,7,0))</f>
        <v>0</v>
      </c>
      <c r="GK188" s="122" t="n">
        <f aca="false">IF(ISNA(VLOOKUP(A188,'Données projet'!$A$243:$I$263,7,0)),0%,VLOOKUP(A188,'Données projet'!$A$243:$I$263,7,0))</f>
        <v>0</v>
      </c>
      <c r="GL188" s="129" t="e">
        <f aca="false">EXP(-LN(2)/35)*GL187+(1-EXP(-LN(2)/35))/(LN(2)/35)*GH188*GI188*VLOOKUP('Données projet'!$B$17,Paramètres!$A$1:$I$89,3,0)*0.475*44/12</f>
        <v>#N/A</v>
      </c>
      <c r="GM188" s="129" t="e">
        <f aca="false">EXP(-LN(2)/25)*GM187+(1-EXP(-LN(2)/25))/(LN(2)/25)*Calculateur!GH188*Calculateur!GJ188*VLOOKUP('Données projet'!$B$17,Paramètres!$A$1:$I$89,3,0)*0.475*44/12</f>
        <v>#N/A</v>
      </c>
      <c r="GN188" s="129" t="e">
        <f aca="false">EXP(-LN(2)/2)*GN187+(1-EXP(-LN(2)/2))/(LN(2)/2)*GH188*GK188*VLOOKUP('Données projet'!$B$17,Paramètres!$A$1:$I$89,3,0)*0.475*44/12</f>
        <v>#N/A</v>
      </c>
      <c r="GO188" s="129" t="e">
        <f aca="false">SUM(GL188:GN188)</f>
        <v>#N/A</v>
      </c>
      <c r="GP188" s="126" t="n">
        <f aca="false"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8" t="n">
        <f aca="false"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8" t="e">
        <f aca="false">VLOOKUP(A188,'Données projet'!$A$269:$I$289,2,0)</f>
        <v>#N/A</v>
      </c>
      <c r="GS188" s="118" t="e">
        <f aca="false">VLOOKUP(A188,'Données projet'!$A$269:$I$289,9,0)</f>
        <v>#N/A</v>
      </c>
      <c r="GT188" s="118" t="e">
        <f aca="false" t="array" ref="GT188:GT188">INDEX(GS:GS,MIN(IF(ISNUMBER(GS188:GS384),ROW(GS188:GS384),"")))</f>
        <v>#N/A</v>
      </c>
      <c r="GU188" s="118" t="n">
        <f aca="false">IF('Données projet'!$A$270&gt;35,GU187+GT188-HC187,IF(A188&lt;'Données projet'!$A$270,$GR$205^A188,IF(A188='Données projet'!$A$270,'Données projet'!$B$270,GU187+GT188-HC187)))</f>
        <v>0</v>
      </c>
      <c r="GV188" s="125" t="e">
        <f aca="false">GU188*VLOOKUP('Données projet'!$B$18,Paramètres!$A$1:$I$89,3,0)*VLOOKUP('Données projet'!$B$18,Paramètres!$A$1:$I$89,5,0)</f>
        <v>#N/A</v>
      </c>
      <c r="GW188" s="117" t="e">
        <f aca="false">EXP(-1.0587+0.8836*LN(GV188)+0.284)</f>
        <v>#N/A</v>
      </c>
      <c r="GX188" s="128" t="e">
        <f aca="false">(GV188+GW188)*0.475*44/12</f>
        <v>#N/A</v>
      </c>
      <c r="GY188" s="120" t="e">
        <f aca="false">GX188+(GP188+GQ188)*44/12</f>
        <v>#N/A</v>
      </c>
      <c r="GZ188" s="120" t="e">
        <f aca="true">AVERAGE(OFFSET($GY$3,0,0,'Données projet'!$E$18+1,1))-AVERAGE(OFFSET($H$3,0,0,'Données projet'!$E$18+1,1))</f>
        <v>#N/A</v>
      </c>
      <c r="HA188" s="120" t="e">
        <f aca="false">$HA$3</f>
        <v>#N/A</v>
      </c>
      <c r="HB188" s="121" t="n">
        <f aca="false">IF(ISNA(VLOOKUP(A188,'Données projet'!$A$269:$I$289,3,0)),0,VLOOKUP(A188,'Données projet'!$A$269:$I$289,3,0))</f>
        <v>0</v>
      </c>
      <c r="HC188" s="121" t="n">
        <f aca="false">IF(ISNA(VLOOKUP(A188,'Données projet'!$A$269:$I$289,4,0)),0,VLOOKUP(A188,'Données projet'!$A$269:$I$289,4,0))</f>
        <v>0</v>
      </c>
      <c r="HD188" s="122" t="n">
        <f aca="false">IF(ISNA(VLOOKUP(A188,'Données projet'!$A$269:$I$289,5,0)),0%,VLOOKUP(A188,'Données projet'!$A$269:$I$289,5,0)*VLOOKUP('Données projet'!$B$18,Paramètres!$A$1:$I$89,7,0))</f>
        <v>0</v>
      </c>
      <c r="HE188" s="122" t="n">
        <f aca="false">IF(ISNA(VLOOKUP(A188,'Données projet'!$A$269:$I$289,6,0)),0%,VLOOKUP(A188,'Données projet'!$A$269:$I$289,6,0)*VLOOKUP('Données projet'!$B$18,Paramètres!$A$1:$I$89,7,0))</f>
        <v>0</v>
      </c>
      <c r="HF188" s="122" t="n">
        <f aca="false">IF(ISNA(VLOOKUP(A188,'Données projet'!$A$269:$I$289,7,0)),0%,VLOOKUP(A188,'Données projet'!$A$269:$I$289,7,0))</f>
        <v>0</v>
      </c>
      <c r="HG188" s="129" t="e">
        <f aca="false">EXP(-LN(2)/35)*HG187+(1-EXP(-LN(2)/35))/(LN(2)/35)*HC188*HD188*VLOOKUP('Données projet'!$B$18,Paramètres!$A$1:$I$89,3,0)*0.475*44/12</f>
        <v>#N/A</v>
      </c>
      <c r="HH188" s="129" t="e">
        <f aca="false">EXP(-LN(2)/25)*HH187+(1-EXP(-LN(2)/25))/(LN(2)/25)*Calculateur!HC188*Calculateur!HE188*VLOOKUP('Données projet'!$B$18,Paramètres!$A$1:$I$89,3,0)*0.475*44/12</f>
        <v>#N/A</v>
      </c>
      <c r="HI188" s="129" t="e">
        <f aca="false">EXP(-LN(2)/2)*HI187+(1-EXP(-LN(2)/2))/(LN(2)/2)*HC188*HF188*VLOOKUP('Données projet'!$B$18,Paramètres!$A$1:$I$89,3,0)*0.475*44/12</f>
        <v>#N/A</v>
      </c>
      <c r="HJ188" s="130" t="e">
        <f aca="false">SUM(HG188:HI188)</f>
        <v>#N/A</v>
      </c>
    </row>
    <row r="189" customFormat="false" ht="14.25" hidden="false" customHeight="false" outlineLevel="0" collapsed="false">
      <c r="A189" s="112" t="n">
        <f aca="false">A188+1</f>
        <v>186</v>
      </c>
      <c r="B189" s="113" t="n">
        <f aca="false">'Scénario référence'!$B$16*5+'Scénario référence'!$B$17*0+'Scénario référence'!$B$18*5</f>
        <v>0</v>
      </c>
      <c r="C189" s="127" t="n">
        <f aca="false"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4" t="n">
        <f aca="false">IFERROR(EXP(-1.0587+0.8836*LN(C189)+0.284),0)</f>
        <v>0</v>
      </c>
      <c r="E18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89" s="114" t="n">
        <f aca="false">IF(OR('Scénario référence'!$F$8&gt;0,'Scénario référence'!$F$9&gt;0),('Scénario référence'!$F$8+'Scénario référence'!$F$9)*10,0)</f>
        <v>0</v>
      </c>
      <c r="G189" s="114" t="n">
        <f aca="false"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15" t="n">
        <f aca="false">(B189+E189+F189)*44/12+(C189+D189)*0.475*44/12</f>
        <v>256.666666666667</v>
      </c>
      <c r="I189" s="11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7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8" t="e">
        <f aca="false">VLOOKUP(A189,'Données projet'!$A$35:$I$55,2,0)</f>
        <v>#N/A</v>
      </c>
      <c r="L189" s="118" t="e">
        <f aca="false">VLOOKUP(A189,'Données projet'!$A$35:$I$55,9,0)</f>
        <v>#N/A</v>
      </c>
      <c r="M189" s="118" t="e">
        <f aca="false" t="array" ref="M189:M189">INDEX(L:L,MIN(IF(ISNUMBER(L189:L385),ROW(L189:L385),"")))</f>
        <v>#N/A</v>
      </c>
      <c r="N189" s="117" t="n">
        <f aca="false">IF('Données projet'!$A$36&gt;35,N188+M189-V188,IF(A189&lt;'Données projet'!$A$36,$K$205^A189,IF(A189='Données projet'!$A$36,'Données projet'!$B$36,N188+M189-V188)))</f>
        <v>-1.13686837721616E-013</v>
      </c>
      <c r="O189" s="117" t="n">
        <f aca="false">N189*VLOOKUP('Données projet'!$B$9,Paramètres!$A$1:$I$89,3,0)*VLOOKUP('Données projet'!$B$9,Paramètres!$A$1:$I$89,5,0)</f>
        <v>-5.32054400537163E-014</v>
      </c>
      <c r="P189" s="117" t="e">
        <f aca="false">EXP(-1.0587+0.8836*LN(O189)+0.284)</f>
        <v>#VALUE!</v>
      </c>
      <c r="Q189" s="128" t="e">
        <f aca="false">(O189+P189)*0.475*44/12</f>
        <v>#VALUE!</v>
      </c>
      <c r="R189" s="120" t="e">
        <f aca="false">Q189+(I189+J189)*44/12</f>
        <v>#VALUE!</v>
      </c>
      <c r="S189" s="120" t="n">
        <f aca="true">AVERAGE(OFFSET($R$3,0,0,'Données projet'!$E$9+1,1))-AVERAGE(OFFSET($H$3,0,0,'Données projet'!$E$9+1,1))</f>
        <v>319.229030946746</v>
      </c>
      <c r="T189" s="120" t="n">
        <f aca="false">$T$3</f>
        <v>254.586909731428</v>
      </c>
      <c r="U189" s="121" t="n">
        <f aca="false">IF(ISNA(VLOOKUP(A189,'Données projet'!$A$35:$I$55,3,0)),0,VLOOKUP(A189,'Données projet'!$A$35:$I$55,3,0))</f>
        <v>0</v>
      </c>
      <c r="V189" s="121" t="n">
        <f aca="false">IF(ISNA(VLOOKUP(A189,'Données projet'!$A$35:$I$55,4,0)),0,VLOOKUP(A189,'Données projet'!$A$35:$I$55,4,0))</f>
        <v>0</v>
      </c>
      <c r="W189" s="122" t="n">
        <f aca="false">IF(ISNA(VLOOKUP(A189,'Données projet'!$A$35:$I$55,5,0)),0%,VLOOKUP(A189,'Données projet'!$A$35:$I$55,5,0)*VLOOKUP('Données projet'!$B$9,Paramètres!$A$1:$I$89,7,0))</f>
        <v>0</v>
      </c>
      <c r="X189" s="122" t="n">
        <f aca="false">IF(ISNA(VLOOKUP(A189,'Données projet'!$A$35:$I$55,6,0)),0%,VLOOKUP(A189,'Données projet'!$A$35:$I$55,6,0)*VLOOKUP('Données projet'!$B$9,Paramètres!$A$1:$I$89,7,0))</f>
        <v>0</v>
      </c>
      <c r="Y189" s="122" t="n">
        <f aca="false">IF(ISNA(VLOOKUP(A189,'Données projet'!$A$35:$I$55,7,0)),0%,VLOOKUP(A189,'Données projet'!$A$35:$I$55,7,0))</f>
        <v>0</v>
      </c>
      <c r="Z189" s="129" t="n">
        <f aca="false">EXP(-LN(2)/35)*Z188+(1-EXP(-LN(2)/35))/(LN(2)/35)*V189*W189*VLOOKUP('Données projet'!$B$9,Paramètres!$A$1:$I$89,3,0)*0.475*44/12</f>
        <v>0.41320806522775</v>
      </c>
      <c r="AA189" s="129" t="n">
        <f aca="false">EXP(-LN(2)/25)*AA188+(1-EXP(-LN(2)/25))/(LN(2)/25)*Calculateur!V189*Calculateur!X189*VLOOKUP('Données projet'!$B$9,Paramètres!$A$1:$I$89,3,0)*0.475*44/12</f>
        <v>0.14753637687712</v>
      </c>
      <c r="AB189" s="129" t="n">
        <f aca="false">EXP(-LN(2)/2)*AB188+(1-EXP(-LN(2)/2))/(LN(2)/2)*V189*Y189*VLOOKUP('Données projet'!$B$9,Paramètres!$A$1:$I$89,3,0)*0.475*44/12</f>
        <v>3.65386476636547E-023</v>
      </c>
      <c r="AC189" s="130" t="n">
        <f aca="false">SUM(Z189:AB189)</f>
        <v>0.56074444210487</v>
      </c>
      <c r="AD189" s="117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7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8" t="e">
        <f aca="false">VLOOKUP(A189,'Données projet'!$A$61:$I$81,2,0)</f>
        <v>#N/A</v>
      </c>
      <c r="AG189" s="118" t="e">
        <f aca="false">VLOOKUP(A189,'Données projet'!$A$61:$I$81,9,0)</f>
        <v>#N/A</v>
      </c>
      <c r="AH189" s="118" t="e">
        <f aca="false" t="array" ref="AH189:AH189">INDEX(AG:AG,MIN(IF(ISNUMBER(AG189:AG385),ROW(AG189:AG385),"")))</f>
        <v>#N/A</v>
      </c>
      <c r="AI189" s="117" t="n">
        <f aca="false">IF('Données projet'!$A$62&gt;35,AI188+AH189-AQ188,IF(A189&lt;'Données projet'!$A$62,$AF$205^A189,IF(A189='Données projet'!$A$62,'Données projet'!$B$62,AI188+AH189-AQ188)))</f>
        <v>1.13686837721616E-013</v>
      </c>
      <c r="AJ189" s="117" t="n">
        <f aca="false">AI189*VLOOKUP('Données projet'!$B$10,Paramètres!$A$1:$I$89,3,0)*VLOOKUP('Données projet'!$B$10,Paramètres!$A$1:$I$89,5,0)</f>
        <v>6.35509422863834E-014</v>
      </c>
      <c r="AK189" s="117" t="n">
        <f aca="false">EXP(-1.0587+0.8836*LN(AJ189)+0.284)</f>
        <v>1.0064464192544E-012</v>
      </c>
      <c r="AL189" s="128" t="n">
        <f aca="false">(AJ189+AK189)*0.475*44/12</f>
        <v>1.86357873801686E-012</v>
      </c>
      <c r="AM189" s="120" t="n">
        <f aca="false">AL189+(AD189+AE189)*44/12</f>
        <v>293.333333333335</v>
      </c>
      <c r="AN189" s="120" t="n">
        <f aca="true">AVERAGE(OFFSET($AM$3,0,0,'Données projet'!$E$10+1,1))-AVERAGE(OFFSET($H$3,0,0,'Données projet'!$E$10+1,1))</f>
        <v>365.705101827279</v>
      </c>
      <c r="AO189" s="120" t="n">
        <f aca="false">$AO$3</f>
        <v>436.238338449625</v>
      </c>
      <c r="AP189" s="121" t="n">
        <f aca="false">IF(ISNA(VLOOKUP(A189,'Données projet'!$A$61:$I$81,3,0)),0,VLOOKUP(A189,'Données projet'!$A$61:$I$81,3,0))</f>
        <v>0</v>
      </c>
      <c r="AQ189" s="121" t="n">
        <f aca="false">IF(ISNA(VLOOKUP(A189,'Données projet'!$A$61:$I$81,4,0)),0,VLOOKUP(A189,'Données projet'!$A$61:$I$81,4,0))</f>
        <v>0</v>
      </c>
      <c r="AR189" s="122" t="n">
        <f aca="false">IF(ISNA(VLOOKUP(A189,'Données projet'!$A$61:$I$81,5,0)),0%,VLOOKUP(A189,'Données projet'!$A$61:$I$81,5,0)*VLOOKUP('Données projet'!$B$10,Paramètres!$A$1:$I$89,7,0))</f>
        <v>0</v>
      </c>
      <c r="AS189" s="122" t="n">
        <f aca="false">IF(ISNA(VLOOKUP(A189,'Données projet'!$A$61:$I$81,6,0)),0%,VLOOKUP(A189,'Données projet'!$A$61:$I$81,6,0)*VLOOKUP('Données projet'!$B$10,Paramètres!$A$1:$I$89,7,0))</f>
        <v>0</v>
      </c>
      <c r="AT189" s="122" t="n">
        <f aca="false">IF(ISNA(VLOOKUP(A189,'Données projet'!$A$61:$I$81,7,0)),0%,VLOOKUP(A189,'Données projet'!$A$61:$I$81,7,0))</f>
        <v>0</v>
      </c>
      <c r="AU189" s="129" t="n">
        <f aca="false">EXP(-LN(2)/35)*AU188+(1-EXP(-LN(2)/35))/(LN(2)/35)*AQ189*AR189*VLOOKUP('Données projet'!$B$10,Paramètres!$A$1:$I$89,3,0)*0.475*44/12</f>
        <v>0.155972647835517</v>
      </c>
      <c r="AV189" s="129" t="n">
        <f aca="false">EXP(-LN(2)/25)*AV188+(1-EXP(-LN(2)/25))/(LN(2)/25)*Calculateur!AQ189*Calculateur!AS189*VLOOKUP('Données projet'!$B$10,Paramètres!$A$1:$I$89,3,0)*0.475*44/12</f>
        <v>0.174748861137211</v>
      </c>
      <c r="AW189" s="129" t="n">
        <f aca="false">EXP(-LN(2)/2)*AW188+(1-EXP(-LN(2)/2))/(LN(2)/2)*AQ189*AT189*VLOOKUP('Données projet'!$B$10,Paramètres!$A$1:$I$89,3,0)*0.475*44/12</f>
        <v>1.96639581660032E-023</v>
      </c>
      <c r="AX189" s="129" t="n">
        <f aca="false">SUM(AU189:AW189)</f>
        <v>0.330721508972728</v>
      </c>
      <c r="AY189" s="124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8" t="e">
        <f aca="false">VLOOKUP(A189,'Données projet'!$A$87:$I$107,2,0)</f>
        <v>#N/A</v>
      </c>
      <c r="BB189" s="118" t="e">
        <f aca="false">VLOOKUP(A189,'Données projet'!$A$87:$I$107,9,0)</f>
        <v>#N/A</v>
      </c>
      <c r="BC189" s="118" t="e">
        <f aca="false" t="array" ref="BC189:BC189">INDEX(BB:BB,MIN(IF(ISNUMBER(BB189:BB385),ROW(BB189:BB385),"")))</f>
        <v>#N/A</v>
      </c>
      <c r="BD189" s="118" t="n">
        <f aca="false">IF('Données projet'!$A$88&gt;35,BD188+BC189-BL188,IF(A189&lt;'Données projet'!$A$88,$BA$205^A189,IF(A189='Données projet'!$A$88,'Données projet'!$B$88,BD188+BC189-BL188)))</f>
        <v>1.98951966012828E-013</v>
      </c>
      <c r="BE189" s="117" t="n">
        <f aca="false">BD189*VLOOKUP('Données projet'!$B$11,Paramètres!$A$1:$I$89,3,0)*VLOOKUP('Données projet'!$B$11,Paramètres!$A$1:$I$89,5,0)</f>
        <v>1.73804437508807E-013</v>
      </c>
      <c r="BF189" s="117" t="n">
        <f aca="false">EXP(-1.0587+0.8836*LN(BE189)+0.284)</f>
        <v>2.44832936339505E-012</v>
      </c>
      <c r="BG189" s="128" t="n">
        <f aca="false">(BE189+BF189)*0.475*44/12</f>
        <v>4.56688303657421E-012</v>
      </c>
      <c r="BH189" s="120" t="n">
        <f aca="false">BG189+(AY189+AZ189)*44/12</f>
        <v>293.333333333338</v>
      </c>
      <c r="BI189" s="120" t="n">
        <f aca="true">AVERAGE(OFFSET($BH$3,0,0,'Données projet'!$E$11+1,1))-AVERAGE(OFFSET($H$3,0,0,'Données projet'!$E$11+1,1))</f>
        <v>321.235999689929</v>
      </c>
      <c r="BJ189" s="120" t="n">
        <f aca="false">$BJ$3</f>
        <v>388.051958478005</v>
      </c>
      <c r="BK189" s="121" t="n">
        <f aca="false">IF(ISNA(VLOOKUP(A189,'Données projet'!$A$87:$I$107,3,0)),0,VLOOKUP(A189,'Données projet'!$A$87:$I$107,3,0))</f>
        <v>0</v>
      </c>
      <c r="BL189" s="121" t="n">
        <f aca="false">IF(ISNA(VLOOKUP(A189,'Données projet'!$A$87:$I$107,4,0)),0,VLOOKUP(A189,'Données projet'!$A$87:$I$107,4,0))</f>
        <v>0</v>
      </c>
      <c r="BM189" s="122" t="n">
        <f aca="false">IF(ISNA(VLOOKUP(A189,'Données projet'!$A$87:$I$107,5,0)),0%,VLOOKUP(A189,'Données projet'!$A$87:$I$107,5,0)*VLOOKUP('Données projet'!$B$11,Paramètres!$A$1:$I$89,7,0))</f>
        <v>0</v>
      </c>
      <c r="BN189" s="122" t="n">
        <f aca="false">IF(ISNA(VLOOKUP(A189,'Données projet'!$A$87:$I$107,6,0)),0%,VLOOKUP(A189,'Données projet'!$A$87:$I$107,6,0)*VLOOKUP('Données projet'!$B$11,Paramètres!$A$1:$I$89,7,0))</f>
        <v>0</v>
      </c>
      <c r="BO189" s="122" t="n">
        <f aca="false">IF(ISNA(VLOOKUP(A189,'Données projet'!$A$87:$I$107,7,0)),0%,VLOOKUP(A189,'Données projet'!$A$87:$I$107,7,0))</f>
        <v>0</v>
      </c>
      <c r="BP189" s="129" t="n">
        <f aca="false">EXP(-LN(2)/35)*BP188+(1-EXP(-LN(2)/35))/(LN(2)/35)*BL189*BM189*VLOOKUP('Données projet'!$B$11,Paramètres!$A$1:$I$89,3,0)*0.475*44/12</f>
        <v>0.391588259976151</v>
      </c>
      <c r="BQ189" s="129" t="n">
        <f aca="false">EXP(-LN(2)/25)*BQ188+(1-EXP(-LN(2)/25))/(LN(2)/25)*Calculateur!BL189*Calculateur!BN189*VLOOKUP('Données projet'!$B$11,Paramètres!$A$1:$I$89,3,0)*0.475*44/12</f>
        <v>0.178373258008244</v>
      </c>
      <c r="BR189" s="129" t="n">
        <f aca="false">EXP(-LN(2)/2)*BR188+(1-EXP(-LN(2)/2))/(LN(2)/2)*BL189*BO189*VLOOKUP('Données projet'!$B$11,Paramètres!$A$1:$I$89,3,0)*0.475*44/12</f>
        <v>1.99880047535768E-023</v>
      </c>
      <c r="BS189" s="130" t="n">
        <f aca="false">SUM(BP189:BR189)</f>
        <v>0.569961517984395</v>
      </c>
      <c r="BT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8" t="e">
        <f aca="false">VLOOKUP(A189,'Données projet'!$A$113:$I$133,2,0)</f>
        <v>#N/A</v>
      </c>
      <c r="BW189" s="118" t="e">
        <f aca="false">VLOOKUP(A189,'Données projet'!$A$113:$I$133,9,0)</f>
        <v>#N/A</v>
      </c>
      <c r="BX189" s="118" t="e">
        <f aca="false" t="array" ref="BX189:BX189">INDEX(BW:BW,MIN(IF(ISNUMBER(BW189:BW385),ROW(BW189:BW385),"")))</f>
        <v>#N/A</v>
      </c>
      <c r="BY189" s="118" t="n">
        <f aca="false">IF('Données projet'!$A$114&gt;35,BY188+BX189-CG188,IF(A189&lt;'Données projet'!$A$114,$BV$205^A189,IF(A189='Données projet'!$A$114,'Données projet'!$B$114,BY188+BX189-CG188)))</f>
        <v>0</v>
      </c>
      <c r="BZ189" s="117" t="n">
        <f aca="false">BY189*VLOOKUP('Données projet'!$B$12,Paramètres!$A$1:$I$89,3,0)*VLOOKUP('Données projet'!$B$12,Paramètres!$A$1:$I$89,5,0)</f>
        <v>0</v>
      </c>
      <c r="CA189" s="117" t="e">
        <f aca="false">EXP(-1.0587+0.8836*LN(BZ189)+0.284)</f>
        <v>#VALUE!</v>
      </c>
      <c r="CB189" s="128" t="e">
        <f aca="false">(BZ189+CA189)*0.475*44/12</f>
        <v>#VALUE!</v>
      </c>
      <c r="CC189" s="120" t="e">
        <f aca="false">CB189+(BT189+BU189)*44/12</f>
        <v>#VALUE!</v>
      </c>
      <c r="CD189" s="120" t="n">
        <f aca="true">AVERAGE(OFFSET($CC$3,0,0,'Données projet'!$E$12+1,1))-AVERAGE(OFFSET($H$3,0,0,'Données projet'!$E$12+1,1))</f>
        <v>240.228848647662</v>
      </c>
      <c r="CE189" s="120" t="n">
        <f aca="false">$CE$3</f>
        <v>343.237768841432</v>
      </c>
      <c r="CF189" s="121" t="n">
        <f aca="false">IF(ISNA(VLOOKUP(A189,'Données projet'!$A$113:$I$133,3,0)),0,VLOOKUP(A189,'Données projet'!$A$113:$I$133,3,0))</f>
        <v>0</v>
      </c>
      <c r="CG189" s="121" t="n">
        <f aca="false">IF(ISNA(VLOOKUP(A189,'Données projet'!$A$113:$I$133,4,0)),0,VLOOKUP(A189,'Données projet'!$A$113:$I$133,4,0))</f>
        <v>0</v>
      </c>
      <c r="CH189" s="122" t="n">
        <f aca="false">IF(ISNA(VLOOKUP(A189,'Données projet'!$A$113:$I$133,5,0)),0%,VLOOKUP(A189,'Données projet'!$A$113:$I$133,5,0)*VLOOKUP('Données projet'!$B$12,Paramètres!$A$1:$I$89,7,0))</f>
        <v>0</v>
      </c>
      <c r="CI189" s="122" t="n">
        <f aca="false">IF(ISNA(VLOOKUP(A189,'Données projet'!$A$113:$I$133,6,0)),0%,VLOOKUP(A189,'Données projet'!$A$113:$I$133,6,0)*VLOOKUP('Données projet'!$B$12,Paramètres!$A$1:$I$89,7,0))</f>
        <v>0</v>
      </c>
      <c r="CJ189" s="122" t="n">
        <f aca="false">IF(ISNA(VLOOKUP(A189,'Données projet'!$A$113:$I$133,7,0)),0%,VLOOKUP(A189,'Données projet'!$A$113:$I$133,7,0))</f>
        <v>0</v>
      </c>
      <c r="CK189" s="129" t="n">
        <f aca="false">EXP(-LN(2)/35)*CK188+(1-EXP(-LN(2)/35))/(LN(2)/35)*CG189*CH189*VLOOKUP('Données projet'!$B$12,Paramètres!$A$1:$I$89,3,0)*0.475*44/12</f>
        <v>0.239682522557267</v>
      </c>
      <c r="CL189" s="129" t="n">
        <f aca="false">EXP(-LN(2)/25)*CL188+(1-EXP(-LN(2)/25))/(LN(2)/25)*Calculateur!CG189*Calculateur!CI189*VLOOKUP('Données projet'!$B$12,Paramètres!$A$1:$I$89,3,0)*0.475*44/12</f>
        <v>0.315017499650251</v>
      </c>
      <c r="CM189" s="129" t="n">
        <f aca="false">EXP(-LN(2)/2)*CM188+(1-EXP(-LN(2)/2))/(LN(2)/2)*CG189*CJ189*VLOOKUP('Données projet'!$B$12,Paramètres!$A$1:$I$89,3,0)*0.475*44/12</f>
        <v>3.18955267876956E-023</v>
      </c>
      <c r="CN189" s="130" t="n">
        <f aca="false">SUM(CK189:CM189)</f>
        <v>0.554700022207518</v>
      </c>
      <c r="CO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8" t="e">
        <f aca="false">VLOOKUP(A189,'Données projet'!$A$139:$I$159,2,0)</f>
        <v>#N/A</v>
      </c>
      <c r="CR189" s="118" t="e">
        <f aca="false">VLOOKUP(A189,'Données projet'!$A$139:$I$159,9,0)</f>
        <v>#N/A</v>
      </c>
      <c r="CS189" s="118" t="e">
        <f aca="false" t="array" ref="CS189:CS189">INDEX(CR:CR,MIN(IF(ISNUMBER(CR189:CR385),ROW(CR189:CR385),"")))</f>
        <v>#N/A</v>
      </c>
      <c r="CT189" s="118" t="n">
        <f aca="false">IF('Données projet'!$A$140&gt;35,CT188+CS189-DB188,IF(A189&lt;'Données projet'!$A$140,$CQ$205^A189,IF(A189='Données projet'!$A$140,'Données projet'!$B$140,CT188+CS189-DB188)))</f>
        <v>-5.6843418860808E-014</v>
      </c>
      <c r="CU189" s="125" t="n">
        <f aca="false">CT189*VLOOKUP('Données projet'!$B$13,Paramètres!$A$1:$I$89,3,0)*VLOOKUP('Données projet'!$B$13,Paramètres!$A$1:$I$89,5,0)</f>
        <v>-3.10365066980012E-014</v>
      </c>
      <c r="CV189" s="117" t="e">
        <f aca="false">EXP(-1.0587+0.8836*LN(CU189)+0.284)</f>
        <v>#VALUE!</v>
      </c>
      <c r="CW189" s="128" t="e">
        <f aca="false">(CU189+CV189)*0.475*44/12</f>
        <v>#VALUE!</v>
      </c>
      <c r="CX189" s="120" t="e">
        <f aca="false">CW189+(CO189+CP189)*44/12</f>
        <v>#VALUE!</v>
      </c>
      <c r="CY189" s="120" t="n">
        <f aca="true">AVERAGE(OFFSET($CX$3,0,0,'Données projet'!$E$13+1,1))-AVERAGE(OFFSET($H$3,0,0,'Données projet'!$E$13+1,1))</f>
        <v>207.023069645676</v>
      </c>
      <c r="CZ189" s="120" t="n">
        <f aca="false">$CZ$3</f>
        <v>342.068879333518</v>
      </c>
      <c r="DA189" s="121" t="n">
        <f aca="false">IF(ISNA(VLOOKUP(A189,'Données projet'!$A$139:$I$159,3,0)),0,VLOOKUP(A189,'Données projet'!$A$139:$I$159,3,0))</f>
        <v>0</v>
      </c>
      <c r="DB189" s="121" t="n">
        <f aca="false">IF(ISNA(VLOOKUP(A189,'Données projet'!$A$139:$I$159,4,0)),0,VLOOKUP(A189,'Données projet'!$A$139:$I$159,4,0))</f>
        <v>0</v>
      </c>
      <c r="DC189" s="122" t="n">
        <f aca="false">IF(ISNA(VLOOKUP(A189,'Données projet'!$A$139:$I$159,5,0)),0%,VLOOKUP(A189,'Données projet'!$A$139:$I$159,5,0)*VLOOKUP('Données projet'!$B$13,Paramètres!$A$1:$I$89,7,0))</f>
        <v>0</v>
      </c>
      <c r="DD189" s="122" t="n">
        <f aca="false">IF(ISNA(VLOOKUP(A189,'Données projet'!$A$139:$I$159,6,0)),0%,VLOOKUP(A189,'Données projet'!$A$139:$I$159,6,0)*VLOOKUP('Données projet'!$B$13,Paramètres!$A$1:$I$89,7,0))</f>
        <v>0</v>
      </c>
      <c r="DE189" s="122" t="n">
        <f aca="false">IF(ISNA(VLOOKUP(A189,'Données projet'!$A$139:$I$159,7,0)),0%,VLOOKUP(A189,'Données projet'!$A$139:$I$159,7,0))</f>
        <v>0</v>
      </c>
      <c r="DF189" s="129" t="n">
        <f aca="false">EXP(-LN(2)/35)*DF188+(1-EXP(-LN(2)/35))/(LN(2)/35)*DB189*DC189*VLOOKUP('Données projet'!$B$13,Paramètres!$A$1:$I$89,3,0)*0.475*44/12</f>
        <v>0.300733731133175</v>
      </c>
      <c r="DG189" s="129" t="n">
        <f aca="false">EXP(-LN(2)/25)*DG188+(1-EXP(-LN(2)/25))/(LN(2)/25)*Calculateur!DB189*Calculateur!DD189*VLOOKUP('Données projet'!$B$13,Paramètres!$A$1:$I$89,3,0)*0.475*44/12</f>
        <v>0.514922410659398</v>
      </c>
      <c r="DH189" s="129" t="n">
        <f aca="false">EXP(-LN(2)/2)*DH188+(1-EXP(-LN(2)/2))/(LN(2)/2)*DB189*DE189*VLOOKUP('Données projet'!$B$13,Paramètres!$A$1:$I$89,3,0)*0.475*44/12</f>
        <v>4.39201551742264E-023</v>
      </c>
      <c r="DI189" s="130" t="n">
        <f aca="false">SUM(DF189:DH189)</f>
        <v>0.815656141792573</v>
      </c>
      <c r="DJ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8" t="e">
        <f aca="false">VLOOKUP(A189,'Données projet'!$A$165:$I$185,2,0)</f>
        <v>#N/A</v>
      </c>
      <c r="DM189" s="118" t="e">
        <f aca="false">VLOOKUP(A189,'Données projet'!$A$165:$I$185,9,0)</f>
        <v>#N/A</v>
      </c>
      <c r="DN189" s="118" t="e">
        <f aca="false" t="array" ref="DN189:DN189">INDEX(DM:DM,MIN(IF(ISNUMBER(DM189:DM385),ROW(DM189:DM385),"")))</f>
        <v>#N/A</v>
      </c>
      <c r="DO189" s="118" t="n">
        <f aca="false">IF('Données projet'!$A$166&gt;35,DO188+DN189-DW188,IF(A189&lt;'Données projet'!$A$166,$DL$205^A189,IF(A189='Données projet'!$A$166,'Données projet'!$B$166,DO188+DN189-DW188)))</f>
        <v>0</v>
      </c>
      <c r="DP189" s="125" t="n">
        <f aca="false">DO189*VLOOKUP('Données projet'!$B$14,Paramètres!$A$1:$I$89,3,0)*VLOOKUP('Données projet'!$B$14,Paramètres!$A$1:$I$89,5,0)</f>
        <v>0</v>
      </c>
      <c r="DQ189" s="117" t="e">
        <f aca="false">EXP(-1.0587+0.8836*LN(DP189)+0.284)</f>
        <v>#VALUE!</v>
      </c>
      <c r="DR189" s="128" t="e">
        <f aca="false">(DP189+DQ189)*0.475*44/12</f>
        <v>#VALUE!</v>
      </c>
      <c r="DS189" s="120" t="e">
        <f aca="false">DR189+(DJ189+DK189)*44/12</f>
        <v>#VALUE!</v>
      </c>
      <c r="DT189" s="120" t="n">
        <f aca="true">AVERAGE(OFFSET($DS$3,0,0,'Données projet'!$E$14+1,1))-AVERAGE(OFFSET($H$3,0,0,'Données projet'!$E$14+1,1))</f>
        <v>549.432320957297</v>
      </c>
      <c r="DU189" s="120" t="n">
        <f aca="false">$DU$3</f>
        <v>280.26155987301</v>
      </c>
      <c r="DV189" s="121" t="n">
        <f aca="false">IF(ISNA(VLOOKUP(A189,'Données projet'!$A$165:$I$185,3,0)),0,VLOOKUP(A189,'Données projet'!$A$165:$I$185,3,0))</f>
        <v>0</v>
      </c>
      <c r="DW189" s="121" t="n">
        <f aca="false">IF(ISNA(VLOOKUP(A189,'Données projet'!$A$165:$I$185,4,0)),0,VLOOKUP(A189,'Données projet'!$A$165:$I$185,4,0))</f>
        <v>0</v>
      </c>
      <c r="DX189" s="122" t="n">
        <f aca="false">IF(ISNA(VLOOKUP(A189,'Données projet'!$A$165:$I$185,5,0)),0%,VLOOKUP(A189,'Données projet'!$A$165:$I$185,5,0)*VLOOKUP('Données projet'!$B$14,Paramètres!$A$1:$I$89,7,0))</f>
        <v>0</v>
      </c>
      <c r="DY189" s="122" t="n">
        <f aca="false">IF(ISNA(VLOOKUP(A189,'Données projet'!$A$165:$I$185,6,0)),0%,VLOOKUP(A189,'Données projet'!$A$165:$I$185,6,0)*VLOOKUP('Données projet'!$B$14,Paramètres!$A$1:$I$89,7,0))</f>
        <v>0</v>
      </c>
      <c r="DZ189" s="122" t="n">
        <f aca="false">IF(ISNA(VLOOKUP(A189,'Données projet'!$A$165:$I$185,7,0)),0%,VLOOKUP(A189,'Données projet'!$A$165:$I$185,7,0))</f>
        <v>0</v>
      </c>
      <c r="EA189" s="129" t="n">
        <f aca="false">EXP(-LN(2)/35)*EA188+(1-EXP(-LN(2)/35))/(LN(2)/35)*DW189*DX189*VLOOKUP('Données projet'!$B$14,Paramètres!$A$1:$I$89,3,0)*0.475*44/12</f>
        <v>0.109346449308735</v>
      </c>
      <c r="EB189" s="129" t="n">
        <f aca="false">EXP(-LN(2)/25)*EB188+(1-EXP(-LN(2)/25))/(LN(2)/25)*Calculateur!DW189*Calculateur!DY189*VLOOKUP('Données projet'!$B$14,Paramètres!$A$1:$I$89,3,0)*0.475*44/12</f>
        <v>0.102582703443952</v>
      </c>
      <c r="EC189" s="129" t="n">
        <f aca="false">EXP(-LN(2)/2)*EC188+(1-EXP(-LN(2)/2))/(LN(2)/2)*DW189*DZ189*VLOOKUP('Données projet'!$B$14,Paramètres!$A$1:$I$89,3,0)*0.475*44/12</f>
        <v>2.02462861997937E-023</v>
      </c>
      <c r="ED189" s="130" t="n">
        <f aca="false">SUM(EA189:EC189)</f>
        <v>0.211929152752687</v>
      </c>
      <c r="EE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8" t="e">
        <f aca="false">VLOOKUP(A189,'Données projet'!$A$191:$I$211,2,0)</f>
        <v>#N/A</v>
      </c>
      <c r="EH189" s="118" t="e">
        <f aca="false">VLOOKUP(A189,'Données projet'!$A$191:$I$211,9,0)</f>
        <v>#N/A</v>
      </c>
      <c r="EI189" s="118" t="e">
        <f aca="false" t="array" ref="EI189:EI189">INDEX(EH:EH,MIN(IF(ISNUMBER(EH189:EH385),ROW(EH189:EH385),"")))</f>
        <v>#N/A</v>
      </c>
      <c r="EJ189" s="118" t="n">
        <f aca="false">IF('Données projet'!$A$192&gt;35,EJ188+EI189-ER188,IF(A189&lt;'Données projet'!$A$192,$EG$205^A189,IF(A189='Données projet'!$A$192,'Données projet'!$B$192,EJ188+EI189-ER188)))</f>
        <v>0</v>
      </c>
      <c r="EK189" s="125" t="e">
        <f aca="false">EJ189*VLOOKUP('Données projet'!$B$15,Paramètres!$A$1:$I$89,3,0)*VLOOKUP('Données projet'!$B$15,Paramètres!$A$1:$I$89,5,0)</f>
        <v>#N/A</v>
      </c>
      <c r="EL189" s="117" t="e">
        <f aca="false">EXP(-1.0587+0.8836*LN(EK189)+0.284)</f>
        <v>#N/A</v>
      </c>
      <c r="EM189" s="128" t="e">
        <f aca="false">(EK189+EL189)*0.475*44/12</f>
        <v>#N/A</v>
      </c>
      <c r="EN189" s="120" t="e">
        <f aca="false">EM189+(EE189+EF189)*44/12</f>
        <v>#N/A</v>
      </c>
      <c r="EO189" s="120" t="e">
        <f aca="true">AVERAGE(OFFSET($EN$3,0,0,'Données projet'!$E$15+1,1))-AVERAGE(OFFSET($H$3,0,0,'Données projet'!$E$15+1,1))</f>
        <v>#N/A</v>
      </c>
      <c r="EP189" s="120" t="e">
        <f aca="false">$EP$3</f>
        <v>#N/A</v>
      </c>
      <c r="EQ189" s="121" t="n">
        <f aca="false">IF(ISNA(VLOOKUP(A189,'Données projet'!$A$191:$I$211,3,0)),0,VLOOKUP(A189,'Données projet'!$A$191:$I$211,3,0))</f>
        <v>0</v>
      </c>
      <c r="ER189" s="121" t="n">
        <f aca="false">IF(ISNA(VLOOKUP(A189,'Données projet'!$A$191:$I$211,4,0)),0,VLOOKUP(A189,'Données projet'!$A$191:$I$211,4,0))</f>
        <v>0</v>
      </c>
      <c r="ES189" s="122" t="n">
        <f aca="false">IF(ISNA(VLOOKUP(A189,'Données projet'!$A$191:$I$211,5,0)),0%,VLOOKUP(A189,'Données projet'!$A$191:$I$211,5,0)*VLOOKUP('Données projet'!$B$15,Paramètres!$A$1:$I$89,7,0))</f>
        <v>0</v>
      </c>
      <c r="ET189" s="122" t="n">
        <f aca="false">IF(ISNA(VLOOKUP(A189,'Données projet'!$A$191:$I$211,6,0)),0%,VLOOKUP(A189,'Données projet'!$A$191:$I$211,6,0)*VLOOKUP('Données projet'!$B$15,Paramètres!$A$1:$I$89,7,0))</f>
        <v>0</v>
      </c>
      <c r="EU189" s="122" t="n">
        <f aca="false">IF(ISNA(VLOOKUP(A189,'Données projet'!$A$191:$I$211,7,0)),0%,VLOOKUP(A189,'Données projet'!$A$191:$I$211,7,0))</f>
        <v>0</v>
      </c>
      <c r="EV189" s="129" t="e">
        <f aca="false">EXP(-LN(2)/35)*EV188+(1-EXP(-LN(2)/35))/(LN(2)/35)*ER189*ES189*VLOOKUP('Données projet'!$B$15,Paramètres!$A$1:$I$89,3,0)*0.475*44/12</f>
        <v>#N/A</v>
      </c>
      <c r="EW189" s="129" t="e">
        <f aca="false">EXP(-LN(2)/25)*EW188+(1-EXP(-LN(2)/25))/(LN(2)/25)*Calculateur!ER189*Calculateur!ET189*VLOOKUP('Données projet'!$B$15,Paramètres!$A$1:$I$89,3,0)*0.475*44/12</f>
        <v>#N/A</v>
      </c>
      <c r="EX189" s="129" t="e">
        <f aca="false">EXP(-LN(2)/2)*EX188+(1-EXP(-LN(2)/2))/(LN(2)/2)*ER189*EU189*VLOOKUP('Données projet'!$B$15,Paramètres!$A$1:$I$89,3,0)*0.475*44/12</f>
        <v>#N/A</v>
      </c>
      <c r="EY189" s="130" t="e">
        <f aca="false">SUM(EV189:EX189)</f>
        <v>#N/A</v>
      </c>
      <c r="EZ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8" t="e">
        <f aca="false">VLOOKUP(A189,'Données projet'!$A$217:$I$237,2,0)</f>
        <v>#N/A</v>
      </c>
      <c r="FC189" s="118" t="e">
        <f aca="false">VLOOKUP(A189,'Données projet'!$A$217:$I$237,9,0)</f>
        <v>#N/A</v>
      </c>
      <c r="FD189" s="118" t="e">
        <f aca="false" t="array" ref="FD189:FD189">INDEX(FC:FC,MIN(IF(ISNUMBER(FC189:FC385),ROW(FC189:FC385),"")))</f>
        <v>#N/A</v>
      </c>
      <c r="FE189" s="118" t="n">
        <f aca="false">IF('Données projet'!$A$218&gt;35,FE188+FD189-FM188,IF(A189&lt;'Données projet'!$A$218,$FB$205^A189,IF(A189='Données projet'!$A$218,'Données projet'!$B$218,FE188+FD189-FM188)))</f>
        <v>0</v>
      </c>
      <c r="FF189" s="125" t="e">
        <f aca="false">FE189*VLOOKUP('Données projet'!$B$16,Paramètres!$A$1:$I$89,3,0)*VLOOKUP('Données projet'!$B$16,Paramètres!$A$1:$I$89,5,0)</f>
        <v>#N/A</v>
      </c>
      <c r="FG189" s="117" t="e">
        <f aca="false">EXP(-1.0587+0.8836*LN(FF189)+0.284)</f>
        <v>#N/A</v>
      </c>
      <c r="FH189" s="128" t="e">
        <f aca="false">(FF189+FG189)*0.475*44/12</f>
        <v>#N/A</v>
      </c>
      <c r="FI189" s="120" t="e">
        <f aca="false">FH189+(EZ189+FA189)*44/12</f>
        <v>#N/A</v>
      </c>
      <c r="FJ189" s="120" t="e">
        <f aca="true">AVERAGE(OFFSET($FI$3,0,0,'Données projet'!$E$16+1,1))-AVERAGE(OFFSET($H$3,0,0,'Données projet'!$E$16+1,1))</f>
        <v>#N/A</v>
      </c>
      <c r="FK189" s="120" t="e">
        <f aca="false">$FK$3</f>
        <v>#N/A</v>
      </c>
      <c r="FL189" s="121" t="n">
        <f aca="false">IF(ISNA(VLOOKUP(A189,'Données projet'!$A$217:$I$237,3,0)),0,VLOOKUP(A189,'Données projet'!$A$217:$I$237,3,0))</f>
        <v>0</v>
      </c>
      <c r="FM189" s="121" t="n">
        <f aca="false">IF(ISNA(VLOOKUP(A189,'Données projet'!$A$217:$I$237,4,0)),0,VLOOKUP(A189,'Données projet'!$A$217:$I$237,4,0))</f>
        <v>0</v>
      </c>
      <c r="FN189" s="122" t="n">
        <f aca="false">IF(ISNA(VLOOKUP(A189,'Données projet'!$A$217:$I$237,5,0)),0%,VLOOKUP(A189,'Données projet'!$A$217:$I$237,5,0)*VLOOKUP('Données projet'!$B$16,Paramètres!$A$1:$I$89,7,0))</f>
        <v>0</v>
      </c>
      <c r="FO189" s="122" t="n">
        <f aca="false">IF(ISNA(VLOOKUP(A189,'Données projet'!$A$217:$I$237,6,0)),0%,VLOOKUP(A189,'Données projet'!$A$217:$I$237,6,0)*VLOOKUP('Données projet'!$B$16,Paramètres!$A$1:$I$89,7,0))</f>
        <v>0</v>
      </c>
      <c r="FP189" s="122" t="n">
        <f aca="false">IF(ISNA(VLOOKUP(A189,'Données projet'!$A$217:$I$237,7,0)),0%,VLOOKUP(A189,'Données projet'!$A$217:$I$237,7,0))</f>
        <v>0</v>
      </c>
      <c r="FQ189" s="129" t="e">
        <f aca="false">EXP(-LN(2)/35)*FQ188+(1-EXP(-LN(2)/35))/(LN(2)/35)*FM189*FN189*VLOOKUP('Données projet'!$B$16,Paramètres!$A$1:$I$89,3,0)*0.475*44/12</f>
        <v>#N/A</v>
      </c>
      <c r="FR189" s="129" t="e">
        <f aca="false">EXP(-LN(2)/25)*FR188+(1-EXP(-LN(2)/25))/(LN(2)/25)*Calculateur!FM189*Calculateur!FO189*VLOOKUP('Données projet'!$B$16,Paramètres!$A$1:$I$89,3,0)*0.475*44/12</f>
        <v>#N/A</v>
      </c>
      <c r="FS189" s="129" t="e">
        <f aca="false">EXP(-LN(2)/2)*FS188+(1-EXP(-LN(2)/2))/(LN(2)/2)*FM189*FP189*VLOOKUP('Données projet'!$B$16,Paramètres!$A$1:$I$89,3,0)*0.475*44/12</f>
        <v>#N/A</v>
      </c>
      <c r="FT189" s="130" t="e">
        <f aca="false">SUM(FQ189:FS189)</f>
        <v>#N/A</v>
      </c>
      <c r="FU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8" t="e">
        <f aca="false">VLOOKUP(A189,'Données projet'!$A$243:$I$263,2,0)</f>
        <v>#N/A</v>
      </c>
      <c r="FX189" s="118" t="e">
        <f aca="false">VLOOKUP(A189,'Données projet'!$A$243:$I$263,9,0)</f>
        <v>#N/A</v>
      </c>
      <c r="FY189" s="118" t="e">
        <f aca="false" t="array" ref="FY189:FY189">INDEX(FX:FX,MIN(IF(ISNUMBER(FX189:FX385),ROW(FX189:FX385),"")))</f>
        <v>#N/A</v>
      </c>
      <c r="FZ189" s="118" t="n">
        <f aca="false">IF('Données projet'!$A$244&gt;35,FZ188+FY189-GH188,IF(A189&lt;'Données projet'!$A$244,$FW$205^A189,IF(A189='Données projet'!$A$244,'Données projet'!$B$244,FZ188+FY189-GH188)))</f>
        <v>0</v>
      </c>
      <c r="GA189" s="125" t="e">
        <f aca="false">FZ189*VLOOKUP('Données projet'!$B$17,Paramètres!$A$1:$I$89,3,0)*VLOOKUP('Données projet'!$B$17,Paramètres!$A$1:$I$89,5,0)</f>
        <v>#N/A</v>
      </c>
      <c r="GB189" s="117" t="e">
        <f aca="false">EXP(-1.0587+0.8836*LN(GA189)+0.284)</f>
        <v>#N/A</v>
      </c>
      <c r="GC189" s="128" t="e">
        <f aca="false">(GA189+GB189)*0.475*44/12</f>
        <v>#N/A</v>
      </c>
      <c r="GD189" s="120" t="e">
        <f aca="false">GC189+(FU189+FV189)*44/12</f>
        <v>#N/A</v>
      </c>
      <c r="GE189" s="120" t="e">
        <f aca="true">AVERAGE(OFFSET($GD$3,0,0,'Données projet'!$E$17+1,1))-AVERAGE(OFFSET($H$3,0,0,'Données projet'!$E$17+1,1))</f>
        <v>#N/A</v>
      </c>
      <c r="GF189" s="120" t="e">
        <f aca="false">$GF$3</f>
        <v>#N/A</v>
      </c>
      <c r="GG189" s="121" t="n">
        <f aca="false">IF(ISNA(VLOOKUP(A189,'Données projet'!$A$243:$I$263,3,0)),0,VLOOKUP(A189,'Données projet'!$A$243:$I$263,3,0))</f>
        <v>0</v>
      </c>
      <c r="GH189" s="121" t="n">
        <f aca="false">IF(ISNA(VLOOKUP(A189,'Données projet'!$A$243:$I$263,4,0)),0,VLOOKUP(A189,'Données projet'!$A$243:$I$263,4,0))</f>
        <v>0</v>
      </c>
      <c r="GI189" s="122" t="n">
        <f aca="false">IF(ISNA(VLOOKUP(A189,'Données projet'!$A$243:$I$263,5,0)),0%,VLOOKUP(A189,'Données projet'!$A$243:$I$263,5,0)*VLOOKUP('Données projet'!$B$17,Paramètres!$A$1:$I$89,7,0))</f>
        <v>0</v>
      </c>
      <c r="GJ189" s="122" t="n">
        <f aca="false">IF(ISNA(VLOOKUP(A189,'Données projet'!$A$243:$I$263,6,0)),0%,VLOOKUP(A189,'Données projet'!$A$243:$I$263,6,0)*VLOOKUP('Données projet'!$B$17,Paramètres!$A$1:$I$89,7,0))</f>
        <v>0</v>
      </c>
      <c r="GK189" s="122" t="n">
        <f aca="false">IF(ISNA(VLOOKUP(A189,'Données projet'!$A$243:$I$263,7,0)),0%,VLOOKUP(A189,'Données projet'!$A$243:$I$263,7,0))</f>
        <v>0</v>
      </c>
      <c r="GL189" s="129" t="e">
        <f aca="false">EXP(-LN(2)/35)*GL188+(1-EXP(-LN(2)/35))/(LN(2)/35)*GH189*GI189*VLOOKUP('Données projet'!$B$17,Paramètres!$A$1:$I$89,3,0)*0.475*44/12</f>
        <v>#N/A</v>
      </c>
      <c r="GM189" s="129" t="e">
        <f aca="false">EXP(-LN(2)/25)*GM188+(1-EXP(-LN(2)/25))/(LN(2)/25)*Calculateur!GH189*Calculateur!GJ189*VLOOKUP('Données projet'!$B$17,Paramètres!$A$1:$I$89,3,0)*0.475*44/12</f>
        <v>#N/A</v>
      </c>
      <c r="GN189" s="129" t="e">
        <f aca="false">EXP(-LN(2)/2)*GN188+(1-EXP(-LN(2)/2))/(LN(2)/2)*GH189*GK189*VLOOKUP('Données projet'!$B$17,Paramètres!$A$1:$I$89,3,0)*0.475*44/12</f>
        <v>#N/A</v>
      </c>
      <c r="GO189" s="129" t="e">
        <f aca="false">SUM(GL189:GN189)</f>
        <v>#N/A</v>
      </c>
      <c r="GP189" s="126" t="n">
        <f aca="false"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8" t="n">
        <f aca="false"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8" t="e">
        <f aca="false">VLOOKUP(A189,'Données projet'!$A$269:$I$289,2,0)</f>
        <v>#N/A</v>
      </c>
      <c r="GS189" s="118" t="e">
        <f aca="false">VLOOKUP(A189,'Données projet'!$A$269:$I$289,9,0)</f>
        <v>#N/A</v>
      </c>
      <c r="GT189" s="118" t="e">
        <f aca="false" t="array" ref="GT189:GT189">INDEX(GS:GS,MIN(IF(ISNUMBER(GS189:GS385),ROW(GS189:GS385),"")))</f>
        <v>#N/A</v>
      </c>
      <c r="GU189" s="118" t="n">
        <f aca="false">IF('Données projet'!$A$270&gt;35,GU188+GT189-HC188,IF(A189&lt;'Données projet'!$A$270,$GR$205^A189,IF(A189='Données projet'!$A$270,'Données projet'!$B$270,GU188+GT189-HC188)))</f>
        <v>0</v>
      </c>
      <c r="GV189" s="125" t="e">
        <f aca="false">GU189*VLOOKUP('Données projet'!$B$18,Paramètres!$A$1:$I$89,3,0)*VLOOKUP('Données projet'!$B$18,Paramètres!$A$1:$I$89,5,0)</f>
        <v>#N/A</v>
      </c>
      <c r="GW189" s="117" t="e">
        <f aca="false">EXP(-1.0587+0.8836*LN(GV189)+0.284)</f>
        <v>#N/A</v>
      </c>
      <c r="GX189" s="128" t="e">
        <f aca="false">(GV189+GW189)*0.475*44/12</f>
        <v>#N/A</v>
      </c>
      <c r="GY189" s="120" t="e">
        <f aca="false">GX189+(GP189+GQ189)*44/12</f>
        <v>#N/A</v>
      </c>
      <c r="GZ189" s="120" t="e">
        <f aca="true">AVERAGE(OFFSET($GY$3,0,0,'Données projet'!$E$18+1,1))-AVERAGE(OFFSET($H$3,0,0,'Données projet'!$E$18+1,1))</f>
        <v>#N/A</v>
      </c>
      <c r="HA189" s="120" t="e">
        <f aca="false">$HA$3</f>
        <v>#N/A</v>
      </c>
      <c r="HB189" s="121" t="n">
        <f aca="false">IF(ISNA(VLOOKUP(A189,'Données projet'!$A$269:$I$289,3,0)),0,VLOOKUP(A189,'Données projet'!$A$269:$I$289,3,0))</f>
        <v>0</v>
      </c>
      <c r="HC189" s="121" t="n">
        <f aca="false">IF(ISNA(VLOOKUP(A189,'Données projet'!$A$269:$I$289,4,0)),0,VLOOKUP(A189,'Données projet'!$A$269:$I$289,4,0))</f>
        <v>0</v>
      </c>
      <c r="HD189" s="122" t="n">
        <f aca="false">IF(ISNA(VLOOKUP(A189,'Données projet'!$A$269:$I$289,5,0)),0%,VLOOKUP(A189,'Données projet'!$A$269:$I$289,5,0)*VLOOKUP('Données projet'!$B$18,Paramètres!$A$1:$I$89,7,0))</f>
        <v>0</v>
      </c>
      <c r="HE189" s="122" t="n">
        <f aca="false">IF(ISNA(VLOOKUP(A189,'Données projet'!$A$269:$I$289,6,0)),0%,VLOOKUP(A189,'Données projet'!$A$269:$I$289,6,0)*VLOOKUP('Données projet'!$B$18,Paramètres!$A$1:$I$89,7,0))</f>
        <v>0</v>
      </c>
      <c r="HF189" s="122" t="n">
        <f aca="false">IF(ISNA(VLOOKUP(A189,'Données projet'!$A$269:$I$289,7,0)),0%,VLOOKUP(A189,'Données projet'!$A$269:$I$289,7,0))</f>
        <v>0</v>
      </c>
      <c r="HG189" s="129" t="e">
        <f aca="false">EXP(-LN(2)/35)*HG188+(1-EXP(-LN(2)/35))/(LN(2)/35)*HC189*HD189*VLOOKUP('Données projet'!$B$18,Paramètres!$A$1:$I$89,3,0)*0.475*44/12</f>
        <v>#N/A</v>
      </c>
      <c r="HH189" s="129" t="e">
        <f aca="false">EXP(-LN(2)/25)*HH188+(1-EXP(-LN(2)/25))/(LN(2)/25)*Calculateur!HC189*Calculateur!HE189*VLOOKUP('Données projet'!$B$18,Paramètres!$A$1:$I$89,3,0)*0.475*44/12</f>
        <v>#N/A</v>
      </c>
      <c r="HI189" s="129" t="e">
        <f aca="false">EXP(-LN(2)/2)*HI188+(1-EXP(-LN(2)/2))/(LN(2)/2)*HC189*HF189*VLOOKUP('Données projet'!$B$18,Paramètres!$A$1:$I$89,3,0)*0.475*44/12</f>
        <v>#N/A</v>
      </c>
      <c r="HJ189" s="130" t="e">
        <f aca="false">SUM(HG189:HI189)</f>
        <v>#N/A</v>
      </c>
    </row>
    <row r="190" customFormat="false" ht="14.25" hidden="false" customHeight="false" outlineLevel="0" collapsed="false">
      <c r="A190" s="112" t="n">
        <f aca="false">A189+1</f>
        <v>187</v>
      </c>
      <c r="B190" s="113" t="n">
        <f aca="false">'Scénario référence'!$B$16*5+'Scénario référence'!$B$17*0+'Scénario référence'!$B$18*5</f>
        <v>0</v>
      </c>
      <c r="C190" s="127" t="n">
        <f aca="false"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4" t="n">
        <f aca="false">IFERROR(EXP(-1.0587+0.8836*LN(C190)+0.284),0)</f>
        <v>0</v>
      </c>
      <c r="E19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0" s="114" t="n">
        <f aca="false">IF(OR('Scénario référence'!$F$8&gt;0,'Scénario référence'!$F$9&gt;0),('Scénario référence'!$F$8+'Scénario référence'!$F$9)*10,0)</f>
        <v>0</v>
      </c>
      <c r="G190" s="114" t="n">
        <f aca="false"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15" t="n">
        <f aca="false">(B190+E190+F190)*44/12+(C190+D190)*0.475*44/12</f>
        <v>256.666666666667</v>
      </c>
      <c r="I190" s="11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7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8" t="e">
        <f aca="false">VLOOKUP(A190,'Données projet'!$A$35:$I$55,2,0)</f>
        <v>#N/A</v>
      </c>
      <c r="L190" s="118" t="e">
        <f aca="false">VLOOKUP(A190,'Données projet'!$A$35:$I$55,9,0)</f>
        <v>#N/A</v>
      </c>
      <c r="M190" s="118" t="e">
        <f aca="false" t="array" ref="M190:M190">INDEX(L:L,MIN(IF(ISNUMBER(L190:L386),ROW(L190:L386),"")))</f>
        <v>#N/A</v>
      </c>
      <c r="N190" s="117" t="n">
        <f aca="false">IF('Données projet'!$A$36&gt;35,N189+M190-V189,IF(A190&lt;'Données projet'!$A$36,$K$205^A190,IF(A190='Données projet'!$A$36,'Données projet'!$B$36,N189+M190-V189)))</f>
        <v>-1.13686837721616E-013</v>
      </c>
      <c r="O190" s="117" t="n">
        <f aca="false">N190*VLOOKUP('Données projet'!$B$9,Paramètres!$A$1:$I$89,3,0)*VLOOKUP('Données projet'!$B$9,Paramètres!$A$1:$I$89,5,0)</f>
        <v>-5.32054400537163E-014</v>
      </c>
      <c r="P190" s="117" t="e">
        <f aca="false">EXP(-1.0587+0.8836*LN(O190)+0.284)</f>
        <v>#VALUE!</v>
      </c>
      <c r="Q190" s="128" t="e">
        <f aca="false">(O190+P190)*0.475*44/12</f>
        <v>#VALUE!</v>
      </c>
      <c r="R190" s="120" t="e">
        <f aca="false">Q190+(I190+J190)*44/12</f>
        <v>#VALUE!</v>
      </c>
      <c r="S190" s="120" t="n">
        <f aca="true">AVERAGE(OFFSET($R$3,0,0,'Données projet'!$E$9+1,1))-AVERAGE(OFFSET($H$3,0,0,'Données projet'!$E$9+1,1))</f>
        <v>319.229030946746</v>
      </c>
      <c r="T190" s="120" t="n">
        <f aca="false">$T$3</f>
        <v>254.586909731428</v>
      </c>
      <c r="U190" s="121" t="n">
        <f aca="false">IF(ISNA(VLOOKUP(A190,'Données projet'!$A$35:$I$55,3,0)),0,VLOOKUP(A190,'Données projet'!$A$35:$I$55,3,0))</f>
        <v>0</v>
      </c>
      <c r="V190" s="121" t="n">
        <f aca="false">IF(ISNA(VLOOKUP(A190,'Données projet'!$A$35:$I$55,4,0)),0,VLOOKUP(A190,'Données projet'!$A$35:$I$55,4,0))</f>
        <v>0</v>
      </c>
      <c r="W190" s="122" t="n">
        <f aca="false">IF(ISNA(VLOOKUP(A190,'Données projet'!$A$35:$I$55,5,0)),0%,VLOOKUP(A190,'Données projet'!$A$35:$I$55,5,0)*VLOOKUP('Données projet'!$B$9,Paramètres!$A$1:$I$89,7,0))</f>
        <v>0</v>
      </c>
      <c r="X190" s="122" t="n">
        <f aca="false">IF(ISNA(VLOOKUP(A190,'Données projet'!$A$35:$I$55,6,0)),0%,VLOOKUP(A190,'Données projet'!$A$35:$I$55,6,0)*VLOOKUP('Données projet'!$B$9,Paramètres!$A$1:$I$89,7,0))</f>
        <v>0</v>
      </c>
      <c r="Y190" s="122" t="n">
        <f aca="false">IF(ISNA(VLOOKUP(A190,'Données projet'!$A$35:$I$55,7,0)),0%,VLOOKUP(A190,'Données projet'!$A$35:$I$55,7,0))</f>
        <v>0</v>
      </c>
      <c r="Z190" s="129" t="n">
        <f aca="false">EXP(-LN(2)/35)*Z189+(1-EXP(-LN(2)/35))/(LN(2)/35)*V190*W190*VLOOKUP('Données projet'!$B$9,Paramètres!$A$1:$I$89,3,0)*0.475*44/12</f>
        <v>0.405105307100668</v>
      </c>
      <c r="AA190" s="129" t="n">
        <f aca="false">EXP(-LN(2)/25)*AA189+(1-EXP(-LN(2)/25))/(LN(2)/25)*Calculateur!V190*Calculateur!X190*VLOOKUP('Données projet'!$B$9,Paramètres!$A$1:$I$89,3,0)*0.475*44/12</f>
        <v>0.143501986892814</v>
      </c>
      <c r="AB190" s="129" t="n">
        <f aca="false">EXP(-LN(2)/2)*AB189+(1-EXP(-LN(2)/2))/(LN(2)/2)*V190*Y190*VLOOKUP('Données projet'!$B$9,Paramètres!$A$1:$I$89,3,0)*0.475*44/12</f>
        <v>2.58367255383563E-023</v>
      </c>
      <c r="AC190" s="130" t="n">
        <f aca="false">SUM(Z190:AB190)</f>
        <v>0.548607293993482</v>
      </c>
      <c r="AD190" s="117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7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8" t="e">
        <f aca="false">VLOOKUP(A190,'Données projet'!$A$61:$I$81,2,0)</f>
        <v>#N/A</v>
      </c>
      <c r="AG190" s="118" t="e">
        <f aca="false">VLOOKUP(A190,'Données projet'!$A$61:$I$81,9,0)</f>
        <v>#N/A</v>
      </c>
      <c r="AH190" s="118" t="e">
        <f aca="false" t="array" ref="AH190:AH190">INDEX(AG:AG,MIN(IF(ISNUMBER(AG190:AG386),ROW(AG190:AG386),"")))</f>
        <v>#N/A</v>
      </c>
      <c r="AI190" s="117" t="n">
        <f aca="false">IF('Données projet'!$A$62&gt;35,AI189+AH190-AQ189,IF(A190&lt;'Données projet'!$A$62,$AF$205^A190,IF(A190='Données projet'!$A$62,'Données projet'!$B$62,AI189+AH190-AQ189)))</f>
        <v>1.13686837721616E-013</v>
      </c>
      <c r="AJ190" s="117" t="n">
        <f aca="false">AI190*VLOOKUP('Données projet'!$B$10,Paramètres!$A$1:$I$89,3,0)*VLOOKUP('Données projet'!$B$10,Paramètres!$A$1:$I$89,5,0)</f>
        <v>6.35509422863834E-014</v>
      </c>
      <c r="AK190" s="117" t="n">
        <f aca="false">EXP(-1.0587+0.8836*LN(AJ190)+0.284)</f>
        <v>1.0064464192544E-012</v>
      </c>
      <c r="AL190" s="128" t="n">
        <f aca="false">(AJ190+AK190)*0.475*44/12</f>
        <v>1.86357873801686E-012</v>
      </c>
      <c r="AM190" s="120" t="n">
        <f aca="false">AL190+(AD190+AE190)*44/12</f>
        <v>293.333333333335</v>
      </c>
      <c r="AN190" s="120" t="n">
        <f aca="true">AVERAGE(OFFSET($AM$3,0,0,'Données projet'!$E$10+1,1))-AVERAGE(OFFSET($H$3,0,0,'Données projet'!$E$10+1,1))</f>
        <v>365.705101827279</v>
      </c>
      <c r="AO190" s="120" t="n">
        <f aca="false">$AO$3</f>
        <v>436.238338449625</v>
      </c>
      <c r="AP190" s="121" t="n">
        <f aca="false">IF(ISNA(VLOOKUP(A190,'Données projet'!$A$61:$I$81,3,0)),0,VLOOKUP(A190,'Données projet'!$A$61:$I$81,3,0))</f>
        <v>0</v>
      </c>
      <c r="AQ190" s="121" t="n">
        <f aca="false">IF(ISNA(VLOOKUP(A190,'Données projet'!$A$61:$I$81,4,0)),0,VLOOKUP(A190,'Données projet'!$A$61:$I$81,4,0))</f>
        <v>0</v>
      </c>
      <c r="AR190" s="122" t="n">
        <f aca="false">IF(ISNA(VLOOKUP(A190,'Données projet'!$A$61:$I$81,5,0)),0%,VLOOKUP(A190,'Données projet'!$A$61:$I$81,5,0)*VLOOKUP('Données projet'!$B$10,Paramètres!$A$1:$I$89,7,0))</f>
        <v>0</v>
      </c>
      <c r="AS190" s="122" t="n">
        <f aca="false">IF(ISNA(VLOOKUP(A190,'Données projet'!$A$61:$I$81,6,0)),0%,VLOOKUP(A190,'Données projet'!$A$61:$I$81,6,0)*VLOOKUP('Données projet'!$B$10,Paramètres!$A$1:$I$89,7,0))</f>
        <v>0</v>
      </c>
      <c r="AT190" s="122" t="n">
        <f aca="false">IF(ISNA(VLOOKUP(A190,'Données projet'!$A$61:$I$81,7,0)),0%,VLOOKUP(A190,'Données projet'!$A$61:$I$81,7,0))</f>
        <v>0</v>
      </c>
      <c r="AU190" s="129" t="n">
        <f aca="false">EXP(-LN(2)/35)*AU189+(1-EXP(-LN(2)/35))/(LN(2)/35)*AQ190*AR190*VLOOKUP('Données projet'!$B$10,Paramètres!$A$1:$I$89,3,0)*0.475*44/12</f>
        <v>0.152914119345384</v>
      </c>
      <c r="AV190" s="129" t="n">
        <f aca="false">EXP(-LN(2)/25)*AV189+(1-EXP(-LN(2)/25))/(LN(2)/25)*Calculateur!AQ190*Calculateur!AS190*VLOOKUP('Données projet'!$B$10,Paramètres!$A$1:$I$89,3,0)*0.475*44/12</f>
        <v>0.169970344339771</v>
      </c>
      <c r="AW190" s="129" t="n">
        <f aca="false">EXP(-LN(2)/2)*AW189+(1-EXP(-LN(2)/2))/(LN(2)/2)*AQ190*AT190*VLOOKUP('Données projet'!$B$10,Paramètres!$A$1:$I$89,3,0)*0.475*44/12</f>
        <v>1.39045181641494E-023</v>
      </c>
      <c r="AX190" s="129" t="n">
        <f aca="false">SUM(AU190:AW190)</f>
        <v>0.322884463685155</v>
      </c>
      <c r="AY190" s="124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8" t="e">
        <f aca="false">VLOOKUP(A190,'Données projet'!$A$87:$I$107,2,0)</f>
        <v>#N/A</v>
      </c>
      <c r="BB190" s="118" t="e">
        <f aca="false">VLOOKUP(A190,'Données projet'!$A$87:$I$107,9,0)</f>
        <v>#N/A</v>
      </c>
      <c r="BC190" s="118" t="e">
        <f aca="false" t="array" ref="BC190:BC190">INDEX(BB:BB,MIN(IF(ISNUMBER(BB190:BB386),ROW(BB190:BB386),"")))</f>
        <v>#N/A</v>
      </c>
      <c r="BD190" s="118" t="n">
        <f aca="false">IF('Données projet'!$A$88&gt;35,BD189+BC190-BL189,IF(A190&lt;'Données projet'!$A$88,$BA$205^A190,IF(A190='Données projet'!$A$88,'Données projet'!$B$88,BD189+BC190-BL189)))</f>
        <v>1.98951966012828E-013</v>
      </c>
      <c r="BE190" s="117" t="n">
        <f aca="false">BD190*VLOOKUP('Données projet'!$B$11,Paramètres!$A$1:$I$89,3,0)*VLOOKUP('Données projet'!$B$11,Paramètres!$A$1:$I$89,5,0)</f>
        <v>1.73804437508807E-013</v>
      </c>
      <c r="BF190" s="117" t="n">
        <f aca="false">EXP(-1.0587+0.8836*LN(BE190)+0.284)</f>
        <v>2.44832936339505E-012</v>
      </c>
      <c r="BG190" s="128" t="n">
        <f aca="false">(BE190+BF190)*0.475*44/12</f>
        <v>4.56688303657421E-012</v>
      </c>
      <c r="BH190" s="120" t="n">
        <f aca="false">BG190+(AY190+AZ190)*44/12</f>
        <v>293.333333333338</v>
      </c>
      <c r="BI190" s="120" t="n">
        <f aca="true">AVERAGE(OFFSET($BH$3,0,0,'Données projet'!$E$11+1,1))-AVERAGE(OFFSET($H$3,0,0,'Données projet'!$E$11+1,1))</f>
        <v>321.235999689929</v>
      </c>
      <c r="BJ190" s="120" t="n">
        <f aca="false">$BJ$3</f>
        <v>388.051958478005</v>
      </c>
      <c r="BK190" s="121" t="n">
        <f aca="false">IF(ISNA(VLOOKUP(A190,'Données projet'!$A$87:$I$107,3,0)),0,VLOOKUP(A190,'Données projet'!$A$87:$I$107,3,0))</f>
        <v>0</v>
      </c>
      <c r="BL190" s="121" t="n">
        <f aca="false">IF(ISNA(VLOOKUP(A190,'Données projet'!$A$87:$I$107,4,0)),0,VLOOKUP(A190,'Données projet'!$A$87:$I$107,4,0))</f>
        <v>0</v>
      </c>
      <c r="BM190" s="122" t="n">
        <f aca="false">IF(ISNA(VLOOKUP(A190,'Données projet'!$A$87:$I$107,5,0)),0%,VLOOKUP(A190,'Données projet'!$A$87:$I$107,5,0)*VLOOKUP('Données projet'!$B$11,Paramètres!$A$1:$I$89,7,0))</f>
        <v>0</v>
      </c>
      <c r="BN190" s="122" t="n">
        <f aca="false">IF(ISNA(VLOOKUP(A190,'Données projet'!$A$87:$I$107,6,0)),0%,VLOOKUP(A190,'Données projet'!$A$87:$I$107,6,0)*VLOOKUP('Données projet'!$B$11,Paramètres!$A$1:$I$89,7,0))</f>
        <v>0</v>
      </c>
      <c r="BO190" s="122" t="n">
        <f aca="false">IF(ISNA(VLOOKUP(A190,'Données projet'!$A$87:$I$107,7,0)),0%,VLOOKUP(A190,'Données projet'!$A$87:$I$107,7,0))</f>
        <v>0</v>
      </c>
      <c r="BP190" s="129" t="n">
        <f aca="false">EXP(-LN(2)/35)*BP189+(1-EXP(-LN(2)/35))/(LN(2)/35)*BL190*BM190*VLOOKUP('Données projet'!$B$11,Paramètres!$A$1:$I$89,3,0)*0.475*44/12</f>
        <v>0.383909453043273</v>
      </c>
      <c r="BQ190" s="129" t="n">
        <f aca="false">EXP(-LN(2)/25)*BQ189+(1-EXP(-LN(2)/25))/(LN(2)/25)*Calculateur!BL190*Calculateur!BN190*VLOOKUP('Données projet'!$B$11,Paramètres!$A$1:$I$89,3,0)*0.475*44/12</f>
        <v>0.173495631887766</v>
      </c>
      <c r="BR190" s="129" t="n">
        <f aca="false">EXP(-LN(2)/2)*BR189+(1-EXP(-LN(2)/2))/(LN(2)/2)*BL190*BO190*VLOOKUP('Données projet'!$B$11,Paramètres!$A$1:$I$89,3,0)*0.475*44/12</f>
        <v>1.41336537036431E-023</v>
      </c>
      <c r="BS190" s="130" t="n">
        <f aca="false">SUM(BP190:BR190)</f>
        <v>0.557405084931039</v>
      </c>
      <c r="BT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8" t="e">
        <f aca="false">VLOOKUP(A190,'Données projet'!$A$113:$I$133,2,0)</f>
        <v>#N/A</v>
      </c>
      <c r="BW190" s="118" t="e">
        <f aca="false">VLOOKUP(A190,'Données projet'!$A$113:$I$133,9,0)</f>
        <v>#N/A</v>
      </c>
      <c r="BX190" s="118" t="e">
        <f aca="false" t="array" ref="BX190:BX190">INDEX(BW:BW,MIN(IF(ISNUMBER(BW190:BW386),ROW(BW190:BW386),"")))</f>
        <v>#N/A</v>
      </c>
      <c r="BY190" s="118" t="n">
        <f aca="false">IF('Données projet'!$A$114&gt;35,BY189+BX190-CG189,IF(A190&lt;'Données projet'!$A$114,$BV$205^A190,IF(A190='Données projet'!$A$114,'Données projet'!$B$114,BY189+BX190-CG189)))</f>
        <v>0</v>
      </c>
      <c r="BZ190" s="117" t="n">
        <f aca="false">BY190*VLOOKUP('Données projet'!$B$12,Paramètres!$A$1:$I$89,3,0)*VLOOKUP('Données projet'!$B$12,Paramètres!$A$1:$I$89,5,0)</f>
        <v>0</v>
      </c>
      <c r="CA190" s="117" t="e">
        <f aca="false">EXP(-1.0587+0.8836*LN(BZ190)+0.284)</f>
        <v>#VALUE!</v>
      </c>
      <c r="CB190" s="128" t="e">
        <f aca="false">(BZ190+CA190)*0.475*44/12</f>
        <v>#VALUE!</v>
      </c>
      <c r="CC190" s="120" t="e">
        <f aca="false">CB190+(BT190+BU190)*44/12</f>
        <v>#VALUE!</v>
      </c>
      <c r="CD190" s="120" t="n">
        <f aca="true">AVERAGE(OFFSET($CC$3,0,0,'Données projet'!$E$12+1,1))-AVERAGE(OFFSET($H$3,0,0,'Données projet'!$E$12+1,1))</f>
        <v>240.228848647662</v>
      </c>
      <c r="CE190" s="120" t="n">
        <f aca="false">$CE$3</f>
        <v>343.237768841432</v>
      </c>
      <c r="CF190" s="121" t="n">
        <f aca="false">IF(ISNA(VLOOKUP(A190,'Données projet'!$A$113:$I$133,3,0)),0,VLOOKUP(A190,'Données projet'!$A$113:$I$133,3,0))</f>
        <v>0</v>
      </c>
      <c r="CG190" s="121" t="n">
        <f aca="false">IF(ISNA(VLOOKUP(A190,'Données projet'!$A$113:$I$133,4,0)),0,VLOOKUP(A190,'Données projet'!$A$113:$I$133,4,0))</f>
        <v>0</v>
      </c>
      <c r="CH190" s="122" t="n">
        <f aca="false">IF(ISNA(VLOOKUP(A190,'Données projet'!$A$113:$I$133,5,0)),0%,VLOOKUP(A190,'Données projet'!$A$113:$I$133,5,0)*VLOOKUP('Données projet'!$B$12,Paramètres!$A$1:$I$89,7,0))</f>
        <v>0</v>
      </c>
      <c r="CI190" s="122" t="n">
        <f aca="false">IF(ISNA(VLOOKUP(A190,'Données projet'!$A$113:$I$133,6,0)),0%,VLOOKUP(A190,'Données projet'!$A$113:$I$133,6,0)*VLOOKUP('Données projet'!$B$12,Paramètres!$A$1:$I$89,7,0))</f>
        <v>0</v>
      </c>
      <c r="CJ190" s="122" t="n">
        <f aca="false">IF(ISNA(VLOOKUP(A190,'Données projet'!$A$113:$I$133,7,0)),0%,VLOOKUP(A190,'Données projet'!$A$113:$I$133,7,0))</f>
        <v>0</v>
      </c>
      <c r="CK190" s="129" t="n">
        <f aca="false">EXP(-LN(2)/35)*CK189+(1-EXP(-LN(2)/35))/(LN(2)/35)*CG190*CH190*VLOOKUP('Données projet'!$B$12,Paramètres!$A$1:$I$89,3,0)*0.475*44/12</f>
        <v>0.234982494481823</v>
      </c>
      <c r="CL190" s="129" t="n">
        <f aca="false">EXP(-LN(2)/25)*CL189+(1-EXP(-LN(2)/25))/(LN(2)/25)*Calculateur!CG190*Calculateur!CI190*VLOOKUP('Données projet'!$B$12,Paramètres!$A$1:$I$89,3,0)*0.475*44/12</f>
        <v>0.306403329556265</v>
      </c>
      <c r="CM190" s="129" t="n">
        <f aca="false">EXP(-LN(2)/2)*CM189+(1-EXP(-LN(2)/2))/(LN(2)/2)*CG190*CJ190*VLOOKUP('Données projet'!$B$12,Paramètres!$A$1:$I$89,3,0)*0.475*44/12</f>
        <v>2.25535432810967E-023</v>
      </c>
      <c r="CN190" s="130" t="n">
        <f aca="false">SUM(CK190:CM190)</f>
        <v>0.541385824038087</v>
      </c>
      <c r="CO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8" t="e">
        <f aca="false">VLOOKUP(A190,'Données projet'!$A$139:$I$159,2,0)</f>
        <v>#N/A</v>
      </c>
      <c r="CR190" s="118" t="e">
        <f aca="false">VLOOKUP(A190,'Données projet'!$A$139:$I$159,9,0)</f>
        <v>#N/A</v>
      </c>
      <c r="CS190" s="118" t="e">
        <f aca="false" t="array" ref="CS190:CS190">INDEX(CR:CR,MIN(IF(ISNUMBER(CR190:CR386),ROW(CR190:CR386),"")))</f>
        <v>#N/A</v>
      </c>
      <c r="CT190" s="118" t="n">
        <f aca="false">IF('Données projet'!$A$140&gt;35,CT189+CS190-DB189,IF(A190&lt;'Données projet'!$A$140,$CQ$205^A190,IF(A190='Données projet'!$A$140,'Données projet'!$B$140,CT189+CS190-DB189)))</f>
        <v>-5.6843418860808E-014</v>
      </c>
      <c r="CU190" s="125" t="n">
        <f aca="false">CT190*VLOOKUP('Données projet'!$B$13,Paramètres!$A$1:$I$89,3,0)*VLOOKUP('Données projet'!$B$13,Paramètres!$A$1:$I$89,5,0)</f>
        <v>-3.10365066980012E-014</v>
      </c>
      <c r="CV190" s="117" t="e">
        <f aca="false">EXP(-1.0587+0.8836*LN(CU190)+0.284)</f>
        <v>#VALUE!</v>
      </c>
      <c r="CW190" s="128" t="e">
        <f aca="false">(CU190+CV190)*0.475*44/12</f>
        <v>#VALUE!</v>
      </c>
      <c r="CX190" s="120" t="e">
        <f aca="false">CW190+(CO190+CP190)*44/12</f>
        <v>#VALUE!</v>
      </c>
      <c r="CY190" s="120" t="n">
        <f aca="true">AVERAGE(OFFSET($CX$3,0,0,'Données projet'!$E$13+1,1))-AVERAGE(OFFSET($H$3,0,0,'Données projet'!$E$13+1,1))</f>
        <v>207.023069645676</v>
      </c>
      <c r="CZ190" s="120" t="n">
        <f aca="false">$CZ$3</f>
        <v>342.068879333518</v>
      </c>
      <c r="DA190" s="121" t="n">
        <f aca="false">IF(ISNA(VLOOKUP(A190,'Données projet'!$A$139:$I$159,3,0)),0,VLOOKUP(A190,'Données projet'!$A$139:$I$159,3,0))</f>
        <v>0</v>
      </c>
      <c r="DB190" s="121" t="n">
        <f aca="false">IF(ISNA(VLOOKUP(A190,'Données projet'!$A$139:$I$159,4,0)),0,VLOOKUP(A190,'Données projet'!$A$139:$I$159,4,0))</f>
        <v>0</v>
      </c>
      <c r="DC190" s="122" t="n">
        <f aca="false">IF(ISNA(VLOOKUP(A190,'Données projet'!$A$139:$I$159,5,0)),0%,VLOOKUP(A190,'Données projet'!$A$139:$I$159,5,0)*VLOOKUP('Données projet'!$B$13,Paramètres!$A$1:$I$89,7,0))</f>
        <v>0</v>
      </c>
      <c r="DD190" s="122" t="n">
        <f aca="false">IF(ISNA(VLOOKUP(A190,'Données projet'!$A$139:$I$159,6,0)),0%,VLOOKUP(A190,'Données projet'!$A$139:$I$159,6,0)*VLOOKUP('Données projet'!$B$13,Paramètres!$A$1:$I$89,7,0))</f>
        <v>0</v>
      </c>
      <c r="DE190" s="122" t="n">
        <f aca="false">IF(ISNA(VLOOKUP(A190,'Données projet'!$A$139:$I$159,7,0)),0%,VLOOKUP(A190,'Données projet'!$A$139:$I$159,7,0))</f>
        <v>0</v>
      </c>
      <c r="DF190" s="129" t="n">
        <f aca="false">EXP(-LN(2)/35)*DF189+(1-EXP(-LN(2)/35))/(LN(2)/35)*DB190*DC190*VLOOKUP('Données projet'!$B$13,Paramètres!$A$1:$I$89,3,0)*0.475*44/12</f>
        <v>0.294836526095117</v>
      </c>
      <c r="DG190" s="129" t="n">
        <f aca="false">EXP(-LN(2)/25)*DG189+(1-EXP(-LN(2)/25))/(LN(2)/25)*Calculateur!DB190*Calculateur!DD190*VLOOKUP('Données projet'!$B$13,Paramètres!$A$1:$I$89,3,0)*0.475*44/12</f>
        <v>0.500841830261324</v>
      </c>
      <c r="DH190" s="129" t="n">
        <f aca="false">EXP(-LN(2)/2)*DH189+(1-EXP(-LN(2)/2))/(LN(2)/2)*DB190*DE190*VLOOKUP('Données projet'!$B$13,Paramètres!$A$1:$I$89,3,0)*0.475*44/12</f>
        <v>3.10562395544609E-023</v>
      </c>
      <c r="DI190" s="130" t="n">
        <f aca="false">SUM(DF190:DH190)</f>
        <v>0.795678356356441</v>
      </c>
      <c r="DJ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8" t="e">
        <f aca="false">VLOOKUP(A190,'Données projet'!$A$165:$I$185,2,0)</f>
        <v>#N/A</v>
      </c>
      <c r="DM190" s="118" t="e">
        <f aca="false">VLOOKUP(A190,'Données projet'!$A$165:$I$185,9,0)</f>
        <v>#N/A</v>
      </c>
      <c r="DN190" s="118" t="e">
        <f aca="false" t="array" ref="DN190:DN190">INDEX(DM:DM,MIN(IF(ISNUMBER(DM190:DM386),ROW(DM190:DM386),"")))</f>
        <v>#N/A</v>
      </c>
      <c r="DO190" s="118" t="n">
        <f aca="false">IF('Données projet'!$A$166&gt;35,DO189+DN190-DW189,IF(A190&lt;'Données projet'!$A$166,$DL$205^A190,IF(A190='Données projet'!$A$166,'Données projet'!$B$166,DO189+DN190-DW189)))</f>
        <v>0</v>
      </c>
      <c r="DP190" s="125" t="n">
        <f aca="false">DO190*VLOOKUP('Données projet'!$B$14,Paramètres!$A$1:$I$89,3,0)*VLOOKUP('Données projet'!$B$14,Paramètres!$A$1:$I$89,5,0)</f>
        <v>0</v>
      </c>
      <c r="DQ190" s="117" t="e">
        <f aca="false">EXP(-1.0587+0.8836*LN(DP190)+0.284)</f>
        <v>#VALUE!</v>
      </c>
      <c r="DR190" s="128" t="e">
        <f aca="false">(DP190+DQ190)*0.475*44/12</f>
        <v>#VALUE!</v>
      </c>
      <c r="DS190" s="120" t="e">
        <f aca="false">DR190+(DJ190+DK190)*44/12</f>
        <v>#VALUE!</v>
      </c>
      <c r="DT190" s="120" t="n">
        <f aca="true">AVERAGE(OFFSET($DS$3,0,0,'Données projet'!$E$14+1,1))-AVERAGE(OFFSET($H$3,0,0,'Données projet'!$E$14+1,1))</f>
        <v>549.432320957297</v>
      </c>
      <c r="DU190" s="120" t="n">
        <f aca="false">$DU$3</f>
        <v>280.26155987301</v>
      </c>
      <c r="DV190" s="121" t="n">
        <f aca="false">IF(ISNA(VLOOKUP(A190,'Données projet'!$A$165:$I$185,3,0)),0,VLOOKUP(A190,'Données projet'!$A$165:$I$185,3,0))</f>
        <v>0</v>
      </c>
      <c r="DW190" s="121" t="n">
        <f aca="false">IF(ISNA(VLOOKUP(A190,'Données projet'!$A$165:$I$185,4,0)),0,VLOOKUP(A190,'Données projet'!$A$165:$I$185,4,0))</f>
        <v>0</v>
      </c>
      <c r="DX190" s="122" t="n">
        <f aca="false">IF(ISNA(VLOOKUP(A190,'Données projet'!$A$165:$I$185,5,0)),0%,VLOOKUP(A190,'Données projet'!$A$165:$I$185,5,0)*VLOOKUP('Données projet'!$B$14,Paramètres!$A$1:$I$89,7,0))</f>
        <v>0</v>
      </c>
      <c r="DY190" s="122" t="n">
        <f aca="false">IF(ISNA(VLOOKUP(A190,'Données projet'!$A$165:$I$185,6,0)),0%,VLOOKUP(A190,'Données projet'!$A$165:$I$185,6,0)*VLOOKUP('Données projet'!$B$14,Paramètres!$A$1:$I$89,7,0))</f>
        <v>0</v>
      </c>
      <c r="DZ190" s="122" t="n">
        <f aca="false">IF(ISNA(VLOOKUP(A190,'Données projet'!$A$165:$I$185,7,0)),0%,VLOOKUP(A190,'Données projet'!$A$165:$I$185,7,0))</f>
        <v>0</v>
      </c>
      <c r="EA190" s="129" t="n">
        <f aca="false">EXP(-LN(2)/35)*EA189+(1-EXP(-LN(2)/35))/(LN(2)/35)*DW190*DX190*VLOOKUP('Données projet'!$B$14,Paramètres!$A$1:$I$89,3,0)*0.475*44/12</f>
        <v>0.107202232132539</v>
      </c>
      <c r="EB190" s="129" t="n">
        <f aca="false">EXP(-LN(2)/25)*EB189+(1-EXP(-LN(2)/25))/(LN(2)/25)*Calculateur!DW190*Calculateur!DY190*VLOOKUP('Données projet'!$B$14,Paramètres!$A$1:$I$89,3,0)*0.475*44/12</f>
        <v>0.0997775740236877</v>
      </c>
      <c r="EC190" s="129" t="n">
        <f aca="false">EXP(-LN(2)/2)*EC189+(1-EXP(-LN(2)/2))/(LN(2)/2)*DW190*DZ190*VLOOKUP('Données projet'!$B$14,Paramètres!$A$1:$I$89,3,0)*0.475*44/12</f>
        <v>1.43162862657177E-023</v>
      </c>
      <c r="ED190" s="130" t="n">
        <f aca="false">SUM(EA190:EC190)</f>
        <v>0.206979806156226</v>
      </c>
      <c r="EE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8" t="e">
        <f aca="false">VLOOKUP(A190,'Données projet'!$A$191:$I$211,2,0)</f>
        <v>#N/A</v>
      </c>
      <c r="EH190" s="118" t="e">
        <f aca="false">VLOOKUP(A190,'Données projet'!$A$191:$I$211,9,0)</f>
        <v>#N/A</v>
      </c>
      <c r="EI190" s="118" t="e">
        <f aca="false" t="array" ref="EI190:EI190">INDEX(EH:EH,MIN(IF(ISNUMBER(EH190:EH386),ROW(EH190:EH386),"")))</f>
        <v>#N/A</v>
      </c>
      <c r="EJ190" s="118" t="n">
        <f aca="false">IF('Données projet'!$A$192&gt;35,EJ189+EI190-ER189,IF(A190&lt;'Données projet'!$A$192,$EG$205^A190,IF(A190='Données projet'!$A$192,'Données projet'!$B$192,EJ189+EI190-ER189)))</f>
        <v>0</v>
      </c>
      <c r="EK190" s="125" t="e">
        <f aca="false">EJ190*VLOOKUP('Données projet'!$B$15,Paramètres!$A$1:$I$89,3,0)*VLOOKUP('Données projet'!$B$15,Paramètres!$A$1:$I$89,5,0)</f>
        <v>#N/A</v>
      </c>
      <c r="EL190" s="117" t="e">
        <f aca="false">EXP(-1.0587+0.8836*LN(EK190)+0.284)</f>
        <v>#N/A</v>
      </c>
      <c r="EM190" s="128" t="e">
        <f aca="false">(EK190+EL190)*0.475*44/12</f>
        <v>#N/A</v>
      </c>
      <c r="EN190" s="120" t="e">
        <f aca="false">EM190+(EE190+EF190)*44/12</f>
        <v>#N/A</v>
      </c>
      <c r="EO190" s="120" t="e">
        <f aca="true">AVERAGE(OFFSET($EN$3,0,0,'Données projet'!$E$15+1,1))-AVERAGE(OFFSET($H$3,0,0,'Données projet'!$E$15+1,1))</f>
        <v>#N/A</v>
      </c>
      <c r="EP190" s="120" t="e">
        <f aca="false">$EP$3</f>
        <v>#N/A</v>
      </c>
      <c r="EQ190" s="121" t="n">
        <f aca="false">IF(ISNA(VLOOKUP(A190,'Données projet'!$A$191:$I$211,3,0)),0,VLOOKUP(A190,'Données projet'!$A$191:$I$211,3,0))</f>
        <v>0</v>
      </c>
      <c r="ER190" s="121" t="n">
        <f aca="false">IF(ISNA(VLOOKUP(A190,'Données projet'!$A$191:$I$211,4,0)),0,VLOOKUP(A190,'Données projet'!$A$191:$I$211,4,0))</f>
        <v>0</v>
      </c>
      <c r="ES190" s="122" t="n">
        <f aca="false">IF(ISNA(VLOOKUP(A190,'Données projet'!$A$191:$I$211,5,0)),0%,VLOOKUP(A190,'Données projet'!$A$191:$I$211,5,0)*VLOOKUP('Données projet'!$B$15,Paramètres!$A$1:$I$89,7,0))</f>
        <v>0</v>
      </c>
      <c r="ET190" s="122" t="n">
        <f aca="false">IF(ISNA(VLOOKUP(A190,'Données projet'!$A$191:$I$211,6,0)),0%,VLOOKUP(A190,'Données projet'!$A$191:$I$211,6,0)*VLOOKUP('Données projet'!$B$15,Paramètres!$A$1:$I$89,7,0))</f>
        <v>0</v>
      </c>
      <c r="EU190" s="122" t="n">
        <f aca="false">IF(ISNA(VLOOKUP(A190,'Données projet'!$A$191:$I$211,7,0)),0%,VLOOKUP(A190,'Données projet'!$A$191:$I$211,7,0))</f>
        <v>0</v>
      </c>
      <c r="EV190" s="129" t="e">
        <f aca="false">EXP(-LN(2)/35)*EV189+(1-EXP(-LN(2)/35))/(LN(2)/35)*ER190*ES190*VLOOKUP('Données projet'!$B$15,Paramètres!$A$1:$I$89,3,0)*0.475*44/12</f>
        <v>#N/A</v>
      </c>
      <c r="EW190" s="129" t="e">
        <f aca="false">EXP(-LN(2)/25)*EW189+(1-EXP(-LN(2)/25))/(LN(2)/25)*Calculateur!ER190*Calculateur!ET190*VLOOKUP('Données projet'!$B$15,Paramètres!$A$1:$I$89,3,0)*0.475*44/12</f>
        <v>#N/A</v>
      </c>
      <c r="EX190" s="129" t="e">
        <f aca="false">EXP(-LN(2)/2)*EX189+(1-EXP(-LN(2)/2))/(LN(2)/2)*ER190*EU190*VLOOKUP('Données projet'!$B$15,Paramètres!$A$1:$I$89,3,0)*0.475*44/12</f>
        <v>#N/A</v>
      </c>
      <c r="EY190" s="130" t="e">
        <f aca="false">SUM(EV190:EX190)</f>
        <v>#N/A</v>
      </c>
      <c r="EZ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8" t="e">
        <f aca="false">VLOOKUP(A190,'Données projet'!$A$217:$I$237,2,0)</f>
        <v>#N/A</v>
      </c>
      <c r="FC190" s="118" t="e">
        <f aca="false">VLOOKUP(A190,'Données projet'!$A$217:$I$237,9,0)</f>
        <v>#N/A</v>
      </c>
      <c r="FD190" s="118" t="e">
        <f aca="false" t="array" ref="FD190:FD190">INDEX(FC:FC,MIN(IF(ISNUMBER(FC190:FC386),ROW(FC190:FC386),"")))</f>
        <v>#N/A</v>
      </c>
      <c r="FE190" s="118" t="n">
        <f aca="false">IF('Données projet'!$A$218&gt;35,FE189+FD190-FM189,IF(A190&lt;'Données projet'!$A$218,$FB$205^A190,IF(A190='Données projet'!$A$218,'Données projet'!$B$218,FE189+FD190-FM189)))</f>
        <v>0</v>
      </c>
      <c r="FF190" s="125" t="e">
        <f aca="false">FE190*VLOOKUP('Données projet'!$B$16,Paramètres!$A$1:$I$89,3,0)*VLOOKUP('Données projet'!$B$16,Paramètres!$A$1:$I$89,5,0)</f>
        <v>#N/A</v>
      </c>
      <c r="FG190" s="117" t="e">
        <f aca="false">EXP(-1.0587+0.8836*LN(FF190)+0.284)</f>
        <v>#N/A</v>
      </c>
      <c r="FH190" s="128" t="e">
        <f aca="false">(FF190+FG190)*0.475*44/12</f>
        <v>#N/A</v>
      </c>
      <c r="FI190" s="120" t="e">
        <f aca="false">FH190+(EZ190+FA190)*44/12</f>
        <v>#N/A</v>
      </c>
      <c r="FJ190" s="120" t="e">
        <f aca="true">AVERAGE(OFFSET($FI$3,0,0,'Données projet'!$E$16+1,1))-AVERAGE(OFFSET($H$3,0,0,'Données projet'!$E$16+1,1))</f>
        <v>#N/A</v>
      </c>
      <c r="FK190" s="120" t="e">
        <f aca="false">$FK$3</f>
        <v>#N/A</v>
      </c>
      <c r="FL190" s="121" t="n">
        <f aca="false">IF(ISNA(VLOOKUP(A190,'Données projet'!$A$217:$I$237,3,0)),0,VLOOKUP(A190,'Données projet'!$A$217:$I$237,3,0))</f>
        <v>0</v>
      </c>
      <c r="FM190" s="121" t="n">
        <f aca="false">IF(ISNA(VLOOKUP(A190,'Données projet'!$A$217:$I$237,4,0)),0,VLOOKUP(A190,'Données projet'!$A$217:$I$237,4,0))</f>
        <v>0</v>
      </c>
      <c r="FN190" s="122" t="n">
        <f aca="false">IF(ISNA(VLOOKUP(A190,'Données projet'!$A$217:$I$237,5,0)),0%,VLOOKUP(A190,'Données projet'!$A$217:$I$237,5,0)*VLOOKUP('Données projet'!$B$16,Paramètres!$A$1:$I$89,7,0))</f>
        <v>0</v>
      </c>
      <c r="FO190" s="122" t="n">
        <f aca="false">IF(ISNA(VLOOKUP(A190,'Données projet'!$A$217:$I$237,6,0)),0%,VLOOKUP(A190,'Données projet'!$A$217:$I$237,6,0)*VLOOKUP('Données projet'!$B$16,Paramètres!$A$1:$I$89,7,0))</f>
        <v>0</v>
      </c>
      <c r="FP190" s="122" t="n">
        <f aca="false">IF(ISNA(VLOOKUP(A190,'Données projet'!$A$217:$I$237,7,0)),0%,VLOOKUP(A190,'Données projet'!$A$217:$I$237,7,0))</f>
        <v>0</v>
      </c>
      <c r="FQ190" s="129" t="e">
        <f aca="false">EXP(-LN(2)/35)*FQ189+(1-EXP(-LN(2)/35))/(LN(2)/35)*FM190*FN190*VLOOKUP('Données projet'!$B$16,Paramètres!$A$1:$I$89,3,0)*0.475*44/12</f>
        <v>#N/A</v>
      </c>
      <c r="FR190" s="129" t="e">
        <f aca="false">EXP(-LN(2)/25)*FR189+(1-EXP(-LN(2)/25))/(LN(2)/25)*Calculateur!FM190*Calculateur!FO190*VLOOKUP('Données projet'!$B$16,Paramètres!$A$1:$I$89,3,0)*0.475*44/12</f>
        <v>#N/A</v>
      </c>
      <c r="FS190" s="129" t="e">
        <f aca="false">EXP(-LN(2)/2)*FS189+(1-EXP(-LN(2)/2))/(LN(2)/2)*FM190*FP190*VLOOKUP('Données projet'!$B$16,Paramètres!$A$1:$I$89,3,0)*0.475*44/12</f>
        <v>#N/A</v>
      </c>
      <c r="FT190" s="130" t="e">
        <f aca="false">SUM(FQ190:FS190)</f>
        <v>#N/A</v>
      </c>
      <c r="FU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8" t="e">
        <f aca="false">VLOOKUP(A190,'Données projet'!$A$243:$I$263,2,0)</f>
        <v>#N/A</v>
      </c>
      <c r="FX190" s="118" t="e">
        <f aca="false">VLOOKUP(A190,'Données projet'!$A$243:$I$263,9,0)</f>
        <v>#N/A</v>
      </c>
      <c r="FY190" s="118" t="e">
        <f aca="false" t="array" ref="FY190:FY190">INDEX(FX:FX,MIN(IF(ISNUMBER(FX190:FX386),ROW(FX190:FX386),"")))</f>
        <v>#N/A</v>
      </c>
      <c r="FZ190" s="118" t="n">
        <f aca="false">IF('Données projet'!$A$244&gt;35,FZ189+FY190-GH189,IF(A190&lt;'Données projet'!$A$244,$FW$205^A190,IF(A190='Données projet'!$A$244,'Données projet'!$B$244,FZ189+FY190-GH189)))</f>
        <v>0</v>
      </c>
      <c r="GA190" s="125" t="e">
        <f aca="false">FZ190*VLOOKUP('Données projet'!$B$17,Paramètres!$A$1:$I$89,3,0)*VLOOKUP('Données projet'!$B$17,Paramètres!$A$1:$I$89,5,0)</f>
        <v>#N/A</v>
      </c>
      <c r="GB190" s="117" t="e">
        <f aca="false">EXP(-1.0587+0.8836*LN(GA190)+0.284)</f>
        <v>#N/A</v>
      </c>
      <c r="GC190" s="128" t="e">
        <f aca="false">(GA190+GB190)*0.475*44/12</f>
        <v>#N/A</v>
      </c>
      <c r="GD190" s="120" t="e">
        <f aca="false">GC190+(FU190+FV190)*44/12</f>
        <v>#N/A</v>
      </c>
      <c r="GE190" s="120" t="e">
        <f aca="true">AVERAGE(OFFSET($GD$3,0,0,'Données projet'!$E$17+1,1))-AVERAGE(OFFSET($H$3,0,0,'Données projet'!$E$17+1,1))</f>
        <v>#N/A</v>
      </c>
      <c r="GF190" s="120" t="e">
        <f aca="false">$GF$3</f>
        <v>#N/A</v>
      </c>
      <c r="GG190" s="121" t="n">
        <f aca="false">IF(ISNA(VLOOKUP(A190,'Données projet'!$A$243:$I$263,3,0)),0,VLOOKUP(A190,'Données projet'!$A$243:$I$263,3,0))</f>
        <v>0</v>
      </c>
      <c r="GH190" s="121" t="n">
        <f aca="false">IF(ISNA(VLOOKUP(A190,'Données projet'!$A$243:$I$263,4,0)),0,VLOOKUP(A190,'Données projet'!$A$243:$I$263,4,0))</f>
        <v>0</v>
      </c>
      <c r="GI190" s="122" t="n">
        <f aca="false">IF(ISNA(VLOOKUP(A190,'Données projet'!$A$243:$I$263,5,0)),0%,VLOOKUP(A190,'Données projet'!$A$243:$I$263,5,0)*VLOOKUP('Données projet'!$B$17,Paramètres!$A$1:$I$89,7,0))</f>
        <v>0</v>
      </c>
      <c r="GJ190" s="122" t="n">
        <f aca="false">IF(ISNA(VLOOKUP(A190,'Données projet'!$A$243:$I$263,6,0)),0%,VLOOKUP(A190,'Données projet'!$A$243:$I$263,6,0)*VLOOKUP('Données projet'!$B$17,Paramètres!$A$1:$I$89,7,0))</f>
        <v>0</v>
      </c>
      <c r="GK190" s="122" t="n">
        <f aca="false">IF(ISNA(VLOOKUP(A190,'Données projet'!$A$243:$I$263,7,0)),0%,VLOOKUP(A190,'Données projet'!$A$243:$I$263,7,0))</f>
        <v>0</v>
      </c>
      <c r="GL190" s="129" t="e">
        <f aca="false">EXP(-LN(2)/35)*GL189+(1-EXP(-LN(2)/35))/(LN(2)/35)*GH190*GI190*VLOOKUP('Données projet'!$B$17,Paramètres!$A$1:$I$89,3,0)*0.475*44/12</f>
        <v>#N/A</v>
      </c>
      <c r="GM190" s="129" t="e">
        <f aca="false">EXP(-LN(2)/25)*GM189+(1-EXP(-LN(2)/25))/(LN(2)/25)*Calculateur!GH190*Calculateur!GJ190*VLOOKUP('Données projet'!$B$17,Paramètres!$A$1:$I$89,3,0)*0.475*44/12</f>
        <v>#N/A</v>
      </c>
      <c r="GN190" s="129" t="e">
        <f aca="false">EXP(-LN(2)/2)*GN189+(1-EXP(-LN(2)/2))/(LN(2)/2)*GH190*GK190*VLOOKUP('Données projet'!$B$17,Paramètres!$A$1:$I$89,3,0)*0.475*44/12</f>
        <v>#N/A</v>
      </c>
      <c r="GO190" s="129" t="e">
        <f aca="false">SUM(GL190:GN190)</f>
        <v>#N/A</v>
      </c>
      <c r="GP190" s="126" t="n">
        <f aca="false"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8" t="n">
        <f aca="false"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8" t="e">
        <f aca="false">VLOOKUP(A190,'Données projet'!$A$269:$I$289,2,0)</f>
        <v>#N/A</v>
      </c>
      <c r="GS190" s="118" t="e">
        <f aca="false">VLOOKUP(A190,'Données projet'!$A$269:$I$289,9,0)</f>
        <v>#N/A</v>
      </c>
      <c r="GT190" s="118" t="e">
        <f aca="false" t="array" ref="GT190:GT190">INDEX(GS:GS,MIN(IF(ISNUMBER(GS190:GS386),ROW(GS190:GS386),"")))</f>
        <v>#N/A</v>
      </c>
      <c r="GU190" s="118" t="n">
        <f aca="false">IF('Données projet'!$A$270&gt;35,GU189+GT190-HC189,IF(A190&lt;'Données projet'!$A$270,$GR$205^A190,IF(A190='Données projet'!$A$270,'Données projet'!$B$270,GU189+GT190-HC189)))</f>
        <v>0</v>
      </c>
      <c r="GV190" s="125" t="e">
        <f aca="false">GU190*VLOOKUP('Données projet'!$B$18,Paramètres!$A$1:$I$89,3,0)*VLOOKUP('Données projet'!$B$18,Paramètres!$A$1:$I$89,5,0)</f>
        <v>#N/A</v>
      </c>
      <c r="GW190" s="117" t="e">
        <f aca="false">EXP(-1.0587+0.8836*LN(GV190)+0.284)</f>
        <v>#N/A</v>
      </c>
      <c r="GX190" s="128" t="e">
        <f aca="false">(GV190+GW190)*0.475*44/12</f>
        <v>#N/A</v>
      </c>
      <c r="GY190" s="120" t="e">
        <f aca="false">GX190+(GP190+GQ190)*44/12</f>
        <v>#N/A</v>
      </c>
      <c r="GZ190" s="120" t="e">
        <f aca="true">AVERAGE(OFFSET($GY$3,0,0,'Données projet'!$E$18+1,1))-AVERAGE(OFFSET($H$3,0,0,'Données projet'!$E$18+1,1))</f>
        <v>#N/A</v>
      </c>
      <c r="HA190" s="120" t="e">
        <f aca="false">$HA$3</f>
        <v>#N/A</v>
      </c>
      <c r="HB190" s="121" t="n">
        <f aca="false">IF(ISNA(VLOOKUP(A190,'Données projet'!$A$269:$I$289,3,0)),0,VLOOKUP(A190,'Données projet'!$A$269:$I$289,3,0))</f>
        <v>0</v>
      </c>
      <c r="HC190" s="121" t="n">
        <f aca="false">IF(ISNA(VLOOKUP(A190,'Données projet'!$A$269:$I$289,4,0)),0,VLOOKUP(A190,'Données projet'!$A$269:$I$289,4,0))</f>
        <v>0</v>
      </c>
      <c r="HD190" s="122" t="n">
        <f aca="false">IF(ISNA(VLOOKUP(A190,'Données projet'!$A$269:$I$289,5,0)),0%,VLOOKUP(A190,'Données projet'!$A$269:$I$289,5,0)*VLOOKUP('Données projet'!$B$18,Paramètres!$A$1:$I$89,7,0))</f>
        <v>0</v>
      </c>
      <c r="HE190" s="122" t="n">
        <f aca="false">IF(ISNA(VLOOKUP(A190,'Données projet'!$A$269:$I$289,6,0)),0%,VLOOKUP(A190,'Données projet'!$A$269:$I$289,6,0)*VLOOKUP('Données projet'!$B$18,Paramètres!$A$1:$I$89,7,0))</f>
        <v>0</v>
      </c>
      <c r="HF190" s="122" t="n">
        <f aca="false">IF(ISNA(VLOOKUP(A190,'Données projet'!$A$269:$I$289,7,0)),0%,VLOOKUP(A190,'Données projet'!$A$269:$I$289,7,0))</f>
        <v>0</v>
      </c>
      <c r="HG190" s="129" t="e">
        <f aca="false">EXP(-LN(2)/35)*HG189+(1-EXP(-LN(2)/35))/(LN(2)/35)*HC190*HD190*VLOOKUP('Données projet'!$B$18,Paramètres!$A$1:$I$89,3,0)*0.475*44/12</f>
        <v>#N/A</v>
      </c>
      <c r="HH190" s="129" t="e">
        <f aca="false">EXP(-LN(2)/25)*HH189+(1-EXP(-LN(2)/25))/(LN(2)/25)*Calculateur!HC190*Calculateur!HE190*VLOOKUP('Données projet'!$B$18,Paramètres!$A$1:$I$89,3,0)*0.475*44/12</f>
        <v>#N/A</v>
      </c>
      <c r="HI190" s="129" t="e">
        <f aca="false">EXP(-LN(2)/2)*HI189+(1-EXP(-LN(2)/2))/(LN(2)/2)*HC190*HF190*VLOOKUP('Données projet'!$B$18,Paramètres!$A$1:$I$89,3,0)*0.475*44/12</f>
        <v>#N/A</v>
      </c>
      <c r="HJ190" s="130" t="e">
        <f aca="false">SUM(HG190:HI190)</f>
        <v>#N/A</v>
      </c>
    </row>
    <row r="191" customFormat="false" ht="14.25" hidden="false" customHeight="false" outlineLevel="0" collapsed="false">
      <c r="A191" s="112" t="n">
        <f aca="false">A190+1</f>
        <v>188</v>
      </c>
      <c r="B191" s="113" t="n">
        <f aca="false">'Scénario référence'!$B$16*5+'Scénario référence'!$B$17*0+'Scénario référence'!$B$18*5</f>
        <v>0</v>
      </c>
      <c r="C191" s="127" t="n">
        <f aca="false"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4" t="n">
        <f aca="false">IFERROR(EXP(-1.0587+0.8836*LN(C191)+0.284),0)</f>
        <v>0</v>
      </c>
      <c r="E19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1" s="114" t="n">
        <f aca="false">IF(OR('Scénario référence'!$F$8&gt;0,'Scénario référence'!$F$9&gt;0),('Scénario référence'!$F$8+'Scénario référence'!$F$9)*10,0)</f>
        <v>0</v>
      </c>
      <c r="G191" s="114" t="n">
        <f aca="false"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15" t="n">
        <f aca="false">(B191+E191+F191)*44/12+(C191+D191)*0.475*44/12</f>
        <v>256.666666666667</v>
      </c>
      <c r="I191" s="11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7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8" t="e">
        <f aca="false">VLOOKUP(A191,'Données projet'!$A$35:$I$55,2,0)</f>
        <v>#N/A</v>
      </c>
      <c r="L191" s="118" t="e">
        <f aca="false">VLOOKUP(A191,'Données projet'!$A$35:$I$55,9,0)</f>
        <v>#N/A</v>
      </c>
      <c r="M191" s="118" t="e">
        <f aca="false" t="array" ref="M191:M191">INDEX(L:L,MIN(IF(ISNUMBER(L191:L387),ROW(L191:L387),"")))</f>
        <v>#N/A</v>
      </c>
      <c r="N191" s="117" t="n">
        <f aca="false">IF('Données projet'!$A$36&gt;35,N190+M191-V190,IF(A191&lt;'Données projet'!$A$36,$K$205^A191,IF(A191='Données projet'!$A$36,'Données projet'!$B$36,N190+M191-V190)))</f>
        <v>-1.13686837721616E-013</v>
      </c>
      <c r="O191" s="117" t="n">
        <f aca="false">N191*VLOOKUP('Données projet'!$B$9,Paramètres!$A$1:$I$89,3,0)*VLOOKUP('Données projet'!$B$9,Paramètres!$A$1:$I$89,5,0)</f>
        <v>-5.32054400537163E-014</v>
      </c>
      <c r="P191" s="117" t="e">
        <f aca="false">EXP(-1.0587+0.8836*LN(O191)+0.284)</f>
        <v>#VALUE!</v>
      </c>
      <c r="Q191" s="128" t="e">
        <f aca="false">(O191+P191)*0.475*44/12</f>
        <v>#VALUE!</v>
      </c>
      <c r="R191" s="120" t="e">
        <f aca="false">Q191+(I191+J191)*44/12</f>
        <v>#VALUE!</v>
      </c>
      <c r="S191" s="120" t="n">
        <f aca="true">AVERAGE(OFFSET($R$3,0,0,'Données projet'!$E$9+1,1))-AVERAGE(OFFSET($H$3,0,0,'Données projet'!$E$9+1,1))</f>
        <v>319.229030946746</v>
      </c>
      <c r="T191" s="120" t="n">
        <f aca="false">$T$3</f>
        <v>254.586909731428</v>
      </c>
      <c r="U191" s="121" t="n">
        <f aca="false">IF(ISNA(VLOOKUP(A191,'Données projet'!$A$35:$I$55,3,0)),0,VLOOKUP(A191,'Données projet'!$A$35:$I$55,3,0))</f>
        <v>0</v>
      </c>
      <c r="V191" s="121" t="n">
        <f aca="false">IF(ISNA(VLOOKUP(A191,'Données projet'!$A$35:$I$55,4,0)),0,VLOOKUP(A191,'Données projet'!$A$35:$I$55,4,0))</f>
        <v>0</v>
      </c>
      <c r="W191" s="122" t="n">
        <f aca="false">IF(ISNA(VLOOKUP(A191,'Données projet'!$A$35:$I$55,5,0)),0%,VLOOKUP(A191,'Données projet'!$A$35:$I$55,5,0)*VLOOKUP('Données projet'!$B$9,Paramètres!$A$1:$I$89,7,0))</f>
        <v>0</v>
      </c>
      <c r="X191" s="122" t="n">
        <f aca="false">IF(ISNA(VLOOKUP(A191,'Données projet'!$A$35:$I$55,6,0)),0%,VLOOKUP(A191,'Données projet'!$A$35:$I$55,6,0)*VLOOKUP('Données projet'!$B$9,Paramètres!$A$1:$I$89,7,0))</f>
        <v>0</v>
      </c>
      <c r="Y191" s="122" t="n">
        <f aca="false">IF(ISNA(VLOOKUP(A191,'Données projet'!$A$35:$I$55,7,0)),0%,VLOOKUP(A191,'Données projet'!$A$35:$I$55,7,0))</f>
        <v>0</v>
      </c>
      <c r="Z191" s="129" t="n">
        <f aca="false">EXP(-LN(2)/35)*Z190+(1-EXP(-LN(2)/35))/(LN(2)/35)*V191*W191*VLOOKUP('Données projet'!$B$9,Paramètres!$A$1:$I$89,3,0)*0.475*44/12</f>
        <v>0.397161439118263</v>
      </c>
      <c r="AA191" s="129" t="n">
        <f aca="false">EXP(-LN(2)/25)*AA190+(1-EXP(-LN(2)/25))/(LN(2)/25)*Calculateur!V191*Calculateur!X191*VLOOKUP('Données projet'!$B$9,Paramètres!$A$1:$I$89,3,0)*0.475*44/12</f>
        <v>0.139577917514789</v>
      </c>
      <c r="AB191" s="129" t="n">
        <f aca="false">EXP(-LN(2)/2)*AB190+(1-EXP(-LN(2)/2))/(LN(2)/2)*V191*Y191*VLOOKUP('Données projet'!$B$9,Paramètres!$A$1:$I$89,3,0)*0.475*44/12</f>
        <v>1.82693238318274E-023</v>
      </c>
      <c r="AC191" s="130" t="n">
        <f aca="false">SUM(Z191:AB191)</f>
        <v>0.536739356633052</v>
      </c>
      <c r="AD191" s="117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7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8" t="e">
        <f aca="false">VLOOKUP(A191,'Données projet'!$A$61:$I$81,2,0)</f>
        <v>#N/A</v>
      </c>
      <c r="AG191" s="118" t="e">
        <f aca="false">VLOOKUP(A191,'Données projet'!$A$61:$I$81,9,0)</f>
        <v>#N/A</v>
      </c>
      <c r="AH191" s="118" t="e">
        <f aca="false" t="array" ref="AH191:AH191">INDEX(AG:AG,MIN(IF(ISNUMBER(AG191:AG387),ROW(AG191:AG387),"")))</f>
        <v>#N/A</v>
      </c>
      <c r="AI191" s="117" t="n">
        <f aca="false">IF('Données projet'!$A$62&gt;35,AI190+AH191-AQ190,IF(A191&lt;'Données projet'!$A$62,$AF$205^A191,IF(A191='Données projet'!$A$62,'Données projet'!$B$62,AI190+AH191-AQ190)))</f>
        <v>1.13686837721616E-013</v>
      </c>
      <c r="AJ191" s="117" t="n">
        <f aca="false">AI191*VLOOKUP('Données projet'!$B$10,Paramètres!$A$1:$I$89,3,0)*VLOOKUP('Données projet'!$B$10,Paramètres!$A$1:$I$89,5,0)</f>
        <v>6.35509422863834E-014</v>
      </c>
      <c r="AK191" s="117" t="n">
        <f aca="false">EXP(-1.0587+0.8836*LN(AJ191)+0.284)</f>
        <v>1.0064464192544E-012</v>
      </c>
      <c r="AL191" s="128" t="n">
        <f aca="false">(AJ191+AK191)*0.475*44/12</f>
        <v>1.86357873801686E-012</v>
      </c>
      <c r="AM191" s="120" t="n">
        <f aca="false">AL191+(AD191+AE191)*44/12</f>
        <v>293.333333333335</v>
      </c>
      <c r="AN191" s="120" t="n">
        <f aca="true">AVERAGE(OFFSET($AM$3,0,0,'Données projet'!$E$10+1,1))-AVERAGE(OFFSET($H$3,0,0,'Données projet'!$E$10+1,1))</f>
        <v>365.705101827279</v>
      </c>
      <c r="AO191" s="120" t="n">
        <f aca="false">$AO$3</f>
        <v>436.238338449625</v>
      </c>
      <c r="AP191" s="121" t="n">
        <f aca="false">IF(ISNA(VLOOKUP(A191,'Données projet'!$A$61:$I$81,3,0)),0,VLOOKUP(A191,'Données projet'!$A$61:$I$81,3,0))</f>
        <v>0</v>
      </c>
      <c r="AQ191" s="121" t="n">
        <f aca="false">IF(ISNA(VLOOKUP(A191,'Données projet'!$A$61:$I$81,4,0)),0,VLOOKUP(A191,'Données projet'!$A$61:$I$81,4,0))</f>
        <v>0</v>
      </c>
      <c r="AR191" s="122" t="n">
        <f aca="false">IF(ISNA(VLOOKUP(A191,'Données projet'!$A$61:$I$81,5,0)),0%,VLOOKUP(A191,'Données projet'!$A$61:$I$81,5,0)*VLOOKUP('Données projet'!$B$10,Paramètres!$A$1:$I$89,7,0))</f>
        <v>0</v>
      </c>
      <c r="AS191" s="122" t="n">
        <f aca="false">IF(ISNA(VLOOKUP(A191,'Données projet'!$A$61:$I$81,6,0)),0%,VLOOKUP(A191,'Données projet'!$A$61:$I$81,6,0)*VLOOKUP('Données projet'!$B$10,Paramètres!$A$1:$I$89,7,0))</f>
        <v>0</v>
      </c>
      <c r="AT191" s="122" t="n">
        <f aca="false">IF(ISNA(VLOOKUP(A191,'Données projet'!$A$61:$I$81,7,0)),0%,VLOOKUP(A191,'Données projet'!$A$61:$I$81,7,0))</f>
        <v>0</v>
      </c>
      <c r="AU191" s="129" t="n">
        <f aca="false">EXP(-LN(2)/35)*AU190+(1-EXP(-LN(2)/35))/(LN(2)/35)*AQ191*AR191*VLOOKUP('Données projet'!$B$10,Paramètres!$A$1:$I$89,3,0)*0.475*44/12</f>
        <v>0.149915566733425</v>
      </c>
      <c r="AV191" s="129" t="n">
        <f aca="false">EXP(-LN(2)/25)*AV190+(1-EXP(-LN(2)/25))/(LN(2)/25)*Calculateur!AQ191*Calculateur!AS191*VLOOKUP('Données projet'!$B$10,Paramètres!$A$1:$I$89,3,0)*0.475*44/12</f>
        <v>0.165322496335448</v>
      </c>
      <c r="AW191" s="129" t="n">
        <f aca="false">EXP(-LN(2)/2)*AW190+(1-EXP(-LN(2)/2))/(LN(2)/2)*AQ191*AT191*VLOOKUP('Données projet'!$B$10,Paramètres!$A$1:$I$89,3,0)*0.475*44/12</f>
        <v>9.83197908300159E-024</v>
      </c>
      <c r="AX191" s="129" t="n">
        <f aca="false">SUM(AU191:AW191)</f>
        <v>0.315238063068872</v>
      </c>
      <c r="AY191" s="124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8" t="e">
        <f aca="false">VLOOKUP(A191,'Données projet'!$A$87:$I$107,2,0)</f>
        <v>#N/A</v>
      </c>
      <c r="BB191" s="118" t="e">
        <f aca="false">VLOOKUP(A191,'Données projet'!$A$87:$I$107,9,0)</f>
        <v>#N/A</v>
      </c>
      <c r="BC191" s="118" t="e">
        <f aca="false" t="array" ref="BC191:BC191">INDEX(BB:BB,MIN(IF(ISNUMBER(BB191:BB387),ROW(BB191:BB387),"")))</f>
        <v>#N/A</v>
      </c>
      <c r="BD191" s="118" t="n">
        <f aca="false">IF('Données projet'!$A$88&gt;35,BD190+BC191-BL190,IF(A191&lt;'Données projet'!$A$88,$BA$205^A191,IF(A191='Données projet'!$A$88,'Données projet'!$B$88,BD190+BC191-BL190)))</f>
        <v>1.98951966012828E-013</v>
      </c>
      <c r="BE191" s="117" t="n">
        <f aca="false">BD191*VLOOKUP('Données projet'!$B$11,Paramètres!$A$1:$I$89,3,0)*VLOOKUP('Données projet'!$B$11,Paramètres!$A$1:$I$89,5,0)</f>
        <v>1.73804437508807E-013</v>
      </c>
      <c r="BF191" s="117" t="n">
        <f aca="false">EXP(-1.0587+0.8836*LN(BE191)+0.284)</f>
        <v>2.44832936339505E-012</v>
      </c>
      <c r="BG191" s="128" t="n">
        <f aca="false">(BE191+BF191)*0.475*44/12</f>
        <v>4.56688303657421E-012</v>
      </c>
      <c r="BH191" s="120" t="n">
        <f aca="false">BG191+(AY191+AZ191)*44/12</f>
        <v>293.333333333338</v>
      </c>
      <c r="BI191" s="120" t="n">
        <f aca="true">AVERAGE(OFFSET($BH$3,0,0,'Données projet'!$E$11+1,1))-AVERAGE(OFFSET($H$3,0,0,'Données projet'!$E$11+1,1))</f>
        <v>321.235999689929</v>
      </c>
      <c r="BJ191" s="120" t="n">
        <f aca="false">$BJ$3</f>
        <v>388.051958478005</v>
      </c>
      <c r="BK191" s="121" t="n">
        <f aca="false">IF(ISNA(VLOOKUP(A191,'Données projet'!$A$87:$I$107,3,0)),0,VLOOKUP(A191,'Données projet'!$A$87:$I$107,3,0))</f>
        <v>0</v>
      </c>
      <c r="BL191" s="121" t="n">
        <f aca="false">IF(ISNA(VLOOKUP(A191,'Données projet'!$A$87:$I$107,4,0)),0,VLOOKUP(A191,'Données projet'!$A$87:$I$107,4,0))</f>
        <v>0</v>
      </c>
      <c r="BM191" s="122" t="n">
        <f aca="false">IF(ISNA(VLOOKUP(A191,'Données projet'!$A$87:$I$107,5,0)),0%,VLOOKUP(A191,'Données projet'!$A$87:$I$107,5,0)*VLOOKUP('Données projet'!$B$11,Paramètres!$A$1:$I$89,7,0))</f>
        <v>0</v>
      </c>
      <c r="BN191" s="122" t="n">
        <f aca="false">IF(ISNA(VLOOKUP(A191,'Données projet'!$A$87:$I$107,6,0)),0%,VLOOKUP(A191,'Données projet'!$A$87:$I$107,6,0)*VLOOKUP('Données projet'!$B$11,Paramètres!$A$1:$I$89,7,0))</f>
        <v>0</v>
      </c>
      <c r="BO191" s="122" t="n">
        <f aca="false">IF(ISNA(VLOOKUP(A191,'Données projet'!$A$87:$I$107,7,0)),0%,VLOOKUP(A191,'Données projet'!$A$87:$I$107,7,0))</f>
        <v>0</v>
      </c>
      <c r="BP191" s="129" t="n">
        <f aca="false">EXP(-LN(2)/35)*BP190+(1-EXP(-LN(2)/35))/(LN(2)/35)*BL191*BM191*VLOOKUP('Données projet'!$B$11,Paramètres!$A$1:$I$89,3,0)*0.475*44/12</f>
        <v>0.376381222830739</v>
      </c>
      <c r="BQ191" s="129" t="n">
        <f aca="false">EXP(-LN(2)/25)*BQ190+(1-EXP(-LN(2)/25))/(LN(2)/25)*Calculateur!BL191*Calculateur!BN191*VLOOKUP('Données projet'!$B$11,Paramètres!$A$1:$I$89,3,0)*0.475*44/12</f>
        <v>0.168751384710057</v>
      </c>
      <c r="BR191" s="129" t="n">
        <f aca="false">EXP(-LN(2)/2)*BR190+(1-EXP(-LN(2)/2))/(LN(2)/2)*BL191*BO191*VLOOKUP('Données projet'!$B$11,Paramètres!$A$1:$I$89,3,0)*0.475*44/12</f>
        <v>9.9940023767884E-024</v>
      </c>
      <c r="BS191" s="130" t="n">
        <f aca="false">SUM(BP191:BR191)</f>
        <v>0.545132607540796</v>
      </c>
      <c r="BT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8" t="e">
        <f aca="false">VLOOKUP(A191,'Données projet'!$A$113:$I$133,2,0)</f>
        <v>#N/A</v>
      </c>
      <c r="BW191" s="118" t="e">
        <f aca="false">VLOOKUP(A191,'Données projet'!$A$113:$I$133,9,0)</f>
        <v>#N/A</v>
      </c>
      <c r="BX191" s="118" t="e">
        <f aca="false" t="array" ref="BX191:BX191">INDEX(BW:BW,MIN(IF(ISNUMBER(BW191:BW387),ROW(BW191:BW387),"")))</f>
        <v>#N/A</v>
      </c>
      <c r="BY191" s="118" t="n">
        <f aca="false">IF('Données projet'!$A$114&gt;35,BY190+BX191-CG190,IF(A191&lt;'Données projet'!$A$114,$BV$205^A191,IF(A191='Données projet'!$A$114,'Données projet'!$B$114,BY190+BX191-CG190)))</f>
        <v>0</v>
      </c>
      <c r="BZ191" s="117" t="n">
        <f aca="false">BY191*VLOOKUP('Données projet'!$B$12,Paramètres!$A$1:$I$89,3,0)*VLOOKUP('Données projet'!$B$12,Paramètres!$A$1:$I$89,5,0)</f>
        <v>0</v>
      </c>
      <c r="CA191" s="117" t="e">
        <f aca="false">EXP(-1.0587+0.8836*LN(BZ191)+0.284)</f>
        <v>#VALUE!</v>
      </c>
      <c r="CB191" s="128" t="e">
        <f aca="false">(BZ191+CA191)*0.475*44/12</f>
        <v>#VALUE!</v>
      </c>
      <c r="CC191" s="120" t="e">
        <f aca="false">CB191+(BT191+BU191)*44/12</f>
        <v>#VALUE!</v>
      </c>
      <c r="CD191" s="120" t="n">
        <f aca="true">AVERAGE(OFFSET($CC$3,0,0,'Données projet'!$E$12+1,1))-AVERAGE(OFFSET($H$3,0,0,'Données projet'!$E$12+1,1))</f>
        <v>240.228848647662</v>
      </c>
      <c r="CE191" s="120" t="n">
        <f aca="false">$CE$3</f>
        <v>343.237768841432</v>
      </c>
      <c r="CF191" s="121" t="n">
        <f aca="false">IF(ISNA(VLOOKUP(A191,'Données projet'!$A$113:$I$133,3,0)),0,VLOOKUP(A191,'Données projet'!$A$113:$I$133,3,0))</f>
        <v>0</v>
      </c>
      <c r="CG191" s="121" t="n">
        <f aca="false">IF(ISNA(VLOOKUP(A191,'Données projet'!$A$113:$I$133,4,0)),0,VLOOKUP(A191,'Données projet'!$A$113:$I$133,4,0))</f>
        <v>0</v>
      </c>
      <c r="CH191" s="122" t="n">
        <f aca="false">IF(ISNA(VLOOKUP(A191,'Données projet'!$A$113:$I$133,5,0)),0%,VLOOKUP(A191,'Données projet'!$A$113:$I$133,5,0)*VLOOKUP('Données projet'!$B$12,Paramètres!$A$1:$I$89,7,0))</f>
        <v>0</v>
      </c>
      <c r="CI191" s="122" t="n">
        <f aca="false">IF(ISNA(VLOOKUP(A191,'Données projet'!$A$113:$I$133,6,0)),0%,VLOOKUP(A191,'Données projet'!$A$113:$I$133,6,0)*VLOOKUP('Données projet'!$B$12,Paramètres!$A$1:$I$89,7,0))</f>
        <v>0</v>
      </c>
      <c r="CJ191" s="122" t="n">
        <f aca="false">IF(ISNA(VLOOKUP(A191,'Données projet'!$A$113:$I$133,7,0)),0%,VLOOKUP(A191,'Données projet'!$A$113:$I$133,7,0))</f>
        <v>0</v>
      </c>
      <c r="CK191" s="129" t="n">
        <f aca="false">EXP(-LN(2)/35)*CK190+(1-EXP(-LN(2)/35))/(LN(2)/35)*CG191*CH191*VLOOKUP('Données projet'!$B$12,Paramètres!$A$1:$I$89,3,0)*0.475*44/12</f>
        <v>0.230374631090203</v>
      </c>
      <c r="CL191" s="129" t="n">
        <f aca="false">EXP(-LN(2)/25)*CL190+(1-EXP(-LN(2)/25))/(LN(2)/25)*Calculateur!CG191*Calculateur!CI191*VLOOKUP('Données projet'!$B$12,Paramètres!$A$1:$I$89,3,0)*0.475*44/12</f>
        <v>0.298024714396498</v>
      </c>
      <c r="CM191" s="129" t="n">
        <f aca="false">EXP(-LN(2)/2)*CM190+(1-EXP(-LN(2)/2))/(LN(2)/2)*CG191*CJ191*VLOOKUP('Données projet'!$B$12,Paramètres!$A$1:$I$89,3,0)*0.475*44/12</f>
        <v>1.59477633938478E-023</v>
      </c>
      <c r="CN191" s="130" t="n">
        <f aca="false">SUM(CK191:CM191)</f>
        <v>0.528399345486701</v>
      </c>
      <c r="CO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8" t="e">
        <f aca="false">VLOOKUP(A191,'Données projet'!$A$139:$I$159,2,0)</f>
        <v>#N/A</v>
      </c>
      <c r="CR191" s="118" t="e">
        <f aca="false">VLOOKUP(A191,'Données projet'!$A$139:$I$159,9,0)</f>
        <v>#N/A</v>
      </c>
      <c r="CS191" s="118" t="e">
        <f aca="false" t="array" ref="CS191:CS191">INDEX(CR:CR,MIN(IF(ISNUMBER(CR191:CR387),ROW(CR191:CR387),"")))</f>
        <v>#N/A</v>
      </c>
      <c r="CT191" s="118" t="n">
        <f aca="false">IF('Données projet'!$A$140&gt;35,CT190+CS191-DB190,IF(A191&lt;'Données projet'!$A$140,$CQ$205^A191,IF(A191='Données projet'!$A$140,'Données projet'!$B$140,CT190+CS191-DB190)))</f>
        <v>-5.6843418860808E-014</v>
      </c>
      <c r="CU191" s="125" t="n">
        <f aca="false">CT191*VLOOKUP('Données projet'!$B$13,Paramètres!$A$1:$I$89,3,0)*VLOOKUP('Données projet'!$B$13,Paramètres!$A$1:$I$89,5,0)</f>
        <v>-3.10365066980012E-014</v>
      </c>
      <c r="CV191" s="117" t="e">
        <f aca="false">EXP(-1.0587+0.8836*LN(CU191)+0.284)</f>
        <v>#VALUE!</v>
      </c>
      <c r="CW191" s="128" t="e">
        <f aca="false">(CU191+CV191)*0.475*44/12</f>
        <v>#VALUE!</v>
      </c>
      <c r="CX191" s="120" t="e">
        <f aca="false">CW191+(CO191+CP191)*44/12</f>
        <v>#VALUE!</v>
      </c>
      <c r="CY191" s="120" t="n">
        <f aca="true">AVERAGE(OFFSET($CX$3,0,0,'Données projet'!$E$13+1,1))-AVERAGE(OFFSET($H$3,0,0,'Données projet'!$E$13+1,1))</f>
        <v>207.023069645676</v>
      </c>
      <c r="CZ191" s="120" t="n">
        <f aca="false">$CZ$3</f>
        <v>342.068879333518</v>
      </c>
      <c r="DA191" s="121" t="n">
        <f aca="false">IF(ISNA(VLOOKUP(A191,'Données projet'!$A$139:$I$159,3,0)),0,VLOOKUP(A191,'Données projet'!$A$139:$I$159,3,0))</f>
        <v>0</v>
      </c>
      <c r="DB191" s="121" t="n">
        <f aca="false">IF(ISNA(VLOOKUP(A191,'Données projet'!$A$139:$I$159,4,0)),0,VLOOKUP(A191,'Données projet'!$A$139:$I$159,4,0))</f>
        <v>0</v>
      </c>
      <c r="DC191" s="122" t="n">
        <f aca="false">IF(ISNA(VLOOKUP(A191,'Données projet'!$A$139:$I$159,5,0)),0%,VLOOKUP(A191,'Données projet'!$A$139:$I$159,5,0)*VLOOKUP('Données projet'!$B$13,Paramètres!$A$1:$I$89,7,0))</f>
        <v>0</v>
      </c>
      <c r="DD191" s="122" t="n">
        <f aca="false">IF(ISNA(VLOOKUP(A191,'Données projet'!$A$139:$I$159,6,0)),0%,VLOOKUP(A191,'Données projet'!$A$139:$I$159,6,0)*VLOOKUP('Données projet'!$B$13,Paramètres!$A$1:$I$89,7,0))</f>
        <v>0</v>
      </c>
      <c r="DE191" s="122" t="n">
        <f aca="false">IF(ISNA(VLOOKUP(A191,'Données projet'!$A$139:$I$159,7,0)),0%,VLOOKUP(A191,'Données projet'!$A$139:$I$159,7,0))</f>
        <v>0</v>
      </c>
      <c r="DF191" s="129" t="n">
        <f aca="false">EXP(-LN(2)/35)*DF190+(1-EXP(-LN(2)/35))/(LN(2)/35)*DB191*DC191*VLOOKUP('Données projet'!$B$13,Paramètres!$A$1:$I$89,3,0)*0.475*44/12</f>
        <v>0.289054961650916</v>
      </c>
      <c r="DG191" s="129" t="n">
        <f aca="false">EXP(-LN(2)/25)*DG190+(1-EXP(-LN(2)/25))/(LN(2)/25)*Calculateur!DB191*Calculateur!DD191*VLOOKUP('Données projet'!$B$13,Paramètres!$A$1:$I$89,3,0)*0.475*44/12</f>
        <v>0.487146284074701</v>
      </c>
      <c r="DH191" s="129" t="n">
        <f aca="false">EXP(-LN(2)/2)*DH190+(1-EXP(-LN(2)/2))/(LN(2)/2)*DB191*DE191*VLOOKUP('Données projet'!$B$13,Paramètres!$A$1:$I$89,3,0)*0.475*44/12</f>
        <v>2.19600775871132E-023</v>
      </c>
      <c r="DI191" s="130" t="n">
        <f aca="false">SUM(DF191:DH191)</f>
        <v>0.776201245725617</v>
      </c>
      <c r="DJ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8" t="e">
        <f aca="false">VLOOKUP(A191,'Données projet'!$A$165:$I$185,2,0)</f>
        <v>#N/A</v>
      </c>
      <c r="DM191" s="118" t="e">
        <f aca="false">VLOOKUP(A191,'Données projet'!$A$165:$I$185,9,0)</f>
        <v>#N/A</v>
      </c>
      <c r="DN191" s="118" t="e">
        <f aca="false" t="array" ref="DN191:DN191">INDEX(DM:DM,MIN(IF(ISNUMBER(DM191:DM387),ROW(DM191:DM387),"")))</f>
        <v>#N/A</v>
      </c>
      <c r="DO191" s="118" t="n">
        <f aca="false">IF('Données projet'!$A$166&gt;35,DO190+DN191-DW190,IF(A191&lt;'Données projet'!$A$166,$DL$205^A191,IF(A191='Données projet'!$A$166,'Données projet'!$B$166,DO190+DN191-DW190)))</f>
        <v>0</v>
      </c>
      <c r="DP191" s="125" t="n">
        <f aca="false">DO191*VLOOKUP('Données projet'!$B$14,Paramètres!$A$1:$I$89,3,0)*VLOOKUP('Données projet'!$B$14,Paramètres!$A$1:$I$89,5,0)</f>
        <v>0</v>
      </c>
      <c r="DQ191" s="117" t="e">
        <f aca="false">EXP(-1.0587+0.8836*LN(DP191)+0.284)</f>
        <v>#VALUE!</v>
      </c>
      <c r="DR191" s="128" t="e">
        <f aca="false">(DP191+DQ191)*0.475*44/12</f>
        <v>#VALUE!</v>
      </c>
      <c r="DS191" s="120" t="e">
        <f aca="false">DR191+(DJ191+DK191)*44/12</f>
        <v>#VALUE!</v>
      </c>
      <c r="DT191" s="120" t="n">
        <f aca="true">AVERAGE(OFFSET($DS$3,0,0,'Données projet'!$E$14+1,1))-AVERAGE(OFFSET($H$3,0,0,'Données projet'!$E$14+1,1))</f>
        <v>549.432320957297</v>
      </c>
      <c r="DU191" s="120" t="n">
        <f aca="false">$DU$3</f>
        <v>280.26155987301</v>
      </c>
      <c r="DV191" s="121" t="n">
        <f aca="false">IF(ISNA(VLOOKUP(A191,'Données projet'!$A$165:$I$185,3,0)),0,VLOOKUP(A191,'Données projet'!$A$165:$I$185,3,0))</f>
        <v>0</v>
      </c>
      <c r="DW191" s="121" t="n">
        <f aca="false">IF(ISNA(VLOOKUP(A191,'Données projet'!$A$165:$I$185,4,0)),0,VLOOKUP(A191,'Données projet'!$A$165:$I$185,4,0))</f>
        <v>0</v>
      </c>
      <c r="DX191" s="122" t="n">
        <f aca="false">IF(ISNA(VLOOKUP(A191,'Données projet'!$A$165:$I$185,5,0)),0%,VLOOKUP(A191,'Données projet'!$A$165:$I$185,5,0)*VLOOKUP('Données projet'!$B$14,Paramètres!$A$1:$I$89,7,0))</f>
        <v>0</v>
      </c>
      <c r="DY191" s="122" t="n">
        <f aca="false">IF(ISNA(VLOOKUP(A191,'Données projet'!$A$165:$I$185,6,0)),0%,VLOOKUP(A191,'Données projet'!$A$165:$I$185,6,0)*VLOOKUP('Données projet'!$B$14,Paramètres!$A$1:$I$89,7,0))</f>
        <v>0</v>
      </c>
      <c r="DZ191" s="122" t="n">
        <f aca="false">IF(ISNA(VLOOKUP(A191,'Données projet'!$A$165:$I$185,7,0)),0%,VLOOKUP(A191,'Données projet'!$A$165:$I$185,7,0))</f>
        <v>0</v>
      </c>
      <c r="EA191" s="129" t="n">
        <f aca="false">EXP(-LN(2)/35)*EA190+(1-EXP(-LN(2)/35))/(LN(2)/35)*DW191*DX191*VLOOKUP('Données projet'!$B$14,Paramètres!$A$1:$I$89,3,0)*0.475*44/12</f>
        <v>0.105100061747325</v>
      </c>
      <c r="EB191" s="129" t="n">
        <f aca="false">EXP(-LN(2)/25)*EB190+(1-EXP(-LN(2)/25))/(LN(2)/25)*Calculateur!DW191*Calculateur!DY191*VLOOKUP('Données projet'!$B$14,Paramètres!$A$1:$I$89,3,0)*0.475*44/12</f>
        <v>0.0970491510149354</v>
      </c>
      <c r="EC191" s="129" t="n">
        <f aca="false">EXP(-LN(2)/2)*EC190+(1-EXP(-LN(2)/2))/(LN(2)/2)*DW191*DZ191*VLOOKUP('Données projet'!$B$14,Paramètres!$A$1:$I$89,3,0)*0.475*44/12</f>
        <v>1.01231430998968E-023</v>
      </c>
      <c r="ED191" s="130" t="n">
        <f aca="false">SUM(EA191:EC191)</f>
        <v>0.20214921276226</v>
      </c>
      <c r="EE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8" t="e">
        <f aca="false">VLOOKUP(A191,'Données projet'!$A$191:$I$211,2,0)</f>
        <v>#N/A</v>
      </c>
      <c r="EH191" s="118" t="e">
        <f aca="false">VLOOKUP(A191,'Données projet'!$A$191:$I$211,9,0)</f>
        <v>#N/A</v>
      </c>
      <c r="EI191" s="118" t="e">
        <f aca="false" t="array" ref="EI191:EI191">INDEX(EH:EH,MIN(IF(ISNUMBER(EH191:EH387),ROW(EH191:EH387),"")))</f>
        <v>#N/A</v>
      </c>
      <c r="EJ191" s="118" t="n">
        <f aca="false">IF('Données projet'!$A$192&gt;35,EJ190+EI191-ER190,IF(A191&lt;'Données projet'!$A$192,$EG$205^A191,IF(A191='Données projet'!$A$192,'Données projet'!$B$192,EJ190+EI191-ER190)))</f>
        <v>0</v>
      </c>
      <c r="EK191" s="125" t="e">
        <f aca="false">EJ191*VLOOKUP('Données projet'!$B$15,Paramètres!$A$1:$I$89,3,0)*VLOOKUP('Données projet'!$B$15,Paramètres!$A$1:$I$89,5,0)</f>
        <v>#N/A</v>
      </c>
      <c r="EL191" s="117" t="e">
        <f aca="false">EXP(-1.0587+0.8836*LN(EK191)+0.284)</f>
        <v>#N/A</v>
      </c>
      <c r="EM191" s="128" t="e">
        <f aca="false">(EK191+EL191)*0.475*44/12</f>
        <v>#N/A</v>
      </c>
      <c r="EN191" s="120" t="e">
        <f aca="false">EM191+(EE191+EF191)*44/12</f>
        <v>#N/A</v>
      </c>
      <c r="EO191" s="120" t="e">
        <f aca="true">AVERAGE(OFFSET($EN$3,0,0,'Données projet'!$E$15+1,1))-AVERAGE(OFFSET($H$3,0,0,'Données projet'!$E$15+1,1))</f>
        <v>#N/A</v>
      </c>
      <c r="EP191" s="120" t="e">
        <f aca="false">$EP$3</f>
        <v>#N/A</v>
      </c>
      <c r="EQ191" s="121" t="n">
        <f aca="false">IF(ISNA(VLOOKUP(A191,'Données projet'!$A$191:$I$211,3,0)),0,VLOOKUP(A191,'Données projet'!$A$191:$I$211,3,0))</f>
        <v>0</v>
      </c>
      <c r="ER191" s="121" t="n">
        <f aca="false">IF(ISNA(VLOOKUP(A191,'Données projet'!$A$191:$I$211,4,0)),0,VLOOKUP(A191,'Données projet'!$A$191:$I$211,4,0))</f>
        <v>0</v>
      </c>
      <c r="ES191" s="122" t="n">
        <f aca="false">IF(ISNA(VLOOKUP(A191,'Données projet'!$A$191:$I$211,5,0)),0%,VLOOKUP(A191,'Données projet'!$A$191:$I$211,5,0)*VLOOKUP('Données projet'!$B$15,Paramètres!$A$1:$I$89,7,0))</f>
        <v>0</v>
      </c>
      <c r="ET191" s="122" t="n">
        <f aca="false">IF(ISNA(VLOOKUP(A191,'Données projet'!$A$191:$I$211,6,0)),0%,VLOOKUP(A191,'Données projet'!$A$191:$I$211,6,0)*VLOOKUP('Données projet'!$B$15,Paramètres!$A$1:$I$89,7,0))</f>
        <v>0</v>
      </c>
      <c r="EU191" s="122" t="n">
        <f aca="false">IF(ISNA(VLOOKUP(A191,'Données projet'!$A$191:$I$211,7,0)),0%,VLOOKUP(A191,'Données projet'!$A$191:$I$211,7,0))</f>
        <v>0</v>
      </c>
      <c r="EV191" s="129" t="e">
        <f aca="false">EXP(-LN(2)/35)*EV190+(1-EXP(-LN(2)/35))/(LN(2)/35)*ER191*ES191*VLOOKUP('Données projet'!$B$15,Paramètres!$A$1:$I$89,3,0)*0.475*44/12</f>
        <v>#N/A</v>
      </c>
      <c r="EW191" s="129" t="e">
        <f aca="false">EXP(-LN(2)/25)*EW190+(1-EXP(-LN(2)/25))/(LN(2)/25)*Calculateur!ER191*Calculateur!ET191*VLOOKUP('Données projet'!$B$15,Paramètres!$A$1:$I$89,3,0)*0.475*44/12</f>
        <v>#N/A</v>
      </c>
      <c r="EX191" s="129" t="e">
        <f aca="false">EXP(-LN(2)/2)*EX190+(1-EXP(-LN(2)/2))/(LN(2)/2)*ER191*EU191*VLOOKUP('Données projet'!$B$15,Paramètres!$A$1:$I$89,3,0)*0.475*44/12</f>
        <v>#N/A</v>
      </c>
      <c r="EY191" s="130" t="e">
        <f aca="false">SUM(EV191:EX191)</f>
        <v>#N/A</v>
      </c>
      <c r="EZ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8" t="e">
        <f aca="false">VLOOKUP(A191,'Données projet'!$A$217:$I$237,2,0)</f>
        <v>#N/A</v>
      </c>
      <c r="FC191" s="118" t="e">
        <f aca="false">VLOOKUP(A191,'Données projet'!$A$217:$I$237,9,0)</f>
        <v>#N/A</v>
      </c>
      <c r="FD191" s="118" t="e">
        <f aca="false" t="array" ref="FD191:FD191">INDEX(FC:FC,MIN(IF(ISNUMBER(FC191:FC387),ROW(FC191:FC387),"")))</f>
        <v>#N/A</v>
      </c>
      <c r="FE191" s="118" t="n">
        <f aca="false">IF('Données projet'!$A$218&gt;35,FE190+FD191-FM190,IF(A191&lt;'Données projet'!$A$218,$FB$205^A191,IF(A191='Données projet'!$A$218,'Données projet'!$B$218,FE190+FD191-FM190)))</f>
        <v>0</v>
      </c>
      <c r="FF191" s="125" t="e">
        <f aca="false">FE191*VLOOKUP('Données projet'!$B$16,Paramètres!$A$1:$I$89,3,0)*VLOOKUP('Données projet'!$B$16,Paramètres!$A$1:$I$89,5,0)</f>
        <v>#N/A</v>
      </c>
      <c r="FG191" s="117" t="e">
        <f aca="false">EXP(-1.0587+0.8836*LN(FF191)+0.284)</f>
        <v>#N/A</v>
      </c>
      <c r="FH191" s="128" t="e">
        <f aca="false">(FF191+FG191)*0.475*44/12</f>
        <v>#N/A</v>
      </c>
      <c r="FI191" s="120" t="e">
        <f aca="false">FH191+(EZ191+FA191)*44/12</f>
        <v>#N/A</v>
      </c>
      <c r="FJ191" s="120" t="e">
        <f aca="true">AVERAGE(OFFSET($FI$3,0,0,'Données projet'!$E$16+1,1))-AVERAGE(OFFSET($H$3,0,0,'Données projet'!$E$16+1,1))</f>
        <v>#N/A</v>
      </c>
      <c r="FK191" s="120" t="e">
        <f aca="false">$FK$3</f>
        <v>#N/A</v>
      </c>
      <c r="FL191" s="121" t="n">
        <f aca="false">IF(ISNA(VLOOKUP(A191,'Données projet'!$A$217:$I$237,3,0)),0,VLOOKUP(A191,'Données projet'!$A$217:$I$237,3,0))</f>
        <v>0</v>
      </c>
      <c r="FM191" s="121" t="n">
        <f aca="false">IF(ISNA(VLOOKUP(A191,'Données projet'!$A$217:$I$237,4,0)),0,VLOOKUP(A191,'Données projet'!$A$217:$I$237,4,0))</f>
        <v>0</v>
      </c>
      <c r="FN191" s="122" t="n">
        <f aca="false">IF(ISNA(VLOOKUP(A191,'Données projet'!$A$217:$I$237,5,0)),0%,VLOOKUP(A191,'Données projet'!$A$217:$I$237,5,0)*VLOOKUP('Données projet'!$B$16,Paramètres!$A$1:$I$89,7,0))</f>
        <v>0</v>
      </c>
      <c r="FO191" s="122" t="n">
        <f aca="false">IF(ISNA(VLOOKUP(A191,'Données projet'!$A$217:$I$237,6,0)),0%,VLOOKUP(A191,'Données projet'!$A$217:$I$237,6,0)*VLOOKUP('Données projet'!$B$16,Paramètres!$A$1:$I$89,7,0))</f>
        <v>0</v>
      </c>
      <c r="FP191" s="122" t="n">
        <f aca="false">IF(ISNA(VLOOKUP(A191,'Données projet'!$A$217:$I$237,7,0)),0%,VLOOKUP(A191,'Données projet'!$A$217:$I$237,7,0))</f>
        <v>0</v>
      </c>
      <c r="FQ191" s="129" t="e">
        <f aca="false">EXP(-LN(2)/35)*FQ190+(1-EXP(-LN(2)/35))/(LN(2)/35)*FM191*FN191*VLOOKUP('Données projet'!$B$16,Paramètres!$A$1:$I$89,3,0)*0.475*44/12</f>
        <v>#N/A</v>
      </c>
      <c r="FR191" s="129" t="e">
        <f aca="false">EXP(-LN(2)/25)*FR190+(1-EXP(-LN(2)/25))/(LN(2)/25)*Calculateur!FM191*Calculateur!FO191*VLOOKUP('Données projet'!$B$16,Paramètres!$A$1:$I$89,3,0)*0.475*44/12</f>
        <v>#N/A</v>
      </c>
      <c r="FS191" s="129" t="e">
        <f aca="false">EXP(-LN(2)/2)*FS190+(1-EXP(-LN(2)/2))/(LN(2)/2)*FM191*FP191*VLOOKUP('Données projet'!$B$16,Paramètres!$A$1:$I$89,3,0)*0.475*44/12</f>
        <v>#N/A</v>
      </c>
      <c r="FT191" s="130" t="e">
        <f aca="false">SUM(FQ191:FS191)</f>
        <v>#N/A</v>
      </c>
      <c r="FU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8" t="e">
        <f aca="false">VLOOKUP(A191,'Données projet'!$A$243:$I$263,2,0)</f>
        <v>#N/A</v>
      </c>
      <c r="FX191" s="118" t="e">
        <f aca="false">VLOOKUP(A191,'Données projet'!$A$243:$I$263,9,0)</f>
        <v>#N/A</v>
      </c>
      <c r="FY191" s="118" t="e">
        <f aca="false" t="array" ref="FY191:FY191">INDEX(FX:FX,MIN(IF(ISNUMBER(FX191:FX387),ROW(FX191:FX387),"")))</f>
        <v>#N/A</v>
      </c>
      <c r="FZ191" s="118" t="n">
        <f aca="false">IF('Données projet'!$A$244&gt;35,FZ190+FY191-GH190,IF(A191&lt;'Données projet'!$A$244,$FW$205^A191,IF(A191='Données projet'!$A$244,'Données projet'!$B$244,FZ190+FY191-GH190)))</f>
        <v>0</v>
      </c>
      <c r="GA191" s="125" t="e">
        <f aca="false">FZ191*VLOOKUP('Données projet'!$B$17,Paramètres!$A$1:$I$89,3,0)*VLOOKUP('Données projet'!$B$17,Paramètres!$A$1:$I$89,5,0)</f>
        <v>#N/A</v>
      </c>
      <c r="GB191" s="117" t="e">
        <f aca="false">EXP(-1.0587+0.8836*LN(GA191)+0.284)</f>
        <v>#N/A</v>
      </c>
      <c r="GC191" s="128" t="e">
        <f aca="false">(GA191+GB191)*0.475*44/12</f>
        <v>#N/A</v>
      </c>
      <c r="GD191" s="120" t="e">
        <f aca="false">GC191+(FU191+FV191)*44/12</f>
        <v>#N/A</v>
      </c>
      <c r="GE191" s="120" t="e">
        <f aca="true">AVERAGE(OFFSET($GD$3,0,0,'Données projet'!$E$17+1,1))-AVERAGE(OFFSET($H$3,0,0,'Données projet'!$E$17+1,1))</f>
        <v>#N/A</v>
      </c>
      <c r="GF191" s="120" t="e">
        <f aca="false">$GF$3</f>
        <v>#N/A</v>
      </c>
      <c r="GG191" s="121" t="n">
        <f aca="false">IF(ISNA(VLOOKUP(A191,'Données projet'!$A$243:$I$263,3,0)),0,VLOOKUP(A191,'Données projet'!$A$243:$I$263,3,0))</f>
        <v>0</v>
      </c>
      <c r="GH191" s="121" t="n">
        <f aca="false">IF(ISNA(VLOOKUP(A191,'Données projet'!$A$243:$I$263,4,0)),0,VLOOKUP(A191,'Données projet'!$A$243:$I$263,4,0))</f>
        <v>0</v>
      </c>
      <c r="GI191" s="122" t="n">
        <f aca="false">IF(ISNA(VLOOKUP(A191,'Données projet'!$A$243:$I$263,5,0)),0%,VLOOKUP(A191,'Données projet'!$A$243:$I$263,5,0)*VLOOKUP('Données projet'!$B$17,Paramètres!$A$1:$I$89,7,0))</f>
        <v>0</v>
      </c>
      <c r="GJ191" s="122" t="n">
        <f aca="false">IF(ISNA(VLOOKUP(A191,'Données projet'!$A$243:$I$263,6,0)),0%,VLOOKUP(A191,'Données projet'!$A$243:$I$263,6,0)*VLOOKUP('Données projet'!$B$17,Paramètres!$A$1:$I$89,7,0))</f>
        <v>0</v>
      </c>
      <c r="GK191" s="122" t="n">
        <f aca="false">IF(ISNA(VLOOKUP(A191,'Données projet'!$A$243:$I$263,7,0)),0%,VLOOKUP(A191,'Données projet'!$A$243:$I$263,7,0))</f>
        <v>0</v>
      </c>
      <c r="GL191" s="129" t="e">
        <f aca="false">EXP(-LN(2)/35)*GL190+(1-EXP(-LN(2)/35))/(LN(2)/35)*GH191*GI191*VLOOKUP('Données projet'!$B$17,Paramètres!$A$1:$I$89,3,0)*0.475*44/12</f>
        <v>#N/A</v>
      </c>
      <c r="GM191" s="129" t="e">
        <f aca="false">EXP(-LN(2)/25)*GM190+(1-EXP(-LN(2)/25))/(LN(2)/25)*Calculateur!GH191*Calculateur!GJ191*VLOOKUP('Données projet'!$B$17,Paramètres!$A$1:$I$89,3,0)*0.475*44/12</f>
        <v>#N/A</v>
      </c>
      <c r="GN191" s="129" t="e">
        <f aca="false">EXP(-LN(2)/2)*GN190+(1-EXP(-LN(2)/2))/(LN(2)/2)*GH191*GK191*VLOOKUP('Données projet'!$B$17,Paramètres!$A$1:$I$89,3,0)*0.475*44/12</f>
        <v>#N/A</v>
      </c>
      <c r="GO191" s="129" t="e">
        <f aca="false">SUM(GL191:GN191)</f>
        <v>#N/A</v>
      </c>
      <c r="GP191" s="126" t="n">
        <f aca="false"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8" t="n">
        <f aca="false"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8" t="e">
        <f aca="false">VLOOKUP(A191,'Données projet'!$A$269:$I$289,2,0)</f>
        <v>#N/A</v>
      </c>
      <c r="GS191" s="118" t="e">
        <f aca="false">VLOOKUP(A191,'Données projet'!$A$269:$I$289,9,0)</f>
        <v>#N/A</v>
      </c>
      <c r="GT191" s="118" t="e">
        <f aca="false" t="array" ref="GT191:GT191">INDEX(GS:GS,MIN(IF(ISNUMBER(GS191:GS387),ROW(GS191:GS387),"")))</f>
        <v>#N/A</v>
      </c>
      <c r="GU191" s="118" t="n">
        <f aca="false">IF('Données projet'!$A$270&gt;35,GU190+GT191-HC190,IF(A191&lt;'Données projet'!$A$270,$GR$205^A191,IF(A191='Données projet'!$A$270,'Données projet'!$B$270,GU190+GT191-HC190)))</f>
        <v>0</v>
      </c>
      <c r="GV191" s="125" t="e">
        <f aca="false">GU191*VLOOKUP('Données projet'!$B$18,Paramètres!$A$1:$I$89,3,0)*VLOOKUP('Données projet'!$B$18,Paramètres!$A$1:$I$89,5,0)</f>
        <v>#N/A</v>
      </c>
      <c r="GW191" s="117" t="e">
        <f aca="false">EXP(-1.0587+0.8836*LN(GV191)+0.284)</f>
        <v>#N/A</v>
      </c>
      <c r="GX191" s="128" t="e">
        <f aca="false">(GV191+GW191)*0.475*44/12</f>
        <v>#N/A</v>
      </c>
      <c r="GY191" s="120" t="e">
        <f aca="false">GX191+(GP191+GQ191)*44/12</f>
        <v>#N/A</v>
      </c>
      <c r="GZ191" s="120" t="e">
        <f aca="true">AVERAGE(OFFSET($GY$3,0,0,'Données projet'!$E$18+1,1))-AVERAGE(OFFSET($H$3,0,0,'Données projet'!$E$18+1,1))</f>
        <v>#N/A</v>
      </c>
      <c r="HA191" s="120" t="e">
        <f aca="false">$HA$3</f>
        <v>#N/A</v>
      </c>
      <c r="HB191" s="121" t="n">
        <f aca="false">IF(ISNA(VLOOKUP(A191,'Données projet'!$A$269:$I$289,3,0)),0,VLOOKUP(A191,'Données projet'!$A$269:$I$289,3,0))</f>
        <v>0</v>
      </c>
      <c r="HC191" s="121" t="n">
        <f aca="false">IF(ISNA(VLOOKUP(A191,'Données projet'!$A$269:$I$289,4,0)),0,VLOOKUP(A191,'Données projet'!$A$269:$I$289,4,0))</f>
        <v>0</v>
      </c>
      <c r="HD191" s="122" t="n">
        <f aca="false">IF(ISNA(VLOOKUP(A191,'Données projet'!$A$269:$I$289,5,0)),0%,VLOOKUP(A191,'Données projet'!$A$269:$I$289,5,0)*VLOOKUP('Données projet'!$B$18,Paramètres!$A$1:$I$89,7,0))</f>
        <v>0</v>
      </c>
      <c r="HE191" s="122" t="n">
        <f aca="false">IF(ISNA(VLOOKUP(A191,'Données projet'!$A$269:$I$289,6,0)),0%,VLOOKUP(A191,'Données projet'!$A$269:$I$289,6,0)*VLOOKUP('Données projet'!$B$18,Paramètres!$A$1:$I$89,7,0))</f>
        <v>0</v>
      </c>
      <c r="HF191" s="122" t="n">
        <f aca="false">IF(ISNA(VLOOKUP(A191,'Données projet'!$A$269:$I$289,7,0)),0%,VLOOKUP(A191,'Données projet'!$A$269:$I$289,7,0))</f>
        <v>0</v>
      </c>
      <c r="HG191" s="129" t="e">
        <f aca="false">EXP(-LN(2)/35)*HG190+(1-EXP(-LN(2)/35))/(LN(2)/35)*HC191*HD191*VLOOKUP('Données projet'!$B$18,Paramètres!$A$1:$I$89,3,0)*0.475*44/12</f>
        <v>#N/A</v>
      </c>
      <c r="HH191" s="129" t="e">
        <f aca="false">EXP(-LN(2)/25)*HH190+(1-EXP(-LN(2)/25))/(LN(2)/25)*Calculateur!HC191*Calculateur!HE191*VLOOKUP('Données projet'!$B$18,Paramètres!$A$1:$I$89,3,0)*0.475*44/12</f>
        <v>#N/A</v>
      </c>
      <c r="HI191" s="129" t="e">
        <f aca="false">EXP(-LN(2)/2)*HI190+(1-EXP(-LN(2)/2))/(LN(2)/2)*HC191*HF191*VLOOKUP('Données projet'!$B$18,Paramètres!$A$1:$I$89,3,0)*0.475*44/12</f>
        <v>#N/A</v>
      </c>
      <c r="HJ191" s="130" t="e">
        <f aca="false">SUM(HG191:HI191)</f>
        <v>#N/A</v>
      </c>
    </row>
    <row r="192" customFormat="false" ht="14.25" hidden="false" customHeight="false" outlineLevel="0" collapsed="false">
      <c r="A192" s="112" t="n">
        <f aca="false">A191+1</f>
        <v>189</v>
      </c>
      <c r="B192" s="113" t="n">
        <f aca="false">'Scénario référence'!$B$16*5+'Scénario référence'!$B$17*0+'Scénario référence'!$B$18*5</f>
        <v>0</v>
      </c>
      <c r="C192" s="127" t="n">
        <f aca="false"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4" t="n">
        <f aca="false">IFERROR(EXP(-1.0587+0.8836*LN(C192)+0.284),0)</f>
        <v>0</v>
      </c>
      <c r="E19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2" s="114" t="n">
        <f aca="false">IF(OR('Scénario référence'!$F$8&gt;0,'Scénario référence'!$F$9&gt;0),('Scénario référence'!$F$8+'Scénario référence'!$F$9)*10,0)</f>
        <v>0</v>
      </c>
      <c r="G192" s="114" t="n">
        <f aca="false"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15" t="n">
        <f aca="false">(B192+E192+F192)*44/12+(C192+D192)*0.475*44/12</f>
        <v>256.666666666667</v>
      </c>
      <c r="I192" s="11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7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8" t="e">
        <f aca="false">VLOOKUP(A192,'Données projet'!$A$35:$I$55,2,0)</f>
        <v>#N/A</v>
      </c>
      <c r="L192" s="118" t="e">
        <f aca="false">VLOOKUP(A192,'Données projet'!$A$35:$I$55,9,0)</f>
        <v>#N/A</v>
      </c>
      <c r="M192" s="118" t="e">
        <f aca="false" t="array" ref="M192:M192">INDEX(L:L,MIN(IF(ISNUMBER(L192:L388),ROW(L192:L388),"")))</f>
        <v>#N/A</v>
      </c>
      <c r="N192" s="117" t="n">
        <f aca="false">IF('Données projet'!$A$36&gt;35,N191+M192-V191,IF(A192&lt;'Données projet'!$A$36,$K$205^A192,IF(A192='Données projet'!$A$36,'Données projet'!$B$36,N191+M192-V191)))</f>
        <v>-1.13686837721616E-013</v>
      </c>
      <c r="O192" s="117" t="n">
        <f aca="false">N192*VLOOKUP('Données projet'!$B$9,Paramètres!$A$1:$I$89,3,0)*VLOOKUP('Données projet'!$B$9,Paramètres!$A$1:$I$89,5,0)</f>
        <v>-5.32054400537163E-014</v>
      </c>
      <c r="P192" s="117" t="e">
        <f aca="false">EXP(-1.0587+0.8836*LN(O192)+0.284)</f>
        <v>#VALUE!</v>
      </c>
      <c r="Q192" s="128" t="e">
        <f aca="false">(O192+P192)*0.475*44/12</f>
        <v>#VALUE!</v>
      </c>
      <c r="R192" s="120" t="e">
        <f aca="false">Q192+(I192+J192)*44/12</f>
        <v>#VALUE!</v>
      </c>
      <c r="S192" s="120" t="n">
        <f aca="true">AVERAGE(OFFSET($R$3,0,0,'Données projet'!$E$9+1,1))-AVERAGE(OFFSET($H$3,0,0,'Données projet'!$E$9+1,1))</f>
        <v>319.229030946746</v>
      </c>
      <c r="T192" s="120" t="n">
        <f aca="false">$T$3</f>
        <v>254.586909731428</v>
      </c>
      <c r="U192" s="121" t="n">
        <f aca="false">IF(ISNA(VLOOKUP(A192,'Données projet'!$A$35:$I$55,3,0)),0,VLOOKUP(A192,'Données projet'!$A$35:$I$55,3,0))</f>
        <v>0</v>
      </c>
      <c r="V192" s="121" t="n">
        <f aca="false">IF(ISNA(VLOOKUP(A192,'Données projet'!$A$35:$I$55,4,0)),0,VLOOKUP(A192,'Données projet'!$A$35:$I$55,4,0))</f>
        <v>0</v>
      </c>
      <c r="W192" s="122" t="n">
        <f aca="false">IF(ISNA(VLOOKUP(A192,'Données projet'!$A$35:$I$55,5,0)),0%,VLOOKUP(A192,'Données projet'!$A$35:$I$55,5,0)*VLOOKUP('Données projet'!$B$9,Paramètres!$A$1:$I$89,7,0))</f>
        <v>0</v>
      </c>
      <c r="X192" s="122" t="n">
        <f aca="false">IF(ISNA(VLOOKUP(A192,'Données projet'!$A$35:$I$55,6,0)),0%,VLOOKUP(A192,'Données projet'!$A$35:$I$55,6,0)*VLOOKUP('Données projet'!$B$9,Paramètres!$A$1:$I$89,7,0))</f>
        <v>0</v>
      </c>
      <c r="Y192" s="122" t="n">
        <f aca="false">IF(ISNA(VLOOKUP(A192,'Données projet'!$A$35:$I$55,7,0)),0%,VLOOKUP(A192,'Données projet'!$A$35:$I$55,7,0))</f>
        <v>0</v>
      </c>
      <c r="Z192" s="129" t="n">
        <f aca="false">EXP(-LN(2)/35)*Z191+(1-EXP(-LN(2)/35))/(LN(2)/35)*V192*W192*VLOOKUP('Données projet'!$B$9,Paramètres!$A$1:$I$89,3,0)*0.475*44/12</f>
        <v>0.389373345541712</v>
      </c>
      <c r="AA192" s="129" t="n">
        <f aca="false">EXP(-LN(2)/25)*AA191+(1-EXP(-LN(2)/25))/(LN(2)/25)*Calculateur!V192*Calculateur!X192*VLOOKUP('Données projet'!$B$9,Paramètres!$A$1:$I$89,3,0)*0.475*44/12</f>
        <v>0.135761152020263</v>
      </c>
      <c r="AB192" s="129" t="n">
        <f aca="false">EXP(-LN(2)/2)*AB191+(1-EXP(-LN(2)/2))/(LN(2)/2)*V192*Y192*VLOOKUP('Données projet'!$B$9,Paramètres!$A$1:$I$89,3,0)*0.475*44/12</f>
        <v>1.29183627691781E-023</v>
      </c>
      <c r="AC192" s="130" t="n">
        <f aca="false">SUM(Z192:AB192)</f>
        <v>0.525134497561975</v>
      </c>
      <c r="AD192" s="117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7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8" t="e">
        <f aca="false">VLOOKUP(A192,'Données projet'!$A$61:$I$81,2,0)</f>
        <v>#N/A</v>
      </c>
      <c r="AG192" s="118" t="e">
        <f aca="false">VLOOKUP(A192,'Données projet'!$A$61:$I$81,9,0)</f>
        <v>#N/A</v>
      </c>
      <c r="AH192" s="118" t="e">
        <f aca="false" t="array" ref="AH192:AH192">INDEX(AG:AG,MIN(IF(ISNUMBER(AG192:AG388),ROW(AG192:AG388),"")))</f>
        <v>#N/A</v>
      </c>
      <c r="AI192" s="117" t="n">
        <f aca="false">IF('Données projet'!$A$62&gt;35,AI191+AH192-AQ191,IF(A192&lt;'Données projet'!$A$62,$AF$205^A192,IF(A192='Données projet'!$A$62,'Données projet'!$B$62,AI191+AH192-AQ191)))</f>
        <v>1.13686837721616E-013</v>
      </c>
      <c r="AJ192" s="117" t="n">
        <f aca="false">AI192*VLOOKUP('Données projet'!$B$10,Paramètres!$A$1:$I$89,3,0)*VLOOKUP('Données projet'!$B$10,Paramètres!$A$1:$I$89,5,0)</f>
        <v>6.35509422863834E-014</v>
      </c>
      <c r="AK192" s="117" t="n">
        <f aca="false">EXP(-1.0587+0.8836*LN(AJ192)+0.284)</f>
        <v>1.0064464192544E-012</v>
      </c>
      <c r="AL192" s="128" t="n">
        <f aca="false">(AJ192+AK192)*0.475*44/12</f>
        <v>1.86357873801686E-012</v>
      </c>
      <c r="AM192" s="120" t="n">
        <f aca="false">AL192+(AD192+AE192)*44/12</f>
        <v>293.333333333335</v>
      </c>
      <c r="AN192" s="120" t="n">
        <f aca="true">AVERAGE(OFFSET($AM$3,0,0,'Données projet'!$E$10+1,1))-AVERAGE(OFFSET($H$3,0,0,'Données projet'!$E$10+1,1))</f>
        <v>365.705101827279</v>
      </c>
      <c r="AO192" s="120" t="n">
        <f aca="false">$AO$3</f>
        <v>436.238338449625</v>
      </c>
      <c r="AP192" s="121" t="n">
        <f aca="false">IF(ISNA(VLOOKUP(A192,'Données projet'!$A$61:$I$81,3,0)),0,VLOOKUP(A192,'Données projet'!$A$61:$I$81,3,0))</f>
        <v>0</v>
      </c>
      <c r="AQ192" s="121" t="n">
        <f aca="false">IF(ISNA(VLOOKUP(A192,'Données projet'!$A$61:$I$81,4,0)),0,VLOOKUP(A192,'Données projet'!$A$61:$I$81,4,0))</f>
        <v>0</v>
      </c>
      <c r="AR192" s="122" t="n">
        <f aca="false">IF(ISNA(VLOOKUP(A192,'Données projet'!$A$61:$I$81,5,0)),0%,VLOOKUP(A192,'Données projet'!$A$61:$I$81,5,0)*VLOOKUP('Données projet'!$B$10,Paramètres!$A$1:$I$89,7,0))</f>
        <v>0</v>
      </c>
      <c r="AS192" s="122" t="n">
        <f aca="false">IF(ISNA(VLOOKUP(A192,'Données projet'!$A$61:$I$81,6,0)),0%,VLOOKUP(A192,'Données projet'!$A$61:$I$81,6,0)*VLOOKUP('Données projet'!$B$10,Paramètres!$A$1:$I$89,7,0))</f>
        <v>0</v>
      </c>
      <c r="AT192" s="122" t="n">
        <f aca="false">IF(ISNA(VLOOKUP(A192,'Données projet'!$A$61:$I$81,7,0)),0%,VLOOKUP(A192,'Données projet'!$A$61:$I$81,7,0))</f>
        <v>0</v>
      </c>
      <c r="AU192" s="129" t="n">
        <f aca="false">EXP(-LN(2)/35)*AU191+(1-EXP(-LN(2)/35))/(LN(2)/35)*AQ192*AR192*VLOOKUP('Données projet'!$B$10,Paramètres!$A$1:$I$89,3,0)*0.475*44/12</f>
        <v>0.146975813909249</v>
      </c>
      <c r="AV192" s="129" t="n">
        <f aca="false">EXP(-LN(2)/25)*AV191+(1-EXP(-LN(2)/25))/(LN(2)/25)*Calculateur!AQ192*Calculateur!AS192*VLOOKUP('Données projet'!$B$10,Paramètres!$A$1:$I$89,3,0)*0.475*44/12</f>
        <v>0.160801743979223</v>
      </c>
      <c r="AW192" s="129" t="n">
        <f aca="false">EXP(-LN(2)/2)*AW191+(1-EXP(-LN(2)/2))/(LN(2)/2)*AQ192*AT192*VLOOKUP('Données projet'!$B$10,Paramètres!$A$1:$I$89,3,0)*0.475*44/12</f>
        <v>6.95225908207472E-024</v>
      </c>
      <c r="AX192" s="129" t="n">
        <f aca="false">SUM(AU192:AW192)</f>
        <v>0.307777557888471</v>
      </c>
      <c r="AY192" s="124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8" t="e">
        <f aca="false">VLOOKUP(A192,'Données projet'!$A$87:$I$107,2,0)</f>
        <v>#N/A</v>
      </c>
      <c r="BB192" s="118" t="e">
        <f aca="false">VLOOKUP(A192,'Données projet'!$A$87:$I$107,9,0)</f>
        <v>#N/A</v>
      </c>
      <c r="BC192" s="118" t="e">
        <f aca="false" t="array" ref="BC192:BC192">INDEX(BB:BB,MIN(IF(ISNUMBER(BB192:BB388),ROW(BB192:BB388),"")))</f>
        <v>#N/A</v>
      </c>
      <c r="BD192" s="118" t="n">
        <f aca="false">IF('Données projet'!$A$88&gt;35,BD191+BC192-BL191,IF(A192&lt;'Données projet'!$A$88,$BA$205^A192,IF(A192='Données projet'!$A$88,'Données projet'!$B$88,BD191+BC192-BL191)))</f>
        <v>1.98951966012828E-013</v>
      </c>
      <c r="BE192" s="117" t="n">
        <f aca="false">BD192*VLOOKUP('Données projet'!$B$11,Paramètres!$A$1:$I$89,3,0)*VLOOKUP('Données projet'!$B$11,Paramètres!$A$1:$I$89,5,0)</f>
        <v>1.73804437508807E-013</v>
      </c>
      <c r="BF192" s="117" t="n">
        <f aca="false">EXP(-1.0587+0.8836*LN(BE192)+0.284)</f>
        <v>2.44832936339505E-012</v>
      </c>
      <c r="BG192" s="128" t="n">
        <f aca="false">(BE192+BF192)*0.475*44/12</f>
        <v>4.56688303657421E-012</v>
      </c>
      <c r="BH192" s="120" t="n">
        <f aca="false">BG192+(AY192+AZ192)*44/12</f>
        <v>293.333333333338</v>
      </c>
      <c r="BI192" s="120" t="n">
        <f aca="true">AVERAGE(OFFSET($BH$3,0,0,'Données projet'!$E$11+1,1))-AVERAGE(OFFSET($H$3,0,0,'Données projet'!$E$11+1,1))</f>
        <v>321.235999689929</v>
      </c>
      <c r="BJ192" s="120" t="n">
        <f aca="false">$BJ$3</f>
        <v>388.051958478005</v>
      </c>
      <c r="BK192" s="121" t="n">
        <f aca="false">IF(ISNA(VLOOKUP(A192,'Données projet'!$A$87:$I$107,3,0)),0,VLOOKUP(A192,'Données projet'!$A$87:$I$107,3,0))</f>
        <v>0</v>
      </c>
      <c r="BL192" s="121" t="n">
        <f aca="false">IF(ISNA(VLOOKUP(A192,'Données projet'!$A$87:$I$107,4,0)),0,VLOOKUP(A192,'Données projet'!$A$87:$I$107,4,0))</f>
        <v>0</v>
      </c>
      <c r="BM192" s="122" t="n">
        <f aca="false">IF(ISNA(VLOOKUP(A192,'Données projet'!$A$87:$I$107,5,0)),0%,VLOOKUP(A192,'Données projet'!$A$87:$I$107,5,0)*VLOOKUP('Données projet'!$B$11,Paramètres!$A$1:$I$89,7,0))</f>
        <v>0</v>
      </c>
      <c r="BN192" s="122" t="n">
        <f aca="false">IF(ISNA(VLOOKUP(A192,'Données projet'!$A$87:$I$107,6,0)),0%,VLOOKUP(A192,'Données projet'!$A$87:$I$107,6,0)*VLOOKUP('Données projet'!$B$11,Paramètres!$A$1:$I$89,7,0))</f>
        <v>0</v>
      </c>
      <c r="BO192" s="122" t="n">
        <f aca="false">IF(ISNA(VLOOKUP(A192,'Données projet'!$A$87:$I$107,7,0)),0%,VLOOKUP(A192,'Données projet'!$A$87:$I$107,7,0))</f>
        <v>0</v>
      </c>
      <c r="BP192" s="129" t="n">
        <f aca="false">EXP(-LN(2)/35)*BP191+(1-EXP(-LN(2)/35))/(LN(2)/35)*BL192*BM192*VLOOKUP('Données projet'!$B$11,Paramètres!$A$1:$I$89,3,0)*0.475*44/12</f>
        <v>0.369000616620906</v>
      </c>
      <c r="BQ192" s="129" t="n">
        <f aca="false">EXP(-LN(2)/25)*BQ191+(1-EXP(-LN(2)/25))/(LN(2)/25)*Calculateur!BL192*Calculateur!BN192*VLOOKUP('Données projet'!$B$11,Paramètres!$A$1:$I$89,3,0)*0.475*44/12</f>
        <v>0.164136869220911</v>
      </c>
      <c r="BR192" s="129" t="n">
        <f aca="false">EXP(-LN(2)/2)*BR191+(1-EXP(-LN(2)/2))/(LN(2)/2)*BL192*BO192*VLOOKUP('Données projet'!$B$11,Paramètres!$A$1:$I$89,3,0)*0.475*44/12</f>
        <v>7.06682685182155E-024</v>
      </c>
      <c r="BS192" s="130" t="n">
        <f aca="false">SUM(BP192:BR192)</f>
        <v>0.533137485841817</v>
      </c>
      <c r="BT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8" t="e">
        <f aca="false">VLOOKUP(A192,'Données projet'!$A$113:$I$133,2,0)</f>
        <v>#N/A</v>
      </c>
      <c r="BW192" s="118" t="e">
        <f aca="false">VLOOKUP(A192,'Données projet'!$A$113:$I$133,9,0)</f>
        <v>#N/A</v>
      </c>
      <c r="BX192" s="118" t="e">
        <f aca="false" t="array" ref="BX192:BX192">INDEX(BW:BW,MIN(IF(ISNUMBER(BW192:BW388),ROW(BW192:BW388),"")))</f>
        <v>#N/A</v>
      </c>
      <c r="BY192" s="118" t="n">
        <f aca="false">IF('Données projet'!$A$114&gt;35,BY191+BX192-CG191,IF(A192&lt;'Données projet'!$A$114,$BV$205^A192,IF(A192='Données projet'!$A$114,'Données projet'!$B$114,BY191+BX192-CG191)))</f>
        <v>0</v>
      </c>
      <c r="BZ192" s="117" t="n">
        <f aca="false">BY192*VLOOKUP('Données projet'!$B$12,Paramètres!$A$1:$I$89,3,0)*VLOOKUP('Données projet'!$B$12,Paramètres!$A$1:$I$89,5,0)</f>
        <v>0</v>
      </c>
      <c r="CA192" s="117" t="e">
        <f aca="false">EXP(-1.0587+0.8836*LN(BZ192)+0.284)</f>
        <v>#VALUE!</v>
      </c>
      <c r="CB192" s="128" t="e">
        <f aca="false">(BZ192+CA192)*0.475*44/12</f>
        <v>#VALUE!</v>
      </c>
      <c r="CC192" s="120" t="e">
        <f aca="false">CB192+(BT192+BU192)*44/12</f>
        <v>#VALUE!</v>
      </c>
      <c r="CD192" s="120" t="n">
        <f aca="true">AVERAGE(OFFSET($CC$3,0,0,'Données projet'!$E$12+1,1))-AVERAGE(OFFSET($H$3,0,0,'Données projet'!$E$12+1,1))</f>
        <v>240.228848647662</v>
      </c>
      <c r="CE192" s="120" t="n">
        <f aca="false">$CE$3</f>
        <v>343.237768841432</v>
      </c>
      <c r="CF192" s="121" t="n">
        <f aca="false">IF(ISNA(VLOOKUP(A192,'Données projet'!$A$113:$I$133,3,0)),0,VLOOKUP(A192,'Données projet'!$A$113:$I$133,3,0))</f>
        <v>0</v>
      </c>
      <c r="CG192" s="121" t="n">
        <f aca="false">IF(ISNA(VLOOKUP(A192,'Données projet'!$A$113:$I$133,4,0)),0,VLOOKUP(A192,'Données projet'!$A$113:$I$133,4,0))</f>
        <v>0</v>
      </c>
      <c r="CH192" s="122" t="n">
        <f aca="false">IF(ISNA(VLOOKUP(A192,'Données projet'!$A$113:$I$133,5,0)),0%,VLOOKUP(A192,'Données projet'!$A$113:$I$133,5,0)*VLOOKUP('Données projet'!$B$12,Paramètres!$A$1:$I$89,7,0))</f>
        <v>0</v>
      </c>
      <c r="CI192" s="122" t="n">
        <f aca="false">IF(ISNA(VLOOKUP(A192,'Données projet'!$A$113:$I$133,6,0)),0%,VLOOKUP(A192,'Données projet'!$A$113:$I$133,6,0)*VLOOKUP('Données projet'!$B$12,Paramètres!$A$1:$I$89,7,0))</f>
        <v>0</v>
      </c>
      <c r="CJ192" s="122" t="n">
        <f aca="false">IF(ISNA(VLOOKUP(A192,'Données projet'!$A$113:$I$133,7,0)),0%,VLOOKUP(A192,'Données projet'!$A$113:$I$133,7,0))</f>
        <v>0</v>
      </c>
      <c r="CK192" s="129" t="n">
        <f aca="false">EXP(-LN(2)/35)*CK191+(1-EXP(-LN(2)/35))/(LN(2)/35)*CG192*CH192*VLOOKUP('Données projet'!$B$12,Paramètres!$A$1:$I$89,3,0)*0.475*44/12</f>
        <v>0.225857125089175</v>
      </c>
      <c r="CL192" s="129" t="n">
        <f aca="false">EXP(-LN(2)/25)*CL191+(1-EXP(-LN(2)/25))/(LN(2)/25)*Calculateur!CG192*Calculateur!CI192*VLOOKUP('Données projet'!$B$12,Paramètres!$A$1:$I$89,3,0)*0.475*44/12</f>
        <v>0.289875212908887</v>
      </c>
      <c r="CM192" s="129" t="n">
        <f aca="false">EXP(-LN(2)/2)*CM191+(1-EXP(-LN(2)/2))/(LN(2)/2)*CG192*CJ192*VLOOKUP('Données projet'!$B$12,Paramètres!$A$1:$I$89,3,0)*0.475*44/12</f>
        <v>1.12767716405484E-023</v>
      </c>
      <c r="CN192" s="130" t="n">
        <f aca="false">SUM(CK192:CM192)</f>
        <v>0.515732337998062</v>
      </c>
      <c r="CO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8" t="e">
        <f aca="false">VLOOKUP(A192,'Données projet'!$A$139:$I$159,2,0)</f>
        <v>#N/A</v>
      </c>
      <c r="CR192" s="118" t="e">
        <f aca="false">VLOOKUP(A192,'Données projet'!$A$139:$I$159,9,0)</f>
        <v>#N/A</v>
      </c>
      <c r="CS192" s="118" t="e">
        <f aca="false" t="array" ref="CS192:CS192">INDEX(CR:CR,MIN(IF(ISNUMBER(CR192:CR388),ROW(CR192:CR388),"")))</f>
        <v>#N/A</v>
      </c>
      <c r="CT192" s="118" t="n">
        <f aca="false">IF('Données projet'!$A$140&gt;35,CT191+CS192-DB191,IF(A192&lt;'Données projet'!$A$140,$CQ$205^A192,IF(A192='Données projet'!$A$140,'Données projet'!$B$140,CT191+CS192-DB191)))</f>
        <v>-5.6843418860808E-014</v>
      </c>
      <c r="CU192" s="125" t="n">
        <f aca="false">CT192*VLOOKUP('Données projet'!$B$13,Paramètres!$A$1:$I$89,3,0)*VLOOKUP('Données projet'!$B$13,Paramètres!$A$1:$I$89,5,0)</f>
        <v>-3.10365066980012E-014</v>
      </c>
      <c r="CV192" s="117" t="e">
        <f aca="false">EXP(-1.0587+0.8836*LN(CU192)+0.284)</f>
        <v>#VALUE!</v>
      </c>
      <c r="CW192" s="128" t="e">
        <f aca="false">(CU192+CV192)*0.475*44/12</f>
        <v>#VALUE!</v>
      </c>
      <c r="CX192" s="120" t="e">
        <f aca="false">CW192+(CO192+CP192)*44/12</f>
        <v>#VALUE!</v>
      </c>
      <c r="CY192" s="120" t="n">
        <f aca="true">AVERAGE(OFFSET($CX$3,0,0,'Données projet'!$E$13+1,1))-AVERAGE(OFFSET($H$3,0,0,'Données projet'!$E$13+1,1))</f>
        <v>207.023069645676</v>
      </c>
      <c r="CZ192" s="120" t="n">
        <f aca="false">$CZ$3</f>
        <v>342.068879333518</v>
      </c>
      <c r="DA192" s="121" t="n">
        <f aca="false">IF(ISNA(VLOOKUP(A192,'Données projet'!$A$139:$I$159,3,0)),0,VLOOKUP(A192,'Données projet'!$A$139:$I$159,3,0))</f>
        <v>0</v>
      </c>
      <c r="DB192" s="121" t="n">
        <f aca="false">IF(ISNA(VLOOKUP(A192,'Données projet'!$A$139:$I$159,4,0)),0,VLOOKUP(A192,'Données projet'!$A$139:$I$159,4,0))</f>
        <v>0</v>
      </c>
      <c r="DC192" s="122" t="n">
        <f aca="false">IF(ISNA(VLOOKUP(A192,'Données projet'!$A$139:$I$159,5,0)),0%,VLOOKUP(A192,'Données projet'!$A$139:$I$159,5,0)*VLOOKUP('Données projet'!$B$13,Paramètres!$A$1:$I$89,7,0))</f>
        <v>0</v>
      </c>
      <c r="DD192" s="122" t="n">
        <f aca="false">IF(ISNA(VLOOKUP(A192,'Données projet'!$A$139:$I$159,6,0)),0%,VLOOKUP(A192,'Données projet'!$A$139:$I$159,6,0)*VLOOKUP('Données projet'!$B$13,Paramètres!$A$1:$I$89,7,0))</f>
        <v>0</v>
      </c>
      <c r="DE192" s="122" t="n">
        <f aca="false">IF(ISNA(VLOOKUP(A192,'Données projet'!$A$139:$I$159,7,0)),0%,VLOOKUP(A192,'Données projet'!$A$139:$I$159,7,0))</f>
        <v>0</v>
      </c>
      <c r="DF192" s="129" t="n">
        <f aca="false">EXP(-LN(2)/35)*DF191+(1-EXP(-LN(2)/35))/(LN(2)/35)*DB192*DC192*VLOOKUP('Données projet'!$B$13,Paramètres!$A$1:$I$89,3,0)*0.475*44/12</f>
        <v>0.283386770159059</v>
      </c>
      <c r="DG192" s="129" t="n">
        <f aca="false">EXP(-LN(2)/25)*DG191+(1-EXP(-LN(2)/25))/(LN(2)/25)*Calculateur!DB192*Calculateur!DD192*VLOOKUP('Données projet'!$B$13,Paramètres!$A$1:$I$89,3,0)*0.475*44/12</f>
        <v>0.473825243318769</v>
      </c>
      <c r="DH192" s="129" t="n">
        <f aca="false">EXP(-LN(2)/2)*DH191+(1-EXP(-LN(2)/2))/(LN(2)/2)*DB192*DE192*VLOOKUP('Données projet'!$B$13,Paramètres!$A$1:$I$89,3,0)*0.475*44/12</f>
        <v>1.55281197772305E-023</v>
      </c>
      <c r="DI192" s="130" t="n">
        <f aca="false">SUM(DF192:DH192)</f>
        <v>0.757212013477828</v>
      </c>
      <c r="DJ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8" t="e">
        <f aca="false">VLOOKUP(A192,'Données projet'!$A$165:$I$185,2,0)</f>
        <v>#N/A</v>
      </c>
      <c r="DM192" s="118" t="e">
        <f aca="false">VLOOKUP(A192,'Données projet'!$A$165:$I$185,9,0)</f>
        <v>#N/A</v>
      </c>
      <c r="DN192" s="118" t="e">
        <f aca="false" t="array" ref="DN192:DN192">INDEX(DM:DM,MIN(IF(ISNUMBER(DM192:DM388),ROW(DM192:DM388),"")))</f>
        <v>#N/A</v>
      </c>
      <c r="DO192" s="118" t="n">
        <f aca="false">IF('Données projet'!$A$166&gt;35,DO191+DN192-DW191,IF(A192&lt;'Données projet'!$A$166,$DL$205^A192,IF(A192='Données projet'!$A$166,'Données projet'!$B$166,DO191+DN192-DW191)))</f>
        <v>0</v>
      </c>
      <c r="DP192" s="125" t="n">
        <f aca="false">DO192*VLOOKUP('Données projet'!$B$14,Paramètres!$A$1:$I$89,3,0)*VLOOKUP('Données projet'!$B$14,Paramètres!$A$1:$I$89,5,0)</f>
        <v>0</v>
      </c>
      <c r="DQ192" s="117" t="e">
        <f aca="false">EXP(-1.0587+0.8836*LN(DP192)+0.284)</f>
        <v>#VALUE!</v>
      </c>
      <c r="DR192" s="128" t="e">
        <f aca="false">(DP192+DQ192)*0.475*44/12</f>
        <v>#VALUE!</v>
      </c>
      <c r="DS192" s="120" t="e">
        <f aca="false">DR192+(DJ192+DK192)*44/12</f>
        <v>#VALUE!</v>
      </c>
      <c r="DT192" s="120" t="n">
        <f aca="true">AVERAGE(OFFSET($DS$3,0,0,'Données projet'!$E$14+1,1))-AVERAGE(OFFSET($H$3,0,0,'Données projet'!$E$14+1,1))</f>
        <v>549.432320957297</v>
      </c>
      <c r="DU192" s="120" t="n">
        <f aca="false">$DU$3</f>
        <v>280.26155987301</v>
      </c>
      <c r="DV192" s="121" t="n">
        <f aca="false">IF(ISNA(VLOOKUP(A192,'Données projet'!$A$165:$I$185,3,0)),0,VLOOKUP(A192,'Données projet'!$A$165:$I$185,3,0))</f>
        <v>0</v>
      </c>
      <c r="DW192" s="121" t="n">
        <f aca="false">IF(ISNA(VLOOKUP(A192,'Données projet'!$A$165:$I$185,4,0)),0,VLOOKUP(A192,'Données projet'!$A$165:$I$185,4,0))</f>
        <v>0</v>
      </c>
      <c r="DX192" s="122" t="n">
        <f aca="false">IF(ISNA(VLOOKUP(A192,'Données projet'!$A$165:$I$185,5,0)),0%,VLOOKUP(A192,'Données projet'!$A$165:$I$185,5,0)*VLOOKUP('Données projet'!$B$14,Paramètres!$A$1:$I$89,7,0))</f>
        <v>0</v>
      </c>
      <c r="DY192" s="122" t="n">
        <f aca="false">IF(ISNA(VLOOKUP(A192,'Données projet'!$A$165:$I$185,6,0)),0%,VLOOKUP(A192,'Données projet'!$A$165:$I$185,6,0)*VLOOKUP('Données projet'!$B$14,Paramètres!$A$1:$I$89,7,0))</f>
        <v>0</v>
      </c>
      <c r="DZ192" s="122" t="n">
        <f aca="false">IF(ISNA(VLOOKUP(A192,'Données projet'!$A$165:$I$185,7,0)),0%,VLOOKUP(A192,'Données projet'!$A$165:$I$185,7,0))</f>
        <v>0</v>
      </c>
      <c r="EA192" s="129" t="n">
        <f aca="false">EXP(-LN(2)/35)*EA191+(1-EXP(-LN(2)/35))/(LN(2)/35)*DW192*DX192*VLOOKUP('Données projet'!$B$14,Paramètres!$A$1:$I$89,3,0)*0.475*44/12</f>
        <v>0.103039113641168</v>
      </c>
      <c r="EB192" s="129" t="n">
        <f aca="false">EXP(-LN(2)/25)*EB191+(1-EXP(-LN(2)/25))/(LN(2)/25)*Calculateur!DW192*Calculateur!DY192*VLOOKUP('Données projet'!$B$14,Paramètres!$A$1:$I$89,3,0)*0.475*44/12</f>
        <v>0.0943953368768389</v>
      </c>
      <c r="EC192" s="129" t="n">
        <f aca="false">EXP(-LN(2)/2)*EC191+(1-EXP(-LN(2)/2))/(LN(2)/2)*DW192*DZ192*VLOOKUP('Données projet'!$B$14,Paramètres!$A$1:$I$89,3,0)*0.475*44/12</f>
        <v>7.15814313285885E-024</v>
      </c>
      <c r="ED192" s="130" t="n">
        <f aca="false">SUM(EA192:EC192)</f>
        <v>0.197434450518007</v>
      </c>
      <c r="EE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8" t="e">
        <f aca="false">VLOOKUP(A192,'Données projet'!$A$191:$I$211,2,0)</f>
        <v>#N/A</v>
      </c>
      <c r="EH192" s="118" t="e">
        <f aca="false">VLOOKUP(A192,'Données projet'!$A$191:$I$211,9,0)</f>
        <v>#N/A</v>
      </c>
      <c r="EI192" s="118" t="e">
        <f aca="false" t="array" ref="EI192:EI192">INDEX(EH:EH,MIN(IF(ISNUMBER(EH192:EH388),ROW(EH192:EH388),"")))</f>
        <v>#N/A</v>
      </c>
      <c r="EJ192" s="118" t="n">
        <f aca="false">IF('Données projet'!$A$192&gt;35,EJ191+EI192-ER191,IF(A192&lt;'Données projet'!$A$192,$EG$205^A192,IF(A192='Données projet'!$A$192,'Données projet'!$B$192,EJ191+EI192-ER191)))</f>
        <v>0</v>
      </c>
      <c r="EK192" s="125" t="e">
        <f aca="false">EJ192*VLOOKUP('Données projet'!$B$15,Paramètres!$A$1:$I$89,3,0)*VLOOKUP('Données projet'!$B$15,Paramètres!$A$1:$I$89,5,0)</f>
        <v>#N/A</v>
      </c>
      <c r="EL192" s="117" t="e">
        <f aca="false">EXP(-1.0587+0.8836*LN(EK192)+0.284)</f>
        <v>#N/A</v>
      </c>
      <c r="EM192" s="128" t="e">
        <f aca="false">(EK192+EL192)*0.475*44/12</f>
        <v>#N/A</v>
      </c>
      <c r="EN192" s="120" t="e">
        <f aca="false">EM192+(EE192+EF192)*44/12</f>
        <v>#N/A</v>
      </c>
      <c r="EO192" s="120" t="e">
        <f aca="true">AVERAGE(OFFSET($EN$3,0,0,'Données projet'!$E$15+1,1))-AVERAGE(OFFSET($H$3,0,0,'Données projet'!$E$15+1,1))</f>
        <v>#N/A</v>
      </c>
      <c r="EP192" s="120" t="e">
        <f aca="false">$EP$3</f>
        <v>#N/A</v>
      </c>
      <c r="EQ192" s="121" t="n">
        <f aca="false">IF(ISNA(VLOOKUP(A192,'Données projet'!$A$191:$I$211,3,0)),0,VLOOKUP(A192,'Données projet'!$A$191:$I$211,3,0))</f>
        <v>0</v>
      </c>
      <c r="ER192" s="121" t="n">
        <f aca="false">IF(ISNA(VLOOKUP(A192,'Données projet'!$A$191:$I$211,4,0)),0,VLOOKUP(A192,'Données projet'!$A$191:$I$211,4,0))</f>
        <v>0</v>
      </c>
      <c r="ES192" s="122" t="n">
        <f aca="false">IF(ISNA(VLOOKUP(A192,'Données projet'!$A$191:$I$211,5,0)),0%,VLOOKUP(A192,'Données projet'!$A$191:$I$211,5,0)*VLOOKUP('Données projet'!$B$15,Paramètres!$A$1:$I$89,7,0))</f>
        <v>0</v>
      </c>
      <c r="ET192" s="122" t="n">
        <f aca="false">IF(ISNA(VLOOKUP(A192,'Données projet'!$A$191:$I$211,6,0)),0%,VLOOKUP(A192,'Données projet'!$A$191:$I$211,6,0)*VLOOKUP('Données projet'!$B$15,Paramètres!$A$1:$I$89,7,0))</f>
        <v>0</v>
      </c>
      <c r="EU192" s="122" t="n">
        <f aca="false">IF(ISNA(VLOOKUP(A192,'Données projet'!$A$191:$I$211,7,0)),0%,VLOOKUP(A192,'Données projet'!$A$191:$I$211,7,0))</f>
        <v>0</v>
      </c>
      <c r="EV192" s="129" t="e">
        <f aca="false">EXP(-LN(2)/35)*EV191+(1-EXP(-LN(2)/35))/(LN(2)/35)*ER192*ES192*VLOOKUP('Données projet'!$B$15,Paramètres!$A$1:$I$89,3,0)*0.475*44/12</f>
        <v>#N/A</v>
      </c>
      <c r="EW192" s="129" t="e">
        <f aca="false">EXP(-LN(2)/25)*EW191+(1-EXP(-LN(2)/25))/(LN(2)/25)*Calculateur!ER192*Calculateur!ET192*VLOOKUP('Données projet'!$B$15,Paramètres!$A$1:$I$89,3,0)*0.475*44/12</f>
        <v>#N/A</v>
      </c>
      <c r="EX192" s="129" t="e">
        <f aca="false">EXP(-LN(2)/2)*EX191+(1-EXP(-LN(2)/2))/(LN(2)/2)*ER192*EU192*VLOOKUP('Données projet'!$B$15,Paramètres!$A$1:$I$89,3,0)*0.475*44/12</f>
        <v>#N/A</v>
      </c>
      <c r="EY192" s="130" t="e">
        <f aca="false">SUM(EV192:EX192)</f>
        <v>#N/A</v>
      </c>
      <c r="EZ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8" t="e">
        <f aca="false">VLOOKUP(A192,'Données projet'!$A$217:$I$237,2,0)</f>
        <v>#N/A</v>
      </c>
      <c r="FC192" s="118" t="e">
        <f aca="false">VLOOKUP(A192,'Données projet'!$A$217:$I$237,9,0)</f>
        <v>#N/A</v>
      </c>
      <c r="FD192" s="118" t="e">
        <f aca="false" t="array" ref="FD192:FD192">INDEX(FC:FC,MIN(IF(ISNUMBER(FC192:FC388),ROW(FC192:FC388),"")))</f>
        <v>#N/A</v>
      </c>
      <c r="FE192" s="118" t="n">
        <f aca="false">IF('Données projet'!$A$218&gt;35,FE191+FD192-FM191,IF(A192&lt;'Données projet'!$A$218,$FB$205^A192,IF(A192='Données projet'!$A$218,'Données projet'!$B$218,FE191+FD192-FM191)))</f>
        <v>0</v>
      </c>
      <c r="FF192" s="125" t="e">
        <f aca="false">FE192*VLOOKUP('Données projet'!$B$16,Paramètres!$A$1:$I$89,3,0)*VLOOKUP('Données projet'!$B$16,Paramètres!$A$1:$I$89,5,0)</f>
        <v>#N/A</v>
      </c>
      <c r="FG192" s="117" t="e">
        <f aca="false">EXP(-1.0587+0.8836*LN(FF192)+0.284)</f>
        <v>#N/A</v>
      </c>
      <c r="FH192" s="128" t="e">
        <f aca="false">(FF192+FG192)*0.475*44/12</f>
        <v>#N/A</v>
      </c>
      <c r="FI192" s="120" t="e">
        <f aca="false">FH192+(EZ192+FA192)*44/12</f>
        <v>#N/A</v>
      </c>
      <c r="FJ192" s="120" t="e">
        <f aca="true">AVERAGE(OFFSET($FI$3,0,0,'Données projet'!$E$16+1,1))-AVERAGE(OFFSET($H$3,0,0,'Données projet'!$E$16+1,1))</f>
        <v>#N/A</v>
      </c>
      <c r="FK192" s="120" t="e">
        <f aca="false">$FK$3</f>
        <v>#N/A</v>
      </c>
      <c r="FL192" s="121" t="n">
        <f aca="false">IF(ISNA(VLOOKUP(A192,'Données projet'!$A$217:$I$237,3,0)),0,VLOOKUP(A192,'Données projet'!$A$217:$I$237,3,0))</f>
        <v>0</v>
      </c>
      <c r="FM192" s="121" t="n">
        <f aca="false">IF(ISNA(VLOOKUP(A192,'Données projet'!$A$217:$I$237,4,0)),0,VLOOKUP(A192,'Données projet'!$A$217:$I$237,4,0))</f>
        <v>0</v>
      </c>
      <c r="FN192" s="122" t="n">
        <f aca="false">IF(ISNA(VLOOKUP(A192,'Données projet'!$A$217:$I$237,5,0)),0%,VLOOKUP(A192,'Données projet'!$A$217:$I$237,5,0)*VLOOKUP('Données projet'!$B$16,Paramètres!$A$1:$I$89,7,0))</f>
        <v>0</v>
      </c>
      <c r="FO192" s="122" t="n">
        <f aca="false">IF(ISNA(VLOOKUP(A192,'Données projet'!$A$217:$I$237,6,0)),0%,VLOOKUP(A192,'Données projet'!$A$217:$I$237,6,0)*VLOOKUP('Données projet'!$B$16,Paramètres!$A$1:$I$89,7,0))</f>
        <v>0</v>
      </c>
      <c r="FP192" s="122" t="n">
        <f aca="false">IF(ISNA(VLOOKUP(A192,'Données projet'!$A$217:$I$237,7,0)),0%,VLOOKUP(A192,'Données projet'!$A$217:$I$237,7,0))</f>
        <v>0</v>
      </c>
      <c r="FQ192" s="129" t="e">
        <f aca="false">EXP(-LN(2)/35)*FQ191+(1-EXP(-LN(2)/35))/(LN(2)/35)*FM192*FN192*VLOOKUP('Données projet'!$B$16,Paramètres!$A$1:$I$89,3,0)*0.475*44/12</f>
        <v>#N/A</v>
      </c>
      <c r="FR192" s="129" t="e">
        <f aca="false">EXP(-LN(2)/25)*FR191+(1-EXP(-LN(2)/25))/(LN(2)/25)*Calculateur!FM192*Calculateur!FO192*VLOOKUP('Données projet'!$B$16,Paramètres!$A$1:$I$89,3,0)*0.475*44/12</f>
        <v>#N/A</v>
      </c>
      <c r="FS192" s="129" t="e">
        <f aca="false">EXP(-LN(2)/2)*FS191+(1-EXP(-LN(2)/2))/(LN(2)/2)*FM192*FP192*VLOOKUP('Données projet'!$B$16,Paramètres!$A$1:$I$89,3,0)*0.475*44/12</f>
        <v>#N/A</v>
      </c>
      <c r="FT192" s="130" t="e">
        <f aca="false">SUM(FQ192:FS192)</f>
        <v>#N/A</v>
      </c>
      <c r="FU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8" t="e">
        <f aca="false">VLOOKUP(A192,'Données projet'!$A$243:$I$263,2,0)</f>
        <v>#N/A</v>
      </c>
      <c r="FX192" s="118" t="e">
        <f aca="false">VLOOKUP(A192,'Données projet'!$A$243:$I$263,9,0)</f>
        <v>#N/A</v>
      </c>
      <c r="FY192" s="118" t="e">
        <f aca="false" t="array" ref="FY192:FY192">INDEX(FX:FX,MIN(IF(ISNUMBER(FX192:FX388),ROW(FX192:FX388),"")))</f>
        <v>#N/A</v>
      </c>
      <c r="FZ192" s="118" t="n">
        <f aca="false">IF('Données projet'!$A$244&gt;35,FZ191+FY192-GH191,IF(A192&lt;'Données projet'!$A$244,$FW$205^A192,IF(A192='Données projet'!$A$244,'Données projet'!$B$244,FZ191+FY192-GH191)))</f>
        <v>0</v>
      </c>
      <c r="GA192" s="125" t="e">
        <f aca="false">FZ192*VLOOKUP('Données projet'!$B$17,Paramètres!$A$1:$I$89,3,0)*VLOOKUP('Données projet'!$B$17,Paramètres!$A$1:$I$89,5,0)</f>
        <v>#N/A</v>
      </c>
      <c r="GB192" s="117" t="e">
        <f aca="false">EXP(-1.0587+0.8836*LN(GA192)+0.284)</f>
        <v>#N/A</v>
      </c>
      <c r="GC192" s="128" t="e">
        <f aca="false">(GA192+GB192)*0.475*44/12</f>
        <v>#N/A</v>
      </c>
      <c r="GD192" s="120" t="e">
        <f aca="false">GC192+(FU192+FV192)*44/12</f>
        <v>#N/A</v>
      </c>
      <c r="GE192" s="120" t="e">
        <f aca="true">AVERAGE(OFFSET($GD$3,0,0,'Données projet'!$E$17+1,1))-AVERAGE(OFFSET($H$3,0,0,'Données projet'!$E$17+1,1))</f>
        <v>#N/A</v>
      </c>
      <c r="GF192" s="120" t="e">
        <f aca="false">$GF$3</f>
        <v>#N/A</v>
      </c>
      <c r="GG192" s="121" t="n">
        <f aca="false">IF(ISNA(VLOOKUP(A192,'Données projet'!$A$243:$I$263,3,0)),0,VLOOKUP(A192,'Données projet'!$A$243:$I$263,3,0))</f>
        <v>0</v>
      </c>
      <c r="GH192" s="121" t="n">
        <f aca="false">IF(ISNA(VLOOKUP(A192,'Données projet'!$A$243:$I$263,4,0)),0,VLOOKUP(A192,'Données projet'!$A$243:$I$263,4,0))</f>
        <v>0</v>
      </c>
      <c r="GI192" s="122" t="n">
        <f aca="false">IF(ISNA(VLOOKUP(A192,'Données projet'!$A$243:$I$263,5,0)),0%,VLOOKUP(A192,'Données projet'!$A$243:$I$263,5,0)*VLOOKUP('Données projet'!$B$17,Paramètres!$A$1:$I$89,7,0))</f>
        <v>0</v>
      </c>
      <c r="GJ192" s="122" t="n">
        <f aca="false">IF(ISNA(VLOOKUP(A192,'Données projet'!$A$243:$I$263,6,0)),0%,VLOOKUP(A192,'Données projet'!$A$243:$I$263,6,0)*VLOOKUP('Données projet'!$B$17,Paramètres!$A$1:$I$89,7,0))</f>
        <v>0</v>
      </c>
      <c r="GK192" s="122" t="n">
        <f aca="false">IF(ISNA(VLOOKUP(A192,'Données projet'!$A$243:$I$263,7,0)),0%,VLOOKUP(A192,'Données projet'!$A$243:$I$263,7,0))</f>
        <v>0</v>
      </c>
      <c r="GL192" s="129" t="e">
        <f aca="false">EXP(-LN(2)/35)*GL191+(1-EXP(-LN(2)/35))/(LN(2)/35)*GH192*GI192*VLOOKUP('Données projet'!$B$17,Paramètres!$A$1:$I$89,3,0)*0.475*44/12</f>
        <v>#N/A</v>
      </c>
      <c r="GM192" s="129" t="e">
        <f aca="false">EXP(-LN(2)/25)*GM191+(1-EXP(-LN(2)/25))/(LN(2)/25)*Calculateur!GH192*Calculateur!GJ192*VLOOKUP('Données projet'!$B$17,Paramètres!$A$1:$I$89,3,0)*0.475*44/12</f>
        <v>#N/A</v>
      </c>
      <c r="GN192" s="129" t="e">
        <f aca="false">EXP(-LN(2)/2)*GN191+(1-EXP(-LN(2)/2))/(LN(2)/2)*GH192*GK192*VLOOKUP('Données projet'!$B$17,Paramètres!$A$1:$I$89,3,0)*0.475*44/12</f>
        <v>#N/A</v>
      </c>
      <c r="GO192" s="129" t="e">
        <f aca="false">SUM(GL192:GN192)</f>
        <v>#N/A</v>
      </c>
      <c r="GP192" s="126" t="n">
        <f aca="false"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8" t="n">
        <f aca="false"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8" t="e">
        <f aca="false">VLOOKUP(A192,'Données projet'!$A$269:$I$289,2,0)</f>
        <v>#N/A</v>
      </c>
      <c r="GS192" s="118" t="e">
        <f aca="false">VLOOKUP(A192,'Données projet'!$A$269:$I$289,9,0)</f>
        <v>#N/A</v>
      </c>
      <c r="GT192" s="118" t="e">
        <f aca="false" t="array" ref="GT192:GT192">INDEX(GS:GS,MIN(IF(ISNUMBER(GS192:GS388),ROW(GS192:GS388),"")))</f>
        <v>#N/A</v>
      </c>
      <c r="GU192" s="118" t="n">
        <f aca="false">IF('Données projet'!$A$270&gt;35,GU191+GT192-HC191,IF(A192&lt;'Données projet'!$A$270,$GR$205^A192,IF(A192='Données projet'!$A$270,'Données projet'!$B$270,GU191+GT192-HC191)))</f>
        <v>0</v>
      </c>
      <c r="GV192" s="125" t="e">
        <f aca="false">GU192*VLOOKUP('Données projet'!$B$18,Paramètres!$A$1:$I$89,3,0)*VLOOKUP('Données projet'!$B$18,Paramètres!$A$1:$I$89,5,0)</f>
        <v>#N/A</v>
      </c>
      <c r="GW192" s="117" t="e">
        <f aca="false">EXP(-1.0587+0.8836*LN(GV192)+0.284)</f>
        <v>#N/A</v>
      </c>
      <c r="GX192" s="128" t="e">
        <f aca="false">(GV192+GW192)*0.475*44/12</f>
        <v>#N/A</v>
      </c>
      <c r="GY192" s="120" t="e">
        <f aca="false">GX192+(GP192+GQ192)*44/12</f>
        <v>#N/A</v>
      </c>
      <c r="GZ192" s="120" t="e">
        <f aca="true">AVERAGE(OFFSET($GY$3,0,0,'Données projet'!$E$18+1,1))-AVERAGE(OFFSET($H$3,0,0,'Données projet'!$E$18+1,1))</f>
        <v>#N/A</v>
      </c>
      <c r="HA192" s="120" t="e">
        <f aca="false">$HA$3</f>
        <v>#N/A</v>
      </c>
      <c r="HB192" s="121" t="n">
        <f aca="false">IF(ISNA(VLOOKUP(A192,'Données projet'!$A$269:$I$289,3,0)),0,VLOOKUP(A192,'Données projet'!$A$269:$I$289,3,0))</f>
        <v>0</v>
      </c>
      <c r="HC192" s="121" t="n">
        <f aca="false">IF(ISNA(VLOOKUP(A192,'Données projet'!$A$269:$I$289,4,0)),0,VLOOKUP(A192,'Données projet'!$A$269:$I$289,4,0))</f>
        <v>0</v>
      </c>
      <c r="HD192" s="122" t="n">
        <f aca="false">IF(ISNA(VLOOKUP(A192,'Données projet'!$A$269:$I$289,5,0)),0%,VLOOKUP(A192,'Données projet'!$A$269:$I$289,5,0)*VLOOKUP('Données projet'!$B$18,Paramètres!$A$1:$I$89,7,0))</f>
        <v>0</v>
      </c>
      <c r="HE192" s="122" t="n">
        <f aca="false">IF(ISNA(VLOOKUP(A192,'Données projet'!$A$269:$I$289,6,0)),0%,VLOOKUP(A192,'Données projet'!$A$269:$I$289,6,0)*VLOOKUP('Données projet'!$B$18,Paramètres!$A$1:$I$89,7,0))</f>
        <v>0</v>
      </c>
      <c r="HF192" s="122" t="n">
        <f aca="false">IF(ISNA(VLOOKUP(A192,'Données projet'!$A$269:$I$289,7,0)),0%,VLOOKUP(A192,'Données projet'!$A$269:$I$289,7,0))</f>
        <v>0</v>
      </c>
      <c r="HG192" s="129" t="e">
        <f aca="false">EXP(-LN(2)/35)*HG191+(1-EXP(-LN(2)/35))/(LN(2)/35)*HC192*HD192*VLOOKUP('Données projet'!$B$18,Paramètres!$A$1:$I$89,3,0)*0.475*44/12</f>
        <v>#N/A</v>
      </c>
      <c r="HH192" s="129" t="e">
        <f aca="false">EXP(-LN(2)/25)*HH191+(1-EXP(-LN(2)/25))/(LN(2)/25)*Calculateur!HC192*Calculateur!HE192*VLOOKUP('Données projet'!$B$18,Paramètres!$A$1:$I$89,3,0)*0.475*44/12</f>
        <v>#N/A</v>
      </c>
      <c r="HI192" s="129" t="e">
        <f aca="false">EXP(-LN(2)/2)*HI191+(1-EXP(-LN(2)/2))/(LN(2)/2)*HC192*HF192*VLOOKUP('Données projet'!$B$18,Paramètres!$A$1:$I$89,3,0)*0.475*44/12</f>
        <v>#N/A</v>
      </c>
      <c r="HJ192" s="130" t="e">
        <f aca="false">SUM(HG192:HI192)</f>
        <v>#N/A</v>
      </c>
    </row>
    <row r="193" customFormat="false" ht="14.25" hidden="false" customHeight="false" outlineLevel="0" collapsed="false">
      <c r="A193" s="112" t="n">
        <f aca="false">A192+1</f>
        <v>190</v>
      </c>
      <c r="B193" s="113" t="n">
        <f aca="false">'Scénario référence'!$B$16*5+'Scénario référence'!$B$17*0+'Scénario référence'!$B$18*5</f>
        <v>0</v>
      </c>
      <c r="C193" s="127" t="n">
        <f aca="false"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4" t="n">
        <f aca="false">IFERROR(EXP(-1.0587+0.8836*LN(C193)+0.284),0)</f>
        <v>0</v>
      </c>
      <c r="E19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3" s="114" t="n">
        <f aca="false">IF(OR('Scénario référence'!$F$8&gt;0,'Scénario référence'!$F$9&gt;0),('Scénario référence'!$F$8+'Scénario référence'!$F$9)*10,0)</f>
        <v>0</v>
      </c>
      <c r="G193" s="114" t="n">
        <f aca="false"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15" t="n">
        <f aca="false">(B193+E193+F193)*44/12+(C193+D193)*0.475*44/12</f>
        <v>256.666666666667</v>
      </c>
      <c r="I193" s="11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7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8" t="e">
        <f aca="false">VLOOKUP(A193,'Données projet'!$A$35:$I$55,2,0)</f>
        <v>#N/A</v>
      </c>
      <c r="L193" s="118" t="e">
        <f aca="false">VLOOKUP(A193,'Données projet'!$A$35:$I$55,9,0)</f>
        <v>#N/A</v>
      </c>
      <c r="M193" s="118" t="e">
        <f aca="false" t="array" ref="M193:M193">INDEX(L:L,MIN(IF(ISNUMBER(L193:L389),ROW(L193:L389),"")))</f>
        <v>#N/A</v>
      </c>
      <c r="N193" s="117" t="n">
        <f aca="false">IF('Données projet'!$A$36&gt;35,N192+M193-V192,IF(A193&lt;'Données projet'!$A$36,$K$205^A193,IF(A193='Données projet'!$A$36,'Données projet'!$B$36,N192+M193-V192)))</f>
        <v>-1.13686837721616E-013</v>
      </c>
      <c r="O193" s="117" t="n">
        <f aca="false">N193*VLOOKUP('Données projet'!$B$9,Paramètres!$A$1:$I$89,3,0)*VLOOKUP('Données projet'!$B$9,Paramètres!$A$1:$I$89,5,0)</f>
        <v>-5.32054400537163E-014</v>
      </c>
      <c r="P193" s="117" t="e">
        <f aca="false">EXP(-1.0587+0.8836*LN(O193)+0.284)</f>
        <v>#VALUE!</v>
      </c>
      <c r="Q193" s="128" t="e">
        <f aca="false">(O193+P193)*0.475*44/12</f>
        <v>#VALUE!</v>
      </c>
      <c r="R193" s="120" t="e">
        <f aca="false">Q193+(I193+J193)*44/12</f>
        <v>#VALUE!</v>
      </c>
      <c r="S193" s="120" t="n">
        <f aca="true">AVERAGE(OFFSET($R$3,0,0,'Données projet'!$E$9+1,1))-AVERAGE(OFFSET($H$3,0,0,'Données projet'!$E$9+1,1))</f>
        <v>319.229030946746</v>
      </c>
      <c r="T193" s="120" t="n">
        <f aca="false">$T$3</f>
        <v>254.586909731428</v>
      </c>
      <c r="U193" s="121" t="n">
        <f aca="false">IF(ISNA(VLOOKUP(A193,'Données projet'!$A$35:$I$55,3,0)),0,VLOOKUP(A193,'Données projet'!$A$35:$I$55,3,0))</f>
        <v>0</v>
      </c>
      <c r="V193" s="121" t="n">
        <f aca="false">IF(ISNA(VLOOKUP(A193,'Données projet'!$A$35:$I$55,4,0)),0,VLOOKUP(A193,'Données projet'!$A$35:$I$55,4,0))</f>
        <v>0</v>
      </c>
      <c r="W193" s="122" t="n">
        <f aca="false">IF(ISNA(VLOOKUP(A193,'Données projet'!$A$35:$I$55,5,0)),0%,VLOOKUP(A193,'Données projet'!$A$35:$I$55,5,0)*VLOOKUP('Données projet'!$B$9,Paramètres!$A$1:$I$89,7,0))</f>
        <v>0</v>
      </c>
      <c r="X193" s="122" t="n">
        <f aca="false">IF(ISNA(VLOOKUP(A193,'Données projet'!$A$35:$I$55,6,0)),0%,VLOOKUP(A193,'Données projet'!$A$35:$I$55,6,0)*VLOOKUP('Données projet'!$B$9,Paramètres!$A$1:$I$89,7,0))</f>
        <v>0</v>
      </c>
      <c r="Y193" s="122" t="n">
        <f aca="false">IF(ISNA(VLOOKUP(A193,'Données projet'!$A$35:$I$55,7,0)),0%,VLOOKUP(A193,'Données projet'!$A$35:$I$55,7,0))</f>
        <v>0</v>
      </c>
      <c r="Z193" s="129" t="n">
        <f aca="false">EXP(-LN(2)/35)*Z192+(1-EXP(-LN(2)/35))/(LN(2)/35)*V193*W193*VLOOKUP('Données projet'!$B$9,Paramètres!$A$1:$I$89,3,0)*0.475*44/12</f>
        <v>0.381737971729929</v>
      </c>
      <c r="AA193" s="129" t="n">
        <f aca="false">EXP(-LN(2)/25)*AA192+(1-EXP(-LN(2)/25))/(LN(2)/25)*Calculateur!V193*Calculateur!X193*VLOOKUP('Données projet'!$B$9,Paramètres!$A$1:$I$89,3,0)*0.475*44/12</f>
        <v>0.1320487561789</v>
      </c>
      <c r="AB193" s="129" t="n">
        <f aca="false">EXP(-LN(2)/2)*AB192+(1-EXP(-LN(2)/2))/(LN(2)/2)*V193*Y193*VLOOKUP('Données projet'!$B$9,Paramètres!$A$1:$I$89,3,0)*0.475*44/12</f>
        <v>9.13466191591369E-024</v>
      </c>
      <c r="AC193" s="130" t="n">
        <f aca="false">SUM(Z193:AB193)</f>
        <v>0.513786727908829</v>
      </c>
      <c r="AD193" s="117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7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8" t="e">
        <f aca="false">VLOOKUP(A193,'Données projet'!$A$61:$I$81,2,0)</f>
        <v>#N/A</v>
      </c>
      <c r="AG193" s="118" t="e">
        <f aca="false">VLOOKUP(A193,'Données projet'!$A$61:$I$81,9,0)</f>
        <v>#N/A</v>
      </c>
      <c r="AH193" s="118" t="e">
        <f aca="false" t="array" ref="AH193:AH193">INDEX(AG:AG,MIN(IF(ISNUMBER(AG193:AG389),ROW(AG193:AG389),"")))</f>
        <v>#N/A</v>
      </c>
      <c r="AI193" s="117" t="n">
        <f aca="false">IF('Données projet'!$A$62&gt;35,AI192+AH193-AQ192,IF(A193&lt;'Données projet'!$A$62,$AF$205^A193,IF(A193='Données projet'!$A$62,'Données projet'!$B$62,AI192+AH193-AQ192)))</f>
        <v>1.13686837721616E-013</v>
      </c>
      <c r="AJ193" s="117" t="n">
        <f aca="false">AI193*VLOOKUP('Données projet'!$B$10,Paramètres!$A$1:$I$89,3,0)*VLOOKUP('Données projet'!$B$10,Paramètres!$A$1:$I$89,5,0)</f>
        <v>6.35509422863834E-014</v>
      </c>
      <c r="AK193" s="117" t="n">
        <f aca="false">EXP(-1.0587+0.8836*LN(AJ193)+0.284)</f>
        <v>1.0064464192544E-012</v>
      </c>
      <c r="AL193" s="128" t="n">
        <f aca="false">(AJ193+AK193)*0.475*44/12</f>
        <v>1.86357873801686E-012</v>
      </c>
      <c r="AM193" s="120" t="n">
        <f aca="false">AL193+(AD193+AE193)*44/12</f>
        <v>293.333333333335</v>
      </c>
      <c r="AN193" s="120" t="n">
        <f aca="true">AVERAGE(OFFSET($AM$3,0,0,'Données projet'!$E$10+1,1))-AVERAGE(OFFSET($H$3,0,0,'Données projet'!$E$10+1,1))</f>
        <v>365.705101827279</v>
      </c>
      <c r="AO193" s="120" t="n">
        <f aca="false">$AO$3</f>
        <v>436.238338449625</v>
      </c>
      <c r="AP193" s="121" t="n">
        <f aca="false">IF(ISNA(VLOOKUP(A193,'Données projet'!$A$61:$I$81,3,0)),0,VLOOKUP(A193,'Données projet'!$A$61:$I$81,3,0))</f>
        <v>0</v>
      </c>
      <c r="AQ193" s="121" t="n">
        <f aca="false">IF(ISNA(VLOOKUP(A193,'Données projet'!$A$61:$I$81,4,0)),0,VLOOKUP(A193,'Données projet'!$A$61:$I$81,4,0))</f>
        <v>0</v>
      </c>
      <c r="AR193" s="122" t="n">
        <f aca="false">IF(ISNA(VLOOKUP(A193,'Données projet'!$A$61:$I$81,5,0)),0%,VLOOKUP(A193,'Données projet'!$A$61:$I$81,5,0)*VLOOKUP('Données projet'!$B$10,Paramètres!$A$1:$I$89,7,0))</f>
        <v>0</v>
      </c>
      <c r="AS193" s="122" t="n">
        <f aca="false">IF(ISNA(VLOOKUP(A193,'Données projet'!$A$61:$I$81,6,0)),0%,VLOOKUP(A193,'Données projet'!$A$61:$I$81,6,0)*VLOOKUP('Données projet'!$B$10,Paramètres!$A$1:$I$89,7,0))</f>
        <v>0</v>
      </c>
      <c r="AT193" s="122" t="n">
        <f aca="false">IF(ISNA(VLOOKUP(A193,'Données projet'!$A$61:$I$81,7,0)),0%,VLOOKUP(A193,'Données projet'!$A$61:$I$81,7,0))</f>
        <v>0</v>
      </c>
      <c r="AU193" s="129" t="n">
        <f aca="false">EXP(-LN(2)/35)*AU192+(1-EXP(-LN(2)/35))/(LN(2)/35)*AQ193*AR193*VLOOKUP('Données projet'!$B$10,Paramètres!$A$1:$I$89,3,0)*0.475*44/12</f>
        <v>0.144093707844883</v>
      </c>
      <c r="AV193" s="129" t="n">
        <f aca="false">EXP(-LN(2)/25)*AV192+(1-EXP(-LN(2)/25))/(LN(2)/25)*Calculateur!AQ193*Calculateur!AS193*VLOOKUP('Données projet'!$B$10,Paramètres!$A$1:$I$89,3,0)*0.475*44/12</f>
        <v>0.156404611833915</v>
      </c>
      <c r="AW193" s="129" t="n">
        <f aca="false">EXP(-LN(2)/2)*AW192+(1-EXP(-LN(2)/2))/(LN(2)/2)*AQ193*AT193*VLOOKUP('Données projet'!$B$10,Paramètres!$A$1:$I$89,3,0)*0.475*44/12</f>
        <v>4.91598954150079E-024</v>
      </c>
      <c r="AX193" s="129" t="n">
        <f aca="false">SUM(AU193:AW193)</f>
        <v>0.300498319678798</v>
      </c>
      <c r="AY193" s="124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8" t="e">
        <f aca="false">VLOOKUP(A193,'Données projet'!$A$87:$I$107,2,0)</f>
        <v>#N/A</v>
      </c>
      <c r="BB193" s="118" t="e">
        <f aca="false">VLOOKUP(A193,'Données projet'!$A$87:$I$107,9,0)</f>
        <v>#N/A</v>
      </c>
      <c r="BC193" s="118" t="e">
        <f aca="false" t="array" ref="BC193:BC193">INDEX(BB:BB,MIN(IF(ISNUMBER(BB193:BB389),ROW(BB193:BB389),"")))</f>
        <v>#N/A</v>
      </c>
      <c r="BD193" s="118" t="n">
        <f aca="false">IF('Données projet'!$A$88&gt;35,BD192+BC193-BL192,IF(A193&lt;'Données projet'!$A$88,$BA$205^A193,IF(A193='Données projet'!$A$88,'Données projet'!$B$88,BD192+BC193-BL192)))</f>
        <v>1.98951966012828E-013</v>
      </c>
      <c r="BE193" s="117" t="n">
        <f aca="false">BD193*VLOOKUP('Données projet'!$B$11,Paramètres!$A$1:$I$89,3,0)*VLOOKUP('Données projet'!$B$11,Paramètres!$A$1:$I$89,5,0)</f>
        <v>1.73804437508807E-013</v>
      </c>
      <c r="BF193" s="117" t="n">
        <f aca="false">EXP(-1.0587+0.8836*LN(BE193)+0.284)</f>
        <v>2.44832936339505E-012</v>
      </c>
      <c r="BG193" s="128" t="n">
        <f aca="false">(BE193+BF193)*0.475*44/12</f>
        <v>4.56688303657421E-012</v>
      </c>
      <c r="BH193" s="120" t="n">
        <f aca="false">BG193+(AY193+AZ193)*44/12</f>
        <v>293.333333333338</v>
      </c>
      <c r="BI193" s="120" t="n">
        <f aca="true">AVERAGE(OFFSET($BH$3,0,0,'Données projet'!$E$11+1,1))-AVERAGE(OFFSET($H$3,0,0,'Données projet'!$E$11+1,1))</f>
        <v>321.235999689929</v>
      </c>
      <c r="BJ193" s="120" t="n">
        <f aca="false">$BJ$3</f>
        <v>388.051958478005</v>
      </c>
      <c r="BK193" s="121" t="n">
        <f aca="false">IF(ISNA(VLOOKUP(A193,'Données projet'!$A$87:$I$107,3,0)),0,VLOOKUP(A193,'Données projet'!$A$87:$I$107,3,0))</f>
        <v>0</v>
      </c>
      <c r="BL193" s="121" t="n">
        <f aca="false">IF(ISNA(VLOOKUP(A193,'Données projet'!$A$87:$I$107,4,0)),0,VLOOKUP(A193,'Données projet'!$A$87:$I$107,4,0))</f>
        <v>0</v>
      </c>
      <c r="BM193" s="122" t="n">
        <f aca="false">IF(ISNA(VLOOKUP(A193,'Données projet'!$A$87:$I$107,5,0)),0%,VLOOKUP(A193,'Données projet'!$A$87:$I$107,5,0)*VLOOKUP('Données projet'!$B$11,Paramètres!$A$1:$I$89,7,0))</f>
        <v>0</v>
      </c>
      <c r="BN193" s="122" t="n">
        <f aca="false">IF(ISNA(VLOOKUP(A193,'Données projet'!$A$87:$I$107,6,0)),0%,VLOOKUP(A193,'Données projet'!$A$87:$I$107,6,0)*VLOOKUP('Données projet'!$B$11,Paramètres!$A$1:$I$89,7,0))</f>
        <v>0</v>
      </c>
      <c r="BO193" s="122" t="n">
        <f aca="false">IF(ISNA(VLOOKUP(A193,'Données projet'!$A$87:$I$107,7,0)),0%,VLOOKUP(A193,'Données projet'!$A$87:$I$107,7,0))</f>
        <v>0</v>
      </c>
      <c r="BP193" s="129" t="n">
        <f aca="false">EXP(-LN(2)/35)*BP192+(1-EXP(-LN(2)/35))/(LN(2)/35)*BL193*BM193*VLOOKUP('Données projet'!$B$11,Paramètres!$A$1:$I$89,3,0)*0.475*44/12</f>
        <v>0.361764739597123</v>
      </c>
      <c r="BQ193" s="129" t="n">
        <f aca="false">EXP(-LN(2)/25)*BQ192+(1-EXP(-LN(2)/25))/(LN(2)/25)*Calculateur!BL193*Calculateur!BN193*VLOOKUP('Données projet'!$B$11,Paramètres!$A$1:$I$89,3,0)*0.475*44/12</f>
        <v>0.159648537900482</v>
      </c>
      <c r="BR193" s="129" t="n">
        <f aca="false">EXP(-LN(2)/2)*BR192+(1-EXP(-LN(2)/2))/(LN(2)/2)*BL193*BO193*VLOOKUP('Données projet'!$B$11,Paramètres!$A$1:$I$89,3,0)*0.475*44/12</f>
        <v>4.9970011883942E-024</v>
      </c>
      <c r="BS193" s="130" t="n">
        <f aca="false">SUM(BP193:BR193)</f>
        <v>0.521413277497605</v>
      </c>
      <c r="BT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8" t="e">
        <f aca="false">VLOOKUP(A193,'Données projet'!$A$113:$I$133,2,0)</f>
        <v>#N/A</v>
      </c>
      <c r="BW193" s="118" t="e">
        <f aca="false">VLOOKUP(A193,'Données projet'!$A$113:$I$133,9,0)</f>
        <v>#N/A</v>
      </c>
      <c r="BX193" s="118" t="e">
        <f aca="false" t="array" ref="BX193:BX193">INDEX(BW:BW,MIN(IF(ISNUMBER(BW193:BW389),ROW(BW193:BW389),"")))</f>
        <v>#N/A</v>
      </c>
      <c r="BY193" s="118" t="n">
        <f aca="false">IF('Données projet'!$A$114&gt;35,BY192+BX193-CG192,IF(A193&lt;'Données projet'!$A$114,$BV$205^A193,IF(A193='Données projet'!$A$114,'Données projet'!$B$114,BY192+BX193-CG192)))</f>
        <v>0</v>
      </c>
      <c r="BZ193" s="117" t="n">
        <f aca="false">BY193*VLOOKUP('Données projet'!$B$12,Paramètres!$A$1:$I$89,3,0)*VLOOKUP('Données projet'!$B$12,Paramètres!$A$1:$I$89,5,0)</f>
        <v>0</v>
      </c>
      <c r="CA193" s="117" t="e">
        <f aca="false">EXP(-1.0587+0.8836*LN(BZ193)+0.284)</f>
        <v>#VALUE!</v>
      </c>
      <c r="CB193" s="128" t="e">
        <f aca="false">(BZ193+CA193)*0.475*44/12</f>
        <v>#VALUE!</v>
      </c>
      <c r="CC193" s="120" t="e">
        <f aca="false">CB193+(BT193+BU193)*44/12</f>
        <v>#VALUE!</v>
      </c>
      <c r="CD193" s="120" t="n">
        <f aca="true">AVERAGE(OFFSET($CC$3,0,0,'Données projet'!$E$12+1,1))-AVERAGE(OFFSET($H$3,0,0,'Données projet'!$E$12+1,1))</f>
        <v>240.228848647662</v>
      </c>
      <c r="CE193" s="120" t="n">
        <f aca="false">$CE$3</f>
        <v>343.237768841432</v>
      </c>
      <c r="CF193" s="121" t="n">
        <f aca="false">IF(ISNA(VLOOKUP(A193,'Données projet'!$A$113:$I$133,3,0)),0,VLOOKUP(A193,'Données projet'!$A$113:$I$133,3,0))</f>
        <v>0</v>
      </c>
      <c r="CG193" s="121" t="n">
        <f aca="false">IF(ISNA(VLOOKUP(A193,'Données projet'!$A$113:$I$133,4,0)),0,VLOOKUP(A193,'Données projet'!$A$113:$I$133,4,0))</f>
        <v>0</v>
      </c>
      <c r="CH193" s="122" t="n">
        <f aca="false">IF(ISNA(VLOOKUP(A193,'Données projet'!$A$113:$I$133,5,0)),0%,VLOOKUP(A193,'Données projet'!$A$113:$I$133,5,0)*VLOOKUP('Données projet'!$B$12,Paramètres!$A$1:$I$89,7,0))</f>
        <v>0</v>
      </c>
      <c r="CI193" s="122" t="n">
        <f aca="false">IF(ISNA(VLOOKUP(A193,'Données projet'!$A$113:$I$133,6,0)),0%,VLOOKUP(A193,'Données projet'!$A$113:$I$133,6,0)*VLOOKUP('Données projet'!$B$12,Paramètres!$A$1:$I$89,7,0))</f>
        <v>0</v>
      </c>
      <c r="CJ193" s="122" t="n">
        <f aca="false">IF(ISNA(VLOOKUP(A193,'Données projet'!$A$113:$I$133,7,0)),0%,VLOOKUP(A193,'Données projet'!$A$113:$I$133,7,0))</f>
        <v>0</v>
      </c>
      <c r="CK193" s="129" t="n">
        <f aca="false">EXP(-LN(2)/35)*CK192+(1-EXP(-LN(2)/35))/(LN(2)/35)*CG193*CH193*VLOOKUP('Données projet'!$B$12,Paramètres!$A$1:$I$89,3,0)*0.475*44/12</f>
        <v>0.22142820462542</v>
      </c>
      <c r="CL193" s="129" t="n">
        <f aca="false">EXP(-LN(2)/25)*CL192+(1-EXP(-LN(2)/25))/(LN(2)/25)*Calculateur!CG193*Calculateur!CI193*VLOOKUP('Données projet'!$B$12,Paramètres!$A$1:$I$89,3,0)*0.475*44/12</f>
        <v>0.281948559968018</v>
      </c>
      <c r="CM193" s="129" t="n">
        <f aca="false">EXP(-LN(2)/2)*CM192+(1-EXP(-LN(2)/2))/(LN(2)/2)*CG193*CJ193*VLOOKUP('Données projet'!$B$12,Paramètres!$A$1:$I$89,3,0)*0.475*44/12</f>
        <v>7.9738816969239E-024</v>
      </c>
      <c r="CN193" s="130" t="n">
        <f aca="false">SUM(CK193:CM193)</f>
        <v>0.503376764593438</v>
      </c>
      <c r="CO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8" t="e">
        <f aca="false">VLOOKUP(A193,'Données projet'!$A$139:$I$159,2,0)</f>
        <v>#N/A</v>
      </c>
      <c r="CR193" s="118" t="e">
        <f aca="false">VLOOKUP(A193,'Données projet'!$A$139:$I$159,9,0)</f>
        <v>#N/A</v>
      </c>
      <c r="CS193" s="118" t="e">
        <f aca="false" t="array" ref="CS193:CS193">INDEX(CR:CR,MIN(IF(ISNUMBER(CR193:CR389),ROW(CR193:CR389),"")))</f>
        <v>#N/A</v>
      </c>
      <c r="CT193" s="118" t="n">
        <f aca="false">IF('Données projet'!$A$140&gt;35,CT192+CS193-DB192,IF(A193&lt;'Données projet'!$A$140,$CQ$205^A193,IF(A193='Données projet'!$A$140,'Données projet'!$B$140,CT192+CS193-DB192)))</f>
        <v>-5.6843418860808E-014</v>
      </c>
      <c r="CU193" s="125" t="n">
        <f aca="false">CT193*VLOOKUP('Données projet'!$B$13,Paramètres!$A$1:$I$89,3,0)*VLOOKUP('Données projet'!$B$13,Paramètres!$A$1:$I$89,5,0)</f>
        <v>-3.10365066980012E-014</v>
      </c>
      <c r="CV193" s="117" t="e">
        <f aca="false">EXP(-1.0587+0.8836*LN(CU193)+0.284)</f>
        <v>#VALUE!</v>
      </c>
      <c r="CW193" s="128" t="e">
        <f aca="false">(CU193+CV193)*0.475*44/12</f>
        <v>#VALUE!</v>
      </c>
      <c r="CX193" s="120" t="e">
        <f aca="false">CW193+(CO193+CP193)*44/12</f>
        <v>#VALUE!</v>
      </c>
      <c r="CY193" s="120" t="n">
        <f aca="true">AVERAGE(OFFSET($CX$3,0,0,'Données projet'!$E$13+1,1))-AVERAGE(OFFSET($H$3,0,0,'Données projet'!$E$13+1,1))</f>
        <v>207.023069645676</v>
      </c>
      <c r="CZ193" s="120" t="n">
        <f aca="false">$CZ$3</f>
        <v>342.068879333518</v>
      </c>
      <c r="DA193" s="121" t="n">
        <f aca="false">IF(ISNA(VLOOKUP(A193,'Données projet'!$A$139:$I$159,3,0)),0,VLOOKUP(A193,'Données projet'!$A$139:$I$159,3,0))</f>
        <v>0</v>
      </c>
      <c r="DB193" s="121" t="n">
        <f aca="false">IF(ISNA(VLOOKUP(A193,'Données projet'!$A$139:$I$159,4,0)),0,VLOOKUP(A193,'Données projet'!$A$139:$I$159,4,0))</f>
        <v>0</v>
      </c>
      <c r="DC193" s="122" t="n">
        <f aca="false">IF(ISNA(VLOOKUP(A193,'Données projet'!$A$139:$I$159,5,0)),0%,VLOOKUP(A193,'Données projet'!$A$139:$I$159,5,0)*VLOOKUP('Données projet'!$B$13,Paramètres!$A$1:$I$89,7,0))</f>
        <v>0</v>
      </c>
      <c r="DD193" s="122" t="n">
        <f aca="false">IF(ISNA(VLOOKUP(A193,'Données projet'!$A$139:$I$159,6,0)),0%,VLOOKUP(A193,'Données projet'!$A$139:$I$159,6,0)*VLOOKUP('Données projet'!$B$13,Paramètres!$A$1:$I$89,7,0))</f>
        <v>0</v>
      </c>
      <c r="DE193" s="122" t="n">
        <f aca="false">IF(ISNA(VLOOKUP(A193,'Données projet'!$A$139:$I$159,7,0)),0%,VLOOKUP(A193,'Données projet'!$A$139:$I$159,7,0))</f>
        <v>0</v>
      </c>
      <c r="DF193" s="129" t="n">
        <f aca="false">EXP(-LN(2)/35)*DF192+(1-EXP(-LN(2)/35))/(LN(2)/35)*DB193*DC193*VLOOKUP('Données projet'!$B$13,Paramètres!$A$1:$I$89,3,0)*0.475*44/12</f>
        <v>0.277829728445102</v>
      </c>
      <c r="DG193" s="129" t="n">
        <f aca="false">EXP(-LN(2)/25)*DG192+(1-EXP(-LN(2)/25))/(LN(2)/25)*Calculateur!DB193*Calculateur!DD193*VLOOKUP('Données projet'!$B$13,Paramètres!$A$1:$I$89,3,0)*0.475*44/12</f>
        <v>0.46086846712283</v>
      </c>
      <c r="DH193" s="129" t="n">
        <f aca="false">EXP(-LN(2)/2)*DH192+(1-EXP(-LN(2)/2))/(LN(2)/2)*DB193*DE193*VLOOKUP('Données projet'!$B$13,Paramètres!$A$1:$I$89,3,0)*0.475*44/12</f>
        <v>1.09800387935566E-023</v>
      </c>
      <c r="DI193" s="130" t="n">
        <f aca="false">SUM(DF193:DH193)</f>
        <v>0.738698195567933</v>
      </c>
      <c r="DJ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8" t="e">
        <f aca="false">VLOOKUP(A193,'Données projet'!$A$165:$I$185,2,0)</f>
        <v>#N/A</v>
      </c>
      <c r="DM193" s="118" t="e">
        <f aca="false">VLOOKUP(A193,'Données projet'!$A$165:$I$185,9,0)</f>
        <v>#N/A</v>
      </c>
      <c r="DN193" s="118" t="e">
        <f aca="false" t="array" ref="DN193:DN193">INDEX(DM:DM,MIN(IF(ISNUMBER(DM193:DM389),ROW(DM193:DM389),"")))</f>
        <v>#N/A</v>
      </c>
      <c r="DO193" s="118" t="n">
        <f aca="false">IF('Données projet'!$A$166&gt;35,DO192+DN193-DW192,IF(A193&lt;'Données projet'!$A$166,$DL$205^A193,IF(A193='Données projet'!$A$166,'Données projet'!$B$166,DO192+DN193-DW192)))</f>
        <v>0</v>
      </c>
      <c r="DP193" s="125" t="n">
        <f aca="false">DO193*VLOOKUP('Données projet'!$B$14,Paramètres!$A$1:$I$89,3,0)*VLOOKUP('Données projet'!$B$14,Paramètres!$A$1:$I$89,5,0)</f>
        <v>0</v>
      </c>
      <c r="DQ193" s="117" t="e">
        <f aca="false">EXP(-1.0587+0.8836*LN(DP193)+0.284)</f>
        <v>#VALUE!</v>
      </c>
      <c r="DR193" s="128" t="e">
        <f aca="false">(DP193+DQ193)*0.475*44/12</f>
        <v>#VALUE!</v>
      </c>
      <c r="DS193" s="120" t="e">
        <f aca="false">DR193+(DJ193+DK193)*44/12</f>
        <v>#VALUE!</v>
      </c>
      <c r="DT193" s="120" t="n">
        <f aca="true">AVERAGE(OFFSET($DS$3,0,0,'Données projet'!$E$14+1,1))-AVERAGE(OFFSET($H$3,0,0,'Données projet'!$E$14+1,1))</f>
        <v>549.432320957297</v>
      </c>
      <c r="DU193" s="120" t="n">
        <f aca="false">$DU$3</f>
        <v>280.26155987301</v>
      </c>
      <c r="DV193" s="121" t="n">
        <f aca="false">IF(ISNA(VLOOKUP(A193,'Données projet'!$A$165:$I$185,3,0)),0,VLOOKUP(A193,'Données projet'!$A$165:$I$185,3,0))</f>
        <v>0</v>
      </c>
      <c r="DW193" s="121" t="n">
        <f aca="false">IF(ISNA(VLOOKUP(A193,'Données projet'!$A$165:$I$185,4,0)),0,VLOOKUP(A193,'Données projet'!$A$165:$I$185,4,0))</f>
        <v>0</v>
      </c>
      <c r="DX193" s="122" t="n">
        <f aca="false">IF(ISNA(VLOOKUP(A193,'Données projet'!$A$165:$I$185,5,0)),0%,VLOOKUP(A193,'Données projet'!$A$165:$I$185,5,0)*VLOOKUP('Données projet'!$B$14,Paramètres!$A$1:$I$89,7,0))</f>
        <v>0</v>
      </c>
      <c r="DY193" s="122" t="n">
        <f aca="false">IF(ISNA(VLOOKUP(A193,'Données projet'!$A$165:$I$185,6,0)),0%,VLOOKUP(A193,'Données projet'!$A$165:$I$185,6,0)*VLOOKUP('Données projet'!$B$14,Paramètres!$A$1:$I$89,7,0))</f>
        <v>0</v>
      </c>
      <c r="DZ193" s="122" t="n">
        <f aca="false">IF(ISNA(VLOOKUP(A193,'Données projet'!$A$165:$I$185,7,0)),0%,VLOOKUP(A193,'Données projet'!$A$165:$I$185,7,0))</f>
        <v>0</v>
      </c>
      <c r="EA193" s="129" t="n">
        <f aca="false">EXP(-LN(2)/35)*EA192+(1-EXP(-LN(2)/35))/(LN(2)/35)*DW193*DX193*VLOOKUP('Données projet'!$B$14,Paramètres!$A$1:$I$89,3,0)*0.475*44/12</f>
        <v>0.101018579470318</v>
      </c>
      <c r="EB193" s="129" t="n">
        <f aca="false">EXP(-LN(2)/25)*EB192+(1-EXP(-LN(2)/25))/(LN(2)/25)*Calculateur!DW193*Calculateur!DY193*VLOOKUP('Données projet'!$B$14,Paramètres!$A$1:$I$89,3,0)*0.475*44/12</f>
        <v>0.0918140914259067</v>
      </c>
      <c r="EC193" s="129" t="n">
        <f aca="false">EXP(-LN(2)/2)*EC192+(1-EXP(-LN(2)/2))/(LN(2)/2)*DW193*DZ193*VLOOKUP('Données projet'!$B$14,Paramètres!$A$1:$I$89,3,0)*0.475*44/12</f>
        <v>5.06157154994841E-024</v>
      </c>
      <c r="ED193" s="130" t="n">
        <f aca="false">SUM(EA193:EC193)</f>
        <v>0.192832670896225</v>
      </c>
      <c r="EE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8" t="e">
        <f aca="false">VLOOKUP(A193,'Données projet'!$A$191:$I$211,2,0)</f>
        <v>#N/A</v>
      </c>
      <c r="EH193" s="118" t="e">
        <f aca="false">VLOOKUP(A193,'Données projet'!$A$191:$I$211,9,0)</f>
        <v>#N/A</v>
      </c>
      <c r="EI193" s="118" t="e">
        <f aca="false" t="array" ref="EI193:EI193">INDEX(EH:EH,MIN(IF(ISNUMBER(EH193:EH389),ROW(EH193:EH389),"")))</f>
        <v>#N/A</v>
      </c>
      <c r="EJ193" s="118" t="n">
        <f aca="false">IF('Données projet'!$A$192&gt;35,EJ192+EI193-ER192,IF(A193&lt;'Données projet'!$A$192,$EG$205^A193,IF(A193='Données projet'!$A$192,'Données projet'!$B$192,EJ192+EI193-ER192)))</f>
        <v>0</v>
      </c>
      <c r="EK193" s="125" t="e">
        <f aca="false">EJ193*VLOOKUP('Données projet'!$B$15,Paramètres!$A$1:$I$89,3,0)*VLOOKUP('Données projet'!$B$15,Paramètres!$A$1:$I$89,5,0)</f>
        <v>#N/A</v>
      </c>
      <c r="EL193" s="117" t="e">
        <f aca="false">EXP(-1.0587+0.8836*LN(EK193)+0.284)</f>
        <v>#N/A</v>
      </c>
      <c r="EM193" s="128" t="e">
        <f aca="false">(EK193+EL193)*0.475*44/12</f>
        <v>#N/A</v>
      </c>
      <c r="EN193" s="120" t="e">
        <f aca="false">EM193+(EE193+EF193)*44/12</f>
        <v>#N/A</v>
      </c>
      <c r="EO193" s="120" t="e">
        <f aca="true">AVERAGE(OFFSET($EN$3,0,0,'Données projet'!$E$15+1,1))-AVERAGE(OFFSET($H$3,0,0,'Données projet'!$E$15+1,1))</f>
        <v>#N/A</v>
      </c>
      <c r="EP193" s="120" t="e">
        <f aca="false">$EP$3</f>
        <v>#N/A</v>
      </c>
      <c r="EQ193" s="121" t="n">
        <f aca="false">IF(ISNA(VLOOKUP(A193,'Données projet'!$A$191:$I$211,3,0)),0,VLOOKUP(A193,'Données projet'!$A$191:$I$211,3,0))</f>
        <v>0</v>
      </c>
      <c r="ER193" s="121" t="n">
        <f aca="false">IF(ISNA(VLOOKUP(A193,'Données projet'!$A$191:$I$211,4,0)),0,VLOOKUP(A193,'Données projet'!$A$191:$I$211,4,0))</f>
        <v>0</v>
      </c>
      <c r="ES193" s="122" t="n">
        <f aca="false">IF(ISNA(VLOOKUP(A193,'Données projet'!$A$191:$I$211,5,0)),0%,VLOOKUP(A193,'Données projet'!$A$191:$I$211,5,0)*VLOOKUP('Données projet'!$B$15,Paramètres!$A$1:$I$89,7,0))</f>
        <v>0</v>
      </c>
      <c r="ET193" s="122" t="n">
        <f aca="false">IF(ISNA(VLOOKUP(A193,'Données projet'!$A$191:$I$211,6,0)),0%,VLOOKUP(A193,'Données projet'!$A$191:$I$211,6,0)*VLOOKUP('Données projet'!$B$15,Paramètres!$A$1:$I$89,7,0))</f>
        <v>0</v>
      </c>
      <c r="EU193" s="122" t="n">
        <f aca="false">IF(ISNA(VLOOKUP(A193,'Données projet'!$A$191:$I$211,7,0)),0%,VLOOKUP(A193,'Données projet'!$A$191:$I$211,7,0))</f>
        <v>0</v>
      </c>
      <c r="EV193" s="129" t="e">
        <f aca="false">EXP(-LN(2)/35)*EV192+(1-EXP(-LN(2)/35))/(LN(2)/35)*ER193*ES193*VLOOKUP('Données projet'!$B$15,Paramètres!$A$1:$I$89,3,0)*0.475*44/12</f>
        <v>#N/A</v>
      </c>
      <c r="EW193" s="129" t="e">
        <f aca="false">EXP(-LN(2)/25)*EW192+(1-EXP(-LN(2)/25))/(LN(2)/25)*Calculateur!ER193*Calculateur!ET193*VLOOKUP('Données projet'!$B$15,Paramètres!$A$1:$I$89,3,0)*0.475*44/12</f>
        <v>#N/A</v>
      </c>
      <c r="EX193" s="129" t="e">
        <f aca="false">EXP(-LN(2)/2)*EX192+(1-EXP(-LN(2)/2))/(LN(2)/2)*ER193*EU193*VLOOKUP('Données projet'!$B$15,Paramètres!$A$1:$I$89,3,0)*0.475*44/12</f>
        <v>#N/A</v>
      </c>
      <c r="EY193" s="130" t="e">
        <f aca="false">SUM(EV193:EX193)</f>
        <v>#N/A</v>
      </c>
      <c r="EZ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8" t="e">
        <f aca="false">VLOOKUP(A193,'Données projet'!$A$217:$I$237,2,0)</f>
        <v>#N/A</v>
      </c>
      <c r="FC193" s="118" t="e">
        <f aca="false">VLOOKUP(A193,'Données projet'!$A$217:$I$237,9,0)</f>
        <v>#N/A</v>
      </c>
      <c r="FD193" s="118" t="e">
        <f aca="false" t="array" ref="FD193:FD193">INDEX(FC:FC,MIN(IF(ISNUMBER(FC193:FC389),ROW(FC193:FC389),"")))</f>
        <v>#N/A</v>
      </c>
      <c r="FE193" s="118" t="n">
        <f aca="false">IF('Données projet'!$A$218&gt;35,FE192+FD193-FM192,IF(A193&lt;'Données projet'!$A$218,$FB$205^A193,IF(A193='Données projet'!$A$218,'Données projet'!$B$218,FE192+FD193-FM192)))</f>
        <v>0</v>
      </c>
      <c r="FF193" s="125" t="e">
        <f aca="false">FE193*VLOOKUP('Données projet'!$B$16,Paramètres!$A$1:$I$89,3,0)*VLOOKUP('Données projet'!$B$16,Paramètres!$A$1:$I$89,5,0)</f>
        <v>#N/A</v>
      </c>
      <c r="FG193" s="117" t="e">
        <f aca="false">EXP(-1.0587+0.8836*LN(FF193)+0.284)</f>
        <v>#N/A</v>
      </c>
      <c r="FH193" s="128" t="e">
        <f aca="false">(FF193+FG193)*0.475*44/12</f>
        <v>#N/A</v>
      </c>
      <c r="FI193" s="120" t="e">
        <f aca="false">FH193+(EZ193+FA193)*44/12</f>
        <v>#N/A</v>
      </c>
      <c r="FJ193" s="120" t="e">
        <f aca="true">AVERAGE(OFFSET($FI$3,0,0,'Données projet'!$E$16+1,1))-AVERAGE(OFFSET($H$3,0,0,'Données projet'!$E$16+1,1))</f>
        <v>#N/A</v>
      </c>
      <c r="FK193" s="120" t="e">
        <f aca="false">$FK$3</f>
        <v>#N/A</v>
      </c>
      <c r="FL193" s="121" t="n">
        <f aca="false">IF(ISNA(VLOOKUP(A193,'Données projet'!$A$217:$I$237,3,0)),0,VLOOKUP(A193,'Données projet'!$A$217:$I$237,3,0))</f>
        <v>0</v>
      </c>
      <c r="FM193" s="121" t="n">
        <f aca="false">IF(ISNA(VLOOKUP(A193,'Données projet'!$A$217:$I$237,4,0)),0,VLOOKUP(A193,'Données projet'!$A$217:$I$237,4,0))</f>
        <v>0</v>
      </c>
      <c r="FN193" s="122" t="n">
        <f aca="false">IF(ISNA(VLOOKUP(A193,'Données projet'!$A$217:$I$237,5,0)),0%,VLOOKUP(A193,'Données projet'!$A$217:$I$237,5,0)*VLOOKUP('Données projet'!$B$16,Paramètres!$A$1:$I$89,7,0))</f>
        <v>0</v>
      </c>
      <c r="FO193" s="122" t="n">
        <f aca="false">IF(ISNA(VLOOKUP(A193,'Données projet'!$A$217:$I$237,6,0)),0%,VLOOKUP(A193,'Données projet'!$A$217:$I$237,6,0)*VLOOKUP('Données projet'!$B$16,Paramètres!$A$1:$I$89,7,0))</f>
        <v>0</v>
      </c>
      <c r="FP193" s="122" t="n">
        <f aca="false">IF(ISNA(VLOOKUP(A193,'Données projet'!$A$217:$I$237,7,0)),0%,VLOOKUP(A193,'Données projet'!$A$217:$I$237,7,0))</f>
        <v>0</v>
      </c>
      <c r="FQ193" s="129" t="e">
        <f aca="false">EXP(-LN(2)/35)*FQ192+(1-EXP(-LN(2)/35))/(LN(2)/35)*FM193*FN193*VLOOKUP('Données projet'!$B$16,Paramètres!$A$1:$I$89,3,0)*0.475*44/12</f>
        <v>#N/A</v>
      </c>
      <c r="FR193" s="129" t="e">
        <f aca="false">EXP(-LN(2)/25)*FR192+(1-EXP(-LN(2)/25))/(LN(2)/25)*Calculateur!FM193*Calculateur!FO193*VLOOKUP('Données projet'!$B$16,Paramètres!$A$1:$I$89,3,0)*0.475*44/12</f>
        <v>#N/A</v>
      </c>
      <c r="FS193" s="129" t="e">
        <f aca="false">EXP(-LN(2)/2)*FS192+(1-EXP(-LN(2)/2))/(LN(2)/2)*FM193*FP193*VLOOKUP('Données projet'!$B$16,Paramètres!$A$1:$I$89,3,0)*0.475*44/12</f>
        <v>#N/A</v>
      </c>
      <c r="FT193" s="130" t="e">
        <f aca="false">SUM(FQ193:FS193)</f>
        <v>#N/A</v>
      </c>
      <c r="FU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8" t="e">
        <f aca="false">VLOOKUP(A193,'Données projet'!$A$243:$I$263,2,0)</f>
        <v>#N/A</v>
      </c>
      <c r="FX193" s="118" t="e">
        <f aca="false">VLOOKUP(A193,'Données projet'!$A$243:$I$263,9,0)</f>
        <v>#N/A</v>
      </c>
      <c r="FY193" s="118" t="e">
        <f aca="false" t="array" ref="FY193:FY193">INDEX(FX:FX,MIN(IF(ISNUMBER(FX193:FX389),ROW(FX193:FX389),"")))</f>
        <v>#N/A</v>
      </c>
      <c r="FZ193" s="118" t="n">
        <f aca="false">IF('Données projet'!$A$244&gt;35,FZ192+FY193-GH192,IF(A193&lt;'Données projet'!$A$244,$FW$205^A193,IF(A193='Données projet'!$A$244,'Données projet'!$B$244,FZ192+FY193-GH192)))</f>
        <v>0</v>
      </c>
      <c r="GA193" s="125" t="e">
        <f aca="false">FZ193*VLOOKUP('Données projet'!$B$17,Paramètres!$A$1:$I$89,3,0)*VLOOKUP('Données projet'!$B$17,Paramètres!$A$1:$I$89,5,0)</f>
        <v>#N/A</v>
      </c>
      <c r="GB193" s="117" t="e">
        <f aca="false">EXP(-1.0587+0.8836*LN(GA193)+0.284)</f>
        <v>#N/A</v>
      </c>
      <c r="GC193" s="128" t="e">
        <f aca="false">(GA193+GB193)*0.475*44/12</f>
        <v>#N/A</v>
      </c>
      <c r="GD193" s="120" t="e">
        <f aca="false">GC193+(FU193+FV193)*44/12</f>
        <v>#N/A</v>
      </c>
      <c r="GE193" s="120" t="e">
        <f aca="true">AVERAGE(OFFSET($GD$3,0,0,'Données projet'!$E$17+1,1))-AVERAGE(OFFSET($H$3,0,0,'Données projet'!$E$17+1,1))</f>
        <v>#N/A</v>
      </c>
      <c r="GF193" s="120" t="e">
        <f aca="false">$GF$3</f>
        <v>#N/A</v>
      </c>
      <c r="GG193" s="121" t="n">
        <f aca="false">IF(ISNA(VLOOKUP(A193,'Données projet'!$A$243:$I$263,3,0)),0,VLOOKUP(A193,'Données projet'!$A$243:$I$263,3,0))</f>
        <v>0</v>
      </c>
      <c r="GH193" s="121" t="n">
        <f aca="false">IF(ISNA(VLOOKUP(A193,'Données projet'!$A$243:$I$263,4,0)),0,VLOOKUP(A193,'Données projet'!$A$243:$I$263,4,0))</f>
        <v>0</v>
      </c>
      <c r="GI193" s="122" t="n">
        <f aca="false">IF(ISNA(VLOOKUP(A193,'Données projet'!$A$243:$I$263,5,0)),0%,VLOOKUP(A193,'Données projet'!$A$243:$I$263,5,0)*VLOOKUP('Données projet'!$B$17,Paramètres!$A$1:$I$89,7,0))</f>
        <v>0</v>
      </c>
      <c r="GJ193" s="122" t="n">
        <f aca="false">IF(ISNA(VLOOKUP(A193,'Données projet'!$A$243:$I$263,6,0)),0%,VLOOKUP(A193,'Données projet'!$A$243:$I$263,6,0)*VLOOKUP('Données projet'!$B$17,Paramètres!$A$1:$I$89,7,0))</f>
        <v>0</v>
      </c>
      <c r="GK193" s="122" t="n">
        <f aca="false">IF(ISNA(VLOOKUP(A193,'Données projet'!$A$243:$I$263,7,0)),0%,VLOOKUP(A193,'Données projet'!$A$243:$I$263,7,0))</f>
        <v>0</v>
      </c>
      <c r="GL193" s="129" t="e">
        <f aca="false">EXP(-LN(2)/35)*GL192+(1-EXP(-LN(2)/35))/(LN(2)/35)*GH193*GI193*VLOOKUP('Données projet'!$B$17,Paramètres!$A$1:$I$89,3,0)*0.475*44/12</f>
        <v>#N/A</v>
      </c>
      <c r="GM193" s="129" t="e">
        <f aca="false">EXP(-LN(2)/25)*GM192+(1-EXP(-LN(2)/25))/(LN(2)/25)*Calculateur!GH193*Calculateur!GJ193*VLOOKUP('Données projet'!$B$17,Paramètres!$A$1:$I$89,3,0)*0.475*44/12</f>
        <v>#N/A</v>
      </c>
      <c r="GN193" s="129" t="e">
        <f aca="false">EXP(-LN(2)/2)*GN192+(1-EXP(-LN(2)/2))/(LN(2)/2)*GH193*GK193*VLOOKUP('Données projet'!$B$17,Paramètres!$A$1:$I$89,3,0)*0.475*44/12</f>
        <v>#N/A</v>
      </c>
      <c r="GO193" s="129" t="e">
        <f aca="false">SUM(GL193:GN193)</f>
        <v>#N/A</v>
      </c>
      <c r="GP193" s="126" t="n">
        <f aca="false"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8" t="n">
        <f aca="false"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8" t="e">
        <f aca="false">VLOOKUP(A193,'Données projet'!$A$269:$I$289,2,0)</f>
        <v>#N/A</v>
      </c>
      <c r="GS193" s="118" t="e">
        <f aca="false">VLOOKUP(A193,'Données projet'!$A$269:$I$289,9,0)</f>
        <v>#N/A</v>
      </c>
      <c r="GT193" s="118" t="e">
        <f aca="false" t="array" ref="GT193:GT193">INDEX(GS:GS,MIN(IF(ISNUMBER(GS193:GS389),ROW(GS193:GS389),"")))</f>
        <v>#N/A</v>
      </c>
      <c r="GU193" s="118" t="n">
        <f aca="false">IF('Données projet'!$A$270&gt;35,GU192+GT193-HC192,IF(A193&lt;'Données projet'!$A$270,$GR$205^A193,IF(A193='Données projet'!$A$270,'Données projet'!$B$270,GU192+GT193-HC192)))</f>
        <v>0</v>
      </c>
      <c r="GV193" s="125" t="e">
        <f aca="false">GU193*VLOOKUP('Données projet'!$B$18,Paramètres!$A$1:$I$89,3,0)*VLOOKUP('Données projet'!$B$18,Paramètres!$A$1:$I$89,5,0)</f>
        <v>#N/A</v>
      </c>
      <c r="GW193" s="117" t="e">
        <f aca="false">EXP(-1.0587+0.8836*LN(GV193)+0.284)</f>
        <v>#N/A</v>
      </c>
      <c r="GX193" s="128" t="e">
        <f aca="false">(GV193+GW193)*0.475*44/12</f>
        <v>#N/A</v>
      </c>
      <c r="GY193" s="120" t="e">
        <f aca="false">GX193+(GP193+GQ193)*44/12</f>
        <v>#N/A</v>
      </c>
      <c r="GZ193" s="120" t="e">
        <f aca="true">AVERAGE(OFFSET($GY$3,0,0,'Données projet'!$E$18+1,1))-AVERAGE(OFFSET($H$3,0,0,'Données projet'!$E$18+1,1))</f>
        <v>#N/A</v>
      </c>
      <c r="HA193" s="120" t="e">
        <f aca="false">$HA$3</f>
        <v>#N/A</v>
      </c>
      <c r="HB193" s="121" t="n">
        <f aca="false">IF(ISNA(VLOOKUP(A193,'Données projet'!$A$269:$I$289,3,0)),0,VLOOKUP(A193,'Données projet'!$A$269:$I$289,3,0))</f>
        <v>0</v>
      </c>
      <c r="HC193" s="121" t="n">
        <f aca="false">IF(ISNA(VLOOKUP(A193,'Données projet'!$A$269:$I$289,4,0)),0,VLOOKUP(A193,'Données projet'!$A$269:$I$289,4,0))</f>
        <v>0</v>
      </c>
      <c r="HD193" s="122" t="n">
        <f aca="false">IF(ISNA(VLOOKUP(A193,'Données projet'!$A$269:$I$289,5,0)),0%,VLOOKUP(A193,'Données projet'!$A$269:$I$289,5,0)*VLOOKUP('Données projet'!$B$18,Paramètres!$A$1:$I$89,7,0))</f>
        <v>0</v>
      </c>
      <c r="HE193" s="122" t="n">
        <f aca="false">IF(ISNA(VLOOKUP(A193,'Données projet'!$A$269:$I$289,6,0)),0%,VLOOKUP(A193,'Données projet'!$A$269:$I$289,6,0)*VLOOKUP('Données projet'!$B$18,Paramètres!$A$1:$I$89,7,0))</f>
        <v>0</v>
      </c>
      <c r="HF193" s="122" t="n">
        <f aca="false">IF(ISNA(VLOOKUP(A193,'Données projet'!$A$269:$I$289,7,0)),0%,VLOOKUP(A193,'Données projet'!$A$269:$I$289,7,0))</f>
        <v>0</v>
      </c>
      <c r="HG193" s="129" t="e">
        <f aca="false">EXP(-LN(2)/35)*HG192+(1-EXP(-LN(2)/35))/(LN(2)/35)*HC193*HD193*VLOOKUP('Données projet'!$B$18,Paramètres!$A$1:$I$89,3,0)*0.475*44/12</f>
        <v>#N/A</v>
      </c>
      <c r="HH193" s="129" t="e">
        <f aca="false">EXP(-LN(2)/25)*HH192+(1-EXP(-LN(2)/25))/(LN(2)/25)*Calculateur!HC193*Calculateur!HE193*VLOOKUP('Données projet'!$B$18,Paramètres!$A$1:$I$89,3,0)*0.475*44/12</f>
        <v>#N/A</v>
      </c>
      <c r="HI193" s="129" t="e">
        <f aca="false">EXP(-LN(2)/2)*HI192+(1-EXP(-LN(2)/2))/(LN(2)/2)*HC193*HF193*VLOOKUP('Données projet'!$B$18,Paramètres!$A$1:$I$89,3,0)*0.475*44/12</f>
        <v>#N/A</v>
      </c>
      <c r="HJ193" s="130" t="e">
        <f aca="false">SUM(HG193:HI193)</f>
        <v>#N/A</v>
      </c>
    </row>
    <row r="194" customFormat="false" ht="14.25" hidden="false" customHeight="false" outlineLevel="0" collapsed="false">
      <c r="A194" s="112" t="n">
        <f aca="false">A193+1</f>
        <v>191</v>
      </c>
      <c r="B194" s="113" t="n">
        <f aca="false">'Scénario référence'!$B$16*5+'Scénario référence'!$B$17*0+'Scénario référence'!$B$18*5</f>
        <v>0</v>
      </c>
      <c r="C194" s="127" t="n">
        <f aca="false"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4" t="n">
        <f aca="false">IFERROR(EXP(-1.0587+0.8836*LN(C194)+0.284),0)</f>
        <v>0</v>
      </c>
      <c r="E194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4" s="114" t="n">
        <f aca="false">IF(OR('Scénario référence'!$F$8&gt;0,'Scénario référence'!$F$9&gt;0),('Scénario référence'!$F$8+'Scénario référence'!$F$9)*10,0)</f>
        <v>0</v>
      </c>
      <c r="G194" s="114" t="n">
        <f aca="false"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15" t="n">
        <f aca="false">(B194+E194+F194)*44/12+(C194+D194)*0.475*44/12</f>
        <v>256.666666666667</v>
      </c>
      <c r="I194" s="11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7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8" t="e">
        <f aca="false">VLOOKUP(A194,'Données projet'!$A$35:$I$55,2,0)</f>
        <v>#N/A</v>
      </c>
      <c r="L194" s="118" t="e">
        <f aca="false">VLOOKUP(A194,'Données projet'!$A$35:$I$55,9,0)</f>
        <v>#N/A</v>
      </c>
      <c r="M194" s="118" t="e">
        <f aca="false" t="array" ref="M194:M194">INDEX(L:L,MIN(IF(ISNUMBER(L194:L390),ROW(L194:L390),"")))</f>
        <v>#N/A</v>
      </c>
      <c r="N194" s="117" t="n">
        <f aca="false">IF('Données projet'!$A$36&gt;35,N193+M194-V193,IF(A194&lt;'Données projet'!$A$36,$K$205^A194,IF(A194='Données projet'!$A$36,'Données projet'!$B$36,N193+M194-V193)))</f>
        <v>-1.13686837721616E-013</v>
      </c>
      <c r="O194" s="117" t="n">
        <f aca="false">N194*VLOOKUP('Données projet'!$B$9,Paramètres!$A$1:$I$89,3,0)*VLOOKUP('Données projet'!$B$9,Paramètres!$A$1:$I$89,5,0)</f>
        <v>-5.32054400537163E-014</v>
      </c>
      <c r="P194" s="117" t="e">
        <f aca="false">EXP(-1.0587+0.8836*LN(O194)+0.284)</f>
        <v>#VALUE!</v>
      </c>
      <c r="Q194" s="128" t="e">
        <f aca="false">(O194+P194)*0.475*44/12</f>
        <v>#VALUE!</v>
      </c>
      <c r="R194" s="120" t="e">
        <f aca="false">Q194+(I194+J194)*44/12</f>
        <v>#VALUE!</v>
      </c>
      <c r="S194" s="120" t="n">
        <f aca="true">AVERAGE(OFFSET($R$3,0,0,'Données projet'!$E$9+1,1))-AVERAGE(OFFSET($H$3,0,0,'Données projet'!$E$9+1,1))</f>
        <v>319.229030946746</v>
      </c>
      <c r="T194" s="120" t="n">
        <f aca="false">$T$3</f>
        <v>254.586909731428</v>
      </c>
      <c r="U194" s="121" t="n">
        <f aca="false">IF(ISNA(VLOOKUP(A194,'Données projet'!$A$35:$I$55,3,0)),0,VLOOKUP(A194,'Données projet'!$A$35:$I$55,3,0))</f>
        <v>0</v>
      </c>
      <c r="V194" s="121" t="n">
        <f aca="false">IF(ISNA(VLOOKUP(A194,'Données projet'!$A$35:$I$55,4,0)),0,VLOOKUP(A194,'Données projet'!$A$35:$I$55,4,0))</f>
        <v>0</v>
      </c>
      <c r="W194" s="122" t="n">
        <f aca="false">IF(ISNA(VLOOKUP(A194,'Données projet'!$A$35:$I$55,5,0)),0%,VLOOKUP(A194,'Données projet'!$A$35:$I$55,5,0)*VLOOKUP('Données projet'!$B$9,Paramètres!$A$1:$I$89,7,0))</f>
        <v>0</v>
      </c>
      <c r="X194" s="122" t="n">
        <f aca="false">IF(ISNA(VLOOKUP(A194,'Données projet'!$A$35:$I$55,6,0)),0%,VLOOKUP(A194,'Données projet'!$A$35:$I$55,6,0)*VLOOKUP('Données projet'!$B$9,Paramètres!$A$1:$I$89,7,0))</f>
        <v>0</v>
      </c>
      <c r="Y194" s="122" t="n">
        <f aca="false">IF(ISNA(VLOOKUP(A194,'Données projet'!$A$35:$I$55,7,0)),0%,VLOOKUP(A194,'Données projet'!$A$35:$I$55,7,0))</f>
        <v>0</v>
      </c>
      <c r="Z194" s="129" t="n">
        <f aca="false">EXP(-LN(2)/35)*Z193+(1-EXP(-LN(2)/35))/(LN(2)/35)*V194*W194*VLOOKUP('Données projet'!$B$9,Paramètres!$A$1:$I$89,3,0)*0.475*44/12</f>
        <v>0.374252322941477</v>
      </c>
      <c r="AA194" s="129" t="n">
        <f aca="false">EXP(-LN(2)/25)*AA193+(1-EXP(-LN(2)/25))/(LN(2)/25)*Calculateur!V194*Calculateur!X194*VLOOKUP('Données projet'!$B$9,Paramètres!$A$1:$I$89,3,0)*0.475*44/12</f>
        <v>0.128437875997046</v>
      </c>
      <c r="AB194" s="129" t="n">
        <f aca="false">EXP(-LN(2)/2)*AB193+(1-EXP(-LN(2)/2))/(LN(2)/2)*V194*Y194*VLOOKUP('Données projet'!$B$9,Paramètres!$A$1:$I$89,3,0)*0.475*44/12</f>
        <v>6.45918138458907E-024</v>
      </c>
      <c r="AC194" s="130" t="n">
        <f aca="false">SUM(Z194:AB194)</f>
        <v>0.502690198938523</v>
      </c>
      <c r="AD194" s="117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7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8" t="e">
        <f aca="false">VLOOKUP(A194,'Données projet'!$A$61:$I$81,2,0)</f>
        <v>#N/A</v>
      </c>
      <c r="AG194" s="118" t="e">
        <f aca="false">VLOOKUP(A194,'Données projet'!$A$61:$I$81,9,0)</f>
        <v>#N/A</v>
      </c>
      <c r="AH194" s="118" t="e">
        <f aca="false" t="array" ref="AH194:AH194">INDEX(AG:AG,MIN(IF(ISNUMBER(AG194:AG390),ROW(AG194:AG390),"")))</f>
        <v>#N/A</v>
      </c>
      <c r="AI194" s="117" t="n">
        <f aca="false">IF('Données projet'!$A$62&gt;35,AI193+AH194-AQ193,IF(A194&lt;'Données projet'!$A$62,$AF$205^A194,IF(A194='Données projet'!$A$62,'Données projet'!$B$62,AI193+AH194-AQ193)))</f>
        <v>1.13686837721616E-013</v>
      </c>
      <c r="AJ194" s="117" t="n">
        <f aca="false">AI194*VLOOKUP('Données projet'!$B$10,Paramètres!$A$1:$I$89,3,0)*VLOOKUP('Données projet'!$B$10,Paramètres!$A$1:$I$89,5,0)</f>
        <v>6.35509422863834E-014</v>
      </c>
      <c r="AK194" s="117" t="n">
        <f aca="false">EXP(-1.0587+0.8836*LN(AJ194)+0.284)</f>
        <v>1.0064464192544E-012</v>
      </c>
      <c r="AL194" s="128" t="n">
        <f aca="false">(AJ194+AK194)*0.475*44/12</f>
        <v>1.86357873801686E-012</v>
      </c>
      <c r="AM194" s="120" t="n">
        <f aca="false">AL194+(AD194+AE194)*44/12</f>
        <v>293.333333333335</v>
      </c>
      <c r="AN194" s="120" t="n">
        <f aca="true">AVERAGE(OFFSET($AM$3,0,0,'Données projet'!$E$10+1,1))-AVERAGE(OFFSET($H$3,0,0,'Données projet'!$E$10+1,1))</f>
        <v>365.705101827279</v>
      </c>
      <c r="AO194" s="120" t="n">
        <f aca="false">$AO$3</f>
        <v>436.238338449625</v>
      </c>
      <c r="AP194" s="121" t="n">
        <f aca="false">IF(ISNA(VLOOKUP(A194,'Données projet'!$A$61:$I$81,3,0)),0,VLOOKUP(A194,'Données projet'!$A$61:$I$81,3,0))</f>
        <v>0</v>
      </c>
      <c r="AQ194" s="121" t="n">
        <f aca="false">IF(ISNA(VLOOKUP(A194,'Données projet'!$A$61:$I$81,4,0)),0,VLOOKUP(A194,'Données projet'!$A$61:$I$81,4,0))</f>
        <v>0</v>
      </c>
      <c r="AR194" s="122" t="n">
        <f aca="false">IF(ISNA(VLOOKUP(A194,'Données projet'!$A$61:$I$81,5,0)),0%,VLOOKUP(A194,'Données projet'!$A$61:$I$81,5,0)*VLOOKUP('Données projet'!$B$10,Paramètres!$A$1:$I$89,7,0))</f>
        <v>0</v>
      </c>
      <c r="AS194" s="122" t="n">
        <f aca="false">IF(ISNA(VLOOKUP(A194,'Données projet'!$A$61:$I$81,6,0)),0%,VLOOKUP(A194,'Données projet'!$A$61:$I$81,6,0)*VLOOKUP('Données projet'!$B$10,Paramètres!$A$1:$I$89,7,0))</f>
        <v>0</v>
      </c>
      <c r="AT194" s="122" t="n">
        <f aca="false">IF(ISNA(VLOOKUP(A194,'Données projet'!$A$61:$I$81,7,0)),0%,VLOOKUP(A194,'Données projet'!$A$61:$I$81,7,0))</f>
        <v>0</v>
      </c>
      <c r="AU194" s="129" t="n">
        <f aca="false">EXP(-LN(2)/35)*AU193+(1-EXP(-LN(2)/35))/(LN(2)/35)*AQ194*AR194*VLOOKUP('Données projet'!$B$10,Paramètres!$A$1:$I$89,3,0)*0.475*44/12</f>
        <v>0.141268118122529</v>
      </c>
      <c r="AV194" s="129" t="n">
        <f aca="false">EXP(-LN(2)/25)*AV193+(1-EXP(-LN(2)/25))/(LN(2)/25)*Calculateur!AQ194*Calculateur!AS194*VLOOKUP('Données projet'!$B$10,Paramètres!$A$1:$I$89,3,0)*0.475*44/12</f>
        <v>0.152127719498355</v>
      </c>
      <c r="AW194" s="129" t="n">
        <f aca="false">EXP(-LN(2)/2)*AW193+(1-EXP(-LN(2)/2))/(LN(2)/2)*AQ194*AT194*VLOOKUP('Données projet'!$B$10,Paramètres!$A$1:$I$89,3,0)*0.475*44/12</f>
        <v>3.47612954103736E-024</v>
      </c>
      <c r="AX194" s="129" t="n">
        <f aca="false">SUM(AU194:AW194)</f>
        <v>0.293395837620884</v>
      </c>
      <c r="AY194" s="124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8" t="e">
        <f aca="false">VLOOKUP(A194,'Données projet'!$A$87:$I$107,2,0)</f>
        <v>#N/A</v>
      </c>
      <c r="BB194" s="118" t="e">
        <f aca="false">VLOOKUP(A194,'Données projet'!$A$87:$I$107,9,0)</f>
        <v>#N/A</v>
      </c>
      <c r="BC194" s="118" t="e">
        <f aca="false" t="array" ref="BC194:BC194">INDEX(BB:BB,MIN(IF(ISNUMBER(BB194:BB390),ROW(BB194:BB390),"")))</f>
        <v>#N/A</v>
      </c>
      <c r="BD194" s="118" t="n">
        <f aca="false">IF('Données projet'!$A$88&gt;35,BD193+BC194-BL193,IF(A194&lt;'Données projet'!$A$88,$BA$205^A194,IF(A194='Données projet'!$A$88,'Données projet'!$B$88,BD193+BC194-BL193)))</f>
        <v>1.98951966012828E-013</v>
      </c>
      <c r="BE194" s="117" t="n">
        <f aca="false">BD194*VLOOKUP('Données projet'!$B$11,Paramètres!$A$1:$I$89,3,0)*VLOOKUP('Données projet'!$B$11,Paramètres!$A$1:$I$89,5,0)</f>
        <v>1.73804437508807E-013</v>
      </c>
      <c r="BF194" s="117" t="n">
        <f aca="false">EXP(-1.0587+0.8836*LN(BE194)+0.284)</f>
        <v>2.44832936339505E-012</v>
      </c>
      <c r="BG194" s="128" t="n">
        <f aca="false">(BE194+BF194)*0.475*44/12</f>
        <v>4.56688303657421E-012</v>
      </c>
      <c r="BH194" s="120" t="n">
        <f aca="false">BG194+(AY194+AZ194)*44/12</f>
        <v>293.333333333338</v>
      </c>
      <c r="BI194" s="120" t="n">
        <f aca="true">AVERAGE(OFFSET($BH$3,0,0,'Données projet'!$E$11+1,1))-AVERAGE(OFFSET($H$3,0,0,'Données projet'!$E$11+1,1))</f>
        <v>321.235999689929</v>
      </c>
      <c r="BJ194" s="120" t="n">
        <f aca="false">$BJ$3</f>
        <v>388.051958478005</v>
      </c>
      <c r="BK194" s="121" t="n">
        <f aca="false">IF(ISNA(VLOOKUP(A194,'Données projet'!$A$87:$I$107,3,0)),0,VLOOKUP(A194,'Données projet'!$A$87:$I$107,3,0))</f>
        <v>0</v>
      </c>
      <c r="BL194" s="121" t="n">
        <f aca="false">IF(ISNA(VLOOKUP(A194,'Données projet'!$A$87:$I$107,4,0)),0,VLOOKUP(A194,'Données projet'!$A$87:$I$107,4,0))</f>
        <v>0</v>
      </c>
      <c r="BM194" s="122" t="n">
        <f aca="false">IF(ISNA(VLOOKUP(A194,'Données projet'!$A$87:$I$107,5,0)),0%,VLOOKUP(A194,'Données projet'!$A$87:$I$107,5,0)*VLOOKUP('Données projet'!$B$11,Paramètres!$A$1:$I$89,7,0))</f>
        <v>0</v>
      </c>
      <c r="BN194" s="122" t="n">
        <f aca="false">IF(ISNA(VLOOKUP(A194,'Données projet'!$A$87:$I$107,6,0)),0%,VLOOKUP(A194,'Données projet'!$A$87:$I$107,6,0)*VLOOKUP('Données projet'!$B$11,Paramètres!$A$1:$I$89,7,0))</f>
        <v>0</v>
      </c>
      <c r="BO194" s="122" t="n">
        <f aca="false">IF(ISNA(VLOOKUP(A194,'Données projet'!$A$87:$I$107,7,0)),0%,VLOOKUP(A194,'Données projet'!$A$87:$I$107,7,0))</f>
        <v>0</v>
      </c>
      <c r="BP194" s="129" t="n">
        <f aca="false">EXP(-LN(2)/35)*BP193+(1-EXP(-LN(2)/35))/(LN(2)/35)*BL194*BM194*VLOOKUP('Données projet'!$B$11,Paramètres!$A$1:$I$89,3,0)*0.475*44/12</f>
        <v>0.354670753708326</v>
      </c>
      <c r="BQ194" s="129" t="n">
        <f aca="false">EXP(-LN(2)/25)*BQ193+(1-EXP(-LN(2)/25))/(LN(2)/25)*Calculateur!BL194*Calculateur!BN194*VLOOKUP('Données projet'!$B$11,Paramètres!$A$1:$I$89,3,0)*0.475*44/12</f>
        <v>0.155282940236042</v>
      </c>
      <c r="BR194" s="129" t="n">
        <f aca="false">EXP(-LN(2)/2)*BR193+(1-EXP(-LN(2)/2))/(LN(2)/2)*BL194*BO194*VLOOKUP('Données projet'!$B$11,Paramètres!$A$1:$I$89,3,0)*0.475*44/12</f>
        <v>3.53341342591078E-024</v>
      </c>
      <c r="BS194" s="130" t="n">
        <f aca="false">SUM(BP194:BR194)</f>
        <v>0.509953693944368</v>
      </c>
      <c r="BT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8" t="e">
        <f aca="false">VLOOKUP(A194,'Données projet'!$A$113:$I$133,2,0)</f>
        <v>#N/A</v>
      </c>
      <c r="BW194" s="118" t="e">
        <f aca="false">VLOOKUP(A194,'Données projet'!$A$113:$I$133,9,0)</f>
        <v>#N/A</v>
      </c>
      <c r="BX194" s="118" t="e">
        <f aca="false" t="array" ref="BX194:BX194">INDEX(BW:BW,MIN(IF(ISNUMBER(BW194:BW390),ROW(BW194:BW390),"")))</f>
        <v>#N/A</v>
      </c>
      <c r="BY194" s="118" t="n">
        <f aca="false">IF('Données projet'!$A$114&gt;35,BY193+BX194-CG193,IF(A194&lt;'Données projet'!$A$114,$BV$205^A194,IF(A194='Données projet'!$A$114,'Données projet'!$B$114,BY193+BX194-CG193)))</f>
        <v>0</v>
      </c>
      <c r="BZ194" s="117" t="n">
        <f aca="false">BY194*VLOOKUP('Données projet'!$B$12,Paramètres!$A$1:$I$89,3,0)*VLOOKUP('Données projet'!$B$12,Paramètres!$A$1:$I$89,5,0)</f>
        <v>0</v>
      </c>
      <c r="CA194" s="117" t="e">
        <f aca="false">EXP(-1.0587+0.8836*LN(BZ194)+0.284)</f>
        <v>#VALUE!</v>
      </c>
      <c r="CB194" s="128" t="e">
        <f aca="false">(BZ194+CA194)*0.475*44/12</f>
        <v>#VALUE!</v>
      </c>
      <c r="CC194" s="120" t="e">
        <f aca="false">CB194+(BT194+BU194)*44/12</f>
        <v>#VALUE!</v>
      </c>
      <c r="CD194" s="120" t="n">
        <f aca="true">AVERAGE(OFFSET($CC$3,0,0,'Données projet'!$E$12+1,1))-AVERAGE(OFFSET($H$3,0,0,'Données projet'!$E$12+1,1))</f>
        <v>240.228848647662</v>
      </c>
      <c r="CE194" s="120" t="n">
        <f aca="false">$CE$3</f>
        <v>343.237768841432</v>
      </c>
      <c r="CF194" s="121" t="n">
        <f aca="false">IF(ISNA(VLOOKUP(A194,'Données projet'!$A$113:$I$133,3,0)),0,VLOOKUP(A194,'Données projet'!$A$113:$I$133,3,0))</f>
        <v>0</v>
      </c>
      <c r="CG194" s="121" t="n">
        <f aca="false">IF(ISNA(VLOOKUP(A194,'Données projet'!$A$113:$I$133,4,0)),0,VLOOKUP(A194,'Données projet'!$A$113:$I$133,4,0))</f>
        <v>0</v>
      </c>
      <c r="CH194" s="122" t="n">
        <f aca="false">IF(ISNA(VLOOKUP(A194,'Données projet'!$A$113:$I$133,5,0)),0%,VLOOKUP(A194,'Données projet'!$A$113:$I$133,5,0)*VLOOKUP('Données projet'!$B$12,Paramètres!$A$1:$I$89,7,0))</f>
        <v>0</v>
      </c>
      <c r="CI194" s="122" t="n">
        <f aca="false">IF(ISNA(VLOOKUP(A194,'Données projet'!$A$113:$I$133,6,0)),0%,VLOOKUP(A194,'Données projet'!$A$113:$I$133,6,0)*VLOOKUP('Données projet'!$B$12,Paramètres!$A$1:$I$89,7,0))</f>
        <v>0</v>
      </c>
      <c r="CJ194" s="122" t="n">
        <f aca="false">IF(ISNA(VLOOKUP(A194,'Données projet'!$A$113:$I$133,7,0)),0%,VLOOKUP(A194,'Données projet'!$A$113:$I$133,7,0))</f>
        <v>0</v>
      </c>
      <c r="CK194" s="129" t="n">
        <f aca="false">EXP(-LN(2)/35)*CK193+(1-EXP(-LN(2)/35))/(LN(2)/35)*CG194*CH194*VLOOKUP('Données projet'!$B$12,Paramètres!$A$1:$I$89,3,0)*0.475*44/12</f>
        <v>0.217086132590584</v>
      </c>
      <c r="CL194" s="129" t="n">
        <f aca="false">EXP(-LN(2)/25)*CL193+(1-EXP(-LN(2)/25))/(LN(2)/25)*Calculateur!CG194*Calculateur!CI194*VLOOKUP('Données projet'!$B$12,Paramètres!$A$1:$I$89,3,0)*0.475*44/12</f>
        <v>0.274238661768663</v>
      </c>
      <c r="CM194" s="129" t="n">
        <f aca="false">EXP(-LN(2)/2)*CM193+(1-EXP(-LN(2)/2))/(LN(2)/2)*CG194*CJ194*VLOOKUP('Données projet'!$B$12,Paramètres!$A$1:$I$89,3,0)*0.475*44/12</f>
        <v>5.63838582027418E-024</v>
      </c>
      <c r="CN194" s="130" t="n">
        <f aca="false">SUM(CK194:CM194)</f>
        <v>0.491324794359247</v>
      </c>
      <c r="CO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8" t="e">
        <f aca="false">VLOOKUP(A194,'Données projet'!$A$139:$I$159,2,0)</f>
        <v>#N/A</v>
      </c>
      <c r="CR194" s="118" t="e">
        <f aca="false">VLOOKUP(A194,'Données projet'!$A$139:$I$159,9,0)</f>
        <v>#N/A</v>
      </c>
      <c r="CS194" s="118" t="e">
        <f aca="false" t="array" ref="CS194:CS194">INDEX(CR:CR,MIN(IF(ISNUMBER(CR194:CR390),ROW(CR194:CR390),"")))</f>
        <v>#N/A</v>
      </c>
      <c r="CT194" s="118" t="n">
        <f aca="false">IF('Données projet'!$A$140&gt;35,CT193+CS194-DB193,IF(A194&lt;'Données projet'!$A$140,$CQ$205^A194,IF(A194='Données projet'!$A$140,'Données projet'!$B$140,CT193+CS194-DB193)))</f>
        <v>-5.6843418860808E-014</v>
      </c>
      <c r="CU194" s="125" t="n">
        <f aca="false">CT194*VLOOKUP('Données projet'!$B$13,Paramètres!$A$1:$I$89,3,0)*VLOOKUP('Données projet'!$B$13,Paramètres!$A$1:$I$89,5,0)</f>
        <v>-3.10365066980012E-014</v>
      </c>
      <c r="CV194" s="117" t="e">
        <f aca="false">EXP(-1.0587+0.8836*LN(CU194)+0.284)</f>
        <v>#VALUE!</v>
      </c>
      <c r="CW194" s="128" t="e">
        <f aca="false">(CU194+CV194)*0.475*44/12</f>
        <v>#VALUE!</v>
      </c>
      <c r="CX194" s="120" t="e">
        <f aca="false">CW194+(CO194+CP194)*44/12</f>
        <v>#VALUE!</v>
      </c>
      <c r="CY194" s="120" t="n">
        <f aca="true">AVERAGE(OFFSET($CX$3,0,0,'Données projet'!$E$13+1,1))-AVERAGE(OFFSET($H$3,0,0,'Données projet'!$E$13+1,1))</f>
        <v>207.023069645676</v>
      </c>
      <c r="CZ194" s="120" t="n">
        <f aca="false">$CZ$3</f>
        <v>342.068879333518</v>
      </c>
      <c r="DA194" s="121" t="n">
        <f aca="false">IF(ISNA(VLOOKUP(A194,'Données projet'!$A$139:$I$159,3,0)),0,VLOOKUP(A194,'Données projet'!$A$139:$I$159,3,0))</f>
        <v>0</v>
      </c>
      <c r="DB194" s="121" t="n">
        <f aca="false">IF(ISNA(VLOOKUP(A194,'Données projet'!$A$139:$I$159,4,0)),0,VLOOKUP(A194,'Données projet'!$A$139:$I$159,4,0))</f>
        <v>0</v>
      </c>
      <c r="DC194" s="122" t="n">
        <f aca="false">IF(ISNA(VLOOKUP(A194,'Données projet'!$A$139:$I$159,5,0)),0%,VLOOKUP(A194,'Données projet'!$A$139:$I$159,5,0)*VLOOKUP('Données projet'!$B$13,Paramètres!$A$1:$I$89,7,0))</f>
        <v>0</v>
      </c>
      <c r="DD194" s="122" t="n">
        <f aca="false">IF(ISNA(VLOOKUP(A194,'Données projet'!$A$139:$I$159,6,0)),0%,VLOOKUP(A194,'Données projet'!$A$139:$I$159,6,0)*VLOOKUP('Données projet'!$B$13,Paramètres!$A$1:$I$89,7,0))</f>
        <v>0</v>
      </c>
      <c r="DE194" s="122" t="n">
        <f aca="false">IF(ISNA(VLOOKUP(A194,'Données projet'!$A$139:$I$159,7,0)),0%,VLOOKUP(A194,'Données projet'!$A$139:$I$159,7,0))</f>
        <v>0</v>
      </c>
      <c r="DF194" s="129" t="n">
        <f aca="false">EXP(-LN(2)/35)*DF193+(1-EXP(-LN(2)/35))/(LN(2)/35)*DB194*DC194*VLOOKUP('Données projet'!$B$13,Paramètres!$A$1:$I$89,3,0)*0.475*44/12</f>
        <v>0.272381656929695</v>
      </c>
      <c r="DG194" s="129" t="n">
        <f aca="false">EXP(-LN(2)/25)*DG193+(1-EXP(-LN(2)/25))/(LN(2)/25)*Calculateur!DB194*Calculateur!DD194*VLOOKUP('Données projet'!$B$13,Paramètres!$A$1:$I$89,3,0)*0.475*44/12</f>
        <v>0.448265994653337</v>
      </c>
      <c r="DH194" s="129" t="n">
        <f aca="false">EXP(-LN(2)/2)*DH193+(1-EXP(-LN(2)/2))/(LN(2)/2)*DB194*DE194*VLOOKUP('Données projet'!$B$13,Paramètres!$A$1:$I$89,3,0)*0.475*44/12</f>
        <v>7.76405988861523E-024</v>
      </c>
      <c r="DI194" s="130" t="n">
        <f aca="false">SUM(DF194:DH194)</f>
        <v>0.720647651583033</v>
      </c>
      <c r="DJ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8" t="e">
        <f aca="false">VLOOKUP(A194,'Données projet'!$A$165:$I$185,2,0)</f>
        <v>#N/A</v>
      </c>
      <c r="DM194" s="118" t="e">
        <f aca="false">VLOOKUP(A194,'Données projet'!$A$165:$I$185,9,0)</f>
        <v>#N/A</v>
      </c>
      <c r="DN194" s="118" t="e">
        <f aca="false" t="array" ref="DN194:DN194">INDEX(DM:DM,MIN(IF(ISNUMBER(DM194:DM390),ROW(DM194:DM390),"")))</f>
        <v>#N/A</v>
      </c>
      <c r="DO194" s="118" t="n">
        <f aca="false">IF('Données projet'!$A$166&gt;35,DO193+DN194-DW193,IF(A194&lt;'Données projet'!$A$166,$DL$205^A194,IF(A194='Données projet'!$A$166,'Données projet'!$B$166,DO193+DN194-DW193)))</f>
        <v>0</v>
      </c>
      <c r="DP194" s="125" t="n">
        <f aca="false">DO194*VLOOKUP('Données projet'!$B$14,Paramètres!$A$1:$I$89,3,0)*VLOOKUP('Données projet'!$B$14,Paramètres!$A$1:$I$89,5,0)</f>
        <v>0</v>
      </c>
      <c r="DQ194" s="117" t="e">
        <f aca="false">EXP(-1.0587+0.8836*LN(DP194)+0.284)</f>
        <v>#VALUE!</v>
      </c>
      <c r="DR194" s="128" t="e">
        <f aca="false">(DP194+DQ194)*0.475*44/12</f>
        <v>#VALUE!</v>
      </c>
      <c r="DS194" s="120" t="e">
        <f aca="false">DR194+(DJ194+DK194)*44/12</f>
        <v>#VALUE!</v>
      </c>
      <c r="DT194" s="120" t="n">
        <f aca="true">AVERAGE(OFFSET($DS$3,0,0,'Données projet'!$E$14+1,1))-AVERAGE(OFFSET($H$3,0,0,'Données projet'!$E$14+1,1))</f>
        <v>549.432320957297</v>
      </c>
      <c r="DU194" s="120" t="n">
        <f aca="false">$DU$3</f>
        <v>280.26155987301</v>
      </c>
      <c r="DV194" s="121" t="n">
        <f aca="false">IF(ISNA(VLOOKUP(A194,'Données projet'!$A$165:$I$185,3,0)),0,VLOOKUP(A194,'Données projet'!$A$165:$I$185,3,0))</f>
        <v>0</v>
      </c>
      <c r="DW194" s="121" t="n">
        <f aca="false">IF(ISNA(VLOOKUP(A194,'Données projet'!$A$165:$I$185,4,0)),0,VLOOKUP(A194,'Données projet'!$A$165:$I$185,4,0))</f>
        <v>0</v>
      </c>
      <c r="DX194" s="122" t="n">
        <f aca="false">IF(ISNA(VLOOKUP(A194,'Données projet'!$A$165:$I$185,5,0)),0%,VLOOKUP(A194,'Données projet'!$A$165:$I$185,5,0)*VLOOKUP('Données projet'!$B$14,Paramètres!$A$1:$I$89,7,0))</f>
        <v>0</v>
      </c>
      <c r="DY194" s="122" t="n">
        <f aca="false">IF(ISNA(VLOOKUP(A194,'Données projet'!$A$165:$I$185,6,0)),0%,VLOOKUP(A194,'Données projet'!$A$165:$I$185,6,0)*VLOOKUP('Données projet'!$B$14,Paramètres!$A$1:$I$89,7,0))</f>
        <v>0</v>
      </c>
      <c r="DZ194" s="122" t="n">
        <f aca="false">IF(ISNA(VLOOKUP(A194,'Données projet'!$A$165:$I$185,7,0)),0%,VLOOKUP(A194,'Données projet'!$A$165:$I$185,7,0))</f>
        <v>0</v>
      </c>
      <c r="EA194" s="129" t="n">
        <f aca="false">EXP(-LN(2)/35)*EA193+(1-EXP(-LN(2)/35))/(LN(2)/35)*DW194*DX194*VLOOKUP('Données projet'!$B$14,Paramètres!$A$1:$I$89,3,0)*0.475*44/12</f>
        <v>0.0990376667421545</v>
      </c>
      <c r="EB194" s="129" t="n">
        <f aca="false">EXP(-LN(2)/25)*EB193+(1-EXP(-LN(2)/25))/(LN(2)/25)*Calculateur!DW194*Calculateur!DY194*VLOOKUP('Données projet'!$B$14,Paramètres!$A$1:$I$89,3,0)*0.475*44/12</f>
        <v>0.0893034302675721</v>
      </c>
      <c r="EC194" s="129" t="n">
        <f aca="false">EXP(-LN(2)/2)*EC193+(1-EXP(-LN(2)/2))/(LN(2)/2)*DW194*DZ194*VLOOKUP('Données projet'!$B$14,Paramètres!$A$1:$I$89,3,0)*0.475*44/12</f>
        <v>3.57907156642943E-024</v>
      </c>
      <c r="ED194" s="130" t="n">
        <f aca="false">SUM(EA194:EC194)</f>
        <v>0.188341097009727</v>
      </c>
      <c r="EE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8" t="e">
        <f aca="false">VLOOKUP(A194,'Données projet'!$A$191:$I$211,2,0)</f>
        <v>#N/A</v>
      </c>
      <c r="EH194" s="118" t="e">
        <f aca="false">VLOOKUP(A194,'Données projet'!$A$191:$I$211,9,0)</f>
        <v>#N/A</v>
      </c>
      <c r="EI194" s="118" t="e">
        <f aca="false" t="array" ref="EI194:EI194">INDEX(EH:EH,MIN(IF(ISNUMBER(EH194:EH390),ROW(EH194:EH390),"")))</f>
        <v>#N/A</v>
      </c>
      <c r="EJ194" s="118" t="n">
        <f aca="false">IF('Données projet'!$A$192&gt;35,EJ193+EI194-ER193,IF(A194&lt;'Données projet'!$A$192,$EG$205^A194,IF(A194='Données projet'!$A$192,'Données projet'!$B$192,EJ193+EI194-ER193)))</f>
        <v>0</v>
      </c>
      <c r="EK194" s="125" t="e">
        <f aca="false">EJ194*VLOOKUP('Données projet'!$B$15,Paramètres!$A$1:$I$89,3,0)*VLOOKUP('Données projet'!$B$15,Paramètres!$A$1:$I$89,5,0)</f>
        <v>#N/A</v>
      </c>
      <c r="EL194" s="117" t="e">
        <f aca="false">EXP(-1.0587+0.8836*LN(EK194)+0.284)</f>
        <v>#N/A</v>
      </c>
      <c r="EM194" s="128" t="e">
        <f aca="false">(EK194+EL194)*0.475*44/12</f>
        <v>#N/A</v>
      </c>
      <c r="EN194" s="120" t="e">
        <f aca="false">EM194+(EE194+EF194)*44/12</f>
        <v>#N/A</v>
      </c>
      <c r="EO194" s="120" t="e">
        <f aca="true">AVERAGE(OFFSET($EN$3,0,0,'Données projet'!$E$15+1,1))-AVERAGE(OFFSET($H$3,0,0,'Données projet'!$E$15+1,1))</f>
        <v>#N/A</v>
      </c>
      <c r="EP194" s="120" t="e">
        <f aca="false">$EP$3</f>
        <v>#N/A</v>
      </c>
      <c r="EQ194" s="121" t="n">
        <f aca="false">IF(ISNA(VLOOKUP(A194,'Données projet'!$A$191:$I$211,3,0)),0,VLOOKUP(A194,'Données projet'!$A$191:$I$211,3,0))</f>
        <v>0</v>
      </c>
      <c r="ER194" s="121" t="n">
        <f aca="false">IF(ISNA(VLOOKUP(A194,'Données projet'!$A$191:$I$211,4,0)),0,VLOOKUP(A194,'Données projet'!$A$191:$I$211,4,0))</f>
        <v>0</v>
      </c>
      <c r="ES194" s="122" t="n">
        <f aca="false">IF(ISNA(VLOOKUP(A194,'Données projet'!$A$191:$I$211,5,0)),0%,VLOOKUP(A194,'Données projet'!$A$191:$I$211,5,0)*VLOOKUP('Données projet'!$B$15,Paramètres!$A$1:$I$89,7,0))</f>
        <v>0</v>
      </c>
      <c r="ET194" s="122" t="n">
        <f aca="false">IF(ISNA(VLOOKUP(A194,'Données projet'!$A$191:$I$211,6,0)),0%,VLOOKUP(A194,'Données projet'!$A$191:$I$211,6,0)*VLOOKUP('Données projet'!$B$15,Paramètres!$A$1:$I$89,7,0))</f>
        <v>0</v>
      </c>
      <c r="EU194" s="122" t="n">
        <f aca="false">IF(ISNA(VLOOKUP(A194,'Données projet'!$A$191:$I$211,7,0)),0%,VLOOKUP(A194,'Données projet'!$A$191:$I$211,7,0))</f>
        <v>0</v>
      </c>
      <c r="EV194" s="129" t="e">
        <f aca="false">EXP(-LN(2)/35)*EV193+(1-EXP(-LN(2)/35))/(LN(2)/35)*ER194*ES194*VLOOKUP('Données projet'!$B$15,Paramètres!$A$1:$I$89,3,0)*0.475*44/12</f>
        <v>#N/A</v>
      </c>
      <c r="EW194" s="129" t="e">
        <f aca="false">EXP(-LN(2)/25)*EW193+(1-EXP(-LN(2)/25))/(LN(2)/25)*Calculateur!ER194*Calculateur!ET194*VLOOKUP('Données projet'!$B$15,Paramètres!$A$1:$I$89,3,0)*0.475*44/12</f>
        <v>#N/A</v>
      </c>
      <c r="EX194" s="129" t="e">
        <f aca="false">EXP(-LN(2)/2)*EX193+(1-EXP(-LN(2)/2))/(LN(2)/2)*ER194*EU194*VLOOKUP('Données projet'!$B$15,Paramètres!$A$1:$I$89,3,0)*0.475*44/12</f>
        <v>#N/A</v>
      </c>
      <c r="EY194" s="130" t="e">
        <f aca="false">SUM(EV194:EX194)</f>
        <v>#N/A</v>
      </c>
      <c r="EZ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8" t="e">
        <f aca="false">VLOOKUP(A194,'Données projet'!$A$217:$I$237,2,0)</f>
        <v>#N/A</v>
      </c>
      <c r="FC194" s="118" t="e">
        <f aca="false">VLOOKUP(A194,'Données projet'!$A$217:$I$237,9,0)</f>
        <v>#N/A</v>
      </c>
      <c r="FD194" s="118" t="e">
        <f aca="false" t="array" ref="FD194:FD194">INDEX(FC:FC,MIN(IF(ISNUMBER(FC194:FC390),ROW(FC194:FC390),"")))</f>
        <v>#N/A</v>
      </c>
      <c r="FE194" s="118" t="n">
        <f aca="false">IF('Données projet'!$A$218&gt;35,FE193+FD194-FM193,IF(A194&lt;'Données projet'!$A$218,$FB$205^A194,IF(A194='Données projet'!$A$218,'Données projet'!$B$218,FE193+FD194-FM193)))</f>
        <v>0</v>
      </c>
      <c r="FF194" s="125" t="e">
        <f aca="false">FE194*VLOOKUP('Données projet'!$B$16,Paramètres!$A$1:$I$89,3,0)*VLOOKUP('Données projet'!$B$16,Paramètres!$A$1:$I$89,5,0)</f>
        <v>#N/A</v>
      </c>
      <c r="FG194" s="117" t="e">
        <f aca="false">EXP(-1.0587+0.8836*LN(FF194)+0.284)</f>
        <v>#N/A</v>
      </c>
      <c r="FH194" s="128" t="e">
        <f aca="false">(FF194+FG194)*0.475*44/12</f>
        <v>#N/A</v>
      </c>
      <c r="FI194" s="120" t="e">
        <f aca="false">FH194+(EZ194+FA194)*44/12</f>
        <v>#N/A</v>
      </c>
      <c r="FJ194" s="120" t="e">
        <f aca="true">AVERAGE(OFFSET($FI$3,0,0,'Données projet'!$E$16+1,1))-AVERAGE(OFFSET($H$3,0,0,'Données projet'!$E$16+1,1))</f>
        <v>#N/A</v>
      </c>
      <c r="FK194" s="120" t="e">
        <f aca="false">$FK$3</f>
        <v>#N/A</v>
      </c>
      <c r="FL194" s="121" t="n">
        <f aca="false">IF(ISNA(VLOOKUP(A194,'Données projet'!$A$217:$I$237,3,0)),0,VLOOKUP(A194,'Données projet'!$A$217:$I$237,3,0))</f>
        <v>0</v>
      </c>
      <c r="FM194" s="121" t="n">
        <f aca="false">IF(ISNA(VLOOKUP(A194,'Données projet'!$A$217:$I$237,4,0)),0,VLOOKUP(A194,'Données projet'!$A$217:$I$237,4,0))</f>
        <v>0</v>
      </c>
      <c r="FN194" s="122" t="n">
        <f aca="false">IF(ISNA(VLOOKUP(A194,'Données projet'!$A$217:$I$237,5,0)),0%,VLOOKUP(A194,'Données projet'!$A$217:$I$237,5,0)*VLOOKUP('Données projet'!$B$16,Paramètres!$A$1:$I$89,7,0))</f>
        <v>0</v>
      </c>
      <c r="FO194" s="122" t="n">
        <f aca="false">IF(ISNA(VLOOKUP(A194,'Données projet'!$A$217:$I$237,6,0)),0%,VLOOKUP(A194,'Données projet'!$A$217:$I$237,6,0)*VLOOKUP('Données projet'!$B$16,Paramètres!$A$1:$I$89,7,0))</f>
        <v>0</v>
      </c>
      <c r="FP194" s="122" t="n">
        <f aca="false">IF(ISNA(VLOOKUP(A194,'Données projet'!$A$217:$I$237,7,0)),0%,VLOOKUP(A194,'Données projet'!$A$217:$I$237,7,0))</f>
        <v>0</v>
      </c>
      <c r="FQ194" s="129" t="e">
        <f aca="false">EXP(-LN(2)/35)*FQ193+(1-EXP(-LN(2)/35))/(LN(2)/35)*FM194*FN194*VLOOKUP('Données projet'!$B$16,Paramètres!$A$1:$I$89,3,0)*0.475*44/12</f>
        <v>#N/A</v>
      </c>
      <c r="FR194" s="129" t="e">
        <f aca="false">EXP(-LN(2)/25)*FR193+(1-EXP(-LN(2)/25))/(LN(2)/25)*Calculateur!FM194*Calculateur!FO194*VLOOKUP('Données projet'!$B$16,Paramètres!$A$1:$I$89,3,0)*0.475*44/12</f>
        <v>#N/A</v>
      </c>
      <c r="FS194" s="129" t="e">
        <f aca="false">EXP(-LN(2)/2)*FS193+(1-EXP(-LN(2)/2))/(LN(2)/2)*FM194*FP194*VLOOKUP('Données projet'!$B$16,Paramètres!$A$1:$I$89,3,0)*0.475*44/12</f>
        <v>#N/A</v>
      </c>
      <c r="FT194" s="130" t="e">
        <f aca="false">SUM(FQ194:FS194)</f>
        <v>#N/A</v>
      </c>
      <c r="FU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8" t="e">
        <f aca="false">VLOOKUP(A194,'Données projet'!$A$243:$I$263,2,0)</f>
        <v>#N/A</v>
      </c>
      <c r="FX194" s="118" t="e">
        <f aca="false">VLOOKUP(A194,'Données projet'!$A$243:$I$263,9,0)</f>
        <v>#N/A</v>
      </c>
      <c r="FY194" s="118" t="e">
        <f aca="false" t="array" ref="FY194:FY194">INDEX(FX:FX,MIN(IF(ISNUMBER(FX194:FX390),ROW(FX194:FX390),"")))</f>
        <v>#N/A</v>
      </c>
      <c r="FZ194" s="118" t="n">
        <f aca="false">IF('Données projet'!$A$244&gt;35,FZ193+FY194-GH193,IF(A194&lt;'Données projet'!$A$244,$FW$205^A194,IF(A194='Données projet'!$A$244,'Données projet'!$B$244,FZ193+FY194-GH193)))</f>
        <v>0</v>
      </c>
      <c r="GA194" s="125" t="e">
        <f aca="false">FZ194*VLOOKUP('Données projet'!$B$17,Paramètres!$A$1:$I$89,3,0)*VLOOKUP('Données projet'!$B$17,Paramètres!$A$1:$I$89,5,0)</f>
        <v>#N/A</v>
      </c>
      <c r="GB194" s="117" t="e">
        <f aca="false">EXP(-1.0587+0.8836*LN(GA194)+0.284)</f>
        <v>#N/A</v>
      </c>
      <c r="GC194" s="128" t="e">
        <f aca="false">(GA194+GB194)*0.475*44/12</f>
        <v>#N/A</v>
      </c>
      <c r="GD194" s="120" t="e">
        <f aca="false">GC194+(FU194+FV194)*44/12</f>
        <v>#N/A</v>
      </c>
      <c r="GE194" s="120" t="e">
        <f aca="true">AVERAGE(OFFSET($GD$3,0,0,'Données projet'!$E$17+1,1))-AVERAGE(OFFSET($H$3,0,0,'Données projet'!$E$17+1,1))</f>
        <v>#N/A</v>
      </c>
      <c r="GF194" s="120" t="e">
        <f aca="false">$GF$3</f>
        <v>#N/A</v>
      </c>
      <c r="GG194" s="121" t="n">
        <f aca="false">IF(ISNA(VLOOKUP(A194,'Données projet'!$A$243:$I$263,3,0)),0,VLOOKUP(A194,'Données projet'!$A$243:$I$263,3,0))</f>
        <v>0</v>
      </c>
      <c r="GH194" s="121" t="n">
        <f aca="false">IF(ISNA(VLOOKUP(A194,'Données projet'!$A$243:$I$263,4,0)),0,VLOOKUP(A194,'Données projet'!$A$243:$I$263,4,0))</f>
        <v>0</v>
      </c>
      <c r="GI194" s="122" t="n">
        <f aca="false">IF(ISNA(VLOOKUP(A194,'Données projet'!$A$243:$I$263,5,0)),0%,VLOOKUP(A194,'Données projet'!$A$243:$I$263,5,0)*VLOOKUP('Données projet'!$B$17,Paramètres!$A$1:$I$89,7,0))</f>
        <v>0</v>
      </c>
      <c r="GJ194" s="122" t="n">
        <f aca="false">IF(ISNA(VLOOKUP(A194,'Données projet'!$A$243:$I$263,6,0)),0%,VLOOKUP(A194,'Données projet'!$A$243:$I$263,6,0)*VLOOKUP('Données projet'!$B$17,Paramètres!$A$1:$I$89,7,0))</f>
        <v>0</v>
      </c>
      <c r="GK194" s="122" t="n">
        <f aca="false">IF(ISNA(VLOOKUP(A194,'Données projet'!$A$243:$I$263,7,0)),0%,VLOOKUP(A194,'Données projet'!$A$243:$I$263,7,0))</f>
        <v>0</v>
      </c>
      <c r="GL194" s="129" t="e">
        <f aca="false">EXP(-LN(2)/35)*GL193+(1-EXP(-LN(2)/35))/(LN(2)/35)*GH194*GI194*VLOOKUP('Données projet'!$B$17,Paramètres!$A$1:$I$89,3,0)*0.475*44/12</f>
        <v>#N/A</v>
      </c>
      <c r="GM194" s="129" t="e">
        <f aca="false">EXP(-LN(2)/25)*GM193+(1-EXP(-LN(2)/25))/(LN(2)/25)*Calculateur!GH194*Calculateur!GJ194*VLOOKUP('Données projet'!$B$17,Paramètres!$A$1:$I$89,3,0)*0.475*44/12</f>
        <v>#N/A</v>
      </c>
      <c r="GN194" s="129" t="e">
        <f aca="false">EXP(-LN(2)/2)*GN193+(1-EXP(-LN(2)/2))/(LN(2)/2)*GH194*GK194*VLOOKUP('Données projet'!$B$17,Paramètres!$A$1:$I$89,3,0)*0.475*44/12</f>
        <v>#N/A</v>
      </c>
      <c r="GO194" s="129" t="e">
        <f aca="false">SUM(GL194:GN194)</f>
        <v>#N/A</v>
      </c>
      <c r="GP194" s="126" t="n">
        <f aca="false"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8" t="n">
        <f aca="false"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8" t="e">
        <f aca="false">VLOOKUP(A194,'Données projet'!$A$269:$I$289,2,0)</f>
        <v>#N/A</v>
      </c>
      <c r="GS194" s="118" t="e">
        <f aca="false">VLOOKUP(A194,'Données projet'!$A$269:$I$289,9,0)</f>
        <v>#N/A</v>
      </c>
      <c r="GT194" s="118" t="e">
        <f aca="false" t="array" ref="GT194:GT194">INDEX(GS:GS,MIN(IF(ISNUMBER(GS194:GS390),ROW(GS194:GS390),"")))</f>
        <v>#N/A</v>
      </c>
      <c r="GU194" s="118" t="n">
        <f aca="false">IF('Données projet'!$A$270&gt;35,GU193+GT194-HC193,IF(A194&lt;'Données projet'!$A$270,$GR$205^A194,IF(A194='Données projet'!$A$270,'Données projet'!$B$270,GU193+GT194-HC193)))</f>
        <v>0</v>
      </c>
      <c r="GV194" s="125" t="e">
        <f aca="false">GU194*VLOOKUP('Données projet'!$B$18,Paramètres!$A$1:$I$89,3,0)*VLOOKUP('Données projet'!$B$18,Paramètres!$A$1:$I$89,5,0)</f>
        <v>#N/A</v>
      </c>
      <c r="GW194" s="117" t="e">
        <f aca="false">EXP(-1.0587+0.8836*LN(GV194)+0.284)</f>
        <v>#N/A</v>
      </c>
      <c r="GX194" s="128" t="e">
        <f aca="false">(GV194+GW194)*0.475*44/12</f>
        <v>#N/A</v>
      </c>
      <c r="GY194" s="120" t="e">
        <f aca="false">GX194+(GP194+GQ194)*44/12</f>
        <v>#N/A</v>
      </c>
      <c r="GZ194" s="120" t="e">
        <f aca="true">AVERAGE(OFFSET($GY$3,0,0,'Données projet'!$E$18+1,1))-AVERAGE(OFFSET($H$3,0,0,'Données projet'!$E$18+1,1))</f>
        <v>#N/A</v>
      </c>
      <c r="HA194" s="120" t="e">
        <f aca="false">$HA$3</f>
        <v>#N/A</v>
      </c>
      <c r="HB194" s="121" t="n">
        <f aca="false">IF(ISNA(VLOOKUP(A194,'Données projet'!$A$269:$I$289,3,0)),0,VLOOKUP(A194,'Données projet'!$A$269:$I$289,3,0))</f>
        <v>0</v>
      </c>
      <c r="HC194" s="121" t="n">
        <f aca="false">IF(ISNA(VLOOKUP(A194,'Données projet'!$A$269:$I$289,4,0)),0,VLOOKUP(A194,'Données projet'!$A$269:$I$289,4,0))</f>
        <v>0</v>
      </c>
      <c r="HD194" s="122" t="n">
        <f aca="false">IF(ISNA(VLOOKUP(A194,'Données projet'!$A$269:$I$289,5,0)),0%,VLOOKUP(A194,'Données projet'!$A$269:$I$289,5,0)*VLOOKUP('Données projet'!$B$18,Paramètres!$A$1:$I$89,7,0))</f>
        <v>0</v>
      </c>
      <c r="HE194" s="122" t="n">
        <f aca="false">IF(ISNA(VLOOKUP(A194,'Données projet'!$A$269:$I$289,6,0)),0%,VLOOKUP(A194,'Données projet'!$A$269:$I$289,6,0)*VLOOKUP('Données projet'!$B$18,Paramètres!$A$1:$I$89,7,0))</f>
        <v>0</v>
      </c>
      <c r="HF194" s="122" t="n">
        <f aca="false">IF(ISNA(VLOOKUP(A194,'Données projet'!$A$269:$I$289,7,0)),0%,VLOOKUP(A194,'Données projet'!$A$269:$I$289,7,0))</f>
        <v>0</v>
      </c>
      <c r="HG194" s="129" t="e">
        <f aca="false">EXP(-LN(2)/35)*HG193+(1-EXP(-LN(2)/35))/(LN(2)/35)*HC194*HD194*VLOOKUP('Données projet'!$B$18,Paramètres!$A$1:$I$89,3,0)*0.475*44/12</f>
        <v>#N/A</v>
      </c>
      <c r="HH194" s="129" t="e">
        <f aca="false">EXP(-LN(2)/25)*HH193+(1-EXP(-LN(2)/25))/(LN(2)/25)*Calculateur!HC194*Calculateur!HE194*VLOOKUP('Données projet'!$B$18,Paramètres!$A$1:$I$89,3,0)*0.475*44/12</f>
        <v>#N/A</v>
      </c>
      <c r="HI194" s="129" t="e">
        <f aca="false">EXP(-LN(2)/2)*HI193+(1-EXP(-LN(2)/2))/(LN(2)/2)*HC194*HF194*VLOOKUP('Données projet'!$B$18,Paramètres!$A$1:$I$89,3,0)*0.475*44/12</f>
        <v>#N/A</v>
      </c>
      <c r="HJ194" s="130" t="e">
        <f aca="false">SUM(HG194:HI194)</f>
        <v>#N/A</v>
      </c>
    </row>
    <row r="195" customFormat="false" ht="14.25" hidden="false" customHeight="false" outlineLevel="0" collapsed="false">
      <c r="A195" s="112" t="n">
        <f aca="false">A194+1</f>
        <v>192</v>
      </c>
      <c r="B195" s="113" t="n">
        <f aca="false">'Scénario référence'!$B$16*5+'Scénario référence'!$B$17*0+'Scénario référence'!$B$18*5</f>
        <v>0</v>
      </c>
      <c r="C195" s="127" t="n">
        <f aca="false"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4" t="n">
        <f aca="false">IFERROR(EXP(-1.0587+0.8836*LN(C195)+0.284),0)</f>
        <v>0</v>
      </c>
      <c r="E195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5" s="114" t="n">
        <f aca="false">IF(OR('Scénario référence'!$F$8&gt;0,'Scénario référence'!$F$9&gt;0),('Scénario référence'!$F$8+'Scénario référence'!$F$9)*10,0)</f>
        <v>0</v>
      </c>
      <c r="G195" s="114" t="n">
        <f aca="false"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15" t="n">
        <f aca="false">(B195+E195+F195)*44/12+(C195+D195)*0.475*44/12</f>
        <v>256.666666666667</v>
      </c>
      <c r="I195" s="11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7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8" t="e">
        <f aca="false">VLOOKUP(A195,'Données projet'!$A$35:$I$55,2,0)</f>
        <v>#N/A</v>
      </c>
      <c r="L195" s="118" t="e">
        <f aca="false">VLOOKUP(A195,'Données projet'!$A$35:$I$55,9,0)</f>
        <v>#N/A</v>
      </c>
      <c r="M195" s="118" t="e">
        <f aca="false" t="array" ref="M195:M195">INDEX(L:L,MIN(IF(ISNUMBER(L195:L391),ROW(L195:L391),"")))</f>
        <v>#N/A</v>
      </c>
      <c r="N195" s="117" t="n">
        <f aca="false">IF('Données projet'!$A$36&gt;35,N194+M195-V194,IF(A195&lt;'Données projet'!$A$36,$K$205^A195,IF(A195='Données projet'!$A$36,'Données projet'!$B$36,N194+M195-V194)))</f>
        <v>-1.13686837721616E-013</v>
      </c>
      <c r="O195" s="117" t="n">
        <f aca="false">N195*VLOOKUP('Données projet'!$B$9,Paramètres!$A$1:$I$89,3,0)*VLOOKUP('Données projet'!$B$9,Paramètres!$A$1:$I$89,5,0)</f>
        <v>-5.32054400537163E-014</v>
      </c>
      <c r="P195" s="117" t="e">
        <f aca="false">EXP(-1.0587+0.8836*LN(O195)+0.284)</f>
        <v>#VALUE!</v>
      </c>
      <c r="Q195" s="128" t="e">
        <f aca="false">(O195+P195)*0.475*44/12</f>
        <v>#VALUE!</v>
      </c>
      <c r="R195" s="120" t="e">
        <f aca="false">Q195+(I195+J195)*44/12</f>
        <v>#VALUE!</v>
      </c>
      <c r="S195" s="120" t="n">
        <f aca="true">AVERAGE(OFFSET($R$3,0,0,'Données projet'!$E$9+1,1))-AVERAGE(OFFSET($H$3,0,0,'Données projet'!$E$9+1,1))</f>
        <v>319.229030946746</v>
      </c>
      <c r="T195" s="120" t="n">
        <f aca="false">$T$3</f>
        <v>254.586909731428</v>
      </c>
      <c r="U195" s="121" t="n">
        <f aca="false">IF(ISNA(VLOOKUP(A195,'Données projet'!$A$35:$I$55,3,0)),0,VLOOKUP(A195,'Données projet'!$A$35:$I$55,3,0))</f>
        <v>0</v>
      </c>
      <c r="V195" s="121" t="n">
        <f aca="false">IF(ISNA(VLOOKUP(A195,'Données projet'!$A$35:$I$55,4,0)),0,VLOOKUP(A195,'Données projet'!$A$35:$I$55,4,0))</f>
        <v>0</v>
      </c>
      <c r="W195" s="122" t="n">
        <f aca="false">IF(ISNA(VLOOKUP(A195,'Données projet'!$A$35:$I$55,5,0)),0%,VLOOKUP(A195,'Données projet'!$A$35:$I$55,5,0)*VLOOKUP('Données projet'!$B$9,Paramètres!$A$1:$I$89,7,0))</f>
        <v>0</v>
      </c>
      <c r="X195" s="122" t="n">
        <f aca="false">IF(ISNA(VLOOKUP(A195,'Données projet'!$A$35:$I$55,6,0)),0%,VLOOKUP(A195,'Données projet'!$A$35:$I$55,6,0)*VLOOKUP('Données projet'!$B$9,Paramètres!$A$1:$I$89,7,0))</f>
        <v>0</v>
      </c>
      <c r="Y195" s="122" t="n">
        <f aca="false">IF(ISNA(VLOOKUP(A195,'Données projet'!$A$35:$I$55,7,0)),0%,VLOOKUP(A195,'Données projet'!$A$35:$I$55,7,0))</f>
        <v>0</v>
      </c>
      <c r="Z195" s="129" t="n">
        <f aca="false">EXP(-LN(2)/35)*Z194+(1-EXP(-LN(2)/35))/(LN(2)/35)*V195*W195*VLOOKUP('Données projet'!$B$9,Paramètres!$A$1:$I$89,3,0)*0.475*44/12</f>
        <v>0.366913463159972</v>
      </c>
      <c r="AA195" s="129" t="n">
        <f aca="false">EXP(-LN(2)/25)*AA194+(1-EXP(-LN(2)/25))/(LN(2)/25)*Calculateur!V195*Calculateur!X195*VLOOKUP('Données projet'!$B$9,Paramètres!$A$1:$I$89,3,0)*0.475*44/12</f>
        <v>0.124925735523653</v>
      </c>
      <c r="AB195" s="129" t="n">
        <f aca="false">EXP(-LN(2)/2)*AB194+(1-EXP(-LN(2)/2))/(LN(2)/2)*V195*Y195*VLOOKUP('Données projet'!$B$9,Paramètres!$A$1:$I$89,3,0)*0.475*44/12</f>
        <v>4.56733095795684E-024</v>
      </c>
      <c r="AC195" s="130" t="n">
        <f aca="false">SUM(Z195:AB195)</f>
        <v>0.491839198683624</v>
      </c>
      <c r="AD195" s="117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7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8" t="e">
        <f aca="false">VLOOKUP(A195,'Données projet'!$A$61:$I$81,2,0)</f>
        <v>#N/A</v>
      </c>
      <c r="AG195" s="118" t="e">
        <f aca="false">VLOOKUP(A195,'Données projet'!$A$61:$I$81,9,0)</f>
        <v>#N/A</v>
      </c>
      <c r="AH195" s="118" t="e">
        <f aca="false" t="array" ref="AH195:AH195">INDEX(AG:AG,MIN(IF(ISNUMBER(AG195:AG391),ROW(AG195:AG391),"")))</f>
        <v>#N/A</v>
      </c>
      <c r="AI195" s="117" t="n">
        <f aca="false">IF('Données projet'!$A$62&gt;35,AI194+AH195-AQ194,IF(A195&lt;'Données projet'!$A$62,$AF$205^A195,IF(A195='Données projet'!$A$62,'Données projet'!$B$62,AI194+AH195-AQ194)))</f>
        <v>1.13686837721616E-013</v>
      </c>
      <c r="AJ195" s="117" t="n">
        <f aca="false">AI195*VLOOKUP('Données projet'!$B$10,Paramètres!$A$1:$I$89,3,0)*VLOOKUP('Données projet'!$B$10,Paramètres!$A$1:$I$89,5,0)</f>
        <v>6.35509422863834E-014</v>
      </c>
      <c r="AK195" s="117" t="n">
        <f aca="false">EXP(-1.0587+0.8836*LN(AJ195)+0.284)</f>
        <v>1.0064464192544E-012</v>
      </c>
      <c r="AL195" s="128" t="n">
        <f aca="false">(AJ195+AK195)*0.475*44/12</f>
        <v>1.86357873801686E-012</v>
      </c>
      <c r="AM195" s="120" t="n">
        <f aca="false">AL195+(AD195+AE195)*44/12</f>
        <v>293.333333333335</v>
      </c>
      <c r="AN195" s="120" t="n">
        <f aca="true">AVERAGE(OFFSET($AM$3,0,0,'Données projet'!$E$10+1,1))-AVERAGE(OFFSET($H$3,0,0,'Données projet'!$E$10+1,1))</f>
        <v>365.705101827279</v>
      </c>
      <c r="AO195" s="120" t="n">
        <f aca="false">$AO$3</f>
        <v>436.238338449625</v>
      </c>
      <c r="AP195" s="121" t="n">
        <f aca="false">IF(ISNA(VLOOKUP(A195,'Données projet'!$A$61:$I$81,3,0)),0,VLOOKUP(A195,'Données projet'!$A$61:$I$81,3,0))</f>
        <v>0</v>
      </c>
      <c r="AQ195" s="121" t="n">
        <f aca="false">IF(ISNA(VLOOKUP(A195,'Données projet'!$A$61:$I$81,4,0)),0,VLOOKUP(A195,'Données projet'!$A$61:$I$81,4,0))</f>
        <v>0</v>
      </c>
      <c r="AR195" s="122" t="n">
        <f aca="false">IF(ISNA(VLOOKUP(A195,'Données projet'!$A$61:$I$81,5,0)),0%,VLOOKUP(A195,'Données projet'!$A$61:$I$81,5,0)*VLOOKUP('Données projet'!$B$10,Paramètres!$A$1:$I$89,7,0))</f>
        <v>0</v>
      </c>
      <c r="AS195" s="122" t="n">
        <f aca="false">IF(ISNA(VLOOKUP(A195,'Données projet'!$A$61:$I$81,6,0)),0%,VLOOKUP(A195,'Données projet'!$A$61:$I$81,6,0)*VLOOKUP('Données projet'!$B$10,Paramètres!$A$1:$I$89,7,0))</f>
        <v>0</v>
      </c>
      <c r="AT195" s="122" t="n">
        <f aca="false">IF(ISNA(VLOOKUP(A195,'Données projet'!$A$61:$I$81,7,0)),0%,VLOOKUP(A195,'Données projet'!$A$61:$I$81,7,0))</f>
        <v>0</v>
      </c>
      <c r="AU195" s="129" t="n">
        <f aca="false">EXP(-LN(2)/35)*AU194+(1-EXP(-LN(2)/35))/(LN(2)/35)*AQ195*AR195*VLOOKUP('Données projet'!$B$10,Paramètres!$A$1:$I$89,3,0)*0.475*44/12</f>
        <v>0.13849793649119</v>
      </c>
      <c r="AV195" s="129" t="n">
        <f aca="false">EXP(-LN(2)/25)*AV194+(1-EXP(-LN(2)/25))/(LN(2)/25)*Calculateur!AQ195*Calculateur!AS195*VLOOKUP('Données projet'!$B$10,Paramètres!$A$1:$I$89,3,0)*0.475*44/12</f>
        <v>0.147967779008623</v>
      </c>
      <c r="AW195" s="129" t="n">
        <f aca="false">EXP(-LN(2)/2)*AW194+(1-EXP(-LN(2)/2))/(LN(2)/2)*AQ195*AT195*VLOOKUP('Données projet'!$B$10,Paramètres!$A$1:$I$89,3,0)*0.475*44/12</f>
        <v>2.4579947707504E-024</v>
      </c>
      <c r="AX195" s="129" t="n">
        <f aca="false">SUM(AU195:AW195)</f>
        <v>0.286465715499813</v>
      </c>
      <c r="AY195" s="124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8" t="e">
        <f aca="false">VLOOKUP(A195,'Données projet'!$A$87:$I$107,2,0)</f>
        <v>#N/A</v>
      </c>
      <c r="BB195" s="118" t="e">
        <f aca="false">VLOOKUP(A195,'Données projet'!$A$87:$I$107,9,0)</f>
        <v>#N/A</v>
      </c>
      <c r="BC195" s="118" t="e">
        <f aca="false" t="array" ref="BC195:BC195">INDEX(BB:BB,MIN(IF(ISNUMBER(BB195:BB391),ROW(BB195:BB391),"")))</f>
        <v>#N/A</v>
      </c>
      <c r="BD195" s="118" t="n">
        <f aca="false">IF('Données projet'!$A$88&gt;35,BD194+BC195-BL194,IF(A195&lt;'Données projet'!$A$88,$BA$205^A195,IF(A195='Données projet'!$A$88,'Données projet'!$B$88,BD194+BC195-BL194)))</f>
        <v>1.98951966012828E-013</v>
      </c>
      <c r="BE195" s="117" t="n">
        <f aca="false">BD195*VLOOKUP('Données projet'!$B$11,Paramètres!$A$1:$I$89,3,0)*VLOOKUP('Données projet'!$B$11,Paramètres!$A$1:$I$89,5,0)</f>
        <v>1.73804437508807E-013</v>
      </c>
      <c r="BF195" s="117" t="n">
        <f aca="false">EXP(-1.0587+0.8836*LN(BE195)+0.284)</f>
        <v>2.44832936339505E-012</v>
      </c>
      <c r="BG195" s="128" t="n">
        <f aca="false">(BE195+BF195)*0.475*44/12</f>
        <v>4.56688303657421E-012</v>
      </c>
      <c r="BH195" s="120" t="n">
        <f aca="false">BG195+(AY195+AZ195)*44/12</f>
        <v>293.333333333338</v>
      </c>
      <c r="BI195" s="120" t="n">
        <f aca="true">AVERAGE(OFFSET($BH$3,0,0,'Données projet'!$E$11+1,1))-AVERAGE(OFFSET($H$3,0,0,'Données projet'!$E$11+1,1))</f>
        <v>321.235999689929</v>
      </c>
      <c r="BJ195" s="120" t="n">
        <f aca="false">$BJ$3</f>
        <v>388.051958478005</v>
      </c>
      <c r="BK195" s="121" t="n">
        <f aca="false">IF(ISNA(VLOOKUP(A195,'Données projet'!$A$87:$I$107,3,0)),0,VLOOKUP(A195,'Données projet'!$A$87:$I$107,3,0))</f>
        <v>0</v>
      </c>
      <c r="BL195" s="121" t="n">
        <f aca="false">IF(ISNA(VLOOKUP(A195,'Données projet'!$A$87:$I$107,4,0)),0,VLOOKUP(A195,'Données projet'!$A$87:$I$107,4,0))</f>
        <v>0</v>
      </c>
      <c r="BM195" s="122" t="n">
        <f aca="false">IF(ISNA(VLOOKUP(A195,'Données projet'!$A$87:$I$107,5,0)),0%,VLOOKUP(A195,'Données projet'!$A$87:$I$107,5,0)*VLOOKUP('Données projet'!$B$11,Paramètres!$A$1:$I$89,7,0))</f>
        <v>0</v>
      </c>
      <c r="BN195" s="122" t="n">
        <f aca="false">IF(ISNA(VLOOKUP(A195,'Données projet'!$A$87:$I$107,6,0)),0%,VLOOKUP(A195,'Données projet'!$A$87:$I$107,6,0)*VLOOKUP('Données projet'!$B$11,Paramètres!$A$1:$I$89,7,0))</f>
        <v>0</v>
      </c>
      <c r="BO195" s="122" t="n">
        <f aca="false">IF(ISNA(VLOOKUP(A195,'Données projet'!$A$87:$I$107,7,0)),0%,VLOOKUP(A195,'Données projet'!$A$87:$I$107,7,0))</f>
        <v>0</v>
      </c>
      <c r="BP195" s="129" t="n">
        <f aca="false">EXP(-LN(2)/35)*BP194+(1-EXP(-LN(2)/35))/(LN(2)/35)*BL195*BM195*VLOOKUP('Données projet'!$B$11,Paramètres!$A$1:$I$89,3,0)*0.475*44/12</f>
        <v>0.347715876555905</v>
      </c>
      <c r="BQ195" s="129" t="n">
        <f aca="false">EXP(-LN(2)/25)*BQ194+(1-EXP(-LN(2)/25))/(LN(2)/25)*Calculateur!BL195*Calculateur!BN195*VLOOKUP('Données projet'!$B$11,Paramètres!$A$1:$I$89,3,0)*0.475*44/12</f>
        <v>0.151036720069312</v>
      </c>
      <c r="BR195" s="129" t="n">
        <f aca="false">EXP(-LN(2)/2)*BR194+(1-EXP(-LN(2)/2))/(LN(2)/2)*BL195*BO195*VLOOKUP('Données projet'!$B$11,Paramètres!$A$1:$I$89,3,0)*0.475*44/12</f>
        <v>2.4985005941971E-024</v>
      </c>
      <c r="BS195" s="130" t="n">
        <f aca="false">SUM(BP195:BR195)</f>
        <v>0.498752596625217</v>
      </c>
      <c r="BT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8" t="e">
        <f aca="false">VLOOKUP(A195,'Données projet'!$A$113:$I$133,2,0)</f>
        <v>#N/A</v>
      </c>
      <c r="BW195" s="118" t="e">
        <f aca="false">VLOOKUP(A195,'Données projet'!$A$113:$I$133,9,0)</f>
        <v>#N/A</v>
      </c>
      <c r="BX195" s="118" t="e">
        <f aca="false" t="array" ref="BX195:BX195">INDEX(BW:BW,MIN(IF(ISNUMBER(BW195:BW391),ROW(BW195:BW391),"")))</f>
        <v>#N/A</v>
      </c>
      <c r="BY195" s="118" t="n">
        <f aca="false">IF('Données projet'!$A$114&gt;35,BY194+BX195-CG194,IF(A195&lt;'Données projet'!$A$114,$BV$205^A195,IF(A195='Données projet'!$A$114,'Données projet'!$B$114,BY194+BX195-CG194)))</f>
        <v>0</v>
      </c>
      <c r="BZ195" s="117" t="n">
        <f aca="false">BY195*VLOOKUP('Données projet'!$B$12,Paramètres!$A$1:$I$89,3,0)*VLOOKUP('Données projet'!$B$12,Paramètres!$A$1:$I$89,5,0)</f>
        <v>0</v>
      </c>
      <c r="CA195" s="117" t="e">
        <f aca="false">EXP(-1.0587+0.8836*LN(BZ195)+0.284)</f>
        <v>#VALUE!</v>
      </c>
      <c r="CB195" s="128" t="e">
        <f aca="false">(BZ195+CA195)*0.475*44/12</f>
        <v>#VALUE!</v>
      </c>
      <c r="CC195" s="120" t="e">
        <f aca="false">CB195+(BT195+BU195)*44/12</f>
        <v>#VALUE!</v>
      </c>
      <c r="CD195" s="120" t="n">
        <f aca="true">AVERAGE(OFFSET($CC$3,0,0,'Données projet'!$E$12+1,1))-AVERAGE(OFFSET($H$3,0,0,'Données projet'!$E$12+1,1))</f>
        <v>240.228848647662</v>
      </c>
      <c r="CE195" s="120" t="n">
        <f aca="false">$CE$3</f>
        <v>343.237768841432</v>
      </c>
      <c r="CF195" s="121" t="n">
        <f aca="false">IF(ISNA(VLOOKUP(A195,'Données projet'!$A$113:$I$133,3,0)),0,VLOOKUP(A195,'Données projet'!$A$113:$I$133,3,0))</f>
        <v>0</v>
      </c>
      <c r="CG195" s="121" t="n">
        <f aca="false">IF(ISNA(VLOOKUP(A195,'Données projet'!$A$113:$I$133,4,0)),0,VLOOKUP(A195,'Données projet'!$A$113:$I$133,4,0))</f>
        <v>0</v>
      </c>
      <c r="CH195" s="122" t="n">
        <f aca="false">IF(ISNA(VLOOKUP(A195,'Données projet'!$A$113:$I$133,5,0)),0%,VLOOKUP(A195,'Données projet'!$A$113:$I$133,5,0)*VLOOKUP('Données projet'!$B$12,Paramètres!$A$1:$I$89,7,0))</f>
        <v>0</v>
      </c>
      <c r="CI195" s="122" t="n">
        <f aca="false">IF(ISNA(VLOOKUP(A195,'Données projet'!$A$113:$I$133,6,0)),0%,VLOOKUP(A195,'Données projet'!$A$113:$I$133,6,0)*VLOOKUP('Données projet'!$B$12,Paramètres!$A$1:$I$89,7,0))</f>
        <v>0</v>
      </c>
      <c r="CJ195" s="122" t="n">
        <f aca="false">IF(ISNA(VLOOKUP(A195,'Données projet'!$A$113:$I$133,7,0)),0%,VLOOKUP(A195,'Données projet'!$A$113:$I$133,7,0))</f>
        <v>0</v>
      </c>
      <c r="CK195" s="129" t="n">
        <f aca="false">EXP(-LN(2)/35)*CK194+(1-EXP(-LN(2)/35))/(LN(2)/35)*CG195*CH195*VLOOKUP('Données projet'!$B$12,Paramètres!$A$1:$I$89,3,0)*0.475*44/12</f>
        <v>0.21282920593995</v>
      </c>
      <c r="CL195" s="129" t="n">
        <f aca="false">EXP(-LN(2)/25)*CL194+(1-EXP(-LN(2)/25))/(LN(2)/25)*Calculateur!CG195*Calculateur!CI195*VLOOKUP('Données projet'!$B$12,Paramètres!$A$1:$I$89,3,0)*0.475*44/12</f>
        <v>0.266739591141014</v>
      </c>
      <c r="CM195" s="129" t="n">
        <f aca="false">EXP(-LN(2)/2)*CM194+(1-EXP(-LN(2)/2))/(LN(2)/2)*CG195*CJ195*VLOOKUP('Données projet'!$B$12,Paramètres!$A$1:$I$89,3,0)*0.475*44/12</f>
        <v>3.98694084846195E-024</v>
      </c>
      <c r="CN195" s="130" t="n">
        <f aca="false">SUM(CK195:CM195)</f>
        <v>0.479568797080964</v>
      </c>
      <c r="CO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8" t="e">
        <f aca="false">VLOOKUP(A195,'Données projet'!$A$139:$I$159,2,0)</f>
        <v>#N/A</v>
      </c>
      <c r="CR195" s="118" t="e">
        <f aca="false">VLOOKUP(A195,'Données projet'!$A$139:$I$159,9,0)</f>
        <v>#N/A</v>
      </c>
      <c r="CS195" s="118" t="e">
        <f aca="false" t="array" ref="CS195:CS195">INDEX(CR:CR,MIN(IF(ISNUMBER(CR195:CR391),ROW(CR195:CR391),"")))</f>
        <v>#N/A</v>
      </c>
      <c r="CT195" s="118" t="n">
        <f aca="false">IF('Données projet'!$A$140&gt;35,CT194+CS195-DB194,IF(A195&lt;'Données projet'!$A$140,$CQ$205^A195,IF(A195='Données projet'!$A$140,'Données projet'!$B$140,CT194+CS195-DB194)))</f>
        <v>-5.6843418860808E-014</v>
      </c>
      <c r="CU195" s="125" t="n">
        <f aca="false">CT195*VLOOKUP('Données projet'!$B$13,Paramètres!$A$1:$I$89,3,0)*VLOOKUP('Données projet'!$B$13,Paramètres!$A$1:$I$89,5,0)</f>
        <v>-3.10365066980012E-014</v>
      </c>
      <c r="CV195" s="117" t="e">
        <f aca="false">EXP(-1.0587+0.8836*LN(CU195)+0.284)</f>
        <v>#VALUE!</v>
      </c>
      <c r="CW195" s="128" t="e">
        <f aca="false">(CU195+CV195)*0.475*44/12</f>
        <v>#VALUE!</v>
      </c>
      <c r="CX195" s="120" t="e">
        <f aca="false">CW195+(CO195+CP195)*44/12</f>
        <v>#VALUE!</v>
      </c>
      <c r="CY195" s="120" t="n">
        <f aca="true">AVERAGE(OFFSET($CX$3,0,0,'Données projet'!$E$13+1,1))-AVERAGE(OFFSET($H$3,0,0,'Données projet'!$E$13+1,1))</f>
        <v>207.023069645676</v>
      </c>
      <c r="CZ195" s="120" t="n">
        <f aca="false">$CZ$3</f>
        <v>342.068879333518</v>
      </c>
      <c r="DA195" s="121" t="n">
        <f aca="false">IF(ISNA(VLOOKUP(A195,'Données projet'!$A$139:$I$159,3,0)),0,VLOOKUP(A195,'Données projet'!$A$139:$I$159,3,0))</f>
        <v>0</v>
      </c>
      <c r="DB195" s="121" t="n">
        <f aca="false">IF(ISNA(VLOOKUP(A195,'Données projet'!$A$139:$I$159,4,0)),0,VLOOKUP(A195,'Données projet'!$A$139:$I$159,4,0))</f>
        <v>0</v>
      </c>
      <c r="DC195" s="122" t="n">
        <f aca="false">IF(ISNA(VLOOKUP(A195,'Données projet'!$A$139:$I$159,5,0)),0%,VLOOKUP(A195,'Données projet'!$A$139:$I$159,5,0)*VLOOKUP('Données projet'!$B$13,Paramètres!$A$1:$I$89,7,0))</f>
        <v>0</v>
      </c>
      <c r="DD195" s="122" t="n">
        <f aca="false">IF(ISNA(VLOOKUP(A195,'Données projet'!$A$139:$I$159,6,0)),0%,VLOOKUP(A195,'Données projet'!$A$139:$I$159,6,0)*VLOOKUP('Données projet'!$B$13,Paramètres!$A$1:$I$89,7,0))</f>
        <v>0</v>
      </c>
      <c r="DE195" s="122" t="n">
        <f aca="false">IF(ISNA(VLOOKUP(A195,'Données projet'!$A$139:$I$159,7,0)),0%,VLOOKUP(A195,'Données projet'!$A$139:$I$159,7,0))</f>
        <v>0</v>
      </c>
      <c r="DF195" s="129" t="n">
        <f aca="false">EXP(-LN(2)/35)*DF194+(1-EXP(-LN(2)/35))/(LN(2)/35)*DB195*DC195*VLOOKUP('Données projet'!$B$13,Paramètres!$A$1:$I$89,3,0)*0.475*44/12</f>
        <v>0.26704041877371</v>
      </c>
      <c r="DG195" s="129" t="n">
        <f aca="false">EXP(-LN(2)/25)*DG194+(1-EXP(-LN(2)/25))/(LN(2)/25)*Calculateur!DB195*Calculateur!DD195*VLOOKUP('Données projet'!$B$13,Paramètres!$A$1:$I$89,3,0)*0.475*44/12</f>
        <v>0.436008137456258</v>
      </c>
      <c r="DH195" s="129" t="n">
        <f aca="false">EXP(-LN(2)/2)*DH194+(1-EXP(-LN(2)/2))/(LN(2)/2)*DB195*DE195*VLOOKUP('Données projet'!$B$13,Paramètres!$A$1:$I$89,3,0)*0.475*44/12</f>
        <v>5.4900193967783E-024</v>
      </c>
      <c r="DI195" s="130" t="n">
        <f aca="false">SUM(DF195:DH195)</f>
        <v>0.703048556229968</v>
      </c>
      <c r="DJ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8" t="e">
        <f aca="false">VLOOKUP(A195,'Données projet'!$A$165:$I$185,2,0)</f>
        <v>#N/A</v>
      </c>
      <c r="DM195" s="118" t="e">
        <f aca="false">VLOOKUP(A195,'Données projet'!$A$165:$I$185,9,0)</f>
        <v>#N/A</v>
      </c>
      <c r="DN195" s="118" t="e">
        <f aca="false" t="array" ref="DN195:DN195">INDEX(DM:DM,MIN(IF(ISNUMBER(DM195:DM391),ROW(DM195:DM391),"")))</f>
        <v>#N/A</v>
      </c>
      <c r="DO195" s="118" t="n">
        <f aca="false">IF('Données projet'!$A$166&gt;35,DO194+DN195-DW194,IF(A195&lt;'Données projet'!$A$166,$DL$205^A195,IF(A195='Données projet'!$A$166,'Données projet'!$B$166,DO194+DN195-DW194)))</f>
        <v>0</v>
      </c>
      <c r="DP195" s="125" t="n">
        <f aca="false">DO195*VLOOKUP('Données projet'!$B$14,Paramètres!$A$1:$I$89,3,0)*VLOOKUP('Données projet'!$B$14,Paramètres!$A$1:$I$89,5,0)</f>
        <v>0</v>
      </c>
      <c r="DQ195" s="117" t="e">
        <f aca="false">EXP(-1.0587+0.8836*LN(DP195)+0.284)</f>
        <v>#VALUE!</v>
      </c>
      <c r="DR195" s="128" t="e">
        <f aca="false">(DP195+DQ195)*0.475*44/12</f>
        <v>#VALUE!</v>
      </c>
      <c r="DS195" s="120" t="e">
        <f aca="false">DR195+(DJ195+DK195)*44/12</f>
        <v>#VALUE!</v>
      </c>
      <c r="DT195" s="120" t="n">
        <f aca="true">AVERAGE(OFFSET($DS$3,0,0,'Données projet'!$E$14+1,1))-AVERAGE(OFFSET($H$3,0,0,'Données projet'!$E$14+1,1))</f>
        <v>549.432320957297</v>
      </c>
      <c r="DU195" s="120" t="n">
        <f aca="false">$DU$3</f>
        <v>280.26155987301</v>
      </c>
      <c r="DV195" s="121" t="n">
        <f aca="false">IF(ISNA(VLOOKUP(A195,'Données projet'!$A$165:$I$185,3,0)),0,VLOOKUP(A195,'Données projet'!$A$165:$I$185,3,0))</f>
        <v>0</v>
      </c>
      <c r="DW195" s="121" t="n">
        <f aca="false">IF(ISNA(VLOOKUP(A195,'Données projet'!$A$165:$I$185,4,0)),0,VLOOKUP(A195,'Données projet'!$A$165:$I$185,4,0))</f>
        <v>0</v>
      </c>
      <c r="DX195" s="122" t="n">
        <f aca="false">IF(ISNA(VLOOKUP(A195,'Données projet'!$A$165:$I$185,5,0)),0%,VLOOKUP(A195,'Données projet'!$A$165:$I$185,5,0)*VLOOKUP('Données projet'!$B$14,Paramètres!$A$1:$I$89,7,0))</f>
        <v>0</v>
      </c>
      <c r="DY195" s="122" t="n">
        <f aca="false">IF(ISNA(VLOOKUP(A195,'Données projet'!$A$165:$I$185,6,0)),0%,VLOOKUP(A195,'Données projet'!$A$165:$I$185,6,0)*VLOOKUP('Données projet'!$B$14,Paramètres!$A$1:$I$89,7,0))</f>
        <v>0</v>
      </c>
      <c r="DZ195" s="122" t="n">
        <f aca="false">IF(ISNA(VLOOKUP(A195,'Données projet'!$A$165:$I$185,7,0)),0%,VLOOKUP(A195,'Données projet'!$A$165:$I$185,7,0))</f>
        <v>0</v>
      </c>
      <c r="EA195" s="129" t="n">
        <f aca="false">EXP(-LN(2)/35)*EA194+(1-EXP(-LN(2)/35))/(LN(2)/35)*DW195*DX195*VLOOKUP('Données projet'!$B$14,Paramètres!$A$1:$I$89,3,0)*0.475*44/12</f>
        <v>0.0970955985043529</v>
      </c>
      <c r="EB195" s="129" t="n">
        <f aca="false">EXP(-LN(2)/25)*EB194+(1-EXP(-LN(2)/25))/(LN(2)/25)*Calculateur!DW195*Calculateur!DY195*VLOOKUP('Données projet'!$B$14,Paramètres!$A$1:$I$89,3,0)*0.475*44/12</f>
        <v>0.086861423270642</v>
      </c>
      <c r="EC195" s="129" t="n">
        <f aca="false">EXP(-LN(2)/2)*EC194+(1-EXP(-LN(2)/2))/(LN(2)/2)*DW195*DZ195*VLOOKUP('Données projet'!$B$14,Paramètres!$A$1:$I$89,3,0)*0.475*44/12</f>
        <v>2.53078577497421E-024</v>
      </c>
      <c r="ED195" s="130" t="n">
        <f aca="false">SUM(EA195:EC195)</f>
        <v>0.183957021774995</v>
      </c>
      <c r="EE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8" t="e">
        <f aca="false">VLOOKUP(A195,'Données projet'!$A$191:$I$211,2,0)</f>
        <v>#N/A</v>
      </c>
      <c r="EH195" s="118" t="e">
        <f aca="false">VLOOKUP(A195,'Données projet'!$A$191:$I$211,9,0)</f>
        <v>#N/A</v>
      </c>
      <c r="EI195" s="118" t="e">
        <f aca="false" t="array" ref="EI195:EI195">INDEX(EH:EH,MIN(IF(ISNUMBER(EH195:EH391),ROW(EH195:EH391),"")))</f>
        <v>#N/A</v>
      </c>
      <c r="EJ195" s="118" t="n">
        <f aca="false">IF('Données projet'!$A$192&gt;35,EJ194+EI195-ER194,IF(A195&lt;'Données projet'!$A$192,$EG$205^A195,IF(A195='Données projet'!$A$192,'Données projet'!$B$192,EJ194+EI195-ER194)))</f>
        <v>0</v>
      </c>
      <c r="EK195" s="125" t="e">
        <f aca="false">EJ195*VLOOKUP('Données projet'!$B$15,Paramètres!$A$1:$I$89,3,0)*VLOOKUP('Données projet'!$B$15,Paramètres!$A$1:$I$89,5,0)</f>
        <v>#N/A</v>
      </c>
      <c r="EL195" s="117" t="e">
        <f aca="false">EXP(-1.0587+0.8836*LN(EK195)+0.284)</f>
        <v>#N/A</v>
      </c>
      <c r="EM195" s="128" t="e">
        <f aca="false">(EK195+EL195)*0.475*44/12</f>
        <v>#N/A</v>
      </c>
      <c r="EN195" s="120" t="e">
        <f aca="false">EM195+(EE195+EF195)*44/12</f>
        <v>#N/A</v>
      </c>
      <c r="EO195" s="120" t="e">
        <f aca="true">AVERAGE(OFFSET($EN$3,0,0,'Données projet'!$E$15+1,1))-AVERAGE(OFFSET($H$3,0,0,'Données projet'!$E$15+1,1))</f>
        <v>#N/A</v>
      </c>
      <c r="EP195" s="120" t="e">
        <f aca="false">$EP$3</f>
        <v>#N/A</v>
      </c>
      <c r="EQ195" s="121" t="n">
        <f aca="false">IF(ISNA(VLOOKUP(A195,'Données projet'!$A$191:$I$211,3,0)),0,VLOOKUP(A195,'Données projet'!$A$191:$I$211,3,0))</f>
        <v>0</v>
      </c>
      <c r="ER195" s="121" t="n">
        <f aca="false">IF(ISNA(VLOOKUP(A195,'Données projet'!$A$191:$I$211,4,0)),0,VLOOKUP(A195,'Données projet'!$A$191:$I$211,4,0))</f>
        <v>0</v>
      </c>
      <c r="ES195" s="122" t="n">
        <f aca="false">IF(ISNA(VLOOKUP(A195,'Données projet'!$A$191:$I$211,5,0)),0%,VLOOKUP(A195,'Données projet'!$A$191:$I$211,5,0)*VLOOKUP('Données projet'!$B$15,Paramètres!$A$1:$I$89,7,0))</f>
        <v>0</v>
      </c>
      <c r="ET195" s="122" t="n">
        <f aca="false">IF(ISNA(VLOOKUP(A195,'Données projet'!$A$191:$I$211,6,0)),0%,VLOOKUP(A195,'Données projet'!$A$191:$I$211,6,0)*VLOOKUP('Données projet'!$B$15,Paramètres!$A$1:$I$89,7,0))</f>
        <v>0</v>
      </c>
      <c r="EU195" s="122" t="n">
        <f aca="false">IF(ISNA(VLOOKUP(A195,'Données projet'!$A$191:$I$211,7,0)),0%,VLOOKUP(A195,'Données projet'!$A$191:$I$211,7,0))</f>
        <v>0</v>
      </c>
      <c r="EV195" s="129" t="e">
        <f aca="false">EXP(-LN(2)/35)*EV194+(1-EXP(-LN(2)/35))/(LN(2)/35)*ER195*ES195*VLOOKUP('Données projet'!$B$15,Paramètres!$A$1:$I$89,3,0)*0.475*44/12</f>
        <v>#N/A</v>
      </c>
      <c r="EW195" s="129" t="e">
        <f aca="false">EXP(-LN(2)/25)*EW194+(1-EXP(-LN(2)/25))/(LN(2)/25)*Calculateur!ER195*Calculateur!ET195*VLOOKUP('Données projet'!$B$15,Paramètres!$A$1:$I$89,3,0)*0.475*44/12</f>
        <v>#N/A</v>
      </c>
      <c r="EX195" s="129" t="e">
        <f aca="false">EXP(-LN(2)/2)*EX194+(1-EXP(-LN(2)/2))/(LN(2)/2)*ER195*EU195*VLOOKUP('Données projet'!$B$15,Paramètres!$A$1:$I$89,3,0)*0.475*44/12</f>
        <v>#N/A</v>
      </c>
      <c r="EY195" s="130" t="e">
        <f aca="false">SUM(EV195:EX195)</f>
        <v>#N/A</v>
      </c>
      <c r="EZ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8" t="e">
        <f aca="false">VLOOKUP(A195,'Données projet'!$A$217:$I$237,2,0)</f>
        <v>#N/A</v>
      </c>
      <c r="FC195" s="118" t="e">
        <f aca="false">VLOOKUP(A195,'Données projet'!$A$217:$I$237,9,0)</f>
        <v>#N/A</v>
      </c>
      <c r="FD195" s="118" t="e">
        <f aca="false" t="array" ref="FD195:FD195">INDEX(FC:FC,MIN(IF(ISNUMBER(FC195:FC391),ROW(FC195:FC391),"")))</f>
        <v>#N/A</v>
      </c>
      <c r="FE195" s="118" t="n">
        <f aca="false">IF('Données projet'!$A$218&gt;35,FE194+FD195-FM194,IF(A195&lt;'Données projet'!$A$218,$FB$205^A195,IF(A195='Données projet'!$A$218,'Données projet'!$B$218,FE194+FD195-FM194)))</f>
        <v>0</v>
      </c>
      <c r="FF195" s="125" t="e">
        <f aca="false">FE195*VLOOKUP('Données projet'!$B$16,Paramètres!$A$1:$I$89,3,0)*VLOOKUP('Données projet'!$B$16,Paramètres!$A$1:$I$89,5,0)</f>
        <v>#N/A</v>
      </c>
      <c r="FG195" s="117" t="e">
        <f aca="false">EXP(-1.0587+0.8836*LN(FF195)+0.284)</f>
        <v>#N/A</v>
      </c>
      <c r="FH195" s="128" t="e">
        <f aca="false">(FF195+FG195)*0.475*44/12</f>
        <v>#N/A</v>
      </c>
      <c r="FI195" s="120" t="e">
        <f aca="false">FH195+(EZ195+FA195)*44/12</f>
        <v>#N/A</v>
      </c>
      <c r="FJ195" s="120" t="e">
        <f aca="true">AVERAGE(OFFSET($FI$3,0,0,'Données projet'!$E$16+1,1))-AVERAGE(OFFSET($H$3,0,0,'Données projet'!$E$16+1,1))</f>
        <v>#N/A</v>
      </c>
      <c r="FK195" s="120" t="e">
        <f aca="false">$FK$3</f>
        <v>#N/A</v>
      </c>
      <c r="FL195" s="121" t="n">
        <f aca="false">IF(ISNA(VLOOKUP(A195,'Données projet'!$A$217:$I$237,3,0)),0,VLOOKUP(A195,'Données projet'!$A$217:$I$237,3,0))</f>
        <v>0</v>
      </c>
      <c r="FM195" s="121" t="n">
        <f aca="false">IF(ISNA(VLOOKUP(A195,'Données projet'!$A$217:$I$237,4,0)),0,VLOOKUP(A195,'Données projet'!$A$217:$I$237,4,0))</f>
        <v>0</v>
      </c>
      <c r="FN195" s="122" t="n">
        <f aca="false">IF(ISNA(VLOOKUP(A195,'Données projet'!$A$217:$I$237,5,0)),0%,VLOOKUP(A195,'Données projet'!$A$217:$I$237,5,0)*VLOOKUP('Données projet'!$B$16,Paramètres!$A$1:$I$89,7,0))</f>
        <v>0</v>
      </c>
      <c r="FO195" s="122" t="n">
        <f aca="false">IF(ISNA(VLOOKUP(A195,'Données projet'!$A$217:$I$237,6,0)),0%,VLOOKUP(A195,'Données projet'!$A$217:$I$237,6,0)*VLOOKUP('Données projet'!$B$16,Paramètres!$A$1:$I$89,7,0))</f>
        <v>0</v>
      </c>
      <c r="FP195" s="122" t="n">
        <f aca="false">IF(ISNA(VLOOKUP(A195,'Données projet'!$A$217:$I$237,7,0)),0%,VLOOKUP(A195,'Données projet'!$A$217:$I$237,7,0))</f>
        <v>0</v>
      </c>
      <c r="FQ195" s="129" t="e">
        <f aca="false">EXP(-LN(2)/35)*FQ194+(1-EXP(-LN(2)/35))/(LN(2)/35)*FM195*FN195*VLOOKUP('Données projet'!$B$16,Paramètres!$A$1:$I$89,3,0)*0.475*44/12</f>
        <v>#N/A</v>
      </c>
      <c r="FR195" s="129" t="e">
        <f aca="false">EXP(-LN(2)/25)*FR194+(1-EXP(-LN(2)/25))/(LN(2)/25)*Calculateur!FM195*Calculateur!FO195*VLOOKUP('Données projet'!$B$16,Paramètres!$A$1:$I$89,3,0)*0.475*44/12</f>
        <v>#N/A</v>
      </c>
      <c r="FS195" s="129" t="e">
        <f aca="false">EXP(-LN(2)/2)*FS194+(1-EXP(-LN(2)/2))/(LN(2)/2)*FM195*FP195*VLOOKUP('Données projet'!$B$16,Paramètres!$A$1:$I$89,3,0)*0.475*44/12</f>
        <v>#N/A</v>
      </c>
      <c r="FT195" s="130" t="e">
        <f aca="false">SUM(FQ195:FS195)</f>
        <v>#N/A</v>
      </c>
      <c r="FU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8" t="e">
        <f aca="false">VLOOKUP(A195,'Données projet'!$A$243:$I$263,2,0)</f>
        <v>#N/A</v>
      </c>
      <c r="FX195" s="118" t="e">
        <f aca="false">VLOOKUP(A195,'Données projet'!$A$243:$I$263,9,0)</f>
        <v>#N/A</v>
      </c>
      <c r="FY195" s="118" t="e">
        <f aca="false" t="array" ref="FY195:FY195">INDEX(FX:FX,MIN(IF(ISNUMBER(FX195:FX391),ROW(FX195:FX391),"")))</f>
        <v>#N/A</v>
      </c>
      <c r="FZ195" s="118" t="n">
        <f aca="false">IF('Données projet'!$A$244&gt;35,FZ194+FY195-GH194,IF(A195&lt;'Données projet'!$A$244,$FW$205^A195,IF(A195='Données projet'!$A$244,'Données projet'!$B$244,FZ194+FY195-GH194)))</f>
        <v>0</v>
      </c>
      <c r="GA195" s="125" t="e">
        <f aca="false">FZ195*VLOOKUP('Données projet'!$B$17,Paramètres!$A$1:$I$89,3,0)*VLOOKUP('Données projet'!$B$17,Paramètres!$A$1:$I$89,5,0)</f>
        <v>#N/A</v>
      </c>
      <c r="GB195" s="117" t="e">
        <f aca="false">EXP(-1.0587+0.8836*LN(GA195)+0.284)</f>
        <v>#N/A</v>
      </c>
      <c r="GC195" s="128" t="e">
        <f aca="false">(GA195+GB195)*0.475*44/12</f>
        <v>#N/A</v>
      </c>
      <c r="GD195" s="120" t="e">
        <f aca="false">GC195+(FU195+FV195)*44/12</f>
        <v>#N/A</v>
      </c>
      <c r="GE195" s="120" t="e">
        <f aca="true">AVERAGE(OFFSET($GD$3,0,0,'Données projet'!$E$17+1,1))-AVERAGE(OFFSET($H$3,0,0,'Données projet'!$E$17+1,1))</f>
        <v>#N/A</v>
      </c>
      <c r="GF195" s="120" t="e">
        <f aca="false">$GF$3</f>
        <v>#N/A</v>
      </c>
      <c r="GG195" s="121" t="n">
        <f aca="false">IF(ISNA(VLOOKUP(A195,'Données projet'!$A$243:$I$263,3,0)),0,VLOOKUP(A195,'Données projet'!$A$243:$I$263,3,0))</f>
        <v>0</v>
      </c>
      <c r="GH195" s="121" t="n">
        <f aca="false">IF(ISNA(VLOOKUP(A195,'Données projet'!$A$243:$I$263,4,0)),0,VLOOKUP(A195,'Données projet'!$A$243:$I$263,4,0))</f>
        <v>0</v>
      </c>
      <c r="GI195" s="122" t="n">
        <f aca="false">IF(ISNA(VLOOKUP(A195,'Données projet'!$A$243:$I$263,5,0)),0%,VLOOKUP(A195,'Données projet'!$A$243:$I$263,5,0)*VLOOKUP('Données projet'!$B$17,Paramètres!$A$1:$I$89,7,0))</f>
        <v>0</v>
      </c>
      <c r="GJ195" s="122" t="n">
        <f aca="false">IF(ISNA(VLOOKUP(A195,'Données projet'!$A$243:$I$263,6,0)),0%,VLOOKUP(A195,'Données projet'!$A$243:$I$263,6,0)*VLOOKUP('Données projet'!$B$17,Paramètres!$A$1:$I$89,7,0))</f>
        <v>0</v>
      </c>
      <c r="GK195" s="122" t="n">
        <f aca="false">IF(ISNA(VLOOKUP(A195,'Données projet'!$A$243:$I$263,7,0)),0%,VLOOKUP(A195,'Données projet'!$A$243:$I$263,7,0))</f>
        <v>0</v>
      </c>
      <c r="GL195" s="129" t="e">
        <f aca="false">EXP(-LN(2)/35)*GL194+(1-EXP(-LN(2)/35))/(LN(2)/35)*GH195*GI195*VLOOKUP('Données projet'!$B$17,Paramètres!$A$1:$I$89,3,0)*0.475*44/12</f>
        <v>#N/A</v>
      </c>
      <c r="GM195" s="129" t="e">
        <f aca="false">EXP(-LN(2)/25)*GM194+(1-EXP(-LN(2)/25))/(LN(2)/25)*Calculateur!GH195*Calculateur!GJ195*VLOOKUP('Données projet'!$B$17,Paramètres!$A$1:$I$89,3,0)*0.475*44/12</f>
        <v>#N/A</v>
      </c>
      <c r="GN195" s="129" t="e">
        <f aca="false">EXP(-LN(2)/2)*GN194+(1-EXP(-LN(2)/2))/(LN(2)/2)*GH195*GK195*VLOOKUP('Données projet'!$B$17,Paramètres!$A$1:$I$89,3,0)*0.475*44/12</f>
        <v>#N/A</v>
      </c>
      <c r="GO195" s="129" t="e">
        <f aca="false">SUM(GL195:GN195)</f>
        <v>#N/A</v>
      </c>
      <c r="GP195" s="126" t="n">
        <f aca="false"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8" t="n">
        <f aca="false"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8" t="e">
        <f aca="false">VLOOKUP(A195,'Données projet'!$A$269:$I$289,2,0)</f>
        <v>#N/A</v>
      </c>
      <c r="GS195" s="118" t="e">
        <f aca="false">VLOOKUP(A195,'Données projet'!$A$269:$I$289,9,0)</f>
        <v>#N/A</v>
      </c>
      <c r="GT195" s="118" t="e">
        <f aca="false" t="array" ref="GT195:GT195">INDEX(GS:GS,MIN(IF(ISNUMBER(GS195:GS391),ROW(GS195:GS391),"")))</f>
        <v>#N/A</v>
      </c>
      <c r="GU195" s="118" t="n">
        <f aca="false">IF('Données projet'!$A$270&gt;35,GU194+GT195-HC194,IF(A195&lt;'Données projet'!$A$270,$GR$205^A195,IF(A195='Données projet'!$A$270,'Données projet'!$B$270,GU194+GT195-HC194)))</f>
        <v>0</v>
      </c>
      <c r="GV195" s="125" t="e">
        <f aca="false">GU195*VLOOKUP('Données projet'!$B$18,Paramètres!$A$1:$I$89,3,0)*VLOOKUP('Données projet'!$B$18,Paramètres!$A$1:$I$89,5,0)</f>
        <v>#N/A</v>
      </c>
      <c r="GW195" s="117" t="e">
        <f aca="false">EXP(-1.0587+0.8836*LN(GV195)+0.284)</f>
        <v>#N/A</v>
      </c>
      <c r="GX195" s="128" t="e">
        <f aca="false">(GV195+GW195)*0.475*44/12</f>
        <v>#N/A</v>
      </c>
      <c r="GY195" s="120" t="e">
        <f aca="false">GX195+(GP195+GQ195)*44/12</f>
        <v>#N/A</v>
      </c>
      <c r="GZ195" s="120" t="e">
        <f aca="true">AVERAGE(OFFSET($GY$3,0,0,'Données projet'!$E$18+1,1))-AVERAGE(OFFSET($H$3,0,0,'Données projet'!$E$18+1,1))</f>
        <v>#N/A</v>
      </c>
      <c r="HA195" s="120" t="e">
        <f aca="false">$HA$3</f>
        <v>#N/A</v>
      </c>
      <c r="HB195" s="121" t="n">
        <f aca="false">IF(ISNA(VLOOKUP(A195,'Données projet'!$A$269:$I$289,3,0)),0,VLOOKUP(A195,'Données projet'!$A$269:$I$289,3,0))</f>
        <v>0</v>
      </c>
      <c r="HC195" s="121" t="n">
        <f aca="false">IF(ISNA(VLOOKUP(A195,'Données projet'!$A$269:$I$289,4,0)),0,VLOOKUP(A195,'Données projet'!$A$269:$I$289,4,0))</f>
        <v>0</v>
      </c>
      <c r="HD195" s="122" t="n">
        <f aca="false">IF(ISNA(VLOOKUP(A195,'Données projet'!$A$269:$I$289,5,0)),0%,VLOOKUP(A195,'Données projet'!$A$269:$I$289,5,0)*VLOOKUP('Données projet'!$B$18,Paramètres!$A$1:$I$89,7,0))</f>
        <v>0</v>
      </c>
      <c r="HE195" s="122" t="n">
        <f aca="false">IF(ISNA(VLOOKUP(A195,'Données projet'!$A$269:$I$289,6,0)),0%,VLOOKUP(A195,'Données projet'!$A$269:$I$289,6,0)*VLOOKUP('Données projet'!$B$18,Paramètres!$A$1:$I$89,7,0))</f>
        <v>0</v>
      </c>
      <c r="HF195" s="122" t="n">
        <f aca="false">IF(ISNA(VLOOKUP(A195,'Données projet'!$A$269:$I$289,7,0)),0%,VLOOKUP(A195,'Données projet'!$A$269:$I$289,7,0))</f>
        <v>0</v>
      </c>
      <c r="HG195" s="129" t="e">
        <f aca="false">EXP(-LN(2)/35)*HG194+(1-EXP(-LN(2)/35))/(LN(2)/35)*HC195*HD195*VLOOKUP('Données projet'!$B$18,Paramètres!$A$1:$I$89,3,0)*0.475*44/12</f>
        <v>#N/A</v>
      </c>
      <c r="HH195" s="129" t="e">
        <f aca="false">EXP(-LN(2)/25)*HH194+(1-EXP(-LN(2)/25))/(LN(2)/25)*Calculateur!HC195*Calculateur!HE195*VLOOKUP('Données projet'!$B$18,Paramètres!$A$1:$I$89,3,0)*0.475*44/12</f>
        <v>#N/A</v>
      </c>
      <c r="HI195" s="129" t="e">
        <f aca="false">EXP(-LN(2)/2)*HI194+(1-EXP(-LN(2)/2))/(LN(2)/2)*HC195*HF195*VLOOKUP('Données projet'!$B$18,Paramètres!$A$1:$I$89,3,0)*0.475*44/12</f>
        <v>#N/A</v>
      </c>
      <c r="HJ195" s="130" t="e">
        <f aca="false">SUM(HG195:HI195)</f>
        <v>#N/A</v>
      </c>
    </row>
    <row r="196" customFormat="false" ht="14.25" hidden="false" customHeight="false" outlineLevel="0" collapsed="false">
      <c r="A196" s="112" t="n">
        <f aca="false">A195+1</f>
        <v>193</v>
      </c>
      <c r="B196" s="113" t="n">
        <f aca="false">'Scénario référence'!$B$16*5+'Scénario référence'!$B$17*0+'Scénario référence'!$B$18*5</f>
        <v>0</v>
      </c>
      <c r="C196" s="127" t="n">
        <f aca="false"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4" t="n">
        <f aca="false">IFERROR(EXP(-1.0587+0.8836*LN(C196)+0.284),0)</f>
        <v>0</v>
      </c>
      <c r="E196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6" s="114" t="n">
        <f aca="false">IF(OR('Scénario référence'!$F$8&gt;0,'Scénario référence'!$F$9&gt;0),('Scénario référence'!$F$8+'Scénario référence'!$F$9)*10,0)</f>
        <v>0</v>
      </c>
      <c r="G196" s="114" t="n">
        <f aca="false"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15" t="n">
        <f aca="false">(B196+E196+F196)*44/12+(C196+D196)*0.475*44/12</f>
        <v>256.666666666667</v>
      </c>
      <c r="I196" s="11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7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8" t="e">
        <f aca="false">VLOOKUP(A196,'Données projet'!$A$35:$I$55,2,0)</f>
        <v>#N/A</v>
      </c>
      <c r="L196" s="118" t="e">
        <f aca="false">VLOOKUP(A196,'Données projet'!$A$35:$I$55,9,0)</f>
        <v>#N/A</v>
      </c>
      <c r="M196" s="118" t="e">
        <f aca="false" t="array" ref="M196:M196">INDEX(L:L,MIN(IF(ISNUMBER(L196:L392),ROW(L196:L392),"")))</f>
        <v>#N/A</v>
      </c>
      <c r="N196" s="117" t="n">
        <f aca="false">IF('Données projet'!$A$36&gt;35,N195+M196-V195,IF(A196&lt;'Données projet'!$A$36,$K$205^A196,IF(A196='Données projet'!$A$36,'Données projet'!$B$36,N195+M196-V195)))</f>
        <v>-1.13686837721616E-013</v>
      </c>
      <c r="O196" s="117" t="n">
        <f aca="false">N196*VLOOKUP('Données projet'!$B$9,Paramètres!$A$1:$I$89,3,0)*VLOOKUP('Données projet'!$B$9,Paramètres!$A$1:$I$89,5,0)</f>
        <v>-5.32054400537163E-014</v>
      </c>
      <c r="P196" s="117" t="e">
        <f aca="false">EXP(-1.0587+0.8836*LN(O196)+0.284)</f>
        <v>#VALUE!</v>
      </c>
      <c r="Q196" s="128" t="e">
        <f aca="false">(O196+P196)*0.475*44/12</f>
        <v>#VALUE!</v>
      </c>
      <c r="R196" s="120" t="e">
        <f aca="false">Q196+(I196+J196)*44/12</f>
        <v>#VALUE!</v>
      </c>
      <c r="S196" s="120" t="n">
        <f aca="true">AVERAGE(OFFSET($R$3,0,0,'Données projet'!$E$9+1,1))-AVERAGE(OFFSET($H$3,0,0,'Données projet'!$E$9+1,1))</f>
        <v>319.229030946746</v>
      </c>
      <c r="T196" s="120" t="n">
        <f aca="false">$T$3</f>
        <v>254.586909731428</v>
      </c>
      <c r="U196" s="121" t="n">
        <f aca="false">IF(ISNA(VLOOKUP(A196,'Données projet'!$A$35:$I$55,3,0)),0,VLOOKUP(A196,'Données projet'!$A$35:$I$55,3,0))</f>
        <v>0</v>
      </c>
      <c r="V196" s="121" t="n">
        <f aca="false">IF(ISNA(VLOOKUP(A196,'Données projet'!$A$35:$I$55,4,0)),0,VLOOKUP(A196,'Données projet'!$A$35:$I$55,4,0))</f>
        <v>0</v>
      </c>
      <c r="W196" s="122" t="n">
        <f aca="false">IF(ISNA(VLOOKUP(A196,'Données projet'!$A$35:$I$55,5,0)),0%,VLOOKUP(A196,'Données projet'!$A$35:$I$55,5,0)*VLOOKUP('Données projet'!$B$9,Paramètres!$A$1:$I$89,7,0))</f>
        <v>0</v>
      </c>
      <c r="X196" s="122" t="n">
        <f aca="false">IF(ISNA(VLOOKUP(A196,'Données projet'!$A$35:$I$55,6,0)),0%,VLOOKUP(A196,'Données projet'!$A$35:$I$55,6,0)*VLOOKUP('Données projet'!$B$9,Paramètres!$A$1:$I$89,7,0))</f>
        <v>0</v>
      </c>
      <c r="Y196" s="122" t="n">
        <f aca="false">IF(ISNA(VLOOKUP(A196,'Données projet'!$A$35:$I$55,7,0)),0%,VLOOKUP(A196,'Données projet'!$A$35:$I$55,7,0))</f>
        <v>0</v>
      </c>
      <c r="Z196" s="129" t="n">
        <f aca="false">EXP(-LN(2)/35)*Z195+(1-EXP(-LN(2)/35))/(LN(2)/35)*V196*W196*VLOOKUP('Données projet'!$B$9,Paramètres!$A$1:$I$89,3,0)*0.475*44/12</f>
        <v>0.359718513942519</v>
      </c>
      <c r="AA196" s="129" t="n">
        <f aca="false">EXP(-LN(2)/25)*AA195+(1-EXP(-LN(2)/25))/(LN(2)/25)*Calculateur!V196*Calculateur!X196*VLOOKUP('Données projet'!$B$9,Paramètres!$A$1:$I$89,3,0)*0.475*44/12</f>
        <v>0.121509634716199</v>
      </c>
      <c r="AB196" s="129" t="n">
        <f aca="false">EXP(-LN(2)/2)*AB195+(1-EXP(-LN(2)/2))/(LN(2)/2)*V196*Y196*VLOOKUP('Données projet'!$B$9,Paramètres!$A$1:$I$89,3,0)*0.475*44/12</f>
        <v>3.22959069229453E-024</v>
      </c>
      <c r="AC196" s="130" t="n">
        <f aca="false">SUM(Z196:AB196)</f>
        <v>0.481228148658719</v>
      </c>
      <c r="AD196" s="117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7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8" t="e">
        <f aca="false">VLOOKUP(A196,'Données projet'!$A$61:$I$81,2,0)</f>
        <v>#N/A</v>
      </c>
      <c r="AG196" s="118" t="e">
        <f aca="false">VLOOKUP(A196,'Données projet'!$A$61:$I$81,9,0)</f>
        <v>#N/A</v>
      </c>
      <c r="AH196" s="118" t="e">
        <f aca="false" t="array" ref="AH196:AH196">INDEX(AG:AG,MIN(IF(ISNUMBER(AG196:AG392),ROW(AG196:AG392),"")))</f>
        <v>#N/A</v>
      </c>
      <c r="AI196" s="117" t="n">
        <f aca="false">IF('Données projet'!$A$62&gt;35,AI195+AH196-AQ195,IF(A196&lt;'Données projet'!$A$62,$AF$205^A196,IF(A196='Données projet'!$A$62,'Données projet'!$B$62,AI195+AH196-AQ195)))</f>
        <v>1.13686837721616E-013</v>
      </c>
      <c r="AJ196" s="117" t="n">
        <f aca="false">AI196*VLOOKUP('Données projet'!$B$10,Paramètres!$A$1:$I$89,3,0)*VLOOKUP('Données projet'!$B$10,Paramètres!$A$1:$I$89,5,0)</f>
        <v>6.35509422863834E-014</v>
      </c>
      <c r="AK196" s="117" t="n">
        <f aca="false">EXP(-1.0587+0.8836*LN(AJ196)+0.284)</f>
        <v>1.0064464192544E-012</v>
      </c>
      <c r="AL196" s="128" t="n">
        <f aca="false">(AJ196+AK196)*0.475*44/12</f>
        <v>1.86357873801686E-012</v>
      </c>
      <c r="AM196" s="120" t="n">
        <f aca="false">AL196+(AD196+AE196)*44/12</f>
        <v>293.333333333335</v>
      </c>
      <c r="AN196" s="120" t="n">
        <f aca="true">AVERAGE(OFFSET($AM$3,0,0,'Données projet'!$E$10+1,1))-AVERAGE(OFFSET($H$3,0,0,'Données projet'!$E$10+1,1))</f>
        <v>365.705101827279</v>
      </c>
      <c r="AO196" s="120" t="n">
        <f aca="false">$AO$3</f>
        <v>436.238338449625</v>
      </c>
      <c r="AP196" s="121" t="n">
        <f aca="false">IF(ISNA(VLOOKUP(A196,'Données projet'!$A$61:$I$81,3,0)),0,VLOOKUP(A196,'Données projet'!$A$61:$I$81,3,0))</f>
        <v>0</v>
      </c>
      <c r="AQ196" s="121" t="n">
        <f aca="false">IF(ISNA(VLOOKUP(A196,'Données projet'!$A$61:$I$81,4,0)),0,VLOOKUP(A196,'Données projet'!$A$61:$I$81,4,0))</f>
        <v>0</v>
      </c>
      <c r="AR196" s="122" t="n">
        <f aca="false">IF(ISNA(VLOOKUP(A196,'Données projet'!$A$61:$I$81,5,0)),0%,VLOOKUP(A196,'Données projet'!$A$61:$I$81,5,0)*VLOOKUP('Données projet'!$B$10,Paramètres!$A$1:$I$89,7,0))</f>
        <v>0</v>
      </c>
      <c r="AS196" s="122" t="n">
        <f aca="false">IF(ISNA(VLOOKUP(A196,'Données projet'!$A$61:$I$81,6,0)),0%,VLOOKUP(A196,'Données projet'!$A$61:$I$81,6,0)*VLOOKUP('Données projet'!$B$10,Paramètres!$A$1:$I$89,7,0))</f>
        <v>0</v>
      </c>
      <c r="AT196" s="122" t="n">
        <f aca="false">IF(ISNA(VLOOKUP(A196,'Données projet'!$A$61:$I$81,7,0)),0%,VLOOKUP(A196,'Données projet'!$A$61:$I$81,7,0))</f>
        <v>0</v>
      </c>
      <c r="AU196" s="129" t="n">
        <f aca="false">EXP(-LN(2)/35)*AU195+(1-EXP(-LN(2)/35))/(LN(2)/35)*AQ196*AR196*VLOOKUP('Données projet'!$B$10,Paramètres!$A$1:$I$89,3,0)*0.475*44/12</f>
        <v>0.135782076431998</v>
      </c>
      <c r="AV196" s="129" t="n">
        <f aca="false">EXP(-LN(2)/25)*AV195+(1-EXP(-LN(2)/25))/(LN(2)/25)*Calculateur!AQ196*Calculateur!AS196*VLOOKUP('Données projet'!$B$10,Paramètres!$A$1:$I$89,3,0)*0.475*44/12</f>
        <v>0.143921592310345</v>
      </c>
      <c r="AW196" s="129" t="n">
        <f aca="false">EXP(-LN(2)/2)*AW195+(1-EXP(-LN(2)/2))/(LN(2)/2)*AQ196*AT196*VLOOKUP('Données projet'!$B$10,Paramètres!$A$1:$I$89,3,0)*0.475*44/12</f>
        <v>1.73806477051868E-024</v>
      </c>
      <c r="AX196" s="129" t="n">
        <f aca="false">SUM(AU196:AW196)</f>
        <v>0.279703668742343</v>
      </c>
      <c r="AY196" s="124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8" t="e">
        <f aca="false">VLOOKUP(A196,'Données projet'!$A$87:$I$107,2,0)</f>
        <v>#N/A</v>
      </c>
      <c r="BB196" s="118" t="e">
        <f aca="false">VLOOKUP(A196,'Données projet'!$A$87:$I$107,9,0)</f>
        <v>#N/A</v>
      </c>
      <c r="BC196" s="118" t="e">
        <f aca="false" t="array" ref="BC196:BC196">INDEX(BB:BB,MIN(IF(ISNUMBER(BB196:BB392),ROW(BB196:BB392),"")))</f>
        <v>#N/A</v>
      </c>
      <c r="BD196" s="118" t="n">
        <f aca="false">IF('Données projet'!$A$88&gt;35,BD195+BC196-BL195,IF(A196&lt;'Données projet'!$A$88,$BA$205^A196,IF(A196='Données projet'!$A$88,'Données projet'!$B$88,BD195+BC196-BL195)))</f>
        <v>1.98951966012828E-013</v>
      </c>
      <c r="BE196" s="117" t="n">
        <f aca="false">BD196*VLOOKUP('Données projet'!$B$11,Paramètres!$A$1:$I$89,3,0)*VLOOKUP('Données projet'!$B$11,Paramètres!$A$1:$I$89,5,0)</f>
        <v>1.73804437508807E-013</v>
      </c>
      <c r="BF196" s="117" t="n">
        <f aca="false">EXP(-1.0587+0.8836*LN(BE196)+0.284)</f>
        <v>2.44832936339505E-012</v>
      </c>
      <c r="BG196" s="128" t="n">
        <f aca="false">(BE196+BF196)*0.475*44/12</f>
        <v>4.56688303657421E-012</v>
      </c>
      <c r="BH196" s="120" t="n">
        <f aca="false">BG196+(AY196+AZ196)*44/12</f>
        <v>293.333333333338</v>
      </c>
      <c r="BI196" s="120" t="n">
        <f aca="true">AVERAGE(OFFSET($BH$3,0,0,'Données projet'!$E$11+1,1))-AVERAGE(OFFSET($H$3,0,0,'Données projet'!$E$11+1,1))</f>
        <v>321.235999689929</v>
      </c>
      <c r="BJ196" s="120" t="n">
        <f aca="false">$BJ$3</f>
        <v>388.051958478005</v>
      </c>
      <c r="BK196" s="121" t="n">
        <f aca="false">IF(ISNA(VLOOKUP(A196,'Données projet'!$A$87:$I$107,3,0)),0,VLOOKUP(A196,'Données projet'!$A$87:$I$107,3,0))</f>
        <v>0</v>
      </c>
      <c r="BL196" s="121" t="n">
        <f aca="false">IF(ISNA(VLOOKUP(A196,'Données projet'!$A$87:$I$107,4,0)),0,VLOOKUP(A196,'Données projet'!$A$87:$I$107,4,0))</f>
        <v>0</v>
      </c>
      <c r="BM196" s="122" t="n">
        <f aca="false">IF(ISNA(VLOOKUP(A196,'Données projet'!$A$87:$I$107,5,0)),0%,VLOOKUP(A196,'Données projet'!$A$87:$I$107,5,0)*VLOOKUP('Données projet'!$B$11,Paramètres!$A$1:$I$89,7,0))</f>
        <v>0</v>
      </c>
      <c r="BN196" s="122" t="n">
        <f aca="false">IF(ISNA(VLOOKUP(A196,'Données projet'!$A$87:$I$107,6,0)),0%,VLOOKUP(A196,'Données projet'!$A$87:$I$107,6,0)*VLOOKUP('Données projet'!$B$11,Paramètres!$A$1:$I$89,7,0))</f>
        <v>0</v>
      </c>
      <c r="BO196" s="122" t="n">
        <f aca="false">IF(ISNA(VLOOKUP(A196,'Données projet'!$A$87:$I$107,7,0)),0%,VLOOKUP(A196,'Données projet'!$A$87:$I$107,7,0))</f>
        <v>0</v>
      </c>
      <c r="BP196" s="129" t="n">
        <f aca="false">EXP(-LN(2)/35)*BP195+(1-EXP(-LN(2)/35))/(LN(2)/35)*BL196*BM196*VLOOKUP('Données projet'!$B$11,Paramètres!$A$1:$I$89,3,0)*0.475*44/12</f>
        <v>0.340897380302387</v>
      </c>
      <c r="BQ196" s="129" t="n">
        <f aca="false">EXP(-LN(2)/25)*BQ195+(1-EXP(-LN(2)/25))/(LN(2)/25)*Calculateur!BL196*Calculateur!BN196*VLOOKUP('Données projet'!$B$11,Paramètres!$A$1:$I$89,3,0)*0.475*44/12</f>
        <v>0.146906613016341</v>
      </c>
      <c r="BR196" s="129" t="n">
        <f aca="false">EXP(-LN(2)/2)*BR195+(1-EXP(-LN(2)/2))/(LN(2)/2)*BL196*BO196*VLOOKUP('Données projet'!$B$11,Paramètres!$A$1:$I$89,3,0)*0.475*44/12</f>
        <v>1.76670671295539E-024</v>
      </c>
      <c r="BS196" s="130" t="n">
        <f aca="false">SUM(BP196:BR196)</f>
        <v>0.487803993318728</v>
      </c>
      <c r="BT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8" t="e">
        <f aca="false">VLOOKUP(A196,'Données projet'!$A$113:$I$133,2,0)</f>
        <v>#N/A</v>
      </c>
      <c r="BW196" s="118" t="e">
        <f aca="false">VLOOKUP(A196,'Données projet'!$A$113:$I$133,9,0)</f>
        <v>#N/A</v>
      </c>
      <c r="BX196" s="118" t="e">
        <f aca="false" t="array" ref="BX196:BX196">INDEX(BW:BW,MIN(IF(ISNUMBER(BW196:BW392),ROW(BW196:BW392),"")))</f>
        <v>#N/A</v>
      </c>
      <c r="BY196" s="118" t="n">
        <f aca="false">IF('Données projet'!$A$114&gt;35,BY195+BX196-CG195,IF(A196&lt;'Données projet'!$A$114,$BV$205^A196,IF(A196='Données projet'!$A$114,'Données projet'!$B$114,BY195+BX196-CG195)))</f>
        <v>0</v>
      </c>
      <c r="BZ196" s="117" t="n">
        <f aca="false">BY196*VLOOKUP('Données projet'!$B$12,Paramètres!$A$1:$I$89,3,0)*VLOOKUP('Données projet'!$B$12,Paramètres!$A$1:$I$89,5,0)</f>
        <v>0</v>
      </c>
      <c r="CA196" s="117" t="e">
        <f aca="false">EXP(-1.0587+0.8836*LN(BZ196)+0.284)</f>
        <v>#VALUE!</v>
      </c>
      <c r="CB196" s="128" t="e">
        <f aca="false">(BZ196+CA196)*0.475*44/12</f>
        <v>#VALUE!</v>
      </c>
      <c r="CC196" s="120" t="e">
        <f aca="false">CB196+(BT196+BU196)*44/12</f>
        <v>#VALUE!</v>
      </c>
      <c r="CD196" s="120" t="n">
        <f aca="true">AVERAGE(OFFSET($CC$3,0,0,'Données projet'!$E$12+1,1))-AVERAGE(OFFSET($H$3,0,0,'Données projet'!$E$12+1,1))</f>
        <v>240.228848647662</v>
      </c>
      <c r="CE196" s="120" t="n">
        <f aca="false">$CE$3</f>
        <v>343.237768841432</v>
      </c>
      <c r="CF196" s="121" t="n">
        <f aca="false">IF(ISNA(VLOOKUP(A196,'Données projet'!$A$113:$I$133,3,0)),0,VLOOKUP(A196,'Données projet'!$A$113:$I$133,3,0))</f>
        <v>0</v>
      </c>
      <c r="CG196" s="121" t="n">
        <f aca="false">IF(ISNA(VLOOKUP(A196,'Données projet'!$A$113:$I$133,4,0)),0,VLOOKUP(A196,'Données projet'!$A$113:$I$133,4,0))</f>
        <v>0</v>
      </c>
      <c r="CH196" s="122" t="n">
        <f aca="false">IF(ISNA(VLOOKUP(A196,'Données projet'!$A$113:$I$133,5,0)),0%,VLOOKUP(A196,'Données projet'!$A$113:$I$133,5,0)*VLOOKUP('Données projet'!$B$12,Paramètres!$A$1:$I$89,7,0))</f>
        <v>0</v>
      </c>
      <c r="CI196" s="122" t="n">
        <f aca="false">IF(ISNA(VLOOKUP(A196,'Données projet'!$A$113:$I$133,6,0)),0%,VLOOKUP(A196,'Données projet'!$A$113:$I$133,6,0)*VLOOKUP('Données projet'!$B$12,Paramètres!$A$1:$I$89,7,0))</f>
        <v>0</v>
      </c>
      <c r="CJ196" s="122" t="n">
        <f aca="false">IF(ISNA(VLOOKUP(A196,'Données projet'!$A$113:$I$133,7,0)),0%,VLOOKUP(A196,'Données projet'!$A$113:$I$133,7,0))</f>
        <v>0</v>
      </c>
      <c r="CK196" s="129" t="n">
        <f aca="false">EXP(-LN(2)/35)*CK195+(1-EXP(-LN(2)/35))/(LN(2)/35)*CG196*CH196*VLOOKUP('Données projet'!$B$12,Paramètres!$A$1:$I$89,3,0)*0.475*44/12</f>
        <v>0.208655755024465</v>
      </c>
      <c r="CL196" s="129" t="n">
        <f aca="false">EXP(-LN(2)/25)*CL195+(1-EXP(-LN(2)/25))/(LN(2)/25)*Calculateur!CG196*Calculateur!CI196*VLOOKUP('Données projet'!$B$12,Paramètres!$A$1:$I$89,3,0)*0.475*44/12</f>
        <v>0.259445582994038</v>
      </c>
      <c r="CM196" s="129" t="n">
        <f aca="false">EXP(-LN(2)/2)*CM195+(1-EXP(-LN(2)/2))/(LN(2)/2)*CG196*CJ196*VLOOKUP('Données projet'!$B$12,Paramètres!$A$1:$I$89,3,0)*0.475*44/12</f>
        <v>2.81919291013709E-024</v>
      </c>
      <c r="CN196" s="130" t="n">
        <f aca="false">SUM(CK196:CM196)</f>
        <v>0.468101338018502</v>
      </c>
      <c r="CO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8" t="e">
        <f aca="false">VLOOKUP(A196,'Données projet'!$A$139:$I$159,2,0)</f>
        <v>#N/A</v>
      </c>
      <c r="CR196" s="118" t="e">
        <f aca="false">VLOOKUP(A196,'Données projet'!$A$139:$I$159,9,0)</f>
        <v>#N/A</v>
      </c>
      <c r="CS196" s="118" t="e">
        <f aca="false" t="array" ref="CS196:CS196">INDEX(CR:CR,MIN(IF(ISNUMBER(CR196:CR392),ROW(CR196:CR392),"")))</f>
        <v>#N/A</v>
      </c>
      <c r="CT196" s="118" t="n">
        <f aca="false">IF('Données projet'!$A$140&gt;35,CT195+CS196-DB195,IF(A196&lt;'Données projet'!$A$140,$CQ$205^A196,IF(A196='Données projet'!$A$140,'Données projet'!$B$140,CT195+CS196-DB195)))</f>
        <v>-5.6843418860808E-014</v>
      </c>
      <c r="CU196" s="125" t="n">
        <f aca="false">CT196*VLOOKUP('Données projet'!$B$13,Paramètres!$A$1:$I$89,3,0)*VLOOKUP('Données projet'!$B$13,Paramètres!$A$1:$I$89,5,0)</f>
        <v>-3.10365066980012E-014</v>
      </c>
      <c r="CV196" s="117" t="e">
        <f aca="false">EXP(-1.0587+0.8836*LN(CU196)+0.284)</f>
        <v>#VALUE!</v>
      </c>
      <c r="CW196" s="128" t="e">
        <f aca="false">(CU196+CV196)*0.475*44/12</f>
        <v>#VALUE!</v>
      </c>
      <c r="CX196" s="120" t="e">
        <f aca="false">CW196+(CO196+CP196)*44/12</f>
        <v>#VALUE!</v>
      </c>
      <c r="CY196" s="120" t="n">
        <f aca="true">AVERAGE(OFFSET($CX$3,0,0,'Données projet'!$E$13+1,1))-AVERAGE(OFFSET($H$3,0,0,'Données projet'!$E$13+1,1))</f>
        <v>207.023069645676</v>
      </c>
      <c r="CZ196" s="120" t="n">
        <f aca="false">$CZ$3</f>
        <v>342.068879333518</v>
      </c>
      <c r="DA196" s="121" t="n">
        <f aca="false">IF(ISNA(VLOOKUP(A196,'Données projet'!$A$139:$I$159,3,0)),0,VLOOKUP(A196,'Données projet'!$A$139:$I$159,3,0))</f>
        <v>0</v>
      </c>
      <c r="DB196" s="121" t="n">
        <f aca="false">IF(ISNA(VLOOKUP(A196,'Données projet'!$A$139:$I$159,4,0)),0,VLOOKUP(A196,'Données projet'!$A$139:$I$159,4,0))</f>
        <v>0</v>
      </c>
      <c r="DC196" s="122" t="n">
        <f aca="false">IF(ISNA(VLOOKUP(A196,'Données projet'!$A$139:$I$159,5,0)),0%,VLOOKUP(A196,'Données projet'!$A$139:$I$159,5,0)*VLOOKUP('Données projet'!$B$13,Paramètres!$A$1:$I$89,7,0))</f>
        <v>0</v>
      </c>
      <c r="DD196" s="122" t="n">
        <f aca="false">IF(ISNA(VLOOKUP(A196,'Données projet'!$A$139:$I$159,6,0)),0%,VLOOKUP(A196,'Données projet'!$A$139:$I$159,6,0)*VLOOKUP('Données projet'!$B$13,Paramètres!$A$1:$I$89,7,0))</f>
        <v>0</v>
      </c>
      <c r="DE196" s="122" t="n">
        <f aca="false">IF(ISNA(VLOOKUP(A196,'Données projet'!$A$139:$I$159,7,0)),0%,VLOOKUP(A196,'Données projet'!$A$139:$I$159,7,0))</f>
        <v>0</v>
      </c>
      <c r="DF196" s="129" t="n">
        <f aca="false">EXP(-LN(2)/35)*DF195+(1-EXP(-LN(2)/35))/(LN(2)/35)*DB196*DC196*VLOOKUP('Données projet'!$B$13,Paramètres!$A$1:$I$89,3,0)*0.475*44/12</f>
        <v>0.26180391904013</v>
      </c>
      <c r="DG196" s="129" t="n">
        <f aca="false">EXP(-LN(2)/25)*DG195+(1-EXP(-LN(2)/25))/(LN(2)/25)*Calculateur!DB196*Calculateur!DD196*VLOOKUP('Données projet'!$B$13,Paramètres!$A$1:$I$89,3,0)*0.475*44/12</f>
        <v>0.424085472008845</v>
      </c>
      <c r="DH196" s="129" t="n">
        <f aca="false">EXP(-LN(2)/2)*DH195+(1-EXP(-LN(2)/2))/(LN(2)/2)*DB196*DE196*VLOOKUP('Données projet'!$B$13,Paramètres!$A$1:$I$89,3,0)*0.475*44/12</f>
        <v>3.88202994430762E-024</v>
      </c>
      <c r="DI196" s="130" t="n">
        <f aca="false">SUM(DF196:DH196)</f>
        <v>0.685889391048975</v>
      </c>
      <c r="DJ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8" t="e">
        <f aca="false">VLOOKUP(A196,'Données projet'!$A$165:$I$185,2,0)</f>
        <v>#N/A</v>
      </c>
      <c r="DM196" s="118" t="e">
        <f aca="false">VLOOKUP(A196,'Données projet'!$A$165:$I$185,9,0)</f>
        <v>#N/A</v>
      </c>
      <c r="DN196" s="118" t="e">
        <f aca="false" t="array" ref="DN196:DN196">INDEX(DM:DM,MIN(IF(ISNUMBER(DM196:DM392),ROW(DM196:DM392),"")))</f>
        <v>#N/A</v>
      </c>
      <c r="DO196" s="118" t="n">
        <f aca="false">IF('Données projet'!$A$166&gt;35,DO195+DN196-DW195,IF(A196&lt;'Données projet'!$A$166,$DL$205^A196,IF(A196='Données projet'!$A$166,'Données projet'!$B$166,DO195+DN196-DW195)))</f>
        <v>0</v>
      </c>
      <c r="DP196" s="125" t="n">
        <f aca="false">DO196*VLOOKUP('Données projet'!$B$14,Paramètres!$A$1:$I$89,3,0)*VLOOKUP('Données projet'!$B$14,Paramètres!$A$1:$I$89,5,0)</f>
        <v>0</v>
      </c>
      <c r="DQ196" s="117" t="e">
        <f aca="false">EXP(-1.0587+0.8836*LN(DP196)+0.284)</f>
        <v>#VALUE!</v>
      </c>
      <c r="DR196" s="128" t="e">
        <f aca="false">(DP196+DQ196)*0.475*44/12</f>
        <v>#VALUE!</v>
      </c>
      <c r="DS196" s="120" t="e">
        <f aca="false">DR196+(DJ196+DK196)*44/12</f>
        <v>#VALUE!</v>
      </c>
      <c r="DT196" s="120" t="n">
        <f aca="true">AVERAGE(OFFSET($DS$3,0,0,'Données projet'!$E$14+1,1))-AVERAGE(OFFSET($H$3,0,0,'Données projet'!$E$14+1,1))</f>
        <v>549.432320957297</v>
      </c>
      <c r="DU196" s="120" t="n">
        <f aca="false">$DU$3</f>
        <v>280.26155987301</v>
      </c>
      <c r="DV196" s="121" t="n">
        <f aca="false">IF(ISNA(VLOOKUP(A196,'Données projet'!$A$165:$I$185,3,0)),0,VLOOKUP(A196,'Données projet'!$A$165:$I$185,3,0))</f>
        <v>0</v>
      </c>
      <c r="DW196" s="121" t="n">
        <f aca="false">IF(ISNA(VLOOKUP(A196,'Données projet'!$A$165:$I$185,4,0)),0,VLOOKUP(A196,'Données projet'!$A$165:$I$185,4,0))</f>
        <v>0</v>
      </c>
      <c r="DX196" s="122" t="n">
        <f aca="false">IF(ISNA(VLOOKUP(A196,'Données projet'!$A$165:$I$185,5,0)),0%,VLOOKUP(A196,'Données projet'!$A$165:$I$185,5,0)*VLOOKUP('Données projet'!$B$14,Paramètres!$A$1:$I$89,7,0))</f>
        <v>0</v>
      </c>
      <c r="DY196" s="122" t="n">
        <f aca="false">IF(ISNA(VLOOKUP(A196,'Données projet'!$A$165:$I$185,6,0)),0%,VLOOKUP(A196,'Données projet'!$A$165:$I$185,6,0)*VLOOKUP('Données projet'!$B$14,Paramètres!$A$1:$I$89,7,0))</f>
        <v>0</v>
      </c>
      <c r="DZ196" s="122" t="n">
        <f aca="false">IF(ISNA(VLOOKUP(A196,'Données projet'!$A$165:$I$185,7,0)),0%,VLOOKUP(A196,'Données projet'!$A$165:$I$185,7,0))</f>
        <v>0</v>
      </c>
      <c r="EA196" s="129" t="n">
        <f aca="false">EXP(-LN(2)/35)*EA195+(1-EXP(-LN(2)/35))/(LN(2)/35)*DW196*DX196*VLOOKUP('Données projet'!$B$14,Paramètres!$A$1:$I$89,3,0)*0.475*44/12</f>
        <v>0.0951916130401499</v>
      </c>
      <c r="EB196" s="129" t="n">
        <f aca="false">EXP(-LN(2)/25)*EB195+(1-EXP(-LN(2)/25))/(LN(2)/25)*Calculateur!DW196*Calculateur!DY196*VLOOKUP('Données projet'!$B$14,Paramètres!$A$1:$I$89,3,0)*0.475*44/12</f>
        <v>0.0844861930834626</v>
      </c>
      <c r="EC196" s="129" t="n">
        <f aca="false">EXP(-LN(2)/2)*EC195+(1-EXP(-LN(2)/2))/(LN(2)/2)*DW196*DZ196*VLOOKUP('Données projet'!$B$14,Paramètres!$A$1:$I$89,3,0)*0.475*44/12</f>
        <v>1.78953578321471E-024</v>
      </c>
      <c r="ED196" s="130" t="n">
        <f aca="false">SUM(EA196:EC196)</f>
        <v>0.179677806123613</v>
      </c>
      <c r="EE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8" t="e">
        <f aca="false">VLOOKUP(A196,'Données projet'!$A$191:$I$211,2,0)</f>
        <v>#N/A</v>
      </c>
      <c r="EH196" s="118" t="e">
        <f aca="false">VLOOKUP(A196,'Données projet'!$A$191:$I$211,9,0)</f>
        <v>#N/A</v>
      </c>
      <c r="EI196" s="118" t="e">
        <f aca="false" t="array" ref="EI196:EI196">INDEX(EH:EH,MIN(IF(ISNUMBER(EH196:EH392),ROW(EH196:EH392),"")))</f>
        <v>#N/A</v>
      </c>
      <c r="EJ196" s="118" t="n">
        <f aca="false">IF('Données projet'!$A$192&gt;35,EJ195+EI196-ER195,IF(A196&lt;'Données projet'!$A$192,$EG$205^A196,IF(A196='Données projet'!$A$192,'Données projet'!$B$192,EJ195+EI196-ER195)))</f>
        <v>0</v>
      </c>
      <c r="EK196" s="125" t="e">
        <f aca="false">EJ196*VLOOKUP('Données projet'!$B$15,Paramètres!$A$1:$I$89,3,0)*VLOOKUP('Données projet'!$B$15,Paramètres!$A$1:$I$89,5,0)</f>
        <v>#N/A</v>
      </c>
      <c r="EL196" s="117" t="e">
        <f aca="false">EXP(-1.0587+0.8836*LN(EK196)+0.284)</f>
        <v>#N/A</v>
      </c>
      <c r="EM196" s="128" t="e">
        <f aca="false">(EK196+EL196)*0.475*44/12</f>
        <v>#N/A</v>
      </c>
      <c r="EN196" s="120" t="e">
        <f aca="false">EM196+(EE196+EF196)*44/12</f>
        <v>#N/A</v>
      </c>
      <c r="EO196" s="120" t="e">
        <f aca="true">AVERAGE(OFFSET($EN$3,0,0,'Données projet'!$E$15+1,1))-AVERAGE(OFFSET($H$3,0,0,'Données projet'!$E$15+1,1))</f>
        <v>#N/A</v>
      </c>
      <c r="EP196" s="120" t="e">
        <f aca="false">$EP$3</f>
        <v>#N/A</v>
      </c>
      <c r="EQ196" s="121" t="n">
        <f aca="false">IF(ISNA(VLOOKUP(A196,'Données projet'!$A$191:$I$211,3,0)),0,VLOOKUP(A196,'Données projet'!$A$191:$I$211,3,0))</f>
        <v>0</v>
      </c>
      <c r="ER196" s="121" t="n">
        <f aca="false">IF(ISNA(VLOOKUP(A196,'Données projet'!$A$191:$I$211,4,0)),0,VLOOKUP(A196,'Données projet'!$A$191:$I$211,4,0))</f>
        <v>0</v>
      </c>
      <c r="ES196" s="122" t="n">
        <f aca="false">IF(ISNA(VLOOKUP(A196,'Données projet'!$A$191:$I$211,5,0)),0%,VLOOKUP(A196,'Données projet'!$A$191:$I$211,5,0)*VLOOKUP('Données projet'!$B$15,Paramètres!$A$1:$I$89,7,0))</f>
        <v>0</v>
      </c>
      <c r="ET196" s="122" t="n">
        <f aca="false">IF(ISNA(VLOOKUP(A196,'Données projet'!$A$191:$I$211,6,0)),0%,VLOOKUP(A196,'Données projet'!$A$191:$I$211,6,0)*VLOOKUP('Données projet'!$B$15,Paramètres!$A$1:$I$89,7,0))</f>
        <v>0</v>
      </c>
      <c r="EU196" s="122" t="n">
        <f aca="false">IF(ISNA(VLOOKUP(A196,'Données projet'!$A$191:$I$211,7,0)),0%,VLOOKUP(A196,'Données projet'!$A$191:$I$211,7,0))</f>
        <v>0</v>
      </c>
      <c r="EV196" s="129" t="e">
        <f aca="false">EXP(-LN(2)/35)*EV195+(1-EXP(-LN(2)/35))/(LN(2)/35)*ER196*ES196*VLOOKUP('Données projet'!$B$15,Paramètres!$A$1:$I$89,3,0)*0.475*44/12</f>
        <v>#N/A</v>
      </c>
      <c r="EW196" s="129" t="e">
        <f aca="false">EXP(-LN(2)/25)*EW195+(1-EXP(-LN(2)/25))/(LN(2)/25)*Calculateur!ER196*Calculateur!ET196*VLOOKUP('Données projet'!$B$15,Paramètres!$A$1:$I$89,3,0)*0.475*44/12</f>
        <v>#N/A</v>
      </c>
      <c r="EX196" s="129" t="e">
        <f aca="false">EXP(-LN(2)/2)*EX195+(1-EXP(-LN(2)/2))/(LN(2)/2)*ER196*EU196*VLOOKUP('Données projet'!$B$15,Paramètres!$A$1:$I$89,3,0)*0.475*44/12</f>
        <v>#N/A</v>
      </c>
      <c r="EY196" s="130" t="e">
        <f aca="false">SUM(EV196:EX196)</f>
        <v>#N/A</v>
      </c>
      <c r="EZ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8" t="e">
        <f aca="false">VLOOKUP(A196,'Données projet'!$A$217:$I$237,2,0)</f>
        <v>#N/A</v>
      </c>
      <c r="FC196" s="118" t="e">
        <f aca="false">VLOOKUP(A196,'Données projet'!$A$217:$I$237,9,0)</f>
        <v>#N/A</v>
      </c>
      <c r="FD196" s="118" t="e">
        <f aca="false" t="array" ref="FD196:FD196">INDEX(FC:FC,MIN(IF(ISNUMBER(FC196:FC392),ROW(FC196:FC392),"")))</f>
        <v>#N/A</v>
      </c>
      <c r="FE196" s="118" t="n">
        <f aca="false">IF('Données projet'!$A$218&gt;35,FE195+FD196-FM195,IF(A196&lt;'Données projet'!$A$218,$FB$205^A196,IF(A196='Données projet'!$A$218,'Données projet'!$B$218,FE195+FD196-FM195)))</f>
        <v>0</v>
      </c>
      <c r="FF196" s="125" t="e">
        <f aca="false">FE196*VLOOKUP('Données projet'!$B$16,Paramètres!$A$1:$I$89,3,0)*VLOOKUP('Données projet'!$B$16,Paramètres!$A$1:$I$89,5,0)</f>
        <v>#N/A</v>
      </c>
      <c r="FG196" s="117" t="e">
        <f aca="false">EXP(-1.0587+0.8836*LN(FF196)+0.284)</f>
        <v>#N/A</v>
      </c>
      <c r="FH196" s="128" t="e">
        <f aca="false">(FF196+FG196)*0.475*44/12</f>
        <v>#N/A</v>
      </c>
      <c r="FI196" s="120" t="e">
        <f aca="false">FH196+(EZ196+FA196)*44/12</f>
        <v>#N/A</v>
      </c>
      <c r="FJ196" s="120" t="e">
        <f aca="true">AVERAGE(OFFSET($FI$3,0,0,'Données projet'!$E$16+1,1))-AVERAGE(OFFSET($H$3,0,0,'Données projet'!$E$16+1,1))</f>
        <v>#N/A</v>
      </c>
      <c r="FK196" s="120" t="e">
        <f aca="false">$FK$3</f>
        <v>#N/A</v>
      </c>
      <c r="FL196" s="121" t="n">
        <f aca="false">IF(ISNA(VLOOKUP(A196,'Données projet'!$A$217:$I$237,3,0)),0,VLOOKUP(A196,'Données projet'!$A$217:$I$237,3,0))</f>
        <v>0</v>
      </c>
      <c r="FM196" s="121" t="n">
        <f aca="false">IF(ISNA(VLOOKUP(A196,'Données projet'!$A$217:$I$237,4,0)),0,VLOOKUP(A196,'Données projet'!$A$217:$I$237,4,0))</f>
        <v>0</v>
      </c>
      <c r="FN196" s="122" t="n">
        <f aca="false">IF(ISNA(VLOOKUP(A196,'Données projet'!$A$217:$I$237,5,0)),0%,VLOOKUP(A196,'Données projet'!$A$217:$I$237,5,0)*VLOOKUP('Données projet'!$B$16,Paramètres!$A$1:$I$89,7,0))</f>
        <v>0</v>
      </c>
      <c r="FO196" s="122" t="n">
        <f aca="false">IF(ISNA(VLOOKUP(A196,'Données projet'!$A$217:$I$237,6,0)),0%,VLOOKUP(A196,'Données projet'!$A$217:$I$237,6,0)*VLOOKUP('Données projet'!$B$16,Paramètres!$A$1:$I$89,7,0))</f>
        <v>0</v>
      </c>
      <c r="FP196" s="122" t="n">
        <f aca="false">IF(ISNA(VLOOKUP(A196,'Données projet'!$A$217:$I$237,7,0)),0%,VLOOKUP(A196,'Données projet'!$A$217:$I$237,7,0))</f>
        <v>0</v>
      </c>
      <c r="FQ196" s="129" t="e">
        <f aca="false">EXP(-LN(2)/35)*FQ195+(1-EXP(-LN(2)/35))/(LN(2)/35)*FM196*FN196*VLOOKUP('Données projet'!$B$16,Paramètres!$A$1:$I$89,3,0)*0.475*44/12</f>
        <v>#N/A</v>
      </c>
      <c r="FR196" s="129" t="e">
        <f aca="false">EXP(-LN(2)/25)*FR195+(1-EXP(-LN(2)/25))/(LN(2)/25)*Calculateur!FM196*Calculateur!FO196*VLOOKUP('Données projet'!$B$16,Paramètres!$A$1:$I$89,3,0)*0.475*44/12</f>
        <v>#N/A</v>
      </c>
      <c r="FS196" s="129" t="e">
        <f aca="false">EXP(-LN(2)/2)*FS195+(1-EXP(-LN(2)/2))/(LN(2)/2)*FM196*FP196*VLOOKUP('Données projet'!$B$16,Paramètres!$A$1:$I$89,3,0)*0.475*44/12</f>
        <v>#N/A</v>
      </c>
      <c r="FT196" s="130" t="e">
        <f aca="false">SUM(FQ196:FS196)</f>
        <v>#N/A</v>
      </c>
      <c r="FU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8" t="e">
        <f aca="false">VLOOKUP(A196,'Données projet'!$A$243:$I$263,2,0)</f>
        <v>#N/A</v>
      </c>
      <c r="FX196" s="118" t="e">
        <f aca="false">VLOOKUP(A196,'Données projet'!$A$243:$I$263,9,0)</f>
        <v>#N/A</v>
      </c>
      <c r="FY196" s="118" t="e">
        <f aca="false" t="array" ref="FY196:FY196">INDEX(FX:FX,MIN(IF(ISNUMBER(FX196:FX392),ROW(FX196:FX392),"")))</f>
        <v>#N/A</v>
      </c>
      <c r="FZ196" s="118" t="n">
        <f aca="false">IF('Données projet'!$A$244&gt;35,FZ195+FY196-GH195,IF(A196&lt;'Données projet'!$A$244,$FW$205^A196,IF(A196='Données projet'!$A$244,'Données projet'!$B$244,FZ195+FY196-GH195)))</f>
        <v>0</v>
      </c>
      <c r="GA196" s="125" t="e">
        <f aca="false">FZ196*VLOOKUP('Données projet'!$B$17,Paramètres!$A$1:$I$89,3,0)*VLOOKUP('Données projet'!$B$17,Paramètres!$A$1:$I$89,5,0)</f>
        <v>#N/A</v>
      </c>
      <c r="GB196" s="117" t="e">
        <f aca="false">EXP(-1.0587+0.8836*LN(GA196)+0.284)</f>
        <v>#N/A</v>
      </c>
      <c r="GC196" s="128" t="e">
        <f aca="false">(GA196+GB196)*0.475*44/12</f>
        <v>#N/A</v>
      </c>
      <c r="GD196" s="120" t="e">
        <f aca="false">GC196+(FU196+FV196)*44/12</f>
        <v>#N/A</v>
      </c>
      <c r="GE196" s="120" t="e">
        <f aca="true">AVERAGE(OFFSET($GD$3,0,0,'Données projet'!$E$17+1,1))-AVERAGE(OFFSET($H$3,0,0,'Données projet'!$E$17+1,1))</f>
        <v>#N/A</v>
      </c>
      <c r="GF196" s="120" t="e">
        <f aca="false">$GF$3</f>
        <v>#N/A</v>
      </c>
      <c r="GG196" s="121" t="n">
        <f aca="false">IF(ISNA(VLOOKUP(A196,'Données projet'!$A$243:$I$263,3,0)),0,VLOOKUP(A196,'Données projet'!$A$243:$I$263,3,0))</f>
        <v>0</v>
      </c>
      <c r="GH196" s="121" t="n">
        <f aca="false">IF(ISNA(VLOOKUP(A196,'Données projet'!$A$243:$I$263,4,0)),0,VLOOKUP(A196,'Données projet'!$A$243:$I$263,4,0))</f>
        <v>0</v>
      </c>
      <c r="GI196" s="122" t="n">
        <f aca="false">IF(ISNA(VLOOKUP(A196,'Données projet'!$A$243:$I$263,5,0)),0%,VLOOKUP(A196,'Données projet'!$A$243:$I$263,5,0)*VLOOKUP('Données projet'!$B$17,Paramètres!$A$1:$I$89,7,0))</f>
        <v>0</v>
      </c>
      <c r="GJ196" s="122" t="n">
        <f aca="false">IF(ISNA(VLOOKUP(A196,'Données projet'!$A$243:$I$263,6,0)),0%,VLOOKUP(A196,'Données projet'!$A$243:$I$263,6,0)*VLOOKUP('Données projet'!$B$17,Paramètres!$A$1:$I$89,7,0))</f>
        <v>0</v>
      </c>
      <c r="GK196" s="122" t="n">
        <f aca="false">IF(ISNA(VLOOKUP(A196,'Données projet'!$A$243:$I$263,7,0)),0%,VLOOKUP(A196,'Données projet'!$A$243:$I$263,7,0))</f>
        <v>0</v>
      </c>
      <c r="GL196" s="129" t="e">
        <f aca="false">EXP(-LN(2)/35)*GL195+(1-EXP(-LN(2)/35))/(LN(2)/35)*GH196*GI196*VLOOKUP('Données projet'!$B$17,Paramètres!$A$1:$I$89,3,0)*0.475*44/12</f>
        <v>#N/A</v>
      </c>
      <c r="GM196" s="129" t="e">
        <f aca="false">EXP(-LN(2)/25)*GM195+(1-EXP(-LN(2)/25))/(LN(2)/25)*Calculateur!GH196*Calculateur!GJ196*VLOOKUP('Données projet'!$B$17,Paramètres!$A$1:$I$89,3,0)*0.475*44/12</f>
        <v>#N/A</v>
      </c>
      <c r="GN196" s="129" t="e">
        <f aca="false">EXP(-LN(2)/2)*GN195+(1-EXP(-LN(2)/2))/(LN(2)/2)*GH196*GK196*VLOOKUP('Données projet'!$B$17,Paramètres!$A$1:$I$89,3,0)*0.475*44/12</f>
        <v>#N/A</v>
      </c>
      <c r="GO196" s="129" t="e">
        <f aca="false">SUM(GL196:GN196)</f>
        <v>#N/A</v>
      </c>
      <c r="GP196" s="126" t="n">
        <f aca="false"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8" t="n">
        <f aca="false"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8" t="e">
        <f aca="false">VLOOKUP(A196,'Données projet'!$A$269:$I$289,2,0)</f>
        <v>#N/A</v>
      </c>
      <c r="GS196" s="118" t="e">
        <f aca="false">VLOOKUP(A196,'Données projet'!$A$269:$I$289,9,0)</f>
        <v>#N/A</v>
      </c>
      <c r="GT196" s="118" t="e">
        <f aca="false" t="array" ref="GT196:GT196">INDEX(GS:GS,MIN(IF(ISNUMBER(GS196:GS392),ROW(GS196:GS392),"")))</f>
        <v>#N/A</v>
      </c>
      <c r="GU196" s="118" t="n">
        <f aca="false">IF('Données projet'!$A$270&gt;35,GU195+GT196-HC195,IF(A196&lt;'Données projet'!$A$270,$GR$205^A196,IF(A196='Données projet'!$A$270,'Données projet'!$B$270,GU195+GT196-HC195)))</f>
        <v>0</v>
      </c>
      <c r="GV196" s="125" t="e">
        <f aca="false">GU196*VLOOKUP('Données projet'!$B$18,Paramètres!$A$1:$I$89,3,0)*VLOOKUP('Données projet'!$B$18,Paramètres!$A$1:$I$89,5,0)</f>
        <v>#N/A</v>
      </c>
      <c r="GW196" s="117" t="e">
        <f aca="false">EXP(-1.0587+0.8836*LN(GV196)+0.284)</f>
        <v>#N/A</v>
      </c>
      <c r="GX196" s="128" t="e">
        <f aca="false">(GV196+GW196)*0.475*44/12</f>
        <v>#N/A</v>
      </c>
      <c r="GY196" s="120" t="e">
        <f aca="false">GX196+(GP196+GQ196)*44/12</f>
        <v>#N/A</v>
      </c>
      <c r="GZ196" s="120" t="e">
        <f aca="true">AVERAGE(OFFSET($GY$3,0,0,'Données projet'!$E$18+1,1))-AVERAGE(OFFSET($H$3,0,0,'Données projet'!$E$18+1,1))</f>
        <v>#N/A</v>
      </c>
      <c r="HA196" s="120" t="e">
        <f aca="false">$HA$3</f>
        <v>#N/A</v>
      </c>
      <c r="HB196" s="121" t="n">
        <f aca="false">IF(ISNA(VLOOKUP(A196,'Données projet'!$A$269:$I$289,3,0)),0,VLOOKUP(A196,'Données projet'!$A$269:$I$289,3,0))</f>
        <v>0</v>
      </c>
      <c r="HC196" s="121" t="n">
        <f aca="false">IF(ISNA(VLOOKUP(A196,'Données projet'!$A$269:$I$289,4,0)),0,VLOOKUP(A196,'Données projet'!$A$269:$I$289,4,0))</f>
        <v>0</v>
      </c>
      <c r="HD196" s="122" t="n">
        <f aca="false">IF(ISNA(VLOOKUP(A196,'Données projet'!$A$269:$I$289,5,0)),0%,VLOOKUP(A196,'Données projet'!$A$269:$I$289,5,0)*VLOOKUP('Données projet'!$B$18,Paramètres!$A$1:$I$89,7,0))</f>
        <v>0</v>
      </c>
      <c r="HE196" s="122" t="n">
        <f aca="false">IF(ISNA(VLOOKUP(A196,'Données projet'!$A$269:$I$289,6,0)),0%,VLOOKUP(A196,'Données projet'!$A$269:$I$289,6,0)*VLOOKUP('Données projet'!$B$18,Paramètres!$A$1:$I$89,7,0))</f>
        <v>0</v>
      </c>
      <c r="HF196" s="122" t="n">
        <f aca="false">IF(ISNA(VLOOKUP(A196,'Données projet'!$A$269:$I$289,7,0)),0%,VLOOKUP(A196,'Données projet'!$A$269:$I$289,7,0))</f>
        <v>0</v>
      </c>
      <c r="HG196" s="129" t="e">
        <f aca="false">EXP(-LN(2)/35)*HG195+(1-EXP(-LN(2)/35))/(LN(2)/35)*HC196*HD196*VLOOKUP('Données projet'!$B$18,Paramètres!$A$1:$I$89,3,0)*0.475*44/12</f>
        <v>#N/A</v>
      </c>
      <c r="HH196" s="129" t="e">
        <f aca="false">EXP(-LN(2)/25)*HH195+(1-EXP(-LN(2)/25))/(LN(2)/25)*Calculateur!HC196*Calculateur!HE196*VLOOKUP('Données projet'!$B$18,Paramètres!$A$1:$I$89,3,0)*0.475*44/12</f>
        <v>#N/A</v>
      </c>
      <c r="HI196" s="129" t="e">
        <f aca="false">EXP(-LN(2)/2)*HI195+(1-EXP(-LN(2)/2))/(LN(2)/2)*HC196*HF196*VLOOKUP('Données projet'!$B$18,Paramètres!$A$1:$I$89,3,0)*0.475*44/12</f>
        <v>#N/A</v>
      </c>
      <c r="HJ196" s="130" t="e">
        <f aca="false">SUM(HG196:HI196)</f>
        <v>#N/A</v>
      </c>
    </row>
    <row r="197" customFormat="false" ht="14.25" hidden="false" customHeight="false" outlineLevel="0" collapsed="false">
      <c r="A197" s="112" t="n">
        <f aca="false">A196+1</f>
        <v>194</v>
      </c>
      <c r="B197" s="113" t="n">
        <f aca="false">'Scénario référence'!$B$16*5+'Scénario référence'!$B$17*0+'Scénario référence'!$B$18*5</f>
        <v>0</v>
      </c>
      <c r="C197" s="127" t="n">
        <f aca="false"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4" t="n">
        <f aca="false">IFERROR(EXP(-1.0587+0.8836*LN(C197)+0.284),0)</f>
        <v>0</v>
      </c>
      <c r="E197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7" s="114" t="n">
        <f aca="false">IF(OR('Scénario référence'!$F$8&gt;0,'Scénario référence'!$F$9&gt;0),('Scénario référence'!$F$8+'Scénario référence'!$F$9)*10,0)</f>
        <v>0</v>
      </c>
      <c r="G197" s="114" t="n">
        <f aca="false"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15" t="n">
        <f aca="false">(B197+E197+F197)*44/12+(C197+D197)*0.475*44/12</f>
        <v>256.666666666667</v>
      </c>
      <c r="I197" s="11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7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8" t="e">
        <f aca="false">VLOOKUP(A197,'Données projet'!$A$35:$I$55,2,0)</f>
        <v>#N/A</v>
      </c>
      <c r="L197" s="118" t="e">
        <f aca="false">VLOOKUP(A197,'Données projet'!$A$35:$I$55,9,0)</f>
        <v>#N/A</v>
      </c>
      <c r="M197" s="118" t="e">
        <f aca="false" t="array" ref="M197:M197">INDEX(L:L,MIN(IF(ISNUMBER(L197:L393),ROW(L197:L393),"")))</f>
        <v>#N/A</v>
      </c>
      <c r="N197" s="117" t="n">
        <f aca="false">IF('Données projet'!$A$36&gt;35,N196+M197-V196,IF(A197&lt;'Données projet'!$A$36,$K$205^A197,IF(A197='Données projet'!$A$36,'Données projet'!$B$36,N196+M197-V196)))</f>
        <v>-1.13686837721616E-013</v>
      </c>
      <c r="O197" s="117" t="n">
        <f aca="false">N197*VLOOKUP('Données projet'!$B$9,Paramètres!$A$1:$I$89,3,0)*VLOOKUP('Données projet'!$B$9,Paramètres!$A$1:$I$89,5,0)</f>
        <v>-5.32054400537163E-014</v>
      </c>
      <c r="P197" s="117" t="e">
        <f aca="false">EXP(-1.0587+0.8836*LN(O197)+0.284)</f>
        <v>#VALUE!</v>
      </c>
      <c r="Q197" s="128" t="e">
        <f aca="false">(O197+P197)*0.475*44/12</f>
        <v>#VALUE!</v>
      </c>
      <c r="R197" s="120" t="e">
        <f aca="false">Q197+(I197+J197)*44/12</f>
        <v>#VALUE!</v>
      </c>
      <c r="S197" s="120" t="n">
        <f aca="true">AVERAGE(OFFSET($R$3,0,0,'Données projet'!$E$9+1,1))-AVERAGE(OFFSET($H$3,0,0,'Données projet'!$E$9+1,1))</f>
        <v>319.229030946746</v>
      </c>
      <c r="T197" s="120" t="n">
        <f aca="false">$T$3</f>
        <v>254.586909731428</v>
      </c>
      <c r="U197" s="121" t="n">
        <f aca="false">IF(ISNA(VLOOKUP(A197,'Données projet'!$A$35:$I$55,3,0)),0,VLOOKUP(A197,'Données projet'!$A$35:$I$55,3,0))</f>
        <v>0</v>
      </c>
      <c r="V197" s="121" t="n">
        <f aca="false">IF(ISNA(VLOOKUP(A197,'Données projet'!$A$35:$I$55,4,0)),0,VLOOKUP(A197,'Données projet'!$A$35:$I$55,4,0))</f>
        <v>0</v>
      </c>
      <c r="W197" s="122" t="n">
        <f aca="false">IF(ISNA(VLOOKUP(A197,'Données projet'!$A$35:$I$55,5,0)),0%,VLOOKUP(A197,'Données projet'!$A$35:$I$55,5,0)*VLOOKUP('Données projet'!$B$9,Paramètres!$A$1:$I$89,7,0))</f>
        <v>0</v>
      </c>
      <c r="X197" s="122" t="n">
        <f aca="false">IF(ISNA(VLOOKUP(A197,'Données projet'!$A$35:$I$55,6,0)),0%,VLOOKUP(A197,'Données projet'!$A$35:$I$55,6,0)*VLOOKUP('Données projet'!$B$9,Paramètres!$A$1:$I$89,7,0))</f>
        <v>0</v>
      </c>
      <c r="Y197" s="122" t="n">
        <f aca="false">IF(ISNA(VLOOKUP(A197,'Données projet'!$A$35:$I$55,7,0)),0%,VLOOKUP(A197,'Données projet'!$A$35:$I$55,7,0))</f>
        <v>0</v>
      </c>
      <c r="Z197" s="129" t="n">
        <f aca="false">EXP(-LN(2)/35)*Z196+(1-EXP(-LN(2)/35))/(LN(2)/35)*V197*W197*VLOOKUP('Données projet'!$B$9,Paramètres!$A$1:$I$89,3,0)*0.475*44/12</f>
        <v>0.352664653290735</v>
      </c>
      <c r="AA197" s="129" t="n">
        <f aca="false">EXP(-LN(2)/25)*AA196+(1-EXP(-LN(2)/25))/(LN(2)/25)*Calculateur!V197*Calculateur!X197*VLOOKUP('Données projet'!$B$9,Paramètres!$A$1:$I$89,3,0)*0.475*44/12</f>
        <v>0.118186947364971</v>
      </c>
      <c r="AB197" s="129" t="n">
        <f aca="false">EXP(-LN(2)/2)*AB196+(1-EXP(-LN(2)/2))/(LN(2)/2)*V197*Y197*VLOOKUP('Données projet'!$B$9,Paramètres!$A$1:$I$89,3,0)*0.475*44/12</f>
        <v>2.28366547897842E-024</v>
      </c>
      <c r="AC197" s="130" t="n">
        <f aca="false">SUM(Z197:AB197)</f>
        <v>0.470851600655706</v>
      </c>
      <c r="AD197" s="117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7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8" t="e">
        <f aca="false">VLOOKUP(A197,'Données projet'!$A$61:$I$81,2,0)</f>
        <v>#N/A</v>
      </c>
      <c r="AG197" s="118" t="e">
        <f aca="false">VLOOKUP(A197,'Données projet'!$A$61:$I$81,9,0)</f>
        <v>#N/A</v>
      </c>
      <c r="AH197" s="118" t="e">
        <f aca="false" t="array" ref="AH197:AH197">INDEX(AG:AG,MIN(IF(ISNUMBER(AG197:AG393),ROW(AG197:AG393),"")))</f>
        <v>#N/A</v>
      </c>
      <c r="AI197" s="117" t="n">
        <f aca="false">IF('Données projet'!$A$62&gt;35,AI196+AH197-AQ196,IF(A197&lt;'Données projet'!$A$62,$AF$205^A197,IF(A197='Données projet'!$A$62,'Données projet'!$B$62,AI196+AH197-AQ196)))</f>
        <v>1.13686837721616E-013</v>
      </c>
      <c r="AJ197" s="117" t="n">
        <f aca="false">AI197*VLOOKUP('Données projet'!$B$10,Paramètres!$A$1:$I$89,3,0)*VLOOKUP('Données projet'!$B$10,Paramètres!$A$1:$I$89,5,0)</f>
        <v>6.35509422863834E-014</v>
      </c>
      <c r="AK197" s="117" t="n">
        <f aca="false">EXP(-1.0587+0.8836*LN(AJ197)+0.284)</f>
        <v>1.0064464192544E-012</v>
      </c>
      <c r="AL197" s="128" t="n">
        <f aca="false">(AJ197+AK197)*0.475*44/12</f>
        <v>1.86357873801686E-012</v>
      </c>
      <c r="AM197" s="120" t="n">
        <f aca="false">AL197+(AD197+AE197)*44/12</f>
        <v>293.333333333335</v>
      </c>
      <c r="AN197" s="120" t="n">
        <f aca="true">AVERAGE(OFFSET($AM$3,0,0,'Données projet'!$E$10+1,1))-AVERAGE(OFFSET($H$3,0,0,'Données projet'!$E$10+1,1))</f>
        <v>365.705101827279</v>
      </c>
      <c r="AO197" s="120" t="n">
        <f aca="false">$AO$3</f>
        <v>436.238338449625</v>
      </c>
      <c r="AP197" s="121" t="n">
        <f aca="false">IF(ISNA(VLOOKUP(A197,'Données projet'!$A$61:$I$81,3,0)),0,VLOOKUP(A197,'Données projet'!$A$61:$I$81,3,0))</f>
        <v>0</v>
      </c>
      <c r="AQ197" s="121" t="n">
        <f aca="false">IF(ISNA(VLOOKUP(A197,'Données projet'!$A$61:$I$81,4,0)),0,VLOOKUP(A197,'Données projet'!$A$61:$I$81,4,0))</f>
        <v>0</v>
      </c>
      <c r="AR197" s="122" t="n">
        <f aca="false">IF(ISNA(VLOOKUP(A197,'Données projet'!$A$61:$I$81,5,0)),0%,VLOOKUP(A197,'Données projet'!$A$61:$I$81,5,0)*VLOOKUP('Données projet'!$B$10,Paramètres!$A$1:$I$89,7,0))</f>
        <v>0</v>
      </c>
      <c r="AS197" s="122" t="n">
        <f aca="false">IF(ISNA(VLOOKUP(A197,'Données projet'!$A$61:$I$81,6,0)),0%,VLOOKUP(A197,'Données projet'!$A$61:$I$81,6,0)*VLOOKUP('Données projet'!$B$10,Paramètres!$A$1:$I$89,7,0))</f>
        <v>0</v>
      </c>
      <c r="AT197" s="122" t="n">
        <f aca="false">IF(ISNA(VLOOKUP(A197,'Données projet'!$A$61:$I$81,7,0)),0%,VLOOKUP(A197,'Données projet'!$A$61:$I$81,7,0))</f>
        <v>0</v>
      </c>
      <c r="AU197" s="129" t="n">
        <f aca="false">EXP(-LN(2)/35)*AU196+(1-EXP(-LN(2)/35))/(LN(2)/35)*AQ197*AR197*VLOOKUP('Données projet'!$B$10,Paramètres!$A$1:$I$89,3,0)*0.475*44/12</f>
        <v>0.133119472732055</v>
      </c>
      <c r="AV197" s="129" t="n">
        <f aca="false">EXP(-LN(2)/25)*AV196+(1-EXP(-LN(2)/25))/(LN(2)/25)*Calculateur!AQ197*Calculateur!AS197*VLOOKUP('Données projet'!$B$10,Paramètres!$A$1:$I$89,3,0)*0.475*44/12</f>
        <v>0.139986048800111</v>
      </c>
      <c r="AW197" s="129" t="n">
        <f aca="false">EXP(-LN(2)/2)*AW196+(1-EXP(-LN(2)/2))/(LN(2)/2)*AQ197*AT197*VLOOKUP('Données projet'!$B$10,Paramètres!$A$1:$I$89,3,0)*0.475*44/12</f>
        <v>1.2289973853752E-024</v>
      </c>
      <c r="AX197" s="129" t="n">
        <f aca="false">SUM(AU197:AW197)</f>
        <v>0.273105521532166</v>
      </c>
      <c r="AY197" s="124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8" t="e">
        <f aca="false">VLOOKUP(A197,'Données projet'!$A$87:$I$107,2,0)</f>
        <v>#N/A</v>
      </c>
      <c r="BB197" s="118" t="e">
        <f aca="false">VLOOKUP(A197,'Données projet'!$A$87:$I$107,9,0)</f>
        <v>#N/A</v>
      </c>
      <c r="BC197" s="118" t="e">
        <f aca="false" t="array" ref="BC197:BC197">INDEX(BB:BB,MIN(IF(ISNUMBER(BB197:BB393),ROW(BB197:BB393),"")))</f>
        <v>#N/A</v>
      </c>
      <c r="BD197" s="118" t="n">
        <f aca="false">IF('Données projet'!$A$88&gt;35,BD196+BC197-BL196,IF(A197&lt;'Données projet'!$A$88,$BA$205^A197,IF(A197='Données projet'!$A$88,'Données projet'!$B$88,BD196+BC197-BL196)))</f>
        <v>1.98951966012828E-013</v>
      </c>
      <c r="BE197" s="117" t="n">
        <f aca="false">BD197*VLOOKUP('Données projet'!$B$11,Paramètres!$A$1:$I$89,3,0)*VLOOKUP('Données projet'!$B$11,Paramètres!$A$1:$I$89,5,0)</f>
        <v>1.73804437508807E-013</v>
      </c>
      <c r="BF197" s="117" t="n">
        <f aca="false">EXP(-1.0587+0.8836*LN(BE197)+0.284)</f>
        <v>2.44832936339505E-012</v>
      </c>
      <c r="BG197" s="128" t="n">
        <f aca="false">(BE197+BF197)*0.475*44/12</f>
        <v>4.56688303657421E-012</v>
      </c>
      <c r="BH197" s="120" t="n">
        <f aca="false">BG197+(AY197+AZ197)*44/12</f>
        <v>293.333333333338</v>
      </c>
      <c r="BI197" s="120" t="n">
        <f aca="true">AVERAGE(OFFSET($BH$3,0,0,'Données projet'!$E$11+1,1))-AVERAGE(OFFSET($H$3,0,0,'Données projet'!$E$11+1,1))</f>
        <v>321.235999689929</v>
      </c>
      <c r="BJ197" s="120" t="n">
        <f aca="false">$BJ$3</f>
        <v>388.051958478005</v>
      </c>
      <c r="BK197" s="121" t="n">
        <f aca="false">IF(ISNA(VLOOKUP(A197,'Données projet'!$A$87:$I$107,3,0)),0,VLOOKUP(A197,'Données projet'!$A$87:$I$107,3,0))</f>
        <v>0</v>
      </c>
      <c r="BL197" s="121" t="n">
        <f aca="false">IF(ISNA(VLOOKUP(A197,'Données projet'!$A$87:$I$107,4,0)),0,VLOOKUP(A197,'Données projet'!$A$87:$I$107,4,0))</f>
        <v>0</v>
      </c>
      <c r="BM197" s="122" t="n">
        <f aca="false">IF(ISNA(VLOOKUP(A197,'Données projet'!$A$87:$I$107,5,0)),0%,VLOOKUP(A197,'Données projet'!$A$87:$I$107,5,0)*VLOOKUP('Données projet'!$B$11,Paramètres!$A$1:$I$89,7,0))</f>
        <v>0</v>
      </c>
      <c r="BN197" s="122" t="n">
        <f aca="false">IF(ISNA(VLOOKUP(A197,'Données projet'!$A$87:$I$107,6,0)),0%,VLOOKUP(A197,'Données projet'!$A$87:$I$107,6,0)*VLOOKUP('Données projet'!$B$11,Paramètres!$A$1:$I$89,7,0))</f>
        <v>0</v>
      </c>
      <c r="BO197" s="122" t="n">
        <f aca="false">IF(ISNA(VLOOKUP(A197,'Données projet'!$A$87:$I$107,7,0)),0%,VLOOKUP(A197,'Données projet'!$A$87:$I$107,7,0))</f>
        <v>0</v>
      </c>
      <c r="BP197" s="129" t="n">
        <f aca="false">EXP(-LN(2)/35)*BP196+(1-EXP(-LN(2)/35))/(LN(2)/35)*BL197*BM197*VLOOKUP('Données projet'!$B$11,Paramètres!$A$1:$I$89,3,0)*0.475*44/12</f>
        <v>0.334212590601528</v>
      </c>
      <c r="BQ197" s="129" t="n">
        <f aca="false">EXP(-LN(2)/25)*BQ196+(1-EXP(-LN(2)/25))/(LN(2)/25)*Calculateur!BL197*Calculateur!BN197*VLOOKUP('Données projet'!$B$11,Paramètres!$A$1:$I$89,3,0)*0.475*44/12</f>
        <v>0.142889443957926</v>
      </c>
      <c r="BR197" s="129" t="n">
        <f aca="false">EXP(-LN(2)/2)*BR196+(1-EXP(-LN(2)/2))/(LN(2)/2)*BL197*BO197*VLOOKUP('Données projet'!$B$11,Paramètres!$A$1:$I$89,3,0)*0.475*44/12</f>
        <v>1.24925029709855E-024</v>
      </c>
      <c r="BS197" s="130" t="n">
        <f aca="false">SUM(BP197:BR197)</f>
        <v>0.477102034559454</v>
      </c>
      <c r="BT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8" t="e">
        <f aca="false">VLOOKUP(A197,'Données projet'!$A$113:$I$133,2,0)</f>
        <v>#N/A</v>
      </c>
      <c r="BW197" s="118" t="e">
        <f aca="false">VLOOKUP(A197,'Données projet'!$A$113:$I$133,9,0)</f>
        <v>#N/A</v>
      </c>
      <c r="BX197" s="118" t="e">
        <f aca="false" t="array" ref="BX197:BX197">INDEX(BW:BW,MIN(IF(ISNUMBER(BW197:BW393),ROW(BW197:BW393),"")))</f>
        <v>#N/A</v>
      </c>
      <c r="BY197" s="118" t="n">
        <f aca="false">IF('Données projet'!$A$114&gt;35,BY196+BX197-CG196,IF(A197&lt;'Données projet'!$A$114,$BV$205^A197,IF(A197='Données projet'!$A$114,'Données projet'!$B$114,BY196+BX197-CG196)))</f>
        <v>0</v>
      </c>
      <c r="BZ197" s="117" t="n">
        <f aca="false">BY197*VLOOKUP('Données projet'!$B$12,Paramètres!$A$1:$I$89,3,0)*VLOOKUP('Données projet'!$B$12,Paramètres!$A$1:$I$89,5,0)</f>
        <v>0</v>
      </c>
      <c r="CA197" s="117" t="e">
        <f aca="false">EXP(-1.0587+0.8836*LN(BZ197)+0.284)</f>
        <v>#VALUE!</v>
      </c>
      <c r="CB197" s="128" t="e">
        <f aca="false">(BZ197+CA197)*0.475*44/12</f>
        <v>#VALUE!</v>
      </c>
      <c r="CC197" s="120" t="e">
        <f aca="false">CB197+(BT197+BU197)*44/12</f>
        <v>#VALUE!</v>
      </c>
      <c r="CD197" s="120" t="n">
        <f aca="true">AVERAGE(OFFSET($CC$3,0,0,'Données projet'!$E$12+1,1))-AVERAGE(OFFSET($H$3,0,0,'Données projet'!$E$12+1,1))</f>
        <v>240.228848647662</v>
      </c>
      <c r="CE197" s="120" t="n">
        <f aca="false">$CE$3</f>
        <v>343.237768841432</v>
      </c>
      <c r="CF197" s="121" t="n">
        <f aca="false">IF(ISNA(VLOOKUP(A197,'Données projet'!$A$113:$I$133,3,0)),0,VLOOKUP(A197,'Données projet'!$A$113:$I$133,3,0))</f>
        <v>0</v>
      </c>
      <c r="CG197" s="121" t="n">
        <f aca="false">IF(ISNA(VLOOKUP(A197,'Données projet'!$A$113:$I$133,4,0)),0,VLOOKUP(A197,'Données projet'!$A$113:$I$133,4,0))</f>
        <v>0</v>
      </c>
      <c r="CH197" s="122" t="n">
        <f aca="false">IF(ISNA(VLOOKUP(A197,'Données projet'!$A$113:$I$133,5,0)),0%,VLOOKUP(A197,'Données projet'!$A$113:$I$133,5,0)*VLOOKUP('Données projet'!$B$12,Paramètres!$A$1:$I$89,7,0))</f>
        <v>0</v>
      </c>
      <c r="CI197" s="122" t="n">
        <f aca="false">IF(ISNA(VLOOKUP(A197,'Données projet'!$A$113:$I$133,6,0)),0%,VLOOKUP(A197,'Données projet'!$A$113:$I$133,6,0)*VLOOKUP('Données projet'!$B$12,Paramètres!$A$1:$I$89,7,0))</f>
        <v>0</v>
      </c>
      <c r="CJ197" s="122" t="n">
        <f aca="false">IF(ISNA(VLOOKUP(A197,'Données projet'!$A$113:$I$133,7,0)),0%,VLOOKUP(A197,'Données projet'!$A$113:$I$133,7,0))</f>
        <v>0</v>
      </c>
      <c r="CK197" s="129" t="n">
        <f aca="false">EXP(-LN(2)/35)*CK196+(1-EXP(-LN(2)/35))/(LN(2)/35)*CG197*CH197*VLOOKUP('Données projet'!$B$12,Paramètres!$A$1:$I$89,3,0)*0.475*44/12</f>
        <v>0.204564142935879</v>
      </c>
      <c r="CL197" s="129" t="n">
        <f aca="false">EXP(-LN(2)/25)*CL196+(1-EXP(-LN(2)/25))/(LN(2)/25)*Calculateur!CG197*Calculateur!CI197*VLOOKUP('Données projet'!$B$12,Paramètres!$A$1:$I$89,3,0)*0.475*44/12</f>
        <v>0.252351029883415</v>
      </c>
      <c r="CM197" s="129" t="n">
        <f aca="false">EXP(-LN(2)/2)*CM196+(1-EXP(-LN(2)/2))/(LN(2)/2)*CG197*CJ197*VLOOKUP('Données projet'!$B$12,Paramètres!$A$1:$I$89,3,0)*0.475*44/12</f>
        <v>1.99347042423097E-024</v>
      </c>
      <c r="CN197" s="130" t="n">
        <f aca="false">SUM(CK197:CM197)</f>
        <v>0.456915172819294</v>
      </c>
      <c r="CO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8" t="e">
        <f aca="false">VLOOKUP(A197,'Données projet'!$A$139:$I$159,2,0)</f>
        <v>#N/A</v>
      </c>
      <c r="CR197" s="118" t="e">
        <f aca="false">VLOOKUP(A197,'Données projet'!$A$139:$I$159,9,0)</f>
        <v>#N/A</v>
      </c>
      <c r="CS197" s="118" t="e">
        <f aca="false" t="array" ref="CS197:CS197">INDEX(CR:CR,MIN(IF(ISNUMBER(CR197:CR393),ROW(CR197:CR393),"")))</f>
        <v>#N/A</v>
      </c>
      <c r="CT197" s="118" t="n">
        <f aca="false">IF('Données projet'!$A$140&gt;35,CT196+CS197-DB196,IF(A197&lt;'Données projet'!$A$140,$CQ$205^A197,IF(A197='Données projet'!$A$140,'Données projet'!$B$140,CT196+CS197-DB196)))</f>
        <v>-5.6843418860808E-014</v>
      </c>
      <c r="CU197" s="125" t="n">
        <f aca="false">CT197*VLOOKUP('Données projet'!$B$13,Paramètres!$A$1:$I$89,3,0)*VLOOKUP('Données projet'!$B$13,Paramètres!$A$1:$I$89,5,0)</f>
        <v>-3.10365066980012E-014</v>
      </c>
      <c r="CV197" s="117" t="e">
        <f aca="false">EXP(-1.0587+0.8836*LN(CU197)+0.284)</f>
        <v>#VALUE!</v>
      </c>
      <c r="CW197" s="128" t="e">
        <f aca="false">(CU197+CV197)*0.475*44/12</f>
        <v>#VALUE!</v>
      </c>
      <c r="CX197" s="120" t="e">
        <f aca="false">CW197+(CO197+CP197)*44/12</f>
        <v>#VALUE!</v>
      </c>
      <c r="CY197" s="120" t="n">
        <f aca="true">AVERAGE(OFFSET($CX$3,0,0,'Données projet'!$E$13+1,1))-AVERAGE(OFFSET($H$3,0,0,'Données projet'!$E$13+1,1))</f>
        <v>207.023069645676</v>
      </c>
      <c r="CZ197" s="120" t="n">
        <f aca="false">$CZ$3</f>
        <v>342.068879333518</v>
      </c>
      <c r="DA197" s="121" t="n">
        <f aca="false">IF(ISNA(VLOOKUP(A197,'Données projet'!$A$139:$I$159,3,0)),0,VLOOKUP(A197,'Données projet'!$A$139:$I$159,3,0))</f>
        <v>0</v>
      </c>
      <c r="DB197" s="121" t="n">
        <f aca="false">IF(ISNA(VLOOKUP(A197,'Données projet'!$A$139:$I$159,4,0)),0,VLOOKUP(A197,'Données projet'!$A$139:$I$159,4,0))</f>
        <v>0</v>
      </c>
      <c r="DC197" s="122" t="n">
        <f aca="false">IF(ISNA(VLOOKUP(A197,'Données projet'!$A$139:$I$159,5,0)),0%,VLOOKUP(A197,'Données projet'!$A$139:$I$159,5,0)*VLOOKUP('Données projet'!$B$13,Paramètres!$A$1:$I$89,7,0))</f>
        <v>0</v>
      </c>
      <c r="DD197" s="122" t="n">
        <f aca="false">IF(ISNA(VLOOKUP(A197,'Données projet'!$A$139:$I$159,6,0)),0%,VLOOKUP(A197,'Données projet'!$A$139:$I$159,6,0)*VLOOKUP('Données projet'!$B$13,Paramètres!$A$1:$I$89,7,0))</f>
        <v>0</v>
      </c>
      <c r="DE197" s="122" t="n">
        <f aca="false">IF(ISNA(VLOOKUP(A197,'Données projet'!$A$139:$I$159,7,0)),0%,VLOOKUP(A197,'Données projet'!$A$139:$I$159,7,0))</f>
        <v>0</v>
      </c>
      <c r="DF197" s="129" t="n">
        <f aca="false">EXP(-LN(2)/35)*DF196+(1-EXP(-LN(2)/35))/(LN(2)/35)*DB197*DC197*VLOOKUP('Données projet'!$B$13,Paramètres!$A$1:$I$89,3,0)*0.475*44/12</f>
        <v>0.256670103872376</v>
      </c>
      <c r="DG197" s="129" t="n">
        <f aca="false">EXP(-LN(2)/25)*DG196+(1-EXP(-LN(2)/25))/(LN(2)/25)*Calculateur!DB197*Calculateur!DD197*VLOOKUP('Données projet'!$B$13,Paramètres!$A$1:$I$89,3,0)*0.475*44/12</f>
        <v>0.412488832475077</v>
      </c>
      <c r="DH197" s="129" t="n">
        <f aca="false">EXP(-LN(2)/2)*DH196+(1-EXP(-LN(2)/2))/(LN(2)/2)*DB197*DE197*VLOOKUP('Données projet'!$B$13,Paramètres!$A$1:$I$89,3,0)*0.475*44/12</f>
        <v>2.74500969838915E-024</v>
      </c>
      <c r="DI197" s="130" t="n">
        <f aca="false">SUM(DF197:DH197)</f>
        <v>0.669158936347454</v>
      </c>
      <c r="DJ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8" t="e">
        <f aca="false">VLOOKUP(A197,'Données projet'!$A$165:$I$185,2,0)</f>
        <v>#N/A</v>
      </c>
      <c r="DM197" s="118" t="e">
        <f aca="false">VLOOKUP(A197,'Données projet'!$A$165:$I$185,9,0)</f>
        <v>#N/A</v>
      </c>
      <c r="DN197" s="118" t="e">
        <f aca="false" t="array" ref="DN197:DN197">INDEX(DM:DM,MIN(IF(ISNUMBER(DM197:DM393),ROW(DM197:DM393),"")))</f>
        <v>#N/A</v>
      </c>
      <c r="DO197" s="118" t="n">
        <f aca="false">IF('Données projet'!$A$166&gt;35,DO196+DN197-DW196,IF(A197&lt;'Données projet'!$A$166,$DL$205^A197,IF(A197='Données projet'!$A$166,'Données projet'!$B$166,DO196+DN197-DW196)))</f>
        <v>0</v>
      </c>
      <c r="DP197" s="125" t="n">
        <f aca="false">DO197*VLOOKUP('Données projet'!$B$14,Paramètres!$A$1:$I$89,3,0)*VLOOKUP('Données projet'!$B$14,Paramètres!$A$1:$I$89,5,0)</f>
        <v>0</v>
      </c>
      <c r="DQ197" s="117" t="e">
        <f aca="false">EXP(-1.0587+0.8836*LN(DP197)+0.284)</f>
        <v>#VALUE!</v>
      </c>
      <c r="DR197" s="128" t="e">
        <f aca="false">(DP197+DQ197)*0.475*44/12</f>
        <v>#VALUE!</v>
      </c>
      <c r="DS197" s="120" t="e">
        <f aca="false">DR197+(DJ197+DK197)*44/12</f>
        <v>#VALUE!</v>
      </c>
      <c r="DT197" s="120" t="n">
        <f aca="true">AVERAGE(OFFSET($DS$3,0,0,'Données projet'!$E$14+1,1))-AVERAGE(OFFSET($H$3,0,0,'Données projet'!$E$14+1,1))</f>
        <v>549.432320957297</v>
      </c>
      <c r="DU197" s="120" t="n">
        <f aca="false">$DU$3</f>
        <v>280.26155987301</v>
      </c>
      <c r="DV197" s="121" t="n">
        <f aca="false">IF(ISNA(VLOOKUP(A197,'Données projet'!$A$165:$I$185,3,0)),0,VLOOKUP(A197,'Données projet'!$A$165:$I$185,3,0))</f>
        <v>0</v>
      </c>
      <c r="DW197" s="121" t="n">
        <f aca="false">IF(ISNA(VLOOKUP(A197,'Données projet'!$A$165:$I$185,4,0)),0,VLOOKUP(A197,'Données projet'!$A$165:$I$185,4,0))</f>
        <v>0</v>
      </c>
      <c r="DX197" s="122" t="n">
        <f aca="false">IF(ISNA(VLOOKUP(A197,'Données projet'!$A$165:$I$185,5,0)),0%,VLOOKUP(A197,'Données projet'!$A$165:$I$185,5,0)*VLOOKUP('Données projet'!$B$14,Paramètres!$A$1:$I$89,7,0))</f>
        <v>0</v>
      </c>
      <c r="DY197" s="122" t="n">
        <f aca="false">IF(ISNA(VLOOKUP(A197,'Données projet'!$A$165:$I$185,6,0)),0%,VLOOKUP(A197,'Données projet'!$A$165:$I$185,6,0)*VLOOKUP('Données projet'!$B$14,Paramètres!$A$1:$I$89,7,0))</f>
        <v>0</v>
      </c>
      <c r="DZ197" s="122" t="n">
        <f aca="false">IF(ISNA(VLOOKUP(A197,'Données projet'!$A$165:$I$185,7,0)),0%,VLOOKUP(A197,'Données projet'!$A$165:$I$185,7,0))</f>
        <v>0</v>
      </c>
      <c r="EA197" s="129" t="n">
        <f aca="false">EXP(-LN(2)/35)*EA196+(1-EXP(-LN(2)/35))/(LN(2)/35)*DW197*DX197*VLOOKUP('Données projet'!$B$14,Paramètres!$A$1:$I$89,3,0)*0.475*44/12</f>
        <v>0.0933249635695834</v>
      </c>
      <c r="EB197" s="129" t="n">
        <f aca="false">EXP(-LN(2)/25)*EB196+(1-EXP(-LN(2)/25))/(LN(2)/25)*Calculateur!DW197*Calculateur!DY197*VLOOKUP('Données projet'!$B$14,Paramètres!$A$1:$I$89,3,0)*0.475*44/12</f>
        <v>0.0821759136906595</v>
      </c>
      <c r="EC197" s="129" t="n">
        <f aca="false">EXP(-LN(2)/2)*EC196+(1-EXP(-LN(2)/2))/(LN(2)/2)*DW197*DZ197*VLOOKUP('Données projet'!$B$14,Paramètres!$A$1:$I$89,3,0)*0.475*44/12</f>
        <v>1.2653928874871E-024</v>
      </c>
      <c r="ED197" s="130" t="n">
        <f aca="false">SUM(EA197:EC197)</f>
        <v>0.175500877260243</v>
      </c>
      <c r="EE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8" t="e">
        <f aca="false">VLOOKUP(A197,'Données projet'!$A$191:$I$211,2,0)</f>
        <v>#N/A</v>
      </c>
      <c r="EH197" s="118" t="e">
        <f aca="false">VLOOKUP(A197,'Données projet'!$A$191:$I$211,9,0)</f>
        <v>#N/A</v>
      </c>
      <c r="EI197" s="118" t="e">
        <f aca="false" t="array" ref="EI197:EI197">INDEX(EH:EH,MIN(IF(ISNUMBER(EH197:EH393),ROW(EH197:EH393),"")))</f>
        <v>#N/A</v>
      </c>
      <c r="EJ197" s="118" t="n">
        <f aca="false">IF('Données projet'!$A$192&gt;35,EJ196+EI197-ER196,IF(A197&lt;'Données projet'!$A$192,$EG$205^A197,IF(A197='Données projet'!$A$192,'Données projet'!$B$192,EJ196+EI197-ER196)))</f>
        <v>0</v>
      </c>
      <c r="EK197" s="125" t="e">
        <f aca="false">EJ197*VLOOKUP('Données projet'!$B$15,Paramètres!$A$1:$I$89,3,0)*VLOOKUP('Données projet'!$B$15,Paramètres!$A$1:$I$89,5,0)</f>
        <v>#N/A</v>
      </c>
      <c r="EL197" s="117" t="e">
        <f aca="false">EXP(-1.0587+0.8836*LN(EK197)+0.284)</f>
        <v>#N/A</v>
      </c>
      <c r="EM197" s="128" t="e">
        <f aca="false">(EK197+EL197)*0.475*44/12</f>
        <v>#N/A</v>
      </c>
      <c r="EN197" s="120" t="e">
        <f aca="false">EM197+(EE197+EF197)*44/12</f>
        <v>#N/A</v>
      </c>
      <c r="EO197" s="120" t="e">
        <f aca="true">AVERAGE(OFFSET($EN$3,0,0,'Données projet'!$E$15+1,1))-AVERAGE(OFFSET($H$3,0,0,'Données projet'!$E$15+1,1))</f>
        <v>#N/A</v>
      </c>
      <c r="EP197" s="120" t="e">
        <f aca="false">$EP$3</f>
        <v>#N/A</v>
      </c>
      <c r="EQ197" s="121" t="n">
        <f aca="false">IF(ISNA(VLOOKUP(A197,'Données projet'!$A$191:$I$211,3,0)),0,VLOOKUP(A197,'Données projet'!$A$191:$I$211,3,0))</f>
        <v>0</v>
      </c>
      <c r="ER197" s="121" t="n">
        <f aca="false">IF(ISNA(VLOOKUP(A197,'Données projet'!$A$191:$I$211,4,0)),0,VLOOKUP(A197,'Données projet'!$A$191:$I$211,4,0))</f>
        <v>0</v>
      </c>
      <c r="ES197" s="122" t="n">
        <f aca="false">IF(ISNA(VLOOKUP(A197,'Données projet'!$A$191:$I$211,5,0)),0%,VLOOKUP(A197,'Données projet'!$A$191:$I$211,5,0)*VLOOKUP('Données projet'!$B$15,Paramètres!$A$1:$I$89,7,0))</f>
        <v>0</v>
      </c>
      <c r="ET197" s="122" t="n">
        <f aca="false">IF(ISNA(VLOOKUP(A197,'Données projet'!$A$191:$I$211,6,0)),0%,VLOOKUP(A197,'Données projet'!$A$191:$I$211,6,0)*VLOOKUP('Données projet'!$B$15,Paramètres!$A$1:$I$89,7,0))</f>
        <v>0</v>
      </c>
      <c r="EU197" s="122" t="n">
        <f aca="false">IF(ISNA(VLOOKUP(A197,'Données projet'!$A$191:$I$211,7,0)),0%,VLOOKUP(A197,'Données projet'!$A$191:$I$211,7,0))</f>
        <v>0</v>
      </c>
      <c r="EV197" s="129" t="e">
        <f aca="false">EXP(-LN(2)/35)*EV196+(1-EXP(-LN(2)/35))/(LN(2)/35)*ER197*ES197*VLOOKUP('Données projet'!$B$15,Paramètres!$A$1:$I$89,3,0)*0.475*44/12</f>
        <v>#N/A</v>
      </c>
      <c r="EW197" s="129" t="e">
        <f aca="false">EXP(-LN(2)/25)*EW196+(1-EXP(-LN(2)/25))/(LN(2)/25)*Calculateur!ER197*Calculateur!ET197*VLOOKUP('Données projet'!$B$15,Paramètres!$A$1:$I$89,3,0)*0.475*44/12</f>
        <v>#N/A</v>
      </c>
      <c r="EX197" s="129" t="e">
        <f aca="false">EXP(-LN(2)/2)*EX196+(1-EXP(-LN(2)/2))/(LN(2)/2)*ER197*EU197*VLOOKUP('Données projet'!$B$15,Paramètres!$A$1:$I$89,3,0)*0.475*44/12</f>
        <v>#N/A</v>
      </c>
      <c r="EY197" s="130" t="e">
        <f aca="false">SUM(EV197:EX197)</f>
        <v>#N/A</v>
      </c>
      <c r="EZ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8" t="e">
        <f aca="false">VLOOKUP(A197,'Données projet'!$A$217:$I$237,2,0)</f>
        <v>#N/A</v>
      </c>
      <c r="FC197" s="118" t="e">
        <f aca="false">VLOOKUP(A197,'Données projet'!$A$217:$I$237,9,0)</f>
        <v>#N/A</v>
      </c>
      <c r="FD197" s="118" t="e">
        <f aca="false" t="array" ref="FD197:FD197">INDEX(FC:FC,MIN(IF(ISNUMBER(FC197:FC393),ROW(FC197:FC393),"")))</f>
        <v>#N/A</v>
      </c>
      <c r="FE197" s="118" t="n">
        <f aca="false">IF('Données projet'!$A$218&gt;35,FE196+FD197-FM196,IF(A197&lt;'Données projet'!$A$218,$FB$205^A197,IF(A197='Données projet'!$A$218,'Données projet'!$B$218,FE196+FD197-FM196)))</f>
        <v>0</v>
      </c>
      <c r="FF197" s="125" t="e">
        <f aca="false">FE197*VLOOKUP('Données projet'!$B$16,Paramètres!$A$1:$I$89,3,0)*VLOOKUP('Données projet'!$B$16,Paramètres!$A$1:$I$89,5,0)</f>
        <v>#N/A</v>
      </c>
      <c r="FG197" s="117" t="e">
        <f aca="false">EXP(-1.0587+0.8836*LN(FF197)+0.284)</f>
        <v>#N/A</v>
      </c>
      <c r="FH197" s="128" t="e">
        <f aca="false">(FF197+FG197)*0.475*44/12</f>
        <v>#N/A</v>
      </c>
      <c r="FI197" s="120" t="e">
        <f aca="false">FH197+(EZ197+FA197)*44/12</f>
        <v>#N/A</v>
      </c>
      <c r="FJ197" s="120" t="e">
        <f aca="true">AVERAGE(OFFSET($FI$3,0,0,'Données projet'!$E$16+1,1))-AVERAGE(OFFSET($H$3,0,0,'Données projet'!$E$16+1,1))</f>
        <v>#N/A</v>
      </c>
      <c r="FK197" s="120" t="e">
        <f aca="false">$FK$3</f>
        <v>#N/A</v>
      </c>
      <c r="FL197" s="121" t="n">
        <f aca="false">IF(ISNA(VLOOKUP(A197,'Données projet'!$A$217:$I$237,3,0)),0,VLOOKUP(A197,'Données projet'!$A$217:$I$237,3,0))</f>
        <v>0</v>
      </c>
      <c r="FM197" s="121" t="n">
        <f aca="false">IF(ISNA(VLOOKUP(A197,'Données projet'!$A$217:$I$237,4,0)),0,VLOOKUP(A197,'Données projet'!$A$217:$I$237,4,0))</f>
        <v>0</v>
      </c>
      <c r="FN197" s="122" t="n">
        <f aca="false">IF(ISNA(VLOOKUP(A197,'Données projet'!$A$217:$I$237,5,0)),0%,VLOOKUP(A197,'Données projet'!$A$217:$I$237,5,0)*VLOOKUP('Données projet'!$B$16,Paramètres!$A$1:$I$89,7,0))</f>
        <v>0</v>
      </c>
      <c r="FO197" s="122" t="n">
        <f aca="false">IF(ISNA(VLOOKUP(A197,'Données projet'!$A$217:$I$237,6,0)),0%,VLOOKUP(A197,'Données projet'!$A$217:$I$237,6,0)*VLOOKUP('Données projet'!$B$16,Paramètres!$A$1:$I$89,7,0))</f>
        <v>0</v>
      </c>
      <c r="FP197" s="122" t="n">
        <f aca="false">IF(ISNA(VLOOKUP(A197,'Données projet'!$A$217:$I$237,7,0)),0%,VLOOKUP(A197,'Données projet'!$A$217:$I$237,7,0))</f>
        <v>0</v>
      </c>
      <c r="FQ197" s="129" t="e">
        <f aca="false">EXP(-LN(2)/35)*FQ196+(1-EXP(-LN(2)/35))/(LN(2)/35)*FM197*FN197*VLOOKUP('Données projet'!$B$16,Paramètres!$A$1:$I$89,3,0)*0.475*44/12</f>
        <v>#N/A</v>
      </c>
      <c r="FR197" s="129" t="e">
        <f aca="false">EXP(-LN(2)/25)*FR196+(1-EXP(-LN(2)/25))/(LN(2)/25)*Calculateur!FM197*Calculateur!FO197*VLOOKUP('Données projet'!$B$16,Paramètres!$A$1:$I$89,3,0)*0.475*44/12</f>
        <v>#N/A</v>
      </c>
      <c r="FS197" s="129" t="e">
        <f aca="false">EXP(-LN(2)/2)*FS196+(1-EXP(-LN(2)/2))/(LN(2)/2)*FM197*FP197*VLOOKUP('Données projet'!$B$16,Paramètres!$A$1:$I$89,3,0)*0.475*44/12</f>
        <v>#N/A</v>
      </c>
      <c r="FT197" s="130" t="e">
        <f aca="false">SUM(FQ197:FS197)</f>
        <v>#N/A</v>
      </c>
      <c r="FU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8" t="e">
        <f aca="false">VLOOKUP(A197,'Données projet'!$A$243:$I$263,2,0)</f>
        <v>#N/A</v>
      </c>
      <c r="FX197" s="118" t="e">
        <f aca="false">VLOOKUP(A197,'Données projet'!$A$243:$I$263,9,0)</f>
        <v>#N/A</v>
      </c>
      <c r="FY197" s="118" t="e">
        <f aca="false" t="array" ref="FY197:FY197">INDEX(FX:FX,MIN(IF(ISNUMBER(FX197:FX393),ROW(FX197:FX393),"")))</f>
        <v>#N/A</v>
      </c>
      <c r="FZ197" s="118" t="n">
        <f aca="false">IF('Données projet'!$A$244&gt;35,FZ196+FY197-GH196,IF(A197&lt;'Données projet'!$A$244,$FW$205^A197,IF(A197='Données projet'!$A$244,'Données projet'!$B$244,FZ196+FY197-GH196)))</f>
        <v>0</v>
      </c>
      <c r="GA197" s="125" t="e">
        <f aca="false">FZ197*VLOOKUP('Données projet'!$B$17,Paramètres!$A$1:$I$89,3,0)*VLOOKUP('Données projet'!$B$17,Paramètres!$A$1:$I$89,5,0)</f>
        <v>#N/A</v>
      </c>
      <c r="GB197" s="117" t="e">
        <f aca="false">EXP(-1.0587+0.8836*LN(GA197)+0.284)</f>
        <v>#N/A</v>
      </c>
      <c r="GC197" s="128" t="e">
        <f aca="false">(GA197+GB197)*0.475*44/12</f>
        <v>#N/A</v>
      </c>
      <c r="GD197" s="120" t="e">
        <f aca="false">GC197+(FU197+FV197)*44/12</f>
        <v>#N/A</v>
      </c>
      <c r="GE197" s="120" t="e">
        <f aca="true">AVERAGE(OFFSET($GD$3,0,0,'Données projet'!$E$17+1,1))-AVERAGE(OFFSET($H$3,0,0,'Données projet'!$E$17+1,1))</f>
        <v>#N/A</v>
      </c>
      <c r="GF197" s="120" t="e">
        <f aca="false">$GF$3</f>
        <v>#N/A</v>
      </c>
      <c r="GG197" s="121" t="n">
        <f aca="false">IF(ISNA(VLOOKUP(A197,'Données projet'!$A$243:$I$263,3,0)),0,VLOOKUP(A197,'Données projet'!$A$243:$I$263,3,0))</f>
        <v>0</v>
      </c>
      <c r="GH197" s="121" t="n">
        <f aca="false">IF(ISNA(VLOOKUP(A197,'Données projet'!$A$243:$I$263,4,0)),0,VLOOKUP(A197,'Données projet'!$A$243:$I$263,4,0))</f>
        <v>0</v>
      </c>
      <c r="GI197" s="122" t="n">
        <f aca="false">IF(ISNA(VLOOKUP(A197,'Données projet'!$A$243:$I$263,5,0)),0%,VLOOKUP(A197,'Données projet'!$A$243:$I$263,5,0)*VLOOKUP('Données projet'!$B$17,Paramètres!$A$1:$I$89,7,0))</f>
        <v>0</v>
      </c>
      <c r="GJ197" s="122" t="n">
        <f aca="false">IF(ISNA(VLOOKUP(A197,'Données projet'!$A$243:$I$263,6,0)),0%,VLOOKUP(A197,'Données projet'!$A$243:$I$263,6,0)*VLOOKUP('Données projet'!$B$17,Paramètres!$A$1:$I$89,7,0))</f>
        <v>0</v>
      </c>
      <c r="GK197" s="122" t="n">
        <f aca="false">IF(ISNA(VLOOKUP(A197,'Données projet'!$A$243:$I$263,7,0)),0%,VLOOKUP(A197,'Données projet'!$A$243:$I$263,7,0))</f>
        <v>0</v>
      </c>
      <c r="GL197" s="129" t="e">
        <f aca="false">EXP(-LN(2)/35)*GL196+(1-EXP(-LN(2)/35))/(LN(2)/35)*GH197*GI197*VLOOKUP('Données projet'!$B$17,Paramètres!$A$1:$I$89,3,0)*0.475*44/12</f>
        <v>#N/A</v>
      </c>
      <c r="GM197" s="129" t="e">
        <f aca="false">EXP(-LN(2)/25)*GM196+(1-EXP(-LN(2)/25))/(LN(2)/25)*Calculateur!GH197*Calculateur!GJ197*VLOOKUP('Données projet'!$B$17,Paramètres!$A$1:$I$89,3,0)*0.475*44/12</f>
        <v>#N/A</v>
      </c>
      <c r="GN197" s="129" t="e">
        <f aca="false">EXP(-LN(2)/2)*GN196+(1-EXP(-LN(2)/2))/(LN(2)/2)*GH197*GK197*VLOOKUP('Données projet'!$B$17,Paramètres!$A$1:$I$89,3,0)*0.475*44/12</f>
        <v>#N/A</v>
      </c>
      <c r="GO197" s="129" t="e">
        <f aca="false">SUM(GL197:GN197)</f>
        <v>#N/A</v>
      </c>
      <c r="GP197" s="126" t="n">
        <f aca="false"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8" t="n">
        <f aca="false"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8" t="e">
        <f aca="false">VLOOKUP(A197,'Données projet'!$A$269:$I$289,2,0)</f>
        <v>#N/A</v>
      </c>
      <c r="GS197" s="118" t="e">
        <f aca="false">VLOOKUP(A197,'Données projet'!$A$269:$I$289,9,0)</f>
        <v>#N/A</v>
      </c>
      <c r="GT197" s="118" t="e">
        <f aca="false" t="array" ref="GT197:GT197">INDEX(GS:GS,MIN(IF(ISNUMBER(GS197:GS393),ROW(GS197:GS393),"")))</f>
        <v>#N/A</v>
      </c>
      <c r="GU197" s="118" t="n">
        <f aca="false">IF('Données projet'!$A$270&gt;35,GU196+GT197-HC196,IF(A197&lt;'Données projet'!$A$270,$GR$205^A197,IF(A197='Données projet'!$A$270,'Données projet'!$B$270,GU196+GT197-HC196)))</f>
        <v>0</v>
      </c>
      <c r="GV197" s="125" t="e">
        <f aca="false">GU197*VLOOKUP('Données projet'!$B$18,Paramètres!$A$1:$I$89,3,0)*VLOOKUP('Données projet'!$B$18,Paramètres!$A$1:$I$89,5,0)</f>
        <v>#N/A</v>
      </c>
      <c r="GW197" s="117" t="e">
        <f aca="false">EXP(-1.0587+0.8836*LN(GV197)+0.284)</f>
        <v>#N/A</v>
      </c>
      <c r="GX197" s="128" t="e">
        <f aca="false">(GV197+GW197)*0.475*44/12</f>
        <v>#N/A</v>
      </c>
      <c r="GY197" s="120" t="e">
        <f aca="false">GX197+(GP197+GQ197)*44/12</f>
        <v>#N/A</v>
      </c>
      <c r="GZ197" s="120" t="e">
        <f aca="true">AVERAGE(OFFSET($GY$3,0,0,'Données projet'!$E$18+1,1))-AVERAGE(OFFSET($H$3,0,0,'Données projet'!$E$18+1,1))</f>
        <v>#N/A</v>
      </c>
      <c r="HA197" s="120" t="e">
        <f aca="false">$HA$3</f>
        <v>#N/A</v>
      </c>
      <c r="HB197" s="121" t="n">
        <f aca="false">IF(ISNA(VLOOKUP(A197,'Données projet'!$A$269:$I$289,3,0)),0,VLOOKUP(A197,'Données projet'!$A$269:$I$289,3,0))</f>
        <v>0</v>
      </c>
      <c r="HC197" s="121" t="n">
        <f aca="false">IF(ISNA(VLOOKUP(A197,'Données projet'!$A$269:$I$289,4,0)),0,VLOOKUP(A197,'Données projet'!$A$269:$I$289,4,0))</f>
        <v>0</v>
      </c>
      <c r="HD197" s="122" t="n">
        <f aca="false">IF(ISNA(VLOOKUP(A197,'Données projet'!$A$269:$I$289,5,0)),0%,VLOOKUP(A197,'Données projet'!$A$269:$I$289,5,0)*VLOOKUP('Données projet'!$B$18,Paramètres!$A$1:$I$89,7,0))</f>
        <v>0</v>
      </c>
      <c r="HE197" s="122" t="n">
        <f aca="false">IF(ISNA(VLOOKUP(A197,'Données projet'!$A$269:$I$289,6,0)),0%,VLOOKUP(A197,'Données projet'!$A$269:$I$289,6,0)*VLOOKUP('Données projet'!$B$18,Paramètres!$A$1:$I$89,7,0))</f>
        <v>0</v>
      </c>
      <c r="HF197" s="122" t="n">
        <f aca="false">IF(ISNA(VLOOKUP(A197,'Données projet'!$A$269:$I$289,7,0)),0%,VLOOKUP(A197,'Données projet'!$A$269:$I$289,7,0))</f>
        <v>0</v>
      </c>
      <c r="HG197" s="129" t="e">
        <f aca="false">EXP(-LN(2)/35)*HG196+(1-EXP(-LN(2)/35))/(LN(2)/35)*HC197*HD197*VLOOKUP('Données projet'!$B$18,Paramètres!$A$1:$I$89,3,0)*0.475*44/12</f>
        <v>#N/A</v>
      </c>
      <c r="HH197" s="129" t="e">
        <f aca="false">EXP(-LN(2)/25)*HH196+(1-EXP(-LN(2)/25))/(LN(2)/25)*Calculateur!HC197*Calculateur!HE197*VLOOKUP('Données projet'!$B$18,Paramètres!$A$1:$I$89,3,0)*0.475*44/12</f>
        <v>#N/A</v>
      </c>
      <c r="HI197" s="129" t="e">
        <f aca="false">EXP(-LN(2)/2)*HI196+(1-EXP(-LN(2)/2))/(LN(2)/2)*HC197*HF197*VLOOKUP('Données projet'!$B$18,Paramètres!$A$1:$I$89,3,0)*0.475*44/12</f>
        <v>#N/A</v>
      </c>
      <c r="HJ197" s="130" t="e">
        <f aca="false">SUM(HG197:HI197)</f>
        <v>#N/A</v>
      </c>
    </row>
    <row r="198" customFormat="false" ht="14.25" hidden="false" customHeight="false" outlineLevel="0" collapsed="false">
      <c r="A198" s="112" t="n">
        <f aca="false">A197+1</f>
        <v>195</v>
      </c>
      <c r="B198" s="113" t="n">
        <f aca="false">'Scénario référence'!$B$16*5+'Scénario référence'!$B$17*0+'Scénario référence'!$B$18*5</f>
        <v>0</v>
      </c>
      <c r="C198" s="127" t="n">
        <f aca="false"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4" t="n">
        <f aca="false">IFERROR(EXP(-1.0587+0.8836*LN(C198)+0.284),0)</f>
        <v>0</v>
      </c>
      <c r="E198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8" s="114" t="n">
        <f aca="false">IF(OR('Scénario référence'!$F$8&gt;0,'Scénario référence'!$F$9&gt;0),('Scénario référence'!$F$8+'Scénario référence'!$F$9)*10,0)</f>
        <v>0</v>
      </c>
      <c r="G198" s="114" t="n">
        <f aca="false"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15" t="n">
        <f aca="false">(B198+E198+F198)*44/12+(C198+D198)*0.475*44/12</f>
        <v>256.666666666667</v>
      </c>
      <c r="I198" s="11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7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8" t="e">
        <f aca="false">VLOOKUP(A198,'Données projet'!$A$35:$I$55,2,0)</f>
        <v>#N/A</v>
      </c>
      <c r="L198" s="118" t="e">
        <f aca="false">VLOOKUP(A198,'Données projet'!$A$35:$I$55,9,0)</f>
        <v>#N/A</v>
      </c>
      <c r="M198" s="118" t="e">
        <f aca="false" t="array" ref="M198:M198">INDEX(L:L,MIN(IF(ISNUMBER(L198:L394),ROW(L198:L394),"")))</f>
        <v>#N/A</v>
      </c>
      <c r="N198" s="117" t="n">
        <f aca="false">IF('Données projet'!$A$36&gt;35,N197+M198-V197,IF(A198&lt;'Données projet'!$A$36,$K$205^A198,IF(A198='Données projet'!$A$36,'Données projet'!$B$36,N197+M198-V197)))</f>
        <v>-1.13686837721616E-013</v>
      </c>
      <c r="O198" s="117" t="n">
        <f aca="false">N198*VLOOKUP('Données projet'!$B$9,Paramètres!$A$1:$I$89,3,0)*VLOOKUP('Données projet'!$B$9,Paramètres!$A$1:$I$89,5,0)</f>
        <v>-5.32054400537163E-014</v>
      </c>
      <c r="P198" s="117" t="e">
        <f aca="false">EXP(-1.0587+0.8836*LN(O198)+0.284)</f>
        <v>#VALUE!</v>
      </c>
      <c r="Q198" s="128" t="e">
        <f aca="false">(O198+P198)*0.475*44/12</f>
        <v>#VALUE!</v>
      </c>
      <c r="R198" s="120" t="e">
        <f aca="false">Q198+(I198+J198)*44/12</f>
        <v>#VALUE!</v>
      </c>
      <c r="S198" s="120" t="n">
        <f aca="true">AVERAGE(OFFSET($R$3,0,0,'Données projet'!$E$9+1,1))-AVERAGE(OFFSET($H$3,0,0,'Données projet'!$E$9+1,1))</f>
        <v>319.229030946746</v>
      </c>
      <c r="T198" s="120" t="n">
        <f aca="false">$T$3</f>
        <v>254.586909731428</v>
      </c>
      <c r="U198" s="121" t="n">
        <f aca="false">IF(ISNA(VLOOKUP(A198,'Données projet'!$A$35:$I$55,3,0)),0,VLOOKUP(A198,'Données projet'!$A$35:$I$55,3,0))</f>
        <v>0</v>
      </c>
      <c r="V198" s="121" t="n">
        <f aca="false">IF(ISNA(VLOOKUP(A198,'Données projet'!$A$35:$I$55,4,0)),0,VLOOKUP(A198,'Données projet'!$A$35:$I$55,4,0))</f>
        <v>0</v>
      </c>
      <c r="W198" s="122" t="n">
        <f aca="false">IF(ISNA(VLOOKUP(A198,'Données projet'!$A$35:$I$55,5,0)),0%,VLOOKUP(A198,'Données projet'!$A$35:$I$55,5,0)*VLOOKUP('Données projet'!$B$9,Paramètres!$A$1:$I$89,7,0))</f>
        <v>0</v>
      </c>
      <c r="X198" s="122" t="n">
        <f aca="false">IF(ISNA(VLOOKUP(A198,'Données projet'!$A$35:$I$55,6,0)),0%,VLOOKUP(A198,'Données projet'!$A$35:$I$55,6,0)*VLOOKUP('Données projet'!$B$9,Paramètres!$A$1:$I$89,7,0))</f>
        <v>0</v>
      </c>
      <c r="Y198" s="122" t="n">
        <f aca="false">IF(ISNA(VLOOKUP(A198,'Données projet'!$A$35:$I$55,7,0)),0%,VLOOKUP(A198,'Données projet'!$A$35:$I$55,7,0))</f>
        <v>0</v>
      </c>
      <c r="Z198" s="129" t="n">
        <f aca="false">EXP(-LN(2)/35)*Z197+(1-EXP(-LN(2)/35))/(LN(2)/35)*V198*W198*VLOOKUP('Données projet'!$B$9,Paramètres!$A$1:$I$89,3,0)*0.475*44/12</f>
        <v>0.345749114543903</v>
      </c>
      <c r="AA198" s="129" t="n">
        <f aca="false">EXP(-LN(2)/25)*AA197+(1-EXP(-LN(2)/25))/(LN(2)/25)*Calculateur!V198*Calculateur!X198*VLOOKUP('Données projet'!$B$9,Paramètres!$A$1:$I$89,3,0)*0.475*44/12</f>
        <v>0.114955119074094</v>
      </c>
      <c r="AB198" s="129" t="n">
        <f aca="false">EXP(-LN(2)/2)*AB197+(1-EXP(-LN(2)/2))/(LN(2)/2)*V198*Y198*VLOOKUP('Données projet'!$B$9,Paramètres!$A$1:$I$89,3,0)*0.475*44/12</f>
        <v>1.61479534614727E-024</v>
      </c>
      <c r="AC198" s="130" t="n">
        <f aca="false">SUM(Z198:AB198)</f>
        <v>0.460704233617997</v>
      </c>
      <c r="AD198" s="117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7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8" t="e">
        <f aca="false">VLOOKUP(A198,'Données projet'!$A$61:$I$81,2,0)</f>
        <v>#N/A</v>
      </c>
      <c r="AG198" s="118" t="e">
        <f aca="false">VLOOKUP(A198,'Données projet'!$A$61:$I$81,9,0)</f>
        <v>#N/A</v>
      </c>
      <c r="AH198" s="118" t="e">
        <f aca="false" t="array" ref="AH198:AH198">INDEX(AG:AG,MIN(IF(ISNUMBER(AG198:AG394),ROW(AG198:AG394),"")))</f>
        <v>#N/A</v>
      </c>
      <c r="AI198" s="117" t="n">
        <f aca="false">IF('Données projet'!$A$62&gt;35,AI197+AH198-AQ197,IF(A198&lt;'Données projet'!$A$62,$AF$205^A198,IF(A198='Données projet'!$A$62,'Données projet'!$B$62,AI197+AH198-AQ197)))</f>
        <v>1.13686837721616E-013</v>
      </c>
      <c r="AJ198" s="117" t="n">
        <f aca="false">AI198*VLOOKUP('Données projet'!$B$10,Paramètres!$A$1:$I$89,3,0)*VLOOKUP('Données projet'!$B$10,Paramètres!$A$1:$I$89,5,0)</f>
        <v>6.35509422863834E-014</v>
      </c>
      <c r="AK198" s="117" t="n">
        <f aca="false">EXP(-1.0587+0.8836*LN(AJ198)+0.284)</f>
        <v>1.0064464192544E-012</v>
      </c>
      <c r="AL198" s="128" t="n">
        <f aca="false">(AJ198+AK198)*0.475*44/12</f>
        <v>1.86357873801686E-012</v>
      </c>
      <c r="AM198" s="120" t="n">
        <f aca="false">AL198+(AD198+AE198)*44/12</f>
        <v>293.333333333335</v>
      </c>
      <c r="AN198" s="120" t="n">
        <f aca="true">AVERAGE(OFFSET($AM$3,0,0,'Données projet'!$E$10+1,1))-AVERAGE(OFFSET($H$3,0,0,'Données projet'!$E$10+1,1))</f>
        <v>365.705101827279</v>
      </c>
      <c r="AO198" s="120" t="n">
        <f aca="false">$AO$3</f>
        <v>436.238338449625</v>
      </c>
      <c r="AP198" s="121" t="n">
        <f aca="false">IF(ISNA(VLOOKUP(A198,'Données projet'!$A$61:$I$81,3,0)),0,VLOOKUP(A198,'Données projet'!$A$61:$I$81,3,0))</f>
        <v>0</v>
      </c>
      <c r="AQ198" s="121" t="n">
        <f aca="false">IF(ISNA(VLOOKUP(A198,'Données projet'!$A$61:$I$81,4,0)),0,VLOOKUP(A198,'Données projet'!$A$61:$I$81,4,0))</f>
        <v>0</v>
      </c>
      <c r="AR198" s="122" t="n">
        <f aca="false">IF(ISNA(VLOOKUP(A198,'Données projet'!$A$61:$I$81,5,0)),0%,VLOOKUP(A198,'Données projet'!$A$61:$I$81,5,0)*VLOOKUP('Données projet'!$B$10,Paramètres!$A$1:$I$89,7,0))</f>
        <v>0</v>
      </c>
      <c r="AS198" s="122" t="n">
        <f aca="false">IF(ISNA(VLOOKUP(A198,'Données projet'!$A$61:$I$81,6,0)),0%,VLOOKUP(A198,'Données projet'!$A$61:$I$81,6,0)*VLOOKUP('Données projet'!$B$10,Paramètres!$A$1:$I$89,7,0))</f>
        <v>0</v>
      </c>
      <c r="AT198" s="122" t="n">
        <f aca="false">IF(ISNA(VLOOKUP(A198,'Données projet'!$A$61:$I$81,7,0)),0%,VLOOKUP(A198,'Données projet'!$A$61:$I$81,7,0))</f>
        <v>0</v>
      </c>
      <c r="AU198" s="129" t="n">
        <f aca="false">EXP(-LN(2)/35)*AU197+(1-EXP(-LN(2)/35))/(LN(2)/35)*AQ198*AR198*VLOOKUP('Données projet'!$B$10,Paramètres!$A$1:$I$89,3,0)*0.475*44/12</f>
        <v>0.13050908106664</v>
      </c>
      <c r="AV198" s="129" t="n">
        <f aca="false">EXP(-LN(2)/25)*AV197+(1-EXP(-LN(2)/25))/(LN(2)/25)*Calculateur!AQ198*Calculateur!AS198*VLOOKUP('Données projet'!$B$10,Paramètres!$A$1:$I$89,3,0)*0.475*44/12</f>
        <v>0.136158122934126</v>
      </c>
      <c r="AW198" s="129" t="n">
        <f aca="false">EXP(-LN(2)/2)*AW197+(1-EXP(-LN(2)/2))/(LN(2)/2)*AQ198*AT198*VLOOKUP('Données projet'!$B$10,Paramètres!$A$1:$I$89,3,0)*0.475*44/12</f>
        <v>8.69032385259339E-025</v>
      </c>
      <c r="AX198" s="129" t="n">
        <f aca="false">SUM(AU198:AW198)</f>
        <v>0.266667204000766</v>
      </c>
      <c r="AY198" s="124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8" t="e">
        <f aca="false">VLOOKUP(A198,'Données projet'!$A$87:$I$107,2,0)</f>
        <v>#N/A</v>
      </c>
      <c r="BB198" s="118" t="e">
        <f aca="false">VLOOKUP(A198,'Données projet'!$A$87:$I$107,9,0)</f>
        <v>#N/A</v>
      </c>
      <c r="BC198" s="118" t="e">
        <f aca="false" t="array" ref="BC198:BC198">INDEX(BB:BB,MIN(IF(ISNUMBER(BB198:BB394),ROW(BB198:BB394),"")))</f>
        <v>#N/A</v>
      </c>
      <c r="BD198" s="118" t="n">
        <f aca="false">IF('Données projet'!$A$88&gt;35,BD197+BC198-BL197,IF(A198&lt;'Données projet'!$A$88,$BA$205^A198,IF(A198='Données projet'!$A$88,'Données projet'!$B$88,BD197+BC198-BL197)))</f>
        <v>1.98951966012828E-013</v>
      </c>
      <c r="BE198" s="117" t="n">
        <f aca="false">BD198*VLOOKUP('Données projet'!$B$11,Paramètres!$A$1:$I$89,3,0)*VLOOKUP('Données projet'!$B$11,Paramètres!$A$1:$I$89,5,0)</f>
        <v>1.73804437508807E-013</v>
      </c>
      <c r="BF198" s="117" t="n">
        <f aca="false">EXP(-1.0587+0.8836*LN(BE198)+0.284)</f>
        <v>2.44832936339505E-012</v>
      </c>
      <c r="BG198" s="128" t="n">
        <f aca="false">(BE198+BF198)*0.475*44/12</f>
        <v>4.56688303657421E-012</v>
      </c>
      <c r="BH198" s="120" t="n">
        <f aca="false">BG198+(AY198+AZ198)*44/12</f>
        <v>293.333333333338</v>
      </c>
      <c r="BI198" s="120" t="n">
        <f aca="true">AVERAGE(OFFSET($BH$3,0,0,'Données projet'!$E$11+1,1))-AVERAGE(OFFSET($H$3,0,0,'Données projet'!$E$11+1,1))</f>
        <v>321.235999689929</v>
      </c>
      <c r="BJ198" s="120" t="n">
        <f aca="false">$BJ$3</f>
        <v>388.051958478005</v>
      </c>
      <c r="BK198" s="121" t="n">
        <f aca="false">IF(ISNA(VLOOKUP(A198,'Données projet'!$A$87:$I$107,3,0)),0,VLOOKUP(A198,'Données projet'!$A$87:$I$107,3,0))</f>
        <v>0</v>
      </c>
      <c r="BL198" s="121" t="n">
        <f aca="false">IF(ISNA(VLOOKUP(A198,'Données projet'!$A$87:$I$107,4,0)),0,VLOOKUP(A198,'Données projet'!$A$87:$I$107,4,0))</f>
        <v>0</v>
      </c>
      <c r="BM198" s="122" t="n">
        <f aca="false">IF(ISNA(VLOOKUP(A198,'Données projet'!$A$87:$I$107,5,0)),0%,VLOOKUP(A198,'Données projet'!$A$87:$I$107,5,0)*VLOOKUP('Données projet'!$B$11,Paramètres!$A$1:$I$89,7,0))</f>
        <v>0</v>
      </c>
      <c r="BN198" s="122" t="n">
        <f aca="false">IF(ISNA(VLOOKUP(A198,'Données projet'!$A$87:$I$107,6,0)),0%,VLOOKUP(A198,'Données projet'!$A$87:$I$107,6,0)*VLOOKUP('Données projet'!$B$11,Paramètres!$A$1:$I$89,7,0))</f>
        <v>0</v>
      </c>
      <c r="BO198" s="122" t="n">
        <f aca="false">IF(ISNA(VLOOKUP(A198,'Données projet'!$A$87:$I$107,7,0)),0%,VLOOKUP(A198,'Données projet'!$A$87:$I$107,7,0))</f>
        <v>0</v>
      </c>
      <c r="BP198" s="129" t="n">
        <f aca="false">EXP(-LN(2)/35)*BP197+(1-EXP(-LN(2)/35))/(LN(2)/35)*BL198*BM198*VLOOKUP('Données projet'!$B$11,Paramètres!$A$1:$I$89,3,0)*0.475*44/12</f>
        <v>0.327658885549384</v>
      </c>
      <c r="BQ198" s="129" t="n">
        <f aca="false">EXP(-LN(2)/25)*BQ197+(1-EXP(-LN(2)/25))/(LN(2)/25)*Calculateur!BL198*Calculateur!BN198*VLOOKUP('Données projet'!$B$11,Paramètres!$A$1:$I$89,3,0)*0.475*44/12</f>
        <v>0.138982124598667</v>
      </c>
      <c r="BR198" s="129" t="n">
        <f aca="false">EXP(-LN(2)/2)*BR197+(1-EXP(-LN(2)/2))/(LN(2)/2)*BL198*BO198*VLOOKUP('Données projet'!$B$11,Paramètres!$A$1:$I$89,3,0)*0.475*44/12</f>
        <v>8.83353356477694E-025</v>
      </c>
      <c r="BS198" s="130" t="n">
        <f aca="false">SUM(BP198:BR198)</f>
        <v>0.466641010148051</v>
      </c>
      <c r="BT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8" t="e">
        <f aca="false">VLOOKUP(A198,'Données projet'!$A$113:$I$133,2,0)</f>
        <v>#N/A</v>
      </c>
      <c r="BW198" s="118" t="e">
        <f aca="false">VLOOKUP(A198,'Données projet'!$A$113:$I$133,9,0)</f>
        <v>#N/A</v>
      </c>
      <c r="BX198" s="118" t="e">
        <f aca="false" t="array" ref="BX198:BX198">INDEX(BW:BW,MIN(IF(ISNUMBER(BW198:BW394),ROW(BW198:BW394),"")))</f>
        <v>#N/A</v>
      </c>
      <c r="BY198" s="118" t="n">
        <f aca="false">IF('Données projet'!$A$114&gt;35,BY197+BX198-CG197,IF(A198&lt;'Données projet'!$A$114,$BV$205^A198,IF(A198='Données projet'!$A$114,'Données projet'!$B$114,BY197+BX198-CG197)))</f>
        <v>0</v>
      </c>
      <c r="BZ198" s="117" t="n">
        <f aca="false">BY198*VLOOKUP('Données projet'!$B$12,Paramètres!$A$1:$I$89,3,0)*VLOOKUP('Données projet'!$B$12,Paramètres!$A$1:$I$89,5,0)</f>
        <v>0</v>
      </c>
      <c r="CA198" s="117" t="e">
        <f aca="false">EXP(-1.0587+0.8836*LN(BZ198)+0.284)</f>
        <v>#VALUE!</v>
      </c>
      <c r="CB198" s="128" t="e">
        <f aca="false">(BZ198+CA198)*0.475*44/12</f>
        <v>#VALUE!</v>
      </c>
      <c r="CC198" s="120" t="e">
        <f aca="false">CB198+(BT198+BU198)*44/12</f>
        <v>#VALUE!</v>
      </c>
      <c r="CD198" s="120" t="n">
        <f aca="true">AVERAGE(OFFSET($CC$3,0,0,'Données projet'!$E$12+1,1))-AVERAGE(OFFSET($H$3,0,0,'Données projet'!$E$12+1,1))</f>
        <v>240.228848647662</v>
      </c>
      <c r="CE198" s="120" t="n">
        <f aca="false">$CE$3</f>
        <v>343.237768841432</v>
      </c>
      <c r="CF198" s="121" t="n">
        <f aca="false">IF(ISNA(VLOOKUP(A198,'Données projet'!$A$113:$I$133,3,0)),0,VLOOKUP(A198,'Données projet'!$A$113:$I$133,3,0))</f>
        <v>0</v>
      </c>
      <c r="CG198" s="121" t="n">
        <f aca="false">IF(ISNA(VLOOKUP(A198,'Données projet'!$A$113:$I$133,4,0)),0,VLOOKUP(A198,'Données projet'!$A$113:$I$133,4,0))</f>
        <v>0</v>
      </c>
      <c r="CH198" s="122" t="n">
        <f aca="false">IF(ISNA(VLOOKUP(A198,'Données projet'!$A$113:$I$133,5,0)),0%,VLOOKUP(A198,'Données projet'!$A$113:$I$133,5,0)*VLOOKUP('Données projet'!$B$12,Paramètres!$A$1:$I$89,7,0))</f>
        <v>0</v>
      </c>
      <c r="CI198" s="122" t="n">
        <f aca="false">IF(ISNA(VLOOKUP(A198,'Données projet'!$A$113:$I$133,6,0)),0%,VLOOKUP(A198,'Données projet'!$A$113:$I$133,6,0)*VLOOKUP('Données projet'!$B$12,Paramètres!$A$1:$I$89,7,0))</f>
        <v>0</v>
      </c>
      <c r="CJ198" s="122" t="n">
        <f aca="false">IF(ISNA(VLOOKUP(A198,'Données projet'!$A$113:$I$133,7,0)),0%,VLOOKUP(A198,'Données projet'!$A$113:$I$133,7,0))</f>
        <v>0</v>
      </c>
      <c r="CK198" s="129" t="n">
        <f aca="false">EXP(-LN(2)/35)*CK197+(1-EXP(-LN(2)/35))/(LN(2)/35)*CG198*CH198*VLOOKUP('Données projet'!$B$12,Paramètres!$A$1:$I$89,3,0)*0.475*44/12</f>
        <v>0.200552764864713</v>
      </c>
      <c r="CL198" s="129" t="n">
        <f aca="false">EXP(-LN(2)/25)*CL197+(1-EXP(-LN(2)/25))/(LN(2)/25)*Calculateur!CG198*Calculateur!CI198*VLOOKUP('Données projet'!$B$12,Paramètres!$A$1:$I$89,3,0)*0.475*44/12</f>
        <v>0.245450477700689</v>
      </c>
      <c r="CM198" s="129" t="n">
        <f aca="false">EXP(-LN(2)/2)*CM197+(1-EXP(-LN(2)/2))/(LN(2)/2)*CG198*CJ198*VLOOKUP('Données projet'!$B$12,Paramètres!$A$1:$I$89,3,0)*0.475*44/12</f>
        <v>1.40959645506855E-024</v>
      </c>
      <c r="CN198" s="130" t="n">
        <f aca="false">SUM(CK198:CM198)</f>
        <v>0.446003242565403</v>
      </c>
      <c r="CO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8" t="e">
        <f aca="false">VLOOKUP(A198,'Données projet'!$A$139:$I$159,2,0)</f>
        <v>#N/A</v>
      </c>
      <c r="CR198" s="118" t="e">
        <f aca="false">VLOOKUP(A198,'Données projet'!$A$139:$I$159,9,0)</f>
        <v>#N/A</v>
      </c>
      <c r="CS198" s="118" t="e">
        <f aca="false" t="array" ref="CS198:CS198">INDEX(CR:CR,MIN(IF(ISNUMBER(CR198:CR394),ROW(CR198:CR394),"")))</f>
        <v>#N/A</v>
      </c>
      <c r="CT198" s="118" t="n">
        <f aca="false">IF('Données projet'!$A$140&gt;35,CT197+CS198-DB197,IF(A198&lt;'Données projet'!$A$140,$CQ$205^A198,IF(A198='Données projet'!$A$140,'Données projet'!$B$140,CT197+CS198-DB197)))</f>
        <v>-5.6843418860808E-014</v>
      </c>
      <c r="CU198" s="125" t="n">
        <f aca="false">CT198*VLOOKUP('Données projet'!$B$13,Paramètres!$A$1:$I$89,3,0)*VLOOKUP('Données projet'!$B$13,Paramètres!$A$1:$I$89,5,0)</f>
        <v>-3.10365066980012E-014</v>
      </c>
      <c r="CV198" s="117" t="e">
        <f aca="false">EXP(-1.0587+0.8836*LN(CU198)+0.284)</f>
        <v>#VALUE!</v>
      </c>
      <c r="CW198" s="128" t="e">
        <f aca="false">(CU198+CV198)*0.475*44/12</f>
        <v>#VALUE!</v>
      </c>
      <c r="CX198" s="120" t="e">
        <f aca="false">CW198+(CO198+CP198)*44/12</f>
        <v>#VALUE!</v>
      </c>
      <c r="CY198" s="120" t="n">
        <f aca="true">AVERAGE(OFFSET($CX$3,0,0,'Données projet'!$E$13+1,1))-AVERAGE(OFFSET($H$3,0,0,'Données projet'!$E$13+1,1))</f>
        <v>207.023069645676</v>
      </c>
      <c r="CZ198" s="120" t="n">
        <f aca="false">$CZ$3</f>
        <v>342.068879333518</v>
      </c>
      <c r="DA198" s="121" t="n">
        <f aca="false">IF(ISNA(VLOOKUP(A198,'Données projet'!$A$139:$I$159,3,0)),0,VLOOKUP(A198,'Données projet'!$A$139:$I$159,3,0))</f>
        <v>0</v>
      </c>
      <c r="DB198" s="121" t="n">
        <f aca="false">IF(ISNA(VLOOKUP(A198,'Données projet'!$A$139:$I$159,4,0)),0,VLOOKUP(A198,'Données projet'!$A$139:$I$159,4,0))</f>
        <v>0</v>
      </c>
      <c r="DC198" s="122" t="n">
        <f aca="false">IF(ISNA(VLOOKUP(A198,'Données projet'!$A$139:$I$159,5,0)),0%,VLOOKUP(A198,'Données projet'!$A$139:$I$159,5,0)*VLOOKUP('Données projet'!$B$13,Paramètres!$A$1:$I$89,7,0))</f>
        <v>0</v>
      </c>
      <c r="DD198" s="122" t="n">
        <f aca="false">IF(ISNA(VLOOKUP(A198,'Données projet'!$A$139:$I$159,6,0)),0%,VLOOKUP(A198,'Données projet'!$A$139:$I$159,6,0)*VLOOKUP('Données projet'!$B$13,Paramètres!$A$1:$I$89,7,0))</f>
        <v>0</v>
      </c>
      <c r="DE198" s="122" t="n">
        <f aca="false">IF(ISNA(VLOOKUP(A198,'Données projet'!$A$139:$I$159,7,0)),0%,VLOOKUP(A198,'Données projet'!$A$139:$I$159,7,0))</f>
        <v>0</v>
      </c>
      <c r="DF198" s="129" t="n">
        <f aca="false">EXP(-LN(2)/35)*DF197+(1-EXP(-LN(2)/35))/(LN(2)/35)*DB198*DC198*VLOOKUP('Données projet'!$B$13,Paramètres!$A$1:$I$89,3,0)*0.475*44/12</f>
        <v>0.251636959688744</v>
      </c>
      <c r="DG198" s="129" t="n">
        <f aca="false">EXP(-LN(2)/25)*DG197+(1-EXP(-LN(2)/25))/(LN(2)/25)*Calculateur!DB198*Calculateur!DD198*VLOOKUP('Données projet'!$B$13,Paramètres!$A$1:$I$89,3,0)*0.475*44/12</f>
        <v>0.401209303659201</v>
      </c>
      <c r="DH198" s="129" t="n">
        <f aca="false">EXP(-LN(2)/2)*DH197+(1-EXP(-LN(2)/2))/(LN(2)/2)*DB198*DE198*VLOOKUP('Données projet'!$B$13,Paramètres!$A$1:$I$89,3,0)*0.475*44/12</f>
        <v>1.94101497215381E-024</v>
      </c>
      <c r="DI198" s="130" t="n">
        <f aca="false">SUM(DF198:DH198)</f>
        <v>0.652846263347945</v>
      </c>
      <c r="DJ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8" t="e">
        <f aca="false">VLOOKUP(A198,'Données projet'!$A$165:$I$185,2,0)</f>
        <v>#N/A</v>
      </c>
      <c r="DM198" s="118" t="e">
        <f aca="false">VLOOKUP(A198,'Données projet'!$A$165:$I$185,9,0)</f>
        <v>#N/A</v>
      </c>
      <c r="DN198" s="118" t="e">
        <f aca="false" t="array" ref="DN198:DN198">INDEX(DM:DM,MIN(IF(ISNUMBER(DM198:DM394),ROW(DM198:DM394),"")))</f>
        <v>#N/A</v>
      </c>
      <c r="DO198" s="118" t="n">
        <f aca="false">IF('Données projet'!$A$166&gt;35,DO197+DN198-DW197,IF(A198&lt;'Données projet'!$A$166,$DL$205^A198,IF(A198='Données projet'!$A$166,'Données projet'!$B$166,DO197+DN198-DW197)))</f>
        <v>0</v>
      </c>
      <c r="DP198" s="125" t="n">
        <f aca="false">DO198*VLOOKUP('Données projet'!$B$14,Paramètres!$A$1:$I$89,3,0)*VLOOKUP('Données projet'!$B$14,Paramètres!$A$1:$I$89,5,0)</f>
        <v>0</v>
      </c>
      <c r="DQ198" s="117" t="e">
        <f aca="false">EXP(-1.0587+0.8836*LN(DP198)+0.284)</f>
        <v>#VALUE!</v>
      </c>
      <c r="DR198" s="128" t="e">
        <f aca="false">(DP198+DQ198)*0.475*44/12</f>
        <v>#VALUE!</v>
      </c>
      <c r="DS198" s="120" t="e">
        <f aca="false">DR198+(DJ198+DK198)*44/12</f>
        <v>#VALUE!</v>
      </c>
      <c r="DT198" s="120" t="n">
        <f aca="true">AVERAGE(OFFSET($DS$3,0,0,'Données projet'!$E$14+1,1))-AVERAGE(OFFSET($H$3,0,0,'Données projet'!$E$14+1,1))</f>
        <v>549.432320957297</v>
      </c>
      <c r="DU198" s="120" t="n">
        <f aca="false">$DU$3</f>
        <v>280.26155987301</v>
      </c>
      <c r="DV198" s="121" t="n">
        <f aca="false">IF(ISNA(VLOOKUP(A198,'Données projet'!$A$165:$I$185,3,0)),0,VLOOKUP(A198,'Données projet'!$A$165:$I$185,3,0))</f>
        <v>0</v>
      </c>
      <c r="DW198" s="121" t="n">
        <f aca="false">IF(ISNA(VLOOKUP(A198,'Données projet'!$A$165:$I$185,4,0)),0,VLOOKUP(A198,'Données projet'!$A$165:$I$185,4,0))</f>
        <v>0</v>
      </c>
      <c r="DX198" s="122" t="n">
        <f aca="false">IF(ISNA(VLOOKUP(A198,'Données projet'!$A$165:$I$185,5,0)),0%,VLOOKUP(A198,'Données projet'!$A$165:$I$185,5,0)*VLOOKUP('Données projet'!$B$14,Paramètres!$A$1:$I$89,7,0))</f>
        <v>0</v>
      </c>
      <c r="DY198" s="122" t="n">
        <f aca="false">IF(ISNA(VLOOKUP(A198,'Données projet'!$A$165:$I$185,6,0)),0%,VLOOKUP(A198,'Données projet'!$A$165:$I$185,6,0)*VLOOKUP('Données projet'!$B$14,Paramètres!$A$1:$I$89,7,0))</f>
        <v>0</v>
      </c>
      <c r="DZ198" s="122" t="n">
        <f aca="false">IF(ISNA(VLOOKUP(A198,'Données projet'!$A$165:$I$185,7,0)),0%,VLOOKUP(A198,'Données projet'!$A$165:$I$185,7,0))</f>
        <v>0</v>
      </c>
      <c r="EA198" s="129" t="n">
        <f aca="false">EXP(-LN(2)/35)*EA197+(1-EXP(-LN(2)/35))/(LN(2)/35)*DW198*DX198*VLOOKUP('Données projet'!$B$14,Paramètres!$A$1:$I$89,3,0)*0.475*44/12</f>
        <v>0.091494917956591</v>
      </c>
      <c r="EB198" s="129" t="n">
        <f aca="false">EXP(-LN(2)/25)*EB197+(1-EXP(-LN(2)/25))/(LN(2)/25)*Calculateur!DW198*Calculateur!DY198*VLOOKUP('Données projet'!$B$14,Paramètres!$A$1:$I$89,3,0)*0.475*44/12</f>
        <v>0.079928809009345</v>
      </c>
      <c r="EC198" s="129" t="n">
        <f aca="false">EXP(-LN(2)/2)*EC197+(1-EXP(-LN(2)/2))/(LN(2)/2)*DW198*DZ198*VLOOKUP('Données projet'!$B$14,Paramètres!$A$1:$I$89,3,0)*0.475*44/12</f>
        <v>8.94767891607357E-025</v>
      </c>
      <c r="ED198" s="130" t="n">
        <f aca="false">SUM(EA198:EC198)</f>
        <v>0.171423726965936</v>
      </c>
      <c r="EE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8" t="e">
        <f aca="false">VLOOKUP(A198,'Données projet'!$A$191:$I$211,2,0)</f>
        <v>#N/A</v>
      </c>
      <c r="EH198" s="118" t="e">
        <f aca="false">VLOOKUP(A198,'Données projet'!$A$191:$I$211,9,0)</f>
        <v>#N/A</v>
      </c>
      <c r="EI198" s="118" t="e">
        <f aca="false" t="array" ref="EI198:EI198">INDEX(EH:EH,MIN(IF(ISNUMBER(EH198:EH394),ROW(EH198:EH394),"")))</f>
        <v>#N/A</v>
      </c>
      <c r="EJ198" s="118" t="n">
        <f aca="false">IF('Données projet'!$A$192&gt;35,EJ197+EI198-ER197,IF(A198&lt;'Données projet'!$A$192,$EG$205^A198,IF(A198='Données projet'!$A$192,'Données projet'!$B$192,EJ197+EI198-ER197)))</f>
        <v>0</v>
      </c>
      <c r="EK198" s="125" t="e">
        <f aca="false">EJ198*VLOOKUP('Données projet'!$B$15,Paramètres!$A$1:$I$89,3,0)*VLOOKUP('Données projet'!$B$15,Paramètres!$A$1:$I$89,5,0)</f>
        <v>#N/A</v>
      </c>
      <c r="EL198" s="117" t="e">
        <f aca="false">EXP(-1.0587+0.8836*LN(EK198)+0.284)</f>
        <v>#N/A</v>
      </c>
      <c r="EM198" s="128" t="e">
        <f aca="false">(EK198+EL198)*0.475*44/12</f>
        <v>#N/A</v>
      </c>
      <c r="EN198" s="120" t="e">
        <f aca="false">EM198+(EE198+EF198)*44/12</f>
        <v>#N/A</v>
      </c>
      <c r="EO198" s="120" t="e">
        <f aca="true">AVERAGE(OFFSET($EN$3,0,0,'Données projet'!$E$15+1,1))-AVERAGE(OFFSET($H$3,0,0,'Données projet'!$E$15+1,1))</f>
        <v>#N/A</v>
      </c>
      <c r="EP198" s="120" t="e">
        <f aca="false">$EP$3</f>
        <v>#N/A</v>
      </c>
      <c r="EQ198" s="121" t="n">
        <f aca="false">IF(ISNA(VLOOKUP(A198,'Données projet'!$A$191:$I$211,3,0)),0,VLOOKUP(A198,'Données projet'!$A$191:$I$211,3,0))</f>
        <v>0</v>
      </c>
      <c r="ER198" s="121" t="n">
        <f aca="false">IF(ISNA(VLOOKUP(A198,'Données projet'!$A$191:$I$211,4,0)),0,VLOOKUP(A198,'Données projet'!$A$191:$I$211,4,0))</f>
        <v>0</v>
      </c>
      <c r="ES198" s="122" t="n">
        <f aca="false">IF(ISNA(VLOOKUP(A198,'Données projet'!$A$191:$I$211,5,0)),0%,VLOOKUP(A198,'Données projet'!$A$191:$I$211,5,0)*VLOOKUP('Données projet'!$B$15,Paramètres!$A$1:$I$89,7,0))</f>
        <v>0</v>
      </c>
      <c r="ET198" s="122" t="n">
        <f aca="false">IF(ISNA(VLOOKUP(A198,'Données projet'!$A$191:$I$211,6,0)),0%,VLOOKUP(A198,'Données projet'!$A$191:$I$211,6,0)*VLOOKUP('Données projet'!$B$15,Paramètres!$A$1:$I$89,7,0))</f>
        <v>0</v>
      </c>
      <c r="EU198" s="122" t="n">
        <f aca="false">IF(ISNA(VLOOKUP(A198,'Données projet'!$A$191:$I$211,7,0)),0%,VLOOKUP(A198,'Données projet'!$A$191:$I$211,7,0))</f>
        <v>0</v>
      </c>
      <c r="EV198" s="129" t="e">
        <f aca="false">EXP(-LN(2)/35)*EV197+(1-EXP(-LN(2)/35))/(LN(2)/35)*ER198*ES198*VLOOKUP('Données projet'!$B$15,Paramètres!$A$1:$I$89,3,0)*0.475*44/12</f>
        <v>#N/A</v>
      </c>
      <c r="EW198" s="129" t="e">
        <f aca="false">EXP(-LN(2)/25)*EW197+(1-EXP(-LN(2)/25))/(LN(2)/25)*Calculateur!ER198*Calculateur!ET198*VLOOKUP('Données projet'!$B$15,Paramètres!$A$1:$I$89,3,0)*0.475*44/12</f>
        <v>#N/A</v>
      </c>
      <c r="EX198" s="129" t="e">
        <f aca="false">EXP(-LN(2)/2)*EX197+(1-EXP(-LN(2)/2))/(LN(2)/2)*ER198*EU198*VLOOKUP('Données projet'!$B$15,Paramètres!$A$1:$I$89,3,0)*0.475*44/12</f>
        <v>#N/A</v>
      </c>
      <c r="EY198" s="130" t="e">
        <f aca="false">SUM(EV198:EX198)</f>
        <v>#N/A</v>
      </c>
      <c r="EZ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8" t="e">
        <f aca="false">VLOOKUP(A198,'Données projet'!$A$217:$I$237,2,0)</f>
        <v>#N/A</v>
      </c>
      <c r="FC198" s="118" t="e">
        <f aca="false">VLOOKUP(A198,'Données projet'!$A$217:$I$237,9,0)</f>
        <v>#N/A</v>
      </c>
      <c r="FD198" s="118" t="e">
        <f aca="false" t="array" ref="FD198:FD198">INDEX(FC:FC,MIN(IF(ISNUMBER(FC198:FC394),ROW(FC198:FC394),"")))</f>
        <v>#N/A</v>
      </c>
      <c r="FE198" s="118" t="n">
        <f aca="false">IF('Données projet'!$A$218&gt;35,FE197+FD198-FM197,IF(A198&lt;'Données projet'!$A$218,$FB$205^A198,IF(A198='Données projet'!$A$218,'Données projet'!$B$218,FE197+FD198-FM197)))</f>
        <v>0</v>
      </c>
      <c r="FF198" s="125" t="e">
        <f aca="false">FE198*VLOOKUP('Données projet'!$B$16,Paramètres!$A$1:$I$89,3,0)*VLOOKUP('Données projet'!$B$16,Paramètres!$A$1:$I$89,5,0)</f>
        <v>#N/A</v>
      </c>
      <c r="FG198" s="117" t="e">
        <f aca="false">EXP(-1.0587+0.8836*LN(FF198)+0.284)</f>
        <v>#N/A</v>
      </c>
      <c r="FH198" s="128" t="e">
        <f aca="false">(FF198+FG198)*0.475*44/12</f>
        <v>#N/A</v>
      </c>
      <c r="FI198" s="120" t="e">
        <f aca="false">FH198+(EZ198+FA198)*44/12</f>
        <v>#N/A</v>
      </c>
      <c r="FJ198" s="120" t="e">
        <f aca="true">AVERAGE(OFFSET($FI$3,0,0,'Données projet'!$E$16+1,1))-AVERAGE(OFFSET($H$3,0,0,'Données projet'!$E$16+1,1))</f>
        <v>#N/A</v>
      </c>
      <c r="FK198" s="120" t="e">
        <f aca="false">$FK$3</f>
        <v>#N/A</v>
      </c>
      <c r="FL198" s="121" t="n">
        <f aca="false">IF(ISNA(VLOOKUP(A198,'Données projet'!$A$217:$I$237,3,0)),0,VLOOKUP(A198,'Données projet'!$A$217:$I$237,3,0))</f>
        <v>0</v>
      </c>
      <c r="FM198" s="121" t="n">
        <f aca="false">IF(ISNA(VLOOKUP(A198,'Données projet'!$A$217:$I$237,4,0)),0,VLOOKUP(A198,'Données projet'!$A$217:$I$237,4,0))</f>
        <v>0</v>
      </c>
      <c r="FN198" s="122" t="n">
        <f aca="false">IF(ISNA(VLOOKUP(A198,'Données projet'!$A$217:$I$237,5,0)),0%,VLOOKUP(A198,'Données projet'!$A$217:$I$237,5,0)*VLOOKUP('Données projet'!$B$16,Paramètres!$A$1:$I$89,7,0))</f>
        <v>0</v>
      </c>
      <c r="FO198" s="122" t="n">
        <f aca="false">IF(ISNA(VLOOKUP(A198,'Données projet'!$A$217:$I$237,6,0)),0%,VLOOKUP(A198,'Données projet'!$A$217:$I$237,6,0)*VLOOKUP('Données projet'!$B$16,Paramètres!$A$1:$I$89,7,0))</f>
        <v>0</v>
      </c>
      <c r="FP198" s="122" t="n">
        <f aca="false">IF(ISNA(VLOOKUP(A198,'Données projet'!$A$217:$I$237,7,0)),0%,VLOOKUP(A198,'Données projet'!$A$217:$I$237,7,0))</f>
        <v>0</v>
      </c>
      <c r="FQ198" s="129" t="e">
        <f aca="false">EXP(-LN(2)/35)*FQ197+(1-EXP(-LN(2)/35))/(LN(2)/35)*FM198*FN198*VLOOKUP('Données projet'!$B$16,Paramètres!$A$1:$I$89,3,0)*0.475*44/12</f>
        <v>#N/A</v>
      </c>
      <c r="FR198" s="129" t="e">
        <f aca="false">EXP(-LN(2)/25)*FR197+(1-EXP(-LN(2)/25))/(LN(2)/25)*Calculateur!FM198*Calculateur!FO198*VLOOKUP('Données projet'!$B$16,Paramètres!$A$1:$I$89,3,0)*0.475*44/12</f>
        <v>#N/A</v>
      </c>
      <c r="FS198" s="129" t="e">
        <f aca="false">EXP(-LN(2)/2)*FS197+(1-EXP(-LN(2)/2))/(LN(2)/2)*FM198*FP198*VLOOKUP('Données projet'!$B$16,Paramètres!$A$1:$I$89,3,0)*0.475*44/12</f>
        <v>#N/A</v>
      </c>
      <c r="FT198" s="130" t="e">
        <f aca="false">SUM(FQ198:FS198)</f>
        <v>#N/A</v>
      </c>
      <c r="FU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8" t="e">
        <f aca="false">VLOOKUP(A198,'Données projet'!$A$243:$I$263,2,0)</f>
        <v>#N/A</v>
      </c>
      <c r="FX198" s="118" t="e">
        <f aca="false">VLOOKUP(A198,'Données projet'!$A$243:$I$263,9,0)</f>
        <v>#N/A</v>
      </c>
      <c r="FY198" s="118" t="e">
        <f aca="false" t="array" ref="FY198:FY198">INDEX(FX:FX,MIN(IF(ISNUMBER(FX198:FX394),ROW(FX198:FX394),"")))</f>
        <v>#N/A</v>
      </c>
      <c r="FZ198" s="118" t="n">
        <f aca="false">IF('Données projet'!$A$244&gt;35,FZ197+FY198-GH197,IF(A198&lt;'Données projet'!$A$244,$FW$205^A198,IF(A198='Données projet'!$A$244,'Données projet'!$B$244,FZ197+FY198-GH197)))</f>
        <v>0</v>
      </c>
      <c r="GA198" s="125" t="e">
        <f aca="false">FZ198*VLOOKUP('Données projet'!$B$17,Paramètres!$A$1:$I$89,3,0)*VLOOKUP('Données projet'!$B$17,Paramètres!$A$1:$I$89,5,0)</f>
        <v>#N/A</v>
      </c>
      <c r="GB198" s="117" t="e">
        <f aca="false">EXP(-1.0587+0.8836*LN(GA198)+0.284)</f>
        <v>#N/A</v>
      </c>
      <c r="GC198" s="128" t="e">
        <f aca="false">(GA198+GB198)*0.475*44/12</f>
        <v>#N/A</v>
      </c>
      <c r="GD198" s="120" t="e">
        <f aca="false">GC198+(FU198+FV198)*44/12</f>
        <v>#N/A</v>
      </c>
      <c r="GE198" s="120" t="e">
        <f aca="true">AVERAGE(OFFSET($GD$3,0,0,'Données projet'!$E$17+1,1))-AVERAGE(OFFSET($H$3,0,0,'Données projet'!$E$17+1,1))</f>
        <v>#N/A</v>
      </c>
      <c r="GF198" s="120" t="e">
        <f aca="false">$GF$3</f>
        <v>#N/A</v>
      </c>
      <c r="GG198" s="121" t="n">
        <f aca="false">IF(ISNA(VLOOKUP(A198,'Données projet'!$A$243:$I$263,3,0)),0,VLOOKUP(A198,'Données projet'!$A$243:$I$263,3,0))</f>
        <v>0</v>
      </c>
      <c r="GH198" s="121" t="n">
        <f aca="false">IF(ISNA(VLOOKUP(A198,'Données projet'!$A$243:$I$263,4,0)),0,VLOOKUP(A198,'Données projet'!$A$243:$I$263,4,0))</f>
        <v>0</v>
      </c>
      <c r="GI198" s="122" t="n">
        <f aca="false">IF(ISNA(VLOOKUP(A198,'Données projet'!$A$243:$I$263,5,0)),0%,VLOOKUP(A198,'Données projet'!$A$243:$I$263,5,0)*VLOOKUP('Données projet'!$B$17,Paramètres!$A$1:$I$89,7,0))</f>
        <v>0</v>
      </c>
      <c r="GJ198" s="122" t="n">
        <f aca="false">IF(ISNA(VLOOKUP(A198,'Données projet'!$A$243:$I$263,6,0)),0%,VLOOKUP(A198,'Données projet'!$A$243:$I$263,6,0)*VLOOKUP('Données projet'!$B$17,Paramètres!$A$1:$I$89,7,0))</f>
        <v>0</v>
      </c>
      <c r="GK198" s="122" t="n">
        <f aca="false">IF(ISNA(VLOOKUP(A198,'Données projet'!$A$243:$I$263,7,0)),0%,VLOOKUP(A198,'Données projet'!$A$243:$I$263,7,0))</f>
        <v>0</v>
      </c>
      <c r="GL198" s="129" t="e">
        <f aca="false">EXP(-LN(2)/35)*GL197+(1-EXP(-LN(2)/35))/(LN(2)/35)*GH198*GI198*VLOOKUP('Données projet'!$B$17,Paramètres!$A$1:$I$89,3,0)*0.475*44/12</f>
        <v>#N/A</v>
      </c>
      <c r="GM198" s="129" t="e">
        <f aca="false">EXP(-LN(2)/25)*GM197+(1-EXP(-LN(2)/25))/(LN(2)/25)*Calculateur!GH198*Calculateur!GJ198*VLOOKUP('Données projet'!$B$17,Paramètres!$A$1:$I$89,3,0)*0.475*44/12</f>
        <v>#N/A</v>
      </c>
      <c r="GN198" s="129" t="e">
        <f aca="false">EXP(-LN(2)/2)*GN197+(1-EXP(-LN(2)/2))/(LN(2)/2)*GH198*GK198*VLOOKUP('Données projet'!$B$17,Paramètres!$A$1:$I$89,3,0)*0.475*44/12</f>
        <v>#N/A</v>
      </c>
      <c r="GO198" s="129" t="e">
        <f aca="false">SUM(GL198:GN198)</f>
        <v>#N/A</v>
      </c>
      <c r="GP198" s="126" t="n">
        <f aca="false"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8" t="n">
        <f aca="false"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8" t="e">
        <f aca="false">VLOOKUP(A198,'Données projet'!$A$269:$I$289,2,0)</f>
        <v>#N/A</v>
      </c>
      <c r="GS198" s="118" t="e">
        <f aca="false">VLOOKUP(A198,'Données projet'!$A$269:$I$289,9,0)</f>
        <v>#N/A</v>
      </c>
      <c r="GT198" s="118" t="e">
        <f aca="false" t="array" ref="GT198:GT198">INDEX(GS:GS,MIN(IF(ISNUMBER(GS198:GS394),ROW(GS198:GS394),"")))</f>
        <v>#N/A</v>
      </c>
      <c r="GU198" s="118" t="n">
        <f aca="false">IF('Données projet'!$A$270&gt;35,GU197+GT198-HC197,IF(A198&lt;'Données projet'!$A$270,$GR$205^A198,IF(A198='Données projet'!$A$270,'Données projet'!$B$270,GU197+GT198-HC197)))</f>
        <v>0</v>
      </c>
      <c r="GV198" s="125" t="e">
        <f aca="false">GU198*VLOOKUP('Données projet'!$B$18,Paramètres!$A$1:$I$89,3,0)*VLOOKUP('Données projet'!$B$18,Paramètres!$A$1:$I$89,5,0)</f>
        <v>#N/A</v>
      </c>
      <c r="GW198" s="117" t="e">
        <f aca="false">EXP(-1.0587+0.8836*LN(GV198)+0.284)</f>
        <v>#N/A</v>
      </c>
      <c r="GX198" s="128" t="e">
        <f aca="false">(GV198+GW198)*0.475*44/12</f>
        <v>#N/A</v>
      </c>
      <c r="GY198" s="120" t="e">
        <f aca="false">GX198+(GP198+GQ198)*44/12</f>
        <v>#N/A</v>
      </c>
      <c r="GZ198" s="120" t="e">
        <f aca="true">AVERAGE(OFFSET($GY$3,0,0,'Données projet'!$E$18+1,1))-AVERAGE(OFFSET($H$3,0,0,'Données projet'!$E$18+1,1))</f>
        <v>#N/A</v>
      </c>
      <c r="HA198" s="120" t="e">
        <f aca="false">$HA$3</f>
        <v>#N/A</v>
      </c>
      <c r="HB198" s="121" t="n">
        <f aca="false">IF(ISNA(VLOOKUP(A198,'Données projet'!$A$269:$I$289,3,0)),0,VLOOKUP(A198,'Données projet'!$A$269:$I$289,3,0))</f>
        <v>0</v>
      </c>
      <c r="HC198" s="121" t="n">
        <f aca="false">IF(ISNA(VLOOKUP(A198,'Données projet'!$A$269:$I$289,4,0)),0,VLOOKUP(A198,'Données projet'!$A$269:$I$289,4,0))</f>
        <v>0</v>
      </c>
      <c r="HD198" s="122" t="n">
        <f aca="false">IF(ISNA(VLOOKUP(A198,'Données projet'!$A$269:$I$289,5,0)),0%,VLOOKUP(A198,'Données projet'!$A$269:$I$289,5,0)*VLOOKUP('Données projet'!$B$18,Paramètres!$A$1:$I$89,7,0))</f>
        <v>0</v>
      </c>
      <c r="HE198" s="122" t="n">
        <f aca="false">IF(ISNA(VLOOKUP(A198,'Données projet'!$A$269:$I$289,6,0)),0%,VLOOKUP(A198,'Données projet'!$A$269:$I$289,6,0)*VLOOKUP('Données projet'!$B$18,Paramètres!$A$1:$I$89,7,0))</f>
        <v>0</v>
      </c>
      <c r="HF198" s="122" t="n">
        <f aca="false">IF(ISNA(VLOOKUP(A198,'Données projet'!$A$269:$I$289,7,0)),0%,VLOOKUP(A198,'Données projet'!$A$269:$I$289,7,0))</f>
        <v>0</v>
      </c>
      <c r="HG198" s="129" t="e">
        <f aca="false">EXP(-LN(2)/35)*HG197+(1-EXP(-LN(2)/35))/(LN(2)/35)*HC198*HD198*VLOOKUP('Données projet'!$B$18,Paramètres!$A$1:$I$89,3,0)*0.475*44/12</f>
        <v>#N/A</v>
      </c>
      <c r="HH198" s="129" t="e">
        <f aca="false">EXP(-LN(2)/25)*HH197+(1-EXP(-LN(2)/25))/(LN(2)/25)*Calculateur!HC198*Calculateur!HE198*VLOOKUP('Données projet'!$B$18,Paramètres!$A$1:$I$89,3,0)*0.475*44/12</f>
        <v>#N/A</v>
      </c>
      <c r="HI198" s="129" t="e">
        <f aca="false">EXP(-LN(2)/2)*HI197+(1-EXP(-LN(2)/2))/(LN(2)/2)*HC198*HF198*VLOOKUP('Données projet'!$B$18,Paramètres!$A$1:$I$89,3,0)*0.475*44/12</f>
        <v>#N/A</v>
      </c>
      <c r="HJ198" s="130" t="e">
        <f aca="false">SUM(HG198:HI198)</f>
        <v>#N/A</v>
      </c>
    </row>
    <row r="199" customFormat="false" ht="14.25" hidden="false" customHeight="false" outlineLevel="0" collapsed="false">
      <c r="A199" s="112" t="n">
        <f aca="false">A198+1</f>
        <v>196</v>
      </c>
      <c r="B199" s="113" t="n">
        <f aca="false">'Scénario référence'!$B$16*5+'Scénario référence'!$B$17*0+'Scénario référence'!$B$18*5</f>
        <v>0</v>
      </c>
      <c r="C199" s="127" t="n">
        <f aca="false"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4" t="n">
        <f aca="false">IFERROR(EXP(-1.0587+0.8836*LN(C199)+0.284),0)</f>
        <v>0</v>
      </c>
      <c r="E199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199" s="114" t="n">
        <f aca="false">IF(OR('Scénario référence'!$F$8&gt;0,'Scénario référence'!$F$9&gt;0),('Scénario référence'!$F$8+'Scénario référence'!$F$9)*10,0)</f>
        <v>0</v>
      </c>
      <c r="G199" s="114" t="n">
        <f aca="false"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15" t="n">
        <f aca="false">(B199+E199+F199)*44/12+(C199+D199)*0.475*44/12</f>
        <v>256.666666666667</v>
      </c>
      <c r="I199" s="11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7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8" t="e">
        <f aca="false">VLOOKUP(A199,'Données projet'!$A$35:$I$55,2,0)</f>
        <v>#N/A</v>
      </c>
      <c r="L199" s="118" t="e">
        <f aca="false">VLOOKUP(A199,'Données projet'!$A$35:$I$55,9,0)</f>
        <v>#N/A</v>
      </c>
      <c r="M199" s="118" t="e">
        <f aca="false" t="array" ref="M199:M199">INDEX(L:L,MIN(IF(ISNUMBER(L199:L395),ROW(L199:L395),"")))</f>
        <v>#N/A</v>
      </c>
      <c r="N199" s="117" t="n">
        <f aca="false">IF('Données projet'!$A$36&gt;35,N198+M199-V198,IF(A199&lt;'Données projet'!$A$36,$K$205^A199,IF(A199='Données projet'!$A$36,'Données projet'!$B$36,N198+M199-V198)))</f>
        <v>-1.13686837721616E-013</v>
      </c>
      <c r="O199" s="117" t="n">
        <f aca="false">N199*VLOOKUP('Données projet'!$B$9,Paramètres!$A$1:$I$89,3,0)*VLOOKUP('Données projet'!$B$9,Paramètres!$A$1:$I$89,5,0)</f>
        <v>-5.32054400537163E-014</v>
      </c>
      <c r="P199" s="117" t="e">
        <f aca="false">EXP(-1.0587+0.8836*LN(O199)+0.284)</f>
        <v>#VALUE!</v>
      </c>
      <c r="Q199" s="128" t="e">
        <f aca="false">(O199+P199)*0.475*44/12</f>
        <v>#VALUE!</v>
      </c>
      <c r="R199" s="120" t="e">
        <f aca="false">Q199+(I199+J199)*44/12</f>
        <v>#VALUE!</v>
      </c>
      <c r="S199" s="120" t="n">
        <f aca="true">AVERAGE(OFFSET($R$3,0,0,'Données projet'!$E$9+1,1))-AVERAGE(OFFSET($H$3,0,0,'Données projet'!$E$9+1,1))</f>
        <v>319.229030946746</v>
      </c>
      <c r="T199" s="120" t="n">
        <f aca="false">$T$3</f>
        <v>254.586909731428</v>
      </c>
      <c r="U199" s="121" t="n">
        <f aca="false">IF(ISNA(VLOOKUP(A199,'Données projet'!$A$35:$I$55,3,0)),0,VLOOKUP(A199,'Données projet'!$A$35:$I$55,3,0))</f>
        <v>0</v>
      </c>
      <c r="V199" s="121" t="n">
        <f aca="false">IF(ISNA(VLOOKUP(A199,'Données projet'!$A$35:$I$55,4,0)),0,VLOOKUP(A199,'Données projet'!$A$35:$I$55,4,0))</f>
        <v>0</v>
      </c>
      <c r="W199" s="122" t="n">
        <f aca="false">IF(ISNA(VLOOKUP(A199,'Données projet'!$A$35:$I$55,5,0)),0%,VLOOKUP(A199,'Données projet'!$A$35:$I$55,5,0)*VLOOKUP('Données projet'!$B$9,Paramètres!$A$1:$I$89,7,0))</f>
        <v>0</v>
      </c>
      <c r="X199" s="122" t="n">
        <f aca="false">IF(ISNA(VLOOKUP(A199,'Données projet'!$A$35:$I$55,6,0)),0%,VLOOKUP(A199,'Données projet'!$A$35:$I$55,6,0)*VLOOKUP('Données projet'!$B$9,Paramètres!$A$1:$I$89,7,0))</f>
        <v>0</v>
      </c>
      <c r="Y199" s="122" t="n">
        <f aca="false">IF(ISNA(VLOOKUP(A199,'Données projet'!$A$35:$I$55,7,0)),0%,VLOOKUP(A199,'Données projet'!$A$35:$I$55,7,0))</f>
        <v>0</v>
      </c>
      <c r="Z199" s="129" t="n">
        <f aca="false">EXP(-LN(2)/35)*Z198+(1-EXP(-LN(2)/35))/(LN(2)/35)*V199*W199*VLOOKUP('Données projet'!$B$9,Paramètres!$A$1:$I$89,3,0)*0.475*44/12</f>
        <v>0.338969185293833</v>
      </c>
      <c r="AA199" s="129" t="n">
        <f aca="false">EXP(-LN(2)/25)*AA198+(1-EXP(-LN(2)/25))/(LN(2)/25)*Calculateur!V199*Calculateur!X199*VLOOKUP('Données projet'!$B$9,Paramètres!$A$1:$I$89,3,0)*0.475*44/12</f>
        <v>0.111811665297786</v>
      </c>
      <c r="AB199" s="129" t="n">
        <f aca="false">EXP(-LN(2)/2)*AB198+(1-EXP(-LN(2)/2))/(LN(2)/2)*V199*Y199*VLOOKUP('Données projet'!$B$9,Paramètres!$A$1:$I$89,3,0)*0.475*44/12</f>
        <v>1.14183273948921E-024</v>
      </c>
      <c r="AC199" s="130" t="n">
        <f aca="false">SUM(Z199:AB199)</f>
        <v>0.45078085059162</v>
      </c>
      <c r="AD199" s="117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7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8" t="e">
        <f aca="false">VLOOKUP(A199,'Données projet'!$A$61:$I$81,2,0)</f>
        <v>#N/A</v>
      </c>
      <c r="AG199" s="118" t="e">
        <f aca="false">VLOOKUP(A199,'Données projet'!$A$61:$I$81,9,0)</f>
        <v>#N/A</v>
      </c>
      <c r="AH199" s="118" t="e">
        <f aca="false" t="array" ref="AH199:AH199">INDEX(AG:AG,MIN(IF(ISNUMBER(AG199:AG395),ROW(AG199:AG395),"")))</f>
        <v>#N/A</v>
      </c>
      <c r="AI199" s="117" t="n">
        <f aca="false">IF('Données projet'!$A$62&gt;35,AI198+AH199-AQ198,IF(A199&lt;'Données projet'!$A$62,$AF$205^A199,IF(A199='Données projet'!$A$62,'Données projet'!$B$62,AI198+AH199-AQ198)))</f>
        <v>1.13686837721616E-013</v>
      </c>
      <c r="AJ199" s="117" t="n">
        <f aca="false">AI199*VLOOKUP('Données projet'!$B$10,Paramètres!$A$1:$I$89,3,0)*VLOOKUP('Données projet'!$B$10,Paramètres!$A$1:$I$89,5,0)</f>
        <v>6.35509422863834E-014</v>
      </c>
      <c r="AK199" s="117" t="n">
        <f aca="false">EXP(-1.0587+0.8836*LN(AJ199)+0.284)</f>
        <v>1.0064464192544E-012</v>
      </c>
      <c r="AL199" s="128" t="n">
        <f aca="false">(AJ199+AK199)*0.475*44/12</f>
        <v>1.86357873801686E-012</v>
      </c>
      <c r="AM199" s="120" t="n">
        <f aca="false">AL199+(AD199+AE199)*44/12</f>
        <v>293.333333333335</v>
      </c>
      <c r="AN199" s="120" t="n">
        <f aca="true">AVERAGE(OFFSET($AM$3,0,0,'Données projet'!$E$10+1,1))-AVERAGE(OFFSET($H$3,0,0,'Données projet'!$E$10+1,1))</f>
        <v>365.705101827279</v>
      </c>
      <c r="AO199" s="120" t="n">
        <f aca="false">$AO$3</f>
        <v>436.238338449625</v>
      </c>
      <c r="AP199" s="121" t="n">
        <f aca="false">IF(ISNA(VLOOKUP(A199,'Données projet'!$A$61:$I$81,3,0)),0,VLOOKUP(A199,'Données projet'!$A$61:$I$81,3,0))</f>
        <v>0</v>
      </c>
      <c r="AQ199" s="121" t="n">
        <f aca="false">IF(ISNA(VLOOKUP(A199,'Données projet'!$A$61:$I$81,4,0)),0,VLOOKUP(A199,'Données projet'!$A$61:$I$81,4,0))</f>
        <v>0</v>
      </c>
      <c r="AR199" s="122" t="n">
        <f aca="false">IF(ISNA(VLOOKUP(A199,'Données projet'!$A$61:$I$81,5,0)),0%,VLOOKUP(A199,'Données projet'!$A$61:$I$81,5,0)*VLOOKUP('Données projet'!$B$10,Paramètres!$A$1:$I$89,7,0))</f>
        <v>0</v>
      </c>
      <c r="AS199" s="122" t="n">
        <f aca="false">IF(ISNA(VLOOKUP(A199,'Données projet'!$A$61:$I$81,6,0)),0%,VLOOKUP(A199,'Données projet'!$A$61:$I$81,6,0)*VLOOKUP('Données projet'!$B$10,Paramètres!$A$1:$I$89,7,0))</f>
        <v>0</v>
      </c>
      <c r="AT199" s="122" t="n">
        <f aca="false">IF(ISNA(VLOOKUP(A199,'Données projet'!$A$61:$I$81,7,0)),0%,VLOOKUP(A199,'Données projet'!$A$61:$I$81,7,0))</f>
        <v>0</v>
      </c>
      <c r="AU199" s="129" t="n">
        <f aca="false">EXP(-LN(2)/35)*AU198+(1-EXP(-LN(2)/35))/(LN(2)/35)*AQ199*AR199*VLOOKUP('Données projet'!$B$10,Paramètres!$A$1:$I$89,3,0)*0.475*44/12</f>
        <v>0.127949877589603</v>
      </c>
      <c r="AV199" s="129" t="n">
        <f aca="false">EXP(-LN(2)/25)*AV198+(1-EXP(-LN(2)/25))/(LN(2)/25)*Calculateur!AQ199*Calculateur!AS199*VLOOKUP('Données projet'!$B$10,Paramètres!$A$1:$I$89,3,0)*0.475*44/12</f>
        <v>0.132434871902248</v>
      </c>
      <c r="AW199" s="129" t="n">
        <f aca="false">EXP(-LN(2)/2)*AW198+(1-EXP(-LN(2)/2))/(LN(2)/2)*AQ199*AT199*VLOOKUP('Données projet'!$B$10,Paramètres!$A$1:$I$89,3,0)*0.475*44/12</f>
        <v>6.14498692687599E-025</v>
      </c>
      <c r="AX199" s="129" t="n">
        <f aca="false">SUM(AU199:AW199)</f>
        <v>0.260384749491851</v>
      </c>
      <c r="AY199" s="124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8" t="e">
        <f aca="false">VLOOKUP(A199,'Données projet'!$A$87:$I$107,2,0)</f>
        <v>#N/A</v>
      </c>
      <c r="BB199" s="118" t="e">
        <f aca="false">VLOOKUP(A199,'Données projet'!$A$87:$I$107,9,0)</f>
        <v>#N/A</v>
      </c>
      <c r="BC199" s="118" t="e">
        <f aca="false" t="array" ref="BC199:BC199">INDEX(BB:BB,MIN(IF(ISNUMBER(BB199:BB395),ROW(BB199:BB395),"")))</f>
        <v>#N/A</v>
      </c>
      <c r="BD199" s="118" t="n">
        <f aca="false">IF('Données projet'!$A$88&gt;35,BD198+BC199-BL198,IF(A199&lt;'Données projet'!$A$88,$BA$205^A199,IF(A199='Données projet'!$A$88,'Données projet'!$B$88,BD198+BC199-BL198)))</f>
        <v>1.98951966012828E-013</v>
      </c>
      <c r="BE199" s="117" t="n">
        <f aca="false">BD199*VLOOKUP('Données projet'!$B$11,Paramètres!$A$1:$I$89,3,0)*VLOOKUP('Données projet'!$B$11,Paramètres!$A$1:$I$89,5,0)</f>
        <v>1.73804437508807E-013</v>
      </c>
      <c r="BF199" s="117" t="n">
        <f aca="false">EXP(-1.0587+0.8836*LN(BE199)+0.284)</f>
        <v>2.44832936339505E-012</v>
      </c>
      <c r="BG199" s="128" t="n">
        <f aca="false">(BE199+BF199)*0.475*44/12</f>
        <v>4.56688303657421E-012</v>
      </c>
      <c r="BH199" s="120" t="n">
        <f aca="false">BG199+(AY199+AZ199)*44/12</f>
        <v>293.333333333338</v>
      </c>
      <c r="BI199" s="120" t="n">
        <f aca="true">AVERAGE(OFFSET($BH$3,0,0,'Données projet'!$E$11+1,1))-AVERAGE(OFFSET($H$3,0,0,'Données projet'!$E$11+1,1))</f>
        <v>321.235999689929</v>
      </c>
      <c r="BJ199" s="120" t="n">
        <f aca="false">$BJ$3</f>
        <v>388.051958478005</v>
      </c>
      <c r="BK199" s="121" t="n">
        <f aca="false">IF(ISNA(VLOOKUP(A199,'Données projet'!$A$87:$I$107,3,0)),0,VLOOKUP(A199,'Données projet'!$A$87:$I$107,3,0))</f>
        <v>0</v>
      </c>
      <c r="BL199" s="121" t="n">
        <f aca="false">IF(ISNA(VLOOKUP(A199,'Données projet'!$A$87:$I$107,4,0)),0,VLOOKUP(A199,'Données projet'!$A$87:$I$107,4,0))</f>
        <v>0</v>
      </c>
      <c r="BM199" s="122" t="n">
        <f aca="false">IF(ISNA(VLOOKUP(A199,'Données projet'!$A$87:$I$107,5,0)),0%,VLOOKUP(A199,'Données projet'!$A$87:$I$107,5,0)*VLOOKUP('Données projet'!$B$11,Paramètres!$A$1:$I$89,7,0))</f>
        <v>0</v>
      </c>
      <c r="BN199" s="122" t="n">
        <f aca="false">IF(ISNA(VLOOKUP(A199,'Données projet'!$A$87:$I$107,6,0)),0%,VLOOKUP(A199,'Données projet'!$A$87:$I$107,6,0)*VLOOKUP('Données projet'!$B$11,Paramètres!$A$1:$I$89,7,0))</f>
        <v>0</v>
      </c>
      <c r="BO199" s="122" t="n">
        <f aca="false">IF(ISNA(VLOOKUP(A199,'Données projet'!$A$87:$I$107,7,0)),0%,VLOOKUP(A199,'Données projet'!$A$87:$I$107,7,0))</f>
        <v>0</v>
      </c>
      <c r="BP199" s="129" t="n">
        <f aca="false">EXP(-LN(2)/35)*BP198+(1-EXP(-LN(2)/35))/(LN(2)/35)*BL199*BM199*VLOOKUP('Données projet'!$B$11,Paramètres!$A$1:$I$89,3,0)*0.475*44/12</f>
        <v>0.321233694655947</v>
      </c>
      <c r="BQ199" s="129" t="n">
        <f aca="false">EXP(-LN(2)/25)*BQ198+(1-EXP(-LN(2)/25))/(LN(2)/25)*Calculateur!BL199*Calculateur!BN199*VLOOKUP('Données projet'!$B$11,Paramètres!$A$1:$I$89,3,0)*0.475*44/12</f>
        <v>0.135181651092764</v>
      </c>
      <c r="BR199" s="129" t="n">
        <f aca="false">EXP(-LN(2)/2)*BR198+(1-EXP(-LN(2)/2))/(LN(2)/2)*BL199*BO199*VLOOKUP('Données projet'!$B$11,Paramètres!$A$1:$I$89,3,0)*0.475*44/12</f>
        <v>6.24625148549275E-025</v>
      </c>
      <c r="BS199" s="130" t="n">
        <f aca="false">SUM(BP199:BR199)</f>
        <v>0.456415345748711</v>
      </c>
      <c r="BT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8" t="e">
        <f aca="false">VLOOKUP(A199,'Données projet'!$A$113:$I$133,2,0)</f>
        <v>#N/A</v>
      </c>
      <c r="BW199" s="118" t="e">
        <f aca="false">VLOOKUP(A199,'Données projet'!$A$113:$I$133,9,0)</f>
        <v>#N/A</v>
      </c>
      <c r="BX199" s="118" t="e">
        <f aca="false" t="array" ref="BX199:BX199">INDEX(BW:BW,MIN(IF(ISNUMBER(BW199:BW395),ROW(BW199:BW395),"")))</f>
        <v>#N/A</v>
      </c>
      <c r="BY199" s="118" t="n">
        <f aca="false">IF('Données projet'!$A$114&gt;35,BY198+BX199-CG198,IF(A199&lt;'Données projet'!$A$114,$BV$205^A199,IF(A199='Données projet'!$A$114,'Données projet'!$B$114,BY198+BX199-CG198)))</f>
        <v>0</v>
      </c>
      <c r="BZ199" s="117" t="n">
        <f aca="false">BY199*VLOOKUP('Données projet'!$B$12,Paramètres!$A$1:$I$89,3,0)*VLOOKUP('Données projet'!$B$12,Paramètres!$A$1:$I$89,5,0)</f>
        <v>0</v>
      </c>
      <c r="CA199" s="117" t="e">
        <f aca="false">EXP(-1.0587+0.8836*LN(BZ199)+0.284)</f>
        <v>#VALUE!</v>
      </c>
      <c r="CB199" s="128" t="e">
        <f aca="false">(BZ199+CA199)*0.475*44/12</f>
        <v>#VALUE!</v>
      </c>
      <c r="CC199" s="120" t="e">
        <f aca="false">CB199+(BT199+BU199)*44/12</f>
        <v>#VALUE!</v>
      </c>
      <c r="CD199" s="120" t="n">
        <f aca="true">AVERAGE(OFFSET($CC$3,0,0,'Données projet'!$E$12+1,1))-AVERAGE(OFFSET($H$3,0,0,'Données projet'!$E$12+1,1))</f>
        <v>240.228848647662</v>
      </c>
      <c r="CE199" s="120" t="n">
        <f aca="false">$CE$3</f>
        <v>343.237768841432</v>
      </c>
      <c r="CF199" s="121" t="n">
        <f aca="false">IF(ISNA(VLOOKUP(A199,'Données projet'!$A$113:$I$133,3,0)),0,VLOOKUP(A199,'Données projet'!$A$113:$I$133,3,0))</f>
        <v>0</v>
      </c>
      <c r="CG199" s="121" t="n">
        <f aca="false">IF(ISNA(VLOOKUP(A199,'Données projet'!$A$113:$I$133,4,0)),0,VLOOKUP(A199,'Données projet'!$A$113:$I$133,4,0))</f>
        <v>0</v>
      </c>
      <c r="CH199" s="122" t="n">
        <f aca="false">IF(ISNA(VLOOKUP(A199,'Données projet'!$A$113:$I$133,5,0)),0%,VLOOKUP(A199,'Données projet'!$A$113:$I$133,5,0)*VLOOKUP('Données projet'!$B$12,Paramètres!$A$1:$I$89,7,0))</f>
        <v>0</v>
      </c>
      <c r="CI199" s="122" t="n">
        <f aca="false">IF(ISNA(VLOOKUP(A199,'Données projet'!$A$113:$I$133,6,0)),0%,VLOOKUP(A199,'Données projet'!$A$113:$I$133,6,0)*VLOOKUP('Données projet'!$B$12,Paramètres!$A$1:$I$89,7,0))</f>
        <v>0</v>
      </c>
      <c r="CJ199" s="122" t="n">
        <f aca="false">IF(ISNA(VLOOKUP(A199,'Données projet'!$A$113:$I$133,7,0)),0%,VLOOKUP(A199,'Données projet'!$A$113:$I$133,7,0))</f>
        <v>0</v>
      </c>
      <c r="CK199" s="129" t="n">
        <f aca="false">EXP(-LN(2)/35)*CK198+(1-EXP(-LN(2)/35))/(LN(2)/35)*CG199*CH199*VLOOKUP('Données projet'!$B$12,Paramètres!$A$1:$I$89,3,0)*0.475*44/12</f>
        <v>0.196620047470824</v>
      </c>
      <c r="CL199" s="129" t="n">
        <f aca="false">EXP(-LN(2)/25)*CL198+(1-EXP(-LN(2)/25))/(LN(2)/25)*Calculateur!CG199*Calculateur!CI199*VLOOKUP('Données projet'!$B$12,Paramètres!$A$1:$I$89,3,0)*0.475*44/12</f>
        <v>0.238738621480284</v>
      </c>
      <c r="CM199" s="129" t="n">
        <f aca="false">EXP(-LN(2)/2)*CM198+(1-EXP(-LN(2)/2))/(LN(2)/2)*CG199*CJ199*VLOOKUP('Données projet'!$B$12,Paramètres!$A$1:$I$89,3,0)*0.475*44/12</f>
        <v>9.96735212115487E-025</v>
      </c>
      <c r="CN199" s="130" t="n">
        <f aca="false">SUM(CK199:CM199)</f>
        <v>0.435358668951109</v>
      </c>
      <c r="CO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8" t="e">
        <f aca="false">VLOOKUP(A199,'Données projet'!$A$139:$I$159,2,0)</f>
        <v>#N/A</v>
      </c>
      <c r="CR199" s="118" t="e">
        <f aca="false">VLOOKUP(A199,'Données projet'!$A$139:$I$159,9,0)</f>
        <v>#N/A</v>
      </c>
      <c r="CS199" s="118" t="e">
        <f aca="false" t="array" ref="CS199:CS199">INDEX(CR:CR,MIN(IF(ISNUMBER(CR199:CR395),ROW(CR199:CR395),"")))</f>
        <v>#N/A</v>
      </c>
      <c r="CT199" s="118" t="n">
        <f aca="false">IF('Données projet'!$A$140&gt;35,CT198+CS199-DB198,IF(A199&lt;'Données projet'!$A$140,$CQ$205^A199,IF(A199='Données projet'!$A$140,'Données projet'!$B$140,CT198+CS199-DB198)))</f>
        <v>-5.6843418860808E-014</v>
      </c>
      <c r="CU199" s="125" t="n">
        <f aca="false">CT199*VLOOKUP('Données projet'!$B$13,Paramètres!$A$1:$I$89,3,0)*VLOOKUP('Données projet'!$B$13,Paramètres!$A$1:$I$89,5,0)</f>
        <v>-3.10365066980012E-014</v>
      </c>
      <c r="CV199" s="117" t="e">
        <f aca="false">EXP(-1.0587+0.8836*LN(CU199)+0.284)</f>
        <v>#VALUE!</v>
      </c>
      <c r="CW199" s="128" t="e">
        <f aca="false">(CU199+CV199)*0.475*44/12</f>
        <v>#VALUE!</v>
      </c>
      <c r="CX199" s="120" t="e">
        <f aca="false">CW199+(CO199+CP199)*44/12</f>
        <v>#VALUE!</v>
      </c>
      <c r="CY199" s="120" t="n">
        <f aca="true">AVERAGE(OFFSET($CX$3,0,0,'Données projet'!$E$13+1,1))-AVERAGE(OFFSET($H$3,0,0,'Données projet'!$E$13+1,1))</f>
        <v>207.023069645676</v>
      </c>
      <c r="CZ199" s="120" t="n">
        <f aca="false">$CZ$3</f>
        <v>342.068879333518</v>
      </c>
      <c r="DA199" s="121" t="n">
        <f aca="false">IF(ISNA(VLOOKUP(A199,'Données projet'!$A$139:$I$159,3,0)),0,VLOOKUP(A199,'Données projet'!$A$139:$I$159,3,0))</f>
        <v>0</v>
      </c>
      <c r="DB199" s="121" t="n">
        <f aca="false">IF(ISNA(VLOOKUP(A199,'Données projet'!$A$139:$I$159,4,0)),0,VLOOKUP(A199,'Données projet'!$A$139:$I$159,4,0))</f>
        <v>0</v>
      </c>
      <c r="DC199" s="122" t="n">
        <f aca="false">IF(ISNA(VLOOKUP(A199,'Données projet'!$A$139:$I$159,5,0)),0%,VLOOKUP(A199,'Données projet'!$A$139:$I$159,5,0)*VLOOKUP('Données projet'!$B$13,Paramètres!$A$1:$I$89,7,0))</f>
        <v>0</v>
      </c>
      <c r="DD199" s="122" t="n">
        <f aca="false">IF(ISNA(VLOOKUP(A199,'Données projet'!$A$139:$I$159,6,0)),0%,VLOOKUP(A199,'Données projet'!$A$139:$I$159,6,0)*VLOOKUP('Données projet'!$B$13,Paramètres!$A$1:$I$89,7,0))</f>
        <v>0</v>
      </c>
      <c r="DE199" s="122" t="n">
        <f aca="false">IF(ISNA(VLOOKUP(A199,'Données projet'!$A$139:$I$159,7,0)),0%,VLOOKUP(A199,'Données projet'!$A$139:$I$159,7,0))</f>
        <v>0</v>
      </c>
      <c r="DF199" s="129" t="n">
        <f aca="false">EXP(-LN(2)/35)*DF198+(1-EXP(-LN(2)/35))/(LN(2)/35)*DB199*DC199*VLOOKUP('Données projet'!$B$13,Paramètres!$A$1:$I$89,3,0)*0.475*44/12</f>
        <v>0.246702512392638</v>
      </c>
      <c r="DG199" s="129" t="n">
        <f aca="false">EXP(-LN(2)/25)*DG198+(1-EXP(-LN(2)/25))/(LN(2)/25)*Calculateur!DB199*Calculateur!DD199*VLOOKUP('Données projet'!$B$13,Paramètres!$A$1:$I$89,3,0)*0.475*44/12</f>
        <v>0.39023821415196</v>
      </c>
      <c r="DH199" s="129" t="n">
        <f aca="false">EXP(-LN(2)/2)*DH198+(1-EXP(-LN(2)/2))/(LN(2)/2)*DB199*DE199*VLOOKUP('Données projet'!$B$13,Paramètres!$A$1:$I$89,3,0)*0.475*44/12</f>
        <v>1.37250484919458E-024</v>
      </c>
      <c r="DI199" s="130" t="n">
        <f aca="false">SUM(DF199:DH199)</f>
        <v>0.636940726544598</v>
      </c>
      <c r="DJ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8" t="e">
        <f aca="false">VLOOKUP(A199,'Données projet'!$A$165:$I$185,2,0)</f>
        <v>#N/A</v>
      </c>
      <c r="DM199" s="118" t="e">
        <f aca="false">VLOOKUP(A199,'Données projet'!$A$165:$I$185,9,0)</f>
        <v>#N/A</v>
      </c>
      <c r="DN199" s="118" t="e">
        <f aca="false" t="array" ref="DN199:DN199">INDEX(DM:DM,MIN(IF(ISNUMBER(DM199:DM395),ROW(DM199:DM395),"")))</f>
        <v>#N/A</v>
      </c>
      <c r="DO199" s="118" t="n">
        <f aca="false">IF('Données projet'!$A$166&gt;35,DO198+DN199-DW198,IF(A199&lt;'Données projet'!$A$166,$DL$205^A199,IF(A199='Données projet'!$A$166,'Données projet'!$B$166,DO198+DN199-DW198)))</f>
        <v>0</v>
      </c>
      <c r="DP199" s="125" t="n">
        <f aca="false">DO199*VLOOKUP('Données projet'!$B$14,Paramètres!$A$1:$I$89,3,0)*VLOOKUP('Données projet'!$B$14,Paramètres!$A$1:$I$89,5,0)</f>
        <v>0</v>
      </c>
      <c r="DQ199" s="117" t="e">
        <f aca="false">EXP(-1.0587+0.8836*LN(DP199)+0.284)</f>
        <v>#VALUE!</v>
      </c>
      <c r="DR199" s="128" t="e">
        <f aca="false">(DP199+DQ199)*0.475*44/12</f>
        <v>#VALUE!</v>
      </c>
      <c r="DS199" s="120" t="e">
        <f aca="false">DR199+(DJ199+DK199)*44/12</f>
        <v>#VALUE!</v>
      </c>
      <c r="DT199" s="120" t="n">
        <f aca="true">AVERAGE(OFFSET($DS$3,0,0,'Données projet'!$E$14+1,1))-AVERAGE(OFFSET($H$3,0,0,'Données projet'!$E$14+1,1))</f>
        <v>549.432320957297</v>
      </c>
      <c r="DU199" s="120" t="n">
        <f aca="false">$DU$3</f>
        <v>280.26155987301</v>
      </c>
      <c r="DV199" s="121" t="n">
        <f aca="false">IF(ISNA(VLOOKUP(A199,'Données projet'!$A$165:$I$185,3,0)),0,VLOOKUP(A199,'Données projet'!$A$165:$I$185,3,0))</f>
        <v>0</v>
      </c>
      <c r="DW199" s="121" t="n">
        <f aca="false">IF(ISNA(VLOOKUP(A199,'Données projet'!$A$165:$I$185,4,0)),0,VLOOKUP(A199,'Données projet'!$A$165:$I$185,4,0))</f>
        <v>0</v>
      </c>
      <c r="DX199" s="122" t="n">
        <f aca="false">IF(ISNA(VLOOKUP(A199,'Données projet'!$A$165:$I$185,5,0)),0%,VLOOKUP(A199,'Données projet'!$A$165:$I$185,5,0)*VLOOKUP('Données projet'!$B$14,Paramètres!$A$1:$I$89,7,0))</f>
        <v>0</v>
      </c>
      <c r="DY199" s="122" t="n">
        <f aca="false">IF(ISNA(VLOOKUP(A199,'Données projet'!$A$165:$I$185,6,0)),0%,VLOOKUP(A199,'Données projet'!$A$165:$I$185,6,0)*VLOOKUP('Données projet'!$B$14,Paramètres!$A$1:$I$89,7,0))</f>
        <v>0</v>
      </c>
      <c r="DZ199" s="122" t="n">
        <f aca="false">IF(ISNA(VLOOKUP(A199,'Données projet'!$A$165:$I$185,7,0)),0%,VLOOKUP(A199,'Données projet'!$A$165:$I$185,7,0))</f>
        <v>0</v>
      </c>
      <c r="EA199" s="129" t="n">
        <f aca="false">EXP(-LN(2)/35)*EA198+(1-EXP(-LN(2)/35))/(LN(2)/35)*DW199*DX199*VLOOKUP('Données projet'!$B$14,Paramètres!$A$1:$I$89,3,0)*0.475*44/12</f>
        <v>0.0897007584218518</v>
      </c>
      <c r="EB199" s="129" t="n">
        <f aca="false">EXP(-LN(2)/25)*EB198+(1-EXP(-LN(2)/25))/(LN(2)/25)*Calculateur!DW199*Calculateur!DY199*VLOOKUP('Données projet'!$B$14,Paramètres!$A$1:$I$89,3,0)*0.475*44/12</f>
        <v>0.077743151523711</v>
      </c>
      <c r="EC199" s="129" t="n">
        <f aca="false">EXP(-LN(2)/2)*EC198+(1-EXP(-LN(2)/2))/(LN(2)/2)*DW199*DZ199*VLOOKUP('Données projet'!$B$14,Paramètres!$A$1:$I$89,3,0)*0.475*44/12</f>
        <v>6.32696443743552E-025</v>
      </c>
      <c r="ED199" s="130" t="n">
        <f aca="false">SUM(EA199:EC199)</f>
        <v>0.167443909945563</v>
      </c>
      <c r="EE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8" t="e">
        <f aca="false">VLOOKUP(A199,'Données projet'!$A$191:$I$211,2,0)</f>
        <v>#N/A</v>
      </c>
      <c r="EH199" s="118" t="e">
        <f aca="false">VLOOKUP(A199,'Données projet'!$A$191:$I$211,9,0)</f>
        <v>#N/A</v>
      </c>
      <c r="EI199" s="118" t="e">
        <f aca="false" t="array" ref="EI199:EI199">INDEX(EH:EH,MIN(IF(ISNUMBER(EH199:EH395),ROW(EH199:EH395),"")))</f>
        <v>#N/A</v>
      </c>
      <c r="EJ199" s="118" t="n">
        <f aca="false">IF('Données projet'!$A$192&gt;35,EJ198+EI199-ER198,IF(A199&lt;'Données projet'!$A$192,$EG$205^A199,IF(A199='Données projet'!$A$192,'Données projet'!$B$192,EJ198+EI199-ER198)))</f>
        <v>0</v>
      </c>
      <c r="EK199" s="125" t="e">
        <f aca="false">EJ199*VLOOKUP('Données projet'!$B$15,Paramètres!$A$1:$I$89,3,0)*VLOOKUP('Données projet'!$B$15,Paramètres!$A$1:$I$89,5,0)</f>
        <v>#N/A</v>
      </c>
      <c r="EL199" s="117" t="e">
        <f aca="false">EXP(-1.0587+0.8836*LN(EK199)+0.284)</f>
        <v>#N/A</v>
      </c>
      <c r="EM199" s="128" t="e">
        <f aca="false">(EK199+EL199)*0.475*44/12</f>
        <v>#N/A</v>
      </c>
      <c r="EN199" s="120" t="e">
        <f aca="false">EM199+(EE199+EF199)*44/12</f>
        <v>#N/A</v>
      </c>
      <c r="EO199" s="120" t="e">
        <f aca="true">AVERAGE(OFFSET($EN$3,0,0,'Données projet'!$E$15+1,1))-AVERAGE(OFFSET($H$3,0,0,'Données projet'!$E$15+1,1))</f>
        <v>#N/A</v>
      </c>
      <c r="EP199" s="120" t="e">
        <f aca="false">$EP$3</f>
        <v>#N/A</v>
      </c>
      <c r="EQ199" s="121" t="n">
        <f aca="false">IF(ISNA(VLOOKUP(A199,'Données projet'!$A$191:$I$211,3,0)),0,VLOOKUP(A199,'Données projet'!$A$191:$I$211,3,0))</f>
        <v>0</v>
      </c>
      <c r="ER199" s="121" t="n">
        <f aca="false">IF(ISNA(VLOOKUP(A199,'Données projet'!$A$191:$I$211,4,0)),0,VLOOKUP(A199,'Données projet'!$A$191:$I$211,4,0))</f>
        <v>0</v>
      </c>
      <c r="ES199" s="122" t="n">
        <f aca="false">IF(ISNA(VLOOKUP(A199,'Données projet'!$A$191:$I$211,5,0)),0%,VLOOKUP(A199,'Données projet'!$A$191:$I$211,5,0)*VLOOKUP('Données projet'!$B$15,Paramètres!$A$1:$I$89,7,0))</f>
        <v>0</v>
      </c>
      <c r="ET199" s="122" t="n">
        <f aca="false">IF(ISNA(VLOOKUP(A199,'Données projet'!$A$191:$I$211,6,0)),0%,VLOOKUP(A199,'Données projet'!$A$191:$I$211,6,0)*VLOOKUP('Données projet'!$B$15,Paramètres!$A$1:$I$89,7,0))</f>
        <v>0</v>
      </c>
      <c r="EU199" s="122" t="n">
        <f aca="false">IF(ISNA(VLOOKUP(A199,'Données projet'!$A$191:$I$211,7,0)),0%,VLOOKUP(A199,'Données projet'!$A$191:$I$211,7,0))</f>
        <v>0</v>
      </c>
      <c r="EV199" s="129" t="e">
        <f aca="false">EXP(-LN(2)/35)*EV198+(1-EXP(-LN(2)/35))/(LN(2)/35)*ER199*ES199*VLOOKUP('Données projet'!$B$15,Paramètres!$A$1:$I$89,3,0)*0.475*44/12</f>
        <v>#N/A</v>
      </c>
      <c r="EW199" s="129" t="e">
        <f aca="false">EXP(-LN(2)/25)*EW198+(1-EXP(-LN(2)/25))/(LN(2)/25)*Calculateur!ER199*Calculateur!ET199*VLOOKUP('Données projet'!$B$15,Paramètres!$A$1:$I$89,3,0)*0.475*44/12</f>
        <v>#N/A</v>
      </c>
      <c r="EX199" s="129" t="e">
        <f aca="false">EXP(-LN(2)/2)*EX198+(1-EXP(-LN(2)/2))/(LN(2)/2)*ER199*EU199*VLOOKUP('Données projet'!$B$15,Paramètres!$A$1:$I$89,3,0)*0.475*44/12</f>
        <v>#N/A</v>
      </c>
      <c r="EY199" s="130" t="e">
        <f aca="false">SUM(EV199:EX199)</f>
        <v>#N/A</v>
      </c>
      <c r="EZ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8" t="e">
        <f aca="false">VLOOKUP(A199,'Données projet'!$A$217:$I$237,2,0)</f>
        <v>#N/A</v>
      </c>
      <c r="FC199" s="118" t="e">
        <f aca="false">VLOOKUP(A199,'Données projet'!$A$217:$I$237,9,0)</f>
        <v>#N/A</v>
      </c>
      <c r="FD199" s="118" t="e">
        <f aca="false" t="array" ref="FD199:FD199">INDEX(FC:FC,MIN(IF(ISNUMBER(FC199:FC395),ROW(FC199:FC395),"")))</f>
        <v>#N/A</v>
      </c>
      <c r="FE199" s="118" t="n">
        <f aca="false">IF('Données projet'!$A$218&gt;35,FE198+FD199-FM198,IF(A199&lt;'Données projet'!$A$218,$FB$205^A199,IF(A199='Données projet'!$A$218,'Données projet'!$B$218,FE198+FD199-FM198)))</f>
        <v>0</v>
      </c>
      <c r="FF199" s="125" t="e">
        <f aca="false">FE199*VLOOKUP('Données projet'!$B$16,Paramètres!$A$1:$I$89,3,0)*VLOOKUP('Données projet'!$B$16,Paramètres!$A$1:$I$89,5,0)</f>
        <v>#N/A</v>
      </c>
      <c r="FG199" s="117" t="e">
        <f aca="false">EXP(-1.0587+0.8836*LN(FF199)+0.284)</f>
        <v>#N/A</v>
      </c>
      <c r="FH199" s="128" t="e">
        <f aca="false">(FF199+FG199)*0.475*44/12</f>
        <v>#N/A</v>
      </c>
      <c r="FI199" s="120" t="e">
        <f aca="false">FH199+(EZ199+FA199)*44/12</f>
        <v>#N/A</v>
      </c>
      <c r="FJ199" s="120" t="e">
        <f aca="true">AVERAGE(OFFSET($FI$3,0,0,'Données projet'!$E$16+1,1))-AVERAGE(OFFSET($H$3,0,0,'Données projet'!$E$16+1,1))</f>
        <v>#N/A</v>
      </c>
      <c r="FK199" s="120" t="e">
        <f aca="false">$FK$3</f>
        <v>#N/A</v>
      </c>
      <c r="FL199" s="121" t="n">
        <f aca="false">IF(ISNA(VLOOKUP(A199,'Données projet'!$A$217:$I$237,3,0)),0,VLOOKUP(A199,'Données projet'!$A$217:$I$237,3,0))</f>
        <v>0</v>
      </c>
      <c r="FM199" s="121" t="n">
        <f aca="false">IF(ISNA(VLOOKUP(A199,'Données projet'!$A$217:$I$237,4,0)),0,VLOOKUP(A199,'Données projet'!$A$217:$I$237,4,0))</f>
        <v>0</v>
      </c>
      <c r="FN199" s="122" t="n">
        <f aca="false">IF(ISNA(VLOOKUP(A199,'Données projet'!$A$217:$I$237,5,0)),0%,VLOOKUP(A199,'Données projet'!$A$217:$I$237,5,0)*VLOOKUP('Données projet'!$B$16,Paramètres!$A$1:$I$89,7,0))</f>
        <v>0</v>
      </c>
      <c r="FO199" s="122" t="n">
        <f aca="false">IF(ISNA(VLOOKUP(A199,'Données projet'!$A$217:$I$237,6,0)),0%,VLOOKUP(A199,'Données projet'!$A$217:$I$237,6,0)*VLOOKUP('Données projet'!$B$16,Paramètres!$A$1:$I$89,7,0))</f>
        <v>0</v>
      </c>
      <c r="FP199" s="122" t="n">
        <f aca="false">IF(ISNA(VLOOKUP(A199,'Données projet'!$A$217:$I$237,7,0)),0%,VLOOKUP(A199,'Données projet'!$A$217:$I$237,7,0))</f>
        <v>0</v>
      </c>
      <c r="FQ199" s="129" t="e">
        <f aca="false">EXP(-LN(2)/35)*FQ198+(1-EXP(-LN(2)/35))/(LN(2)/35)*FM199*FN199*VLOOKUP('Données projet'!$B$16,Paramètres!$A$1:$I$89,3,0)*0.475*44/12</f>
        <v>#N/A</v>
      </c>
      <c r="FR199" s="129" t="e">
        <f aca="false">EXP(-LN(2)/25)*FR198+(1-EXP(-LN(2)/25))/(LN(2)/25)*Calculateur!FM199*Calculateur!FO199*VLOOKUP('Données projet'!$B$16,Paramètres!$A$1:$I$89,3,0)*0.475*44/12</f>
        <v>#N/A</v>
      </c>
      <c r="FS199" s="129" t="e">
        <f aca="false">EXP(-LN(2)/2)*FS198+(1-EXP(-LN(2)/2))/(LN(2)/2)*FM199*FP199*VLOOKUP('Données projet'!$B$16,Paramètres!$A$1:$I$89,3,0)*0.475*44/12</f>
        <v>#N/A</v>
      </c>
      <c r="FT199" s="130" t="e">
        <f aca="false">SUM(FQ199:FS199)</f>
        <v>#N/A</v>
      </c>
      <c r="FU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8" t="e">
        <f aca="false">VLOOKUP(A199,'Données projet'!$A$243:$I$263,2,0)</f>
        <v>#N/A</v>
      </c>
      <c r="FX199" s="118" t="e">
        <f aca="false">VLOOKUP(A199,'Données projet'!$A$243:$I$263,9,0)</f>
        <v>#N/A</v>
      </c>
      <c r="FY199" s="118" t="e">
        <f aca="false" t="array" ref="FY199:FY199">INDEX(FX:FX,MIN(IF(ISNUMBER(FX199:FX395),ROW(FX199:FX395),"")))</f>
        <v>#N/A</v>
      </c>
      <c r="FZ199" s="118" t="n">
        <f aca="false">IF('Données projet'!$A$244&gt;35,FZ198+FY199-GH198,IF(A199&lt;'Données projet'!$A$244,$FW$205^A199,IF(A199='Données projet'!$A$244,'Données projet'!$B$244,FZ198+FY199-GH198)))</f>
        <v>0</v>
      </c>
      <c r="GA199" s="125" t="e">
        <f aca="false">FZ199*VLOOKUP('Données projet'!$B$17,Paramètres!$A$1:$I$89,3,0)*VLOOKUP('Données projet'!$B$17,Paramètres!$A$1:$I$89,5,0)</f>
        <v>#N/A</v>
      </c>
      <c r="GB199" s="117" t="e">
        <f aca="false">EXP(-1.0587+0.8836*LN(GA199)+0.284)</f>
        <v>#N/A</v>
      </c>
      <c r="GC199" s="128" t="e">
        <f aca="false">(GA199+GB199)*0.475*44/12</f>
        <v>#N/A</v>
      </c>
      <c r="GD199" s="120" t="e">
        <f aca="false">GC199+(FU199+FV199)*44/12</f>
        <v>#N/A</v>
      </c>
      <c r="GE199" s="120" t="e">
        <f aca="true">AVERAGE(OFFSET($GD$3,0,0,'Données projet'!$E$17+1,1))-AVERAGE(OFFSET($H$3,0,0,'Données projet'!$E$17+1,1))</f>
        <v>#N/A</v>
      </c>
      <c r="GF199" s="120" t="e">
        <f aca="false">$GF$3</f>
        <v>#N/A</v>
      </c>
      <c r="GG199" s="121" t="n">
        <f aca="false">IF(ISNA(VLOOKUP(A199,'Données projet'!$A$243:$I$263,3,0)),0,VLOOKUP(A199,'Données projet'!$A$243:$I$263,3,0))</f>
        <v>0</v>
      </c>
      <c r="GH199" s="121" t="n">
        <f aca="false">IF(ISNA(VLOOKUP(A199,'Données projet'!$A$243:$I$263,4,0)),0,VLOOKUP(A199,'Données projet'!$A$243:$I$263,4,0))</f>
        <v>0</v>
      </c>
      <c r="GI199" s="122" t="n">
        <f aca="false">IF(ISNA(VLOOKUP(A199,'Données projet'!$A$243:$I$263,5,0)),0%,VLOOKUP(A199,'Données projet'!$A$243:$I$263,5,0)*VLOOKUP('Données projet'!$B$17,Paramètres!$A$1:$I$89,7,0))</f>
        <v>0</v>
      </c>
      <c r="GJ199" s="122" t="n">
        <f aca="false">IF(ISNA(VLOOKUP(A199,'Données projet'!$A$243:$I$263,6,0)),0%,VLOOKUP(A199,'Données projet'!$A$243:$I$263,6,0)*VLOOKUP('Données projet'!$B$17,Paramètres!$A$1:$I$89,7,0))</f>
        <v>0</v>
      </c>
      <c r="GK199" s="122" t="n">
        <f aca="false">IF(ISNA(VLOOKUP(A199,'Données projet'!$A$243:$I$263,7,0)),0%,VLOOKUP(A199,'Données projet'!$A$243:$I$263,7,0))</f>
        <v>0</v>
      </c>
      <c r="GL199" s="129" t="e">
        <f aca="false">EXP(-LN(2)/35)*GL198+(1-EXP(-LN(2)/35))/(LN(2)/35)*GH199*GI199*VLOOKUP('Données projet'!$B$17,Paramètres!$A$1:$I$89,3,0)*0.475*44/12</f>
        <v>#N/A</v>
      </c>
      <c r="GM199" s="129" t="e">
        <f aca="false">EXP(-LN(2)/25)*GM198+(1-EXP(-LN(2)/25))/(LN(2)/25)*Calculateur!GH199*Calculateur!GJ199*VLOOKUP('Données projet'!$B$17,Paramètres!$A$1:$I$89,3,0)*0.475*44/12</f>
        <v>#N/A</v>
      </c>
      <c r="GN199" s="129" t="e">
        <f aca="false">EXP(-LN(2)/2)*GN198+(1-EXP(-LN(2)/2))/(LN(2)/2)*GH199*GK199*VLOOKUP('Données projet'!$B$17,Paramètres!$A$1:$I$89,3,0)*0.475*44/12</f>
        <v>#N/A</v>
      </c>
      <c r="GO199" s="129" t="e">
        <f aca="false">SUM(GL199:GN199)</f>
        <v>#N/A</v>
      </c>
      <c r="GP199" s="126" t="n">
        <f aca="false"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8" t="n">
        <f aca="false"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8" t="e">
        <f aca="false">VLOOKUP(A199,'Données projet'!$A$269:$I$289,2,0)</f>
        <v>#N/A</v>
      </c>
      <c r="GS199" s="118" t="e">
        <f aca="false">VLOOKUP(A199,'Données projet'!$A$269:$I$289,9,0)</f>
        <v>#N/A</v>
      </c>
      <c r="GT199" s="118" t="e">
        <f aca="false" t="array" ref="GT199:GT199">INDEX(GS:GS,MIN(IF(ISNUMBER(GS199:GS395),ROW(GS199:GS395),"")))</f>
        <v>#N/A</v>
      </c>
      <c r="GU199" s="118" t="n">
        <f aca="false">IF('Données projet'!$A$270&gt;35,GU198+GT199-HC198,IF(A199&lt;'Données projet'!$A$270,$GR$205^A199,IF(A199='Données projet'!$A$270,'Données projet'!$B$270,GU198+GT199-HC198)))</f>
        <v>0</v>
      </c>
      <c r="GV199" s="125" t="e">
        <f aca="false">GU199*VLOOKUP('Données projet'!$B$18,Paramètres!$A$1:$I$89,3,0)*VLOOKUP('Données projet'!$B$18,Paramètres!$A$1:$I$89,5,0)</f>
        <v>#N/A</v>
      </c>
      <c r="GW199" s="117" t="e">
        <f aca="false">EXP(-1.0587+0.8836*LN(GV199)+0.284)</f>
        <v>#N/A</v>
      </c>
      <c r="GX199" s="128" t="e">
        <f aca="false">(GV199+GW199)*0.475*44/12</f>
        <v>#N/A</v>
      </c>
      <c r="GY199" s="120" t="e">
        <f aca="false">GX199+(GP199+GQ199)*44/12</f>
        <v>#N/A</v>
      </c>
      <c r="GZ199" s="120" t="e">
        <f aca="true">AVERAGE(OFFSET($GY$3,0,0,'Données projet'!$E$18+1,1))-AVERAGE(OFFSET($H$3,0,0,'Données projet'!$E$18+1,1))</f>
        <v>#N/A</v>
      </c>
      <c r="HA199" s="120" t="e">
        <f aca="false">$HA$3</f>
        <v>#N/A</v>
      </c>
      <c r="HB199" s="121" t="n">
        <f aca="false">IF(ISNA(VLOOKUP(A199,'Données projet'!$A$269:$I$289,3,0)),0,VLOOKUP(A199,'Données projet'!$A$269:$I$289,3,0))</f>
        <v>0</v>
      </c>
      <c r="HC199" s="121" t="n">
        <f aca="false">IF(ISNA(VLOOKUP(A199,'Données projet'!$A$269:$I$289,4,0)),0,VLOOKUP(A199,'Données projet'!$A$269:$I$289,4,0))</f>
        <v>0</v>
      </c>
      <c r="HD199" s="122" t="n">
        <f aca="false">IF(ISNA(VLOOKUP(A199,'Données projet'!$A$269:$I$289,5,0)),0%,VLOOKUP(A199,'Données projet'!$A$269:$I$289,5,0)*VLOOKUP('Données projet'!$B$18,Paramètres!$A$1:$I$89,7,0))</f>
        <v>0</v>
      </c>
      <c r="HE199" s="122" t="n">
        <f aca="false">IF(ISNA(VLOOKUP(A199,'Données projet'!$A$269:$I$289,6,0)),0%,VLOOKUP(A199,'Données projet'!$A$269:$I$289,6,0)*VLOOKUP('Données projet'!$B$18,Paramètres!$A$1:$I$89,7,0))</f>
        <v>0</v>
      </c>
      <c r="HF199" s="122" t="n">
        <f aca="false">IF(ISNA(VLOOKUP(A199,'Données projet'!$A$269:$I$289,7,0)),0%,VLOOKUP(A199,'Données projet'!$A$269:$I$289,7,0))</f>
        <v>0</v>
      </c>
      <c r="HG199" s="129" t="e">
        <f aca="false">EXP(-LN(2)/35)*HG198+(1-EXP(-LN(2)/35))/(LN(2)/35)*HC199*HD199*VLOOKUP('Données projet'!$B$18,Paramètres!$A$1:$I$89,3,0)*0.475*44/12</f>
        <v>#N/A</v>
      </c>
      <c r="HH199" s="129" t="e">
        <f aca="false">EXP(-LN(2)/25)*HH198+(1-EXP(-LN(2)/25))/(LN(2)/25)*Calculateur!HC199*Calculateur!HE199*VLOOKUP('Données projet'!$B$18,Paramètres!$A$1:$I$89,3,0)*0.475*44/12</f>
        <v>#N/A</v>
      </c>
      <c r="HI199" s="129" t="e">
        <f aca="false">EXP(-LN(2)/2)*HI198+(1-EXP(-LN(2)/2))/(LN(2)/2)*HC199*HF199*VLOOKUP('Données projet'!$B$18,Paramètres!$A$1:$I$89,3,0)*0.475*44/12</f>
        <v>#N/A</v>
      </c>
      <c r="HJ199" s="130" t="e">
        <f aca="false">SUM(HG199:HI199)</f>
        <v>#N/A</v>
      </c>
    </row>
    <row r="200" customFormat="false" ht="14.25" hidden="false" customHeight="false" outlineLevel="0" collapsed="false">
      <c r="A200" s="112" t="n">
        <f aca="false">A199+1</f>
        <v>197</v>
      </c>
      <c r="B200" s="113" t="n">
        <f aca="false">'Scénario référence'!$B$16*5+'Scénario référence'!$B$17*0+'Scénario référence'!$B$18*5</f>
        <v>0</v>
      </c>
      <c r="C200" s="127" t="n">
        <f aca="false"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4" t="n">
        <f aca="false">IFERROR(EXP(-1.0587+0.8836*LN(C200)+0.284),0)</f>
        <v>0</v>
      </c>
      <c r="E200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00" s="114" t="n">
        <f aca="false">IF(OR('Scénario référence'!$F$8&gt;0,'Scénario référence'!$F$9&gt;0),('Scénario référence'!$F$8+'Scénario référence'!$F$9)*10,0)</f>
        <v>0</v>
      </c>
      <c r="G200" s="114" t="n">
        <f aca="false"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15" t="n">
        <f aca="false">(B200+E200+F200)*44/12+(C200+D200)*0.475*44/12</f>
        <v>256.666666666667</v>
      </c>
      <c r="I200" s="11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7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8" t="e">
        <f aca="false">VLOOKUP(A200,'Données projet'!$A$35:$I$55,2,0)</f>
        <v>#N/A</v>
      </c>
      <c r="L200" s="118" t="e">
        <f aca="false">VLOOKUP(A200,'Données projet'!$A$35:$I$55,9,0)</f>
        <v>#N/A</v>
      </c>
      <c r="M200" s="118" t="e">
        <f aca="false" t="array" ref="M200:M200">INDEX(L:L,MIN(IF(ISNUMBER(L200:L396),ROW(L200:L396),"")))</f>
        <v>#N/A</v>
      </c>
      <c r="N200" s="117" t="n">
        <f aca="false">IF('Données projet'!$A$36&gt;35,N199+M200-V199,IF(A200&lt;'Données projet'!$A$36,$K$205^A200,IF(A200='Données projet'!$A$36,'Données projet'!$B$36,N199+M200-V199)))</f>
        <v>-1.13686837721616E-013</v>
      </c>
      <c r="O200" s="117" t="n">
        <f aca="false">N200*VLOOKUP('Données projet'!$B$9,Paramètres!$A$1:$I$89,3,0)*VLOOKUP('Données projet'!$B$9,Paramètres!$A$1:$I$89,5,0)</f>
        <v>-5.32054400537163E-014</v>
      </c>
      <c r="P200" s="117" t="e">
        <f aca="false">EXP(-1.0587+0.8836*LN(O200)+0.284)</f>
        <v>#VALUE!</v>
      </c>
      <c r="Q200" s="128" t="e">
        <f aca="false">(O200+P200)*0.475*44/12</f>
        <v>#VALUE!</v>
      </c>
      <c r="R200" s="120" t="e">
        <f aca="false">Q200+(I200+J200)*44/12</f>
        <v>#VALUE!</v>
      </c>
      <c r="S200" s="120" t="n">
        <f aca="true">AVERAGE(OFFSET($R$3,0,0,'Données projet'!$E$9+1,1))-AVERAGE(OFFSET($H$3,0,0,'Données projet'!$E$9+1,1))</f>
        <v>319.229030946746</v>
      </c>
      <c r="T200" s="120" t="n">
        <f aca="false">$T$3</f>
        <v>254.586909731428</v>
      </c>
      <c r="U200" s="121" t="n">
        <f aca="false">IF(ISNA(VLOOKUP(A200,'Données projet'!$A$35:$I$55,3,0)),0,VLOOKUP(A200,'Données projet'!$A$35:$I$55,3,0))</f>
        <v>0</v>
      </c>
      <c r="V200" s="121" t="n">
        <f aca="false">IF(ISNA(VLOOKUP(A200,'Données projet'!$A$35:$I$55,4,0)),0,VLOOKUP(A200,'Données projet'!$A$35:$I$55,4,0))</f>
        <v>0</v>
      </c>
      <c r="W200" s="122" t="n">
        <f aca="false">IF(ISNA(VLOOKUP(A200,'Données projet'!$A$35:$I$55,5,0)),0%,VLOOKUP(A200,'Données projet'!$A$35:$I$55,5,0)*VLOOKUP('Données projet'!$B$9,Paramètres!$A$1:$I$89,7,0))</f>
        <v>0</v>
      </c>
      <c r="X200" s="122" t="n">
        <f aca="false">IF(ISNA(VLOOKUP(A200,'Données projet'!$A$35:$I$55,6,0)),0%,VLOOKUP(A200,'Données projet'!$A$35:$I$55,6,0)*VLOOKUP('Données projet'!$B$9,Paramètres!$A$1:$I$89,7,0))</f>
        <v>0</v>
      </c>
      <c r="Y200" s="122" t="n">
        <f aca="false">IF(ISNA(VLOOKUP(A200,'Données projet'!$A$35:$I$55,7,0)),0%,VLOOKUP(A200,'Données projet'!$A$35:$I$55,7,0))</f>
        <v>0</v>
      </c>
      <c r="Z200" s="129" t="n">
        <f aca="false">EXP(-LN(2)/35)*Z199+(1-EXP(-LN(2)/35))/(LN(2)/35)*V200*W200*VLOOKUP('Données projet'!$B$9,Paramètres!$A$1:$I$89,3,0)*0.475*44/12</f>
        <v>0.332322206321009</v>
      </c>
      <c r="AA200" s="129" t="n">
        <f aca="false">EXP(-LN(2)/25)*AA199+(1-EXP(-LN(2)/25))/(LN(2)/25)*Calculateur!V200*Calculateur!X200*VLOOKUP('Données projet'!$B$9,Paramètres!$A$1:$I$89,3,0)*0.475*44/12</f>
        <v>0.108754169430298</v>
      </c>
      <c r="AB200" s="129" t="n">
        <f aca="false">EXP(-LN(2)/2)*AB199+(1-EXP(-LN(2)/2))/(LN(2)/2)*V200*Y200*VLOOKUP('Données projet'!$B$9,Paramètres!$A$1:$I$89,3,0)*0.475*44/12</f>
        <v>8.07397673073634E-025</v>
      </c>
      <c r="AC200" s="130" t="n">
        <f aca="false">SUM(Z200:AB200)</f>
        <v>0.441076375751308</v>
      </c>
      <c r="AD200" s="117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7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8" t="e">
        <f aca="false">VLOOKUP(A200,'Données projet'!$A$61:$I$81,2,0)</f>
        <v>#N/A</v>
      </c>
      <c r="AG200" s="118" t="e">
        <f aca="false">VLOOKUP(A200,'Données projet'!$A$61:$I$81,9,0)</f>
        <v>#N/A</v>
      </c>
      <c r="AH200" s="118" t="e">
        <f aca="false" t="array" ref="AH200:AH200">INDEX(AG:AG,MIN(IF(ISNUMBER(AG200:AG396),ROW(AG200:AG396),"")))</f>
        <v>#N/A</v>
      </c>
      <c r="AI200" s="117" t="n">
        <f aca="false">IF('Données projet'!$A$62&gt;35,AI199+AH200-AQ199,IF(A200&lt;'Données projet'!$A$62,$AF$205^A200,IF(A200='Données projet'!$A$62,'Données projet'!$B$62,AI199+AH200-AQ199)))</f>
        <v>1.13686837721616E-013</v>
      </c>
      <c r="AJ200" s="117" t="n">
        <f aca="false">AI200*VLOOKUP('Données projet'!$B$10,Paramètres!$A$1:$I$89,3,0)*VLOOKUP('Données projet'!$B$10,Paramètres!$A$1:$I$89,5,0)</f>
        <v>6.35509422863834E-014</v>
      </c>
      <c r="AK200" s="117" t="n">
        <f aca="false">EXP(-1.0587+0.8836*LN(AJ200)+0.284)</f>
        <v>1.0064464192544E-012</v>
      </c>
      <c r="AL200" s="128" t="n">
        <f aca="false">(AJ200+AK200)*0.475*44/12</f>
        <v>1.86357873801686E-012</v>
      </c>
      <c r="AM200" s="120" t="n">
        <f aca="false">AL200+(AD200+AE200)*44/12</f>
        <v>293.333333333335</v>
      </c>
      <c r="AN200" s="120" t="n">
        <f aca="true">AVERAGE(OFFSET($AM$3,0,0,'Données projet'!$E$10+1,1))-AVERAGE(OFFSET($H$3,0,0,'Données projet'!$E$10+1,1))</f>
        <v>365.705101827279</v>
      </c>
      <c r="AO200" s="120" t="n">
        <f aca="false">$AO$3</f>
        <v>436.238338449625</v>
      </c>
      <c r="AP200" s="121" t="n">
        <f aca="false">IF(ISNA(VLOOKUP(A200,'Données projet'!$A$61:$I$81,3,0)),0,VLOOKUP(A200,'Données projet'!$A$61:$I$81,3,0))</f>
        <v>0</v>
      </c>
      <c r="AQ200" s="121" t="n">
        <f aca="false">IF(ISNA(VLOOKUP(A200,'Données projet'!$A$61:$I$81,4,0)),0,VLOOKUP(A200,'Données projet'!$A$61:$I$81,4,0))</f>
        <v>0</v>
      </c>
      <c r="AR200" s="122" t="n">
        <f aca="false">IF(ISNA(VLOOKUP(A200,'Données projet'!$A$61:$I$81,5,0)),0%,VLOOKUP(A200,'Données projet'!$A$61:$I$81,5,0)*VLOOKUP('Données projet'!$B$10,Paramètres!$A$1:$I$89,7,0))</f>
        <v>0</v>
      </c>
      <c r="AS200" s="122" t="n">
        <f aca="false">IF(ISNA(VLOOKUP(A200,'Données projet'!$A$61:$I$81,6,0)),0%,VLOOKUP(A200,'Données projet'!$A$61:$I$81,6,0)*VLOOKUP('Données projet'!$B$10,Paramètres!$A$1:$I$89,7,0))</f>
        <v>0</v>
      </c>
      <c r="AT200" s="122" t="n">
        <f aca="false">IF(ISNA(VLOOKUP(A200,'Données projet'!$A$61:$I$81,7,0)),0%,VLOOKUP(A200,'Données projet'!$A$61:$I$81,7,0))</f>
        <v>0</v>
      </c>
      <c r="AU200" s="129" t="n">
        <f aca="false">EXP(-LN(2)/35)*AU199+(1-EXP(-LN(2)/35))/(LN(2)/35)*AQ200*AR200*VLOOKUP('Données projet'!$B$10,Paramètres!$A$1:$I$89,3,0)*0.475*44/12</f>
        <v>0.12544085853179</v>
      </c>
      <c r="AV200" s="129" t="n">
        <f aca="false">EXP(-LN(2)/25)*AV199+(1-EXP(-LN(2)/25))/(LN(2)/25)*Calculateur!AQ200*Calculateur!AS200*VLOOKUP('Données projet'!$B$10,Paramètres!$A$1:$I$89,3,0)*0.475*44/12</f>
        <v>0.128813433365634</v>
      </c>
      <c r="AW200" s="129" t="n">
        <f aca="false">EXP(-LN(2)/2)*AW199+(1-EXP(-LN(2)/2))/(LN(2)/2)*AQ200*AT200*VLOOKUP('Données projet'!$B$10,Paramètres!$A$1:$I$89,3,0)*0.475*44/12</f>
        <v>4.3451619262967E-025</v>
      </c>
      <c r="AX200" s="129" t="n">
        <f aca="false">SUM(AU200:AW200)</f>
        <v>0.254254291897424</v>
      </c>
      <c r="AY200" s="124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8" t="e">
        <f aca="false">VLOOKUP(A200,'Données projet'!$A$87:$I$107,2,0)</f>
        <v>#N/A</v>
      </c>
      <c r="BB200" s="118" t="e">
        <f aca="false">VLOOKUP(A200,'Données projet'!$A$87:$I$107,9,0)</f>
        <v>#N/A</v>
      </c>
      <c r="BC200" s="118" t="e">
        <f aca="false" t="array" ref="BC200:BC200">INDEX(BB:BB,MIN(IF(ISNUMBER(BB200:BB396),ROW(BB200:BB396),"")))</f>
        <v>#N/A</v>
      </c>
      <c r="BD200" s="118" t="n">
        <f aca="false">IF('Données projet'!$A$88&gt;35,BD199+BC200-BL199,IF(A200&lt;'Données projet'!$A$88,$BA$205^A200,IF(A200='Données projet'!$A$88,'Données projet'!$B$88,BD199+BC200-BL199)))</f>
        <v>1.98951966012828E-013</v>
      </c>
      <c r="BE200" s="117" t="n">
        <f aca="false">BD200*VLOOKUP('Données projet'!$B$11,Paramètres!$A$1:$I$89,3,0)*VLOOKUP('Données projet'!$B$11,Paramètres!$A$1:$I$89,5,0)</f>
        <v>1.73804437508807E-013</v>
      </c>
      <c r="BF200" s="117" t="n">
        <f aca="false">EXP(-1.0587+0.8836*LN(BE200)+0.284)</f>
        <v>2.44832936339505E-012</v>
      </c>
      <c r="BG200" s="128" t="n">
        <f aca="false">(BE200+BF200)*0.475*44/12</f>
        <v>4.56688303657421E-012</v>
      </c>
      <c r="BH200" s="120" t="n">
        <f aca="false">BG200+(AY200+AZ200)*44/12</f>
        <v>293.333333333338</v>
      </c>
      <c r="BI200" s="120" t="n">
        <f aca="true">AVERAGE(OFFSET($BH$3,0,0,'Données projet'!$E$11+1,1))-AVERAGE(OFFSET($H$3,0,0,'Données projet'!$E$11+1,1))</f>
        <v>321.235999689929</v>
      </c>
      <c r="BJ200" s="120" t="n">
        <f aca="false">$BJ$3</f>
        <v>388.051958478005</v>
      </c>
      <c r="BK200" s="121" t="n">
        <f aca="false">IF(ISNA(VLOOKUP(A200,'Données projet'!$A$87:$I$107,3,0)),0,VLOOKUP(A200,'Données projet'!$A$87:$I$107,3,0))</f>
        <v>0</v>
      </c>
      <c r="BL200" s="121" t="n">
        <f aca="false">IF(ISNA(VLOOKUP(A200,'Données projet'!$A$87:$I$107,4,0)),0,VLOOKUP(A200,'Données projet'!$A$87:$I$107,4,0))</f>
        <v>0</v>
      </c>
      <c r="BM200" s="122" t="n">
        <f aca="false">IF(ISNA(VLOOKUP(A200,'Données projet'!$A$87:$I$107,5,0)),0%,VLOOKUP(A200,'Données projet'!$A$87:$I$107,5,0)*VLOOKUP('Données projet'!$B$11,Paramètres!$A$1:$I$89,7,0))</f>
        <v>0</v>
      </c>
      <c r="BN200" s="122" t="n">
        <f aca="false">IF(ISNA(VLOOKUP(A200,'Données projet'!$A$87:$I$107,6,0)),0%,VLOOKUP(A200,'Données projet'!$A$87:$I$107,6,0)*VLOOKUP('Données projet'!$B$11,Paramètres!$A$1:$I$89,7,0))</f>
        <v>0</v>
      </c>
      <c r="BO200" s="122" t="n">
        <f aca="false">IF(ISNA(VLOOKUP(A200,'Données projet'!$A$87:$I$107,7,0)),0%,VLOOKUP(A200,'Données projet'!$A$87:$I$107,7,0))</f>
        <v>0</v>
      </c>
      <c r="BP200" s="129" t="n">
        <f aca="false">EXP(-LN(2)/35)*BP199+(1-EXP(-LN(2)/35))/(LN(2)/35)*BL200*BM200*VLOOKUP('Données projet'!$B$11,Paramètres!$A$1:$I$89,3,0)*0.475*44/12</f>
        <v>0.314934497836951</v>
      </c>
      <c r="BQ200" s="129" t="n">
        <f aca="false">EXP(-LN(2)/25)*BQ199+(1-EXP(-LN(2)/25))/(LN(2)/25)*Calculateur!BL200*Calculateur!BN200*VLOOKUP('Données projet'!$B$11,Paramètres!$A$1:$I$89,3,0)*0.475*44/12</f>
        <v>0.131485101734739</v>
      </c>
      <c r="BR200" s="129" t="n">
        <f aca="false">EXP(-LN(2)/2)*BR199+(1-EXP(-LN(2)/2))/(LN(2)/2)*BL200*BO200*VLOOKUP('Données projet'!$B$11,Paramètres!$A$1:$I$89,3,0)*0.475*44/12</f>
        <v>4.41676678238847E-025</v>
      </c>
      <c r="BS200" s="130" t="n">
        <f aca="false">SUM(BP200:BR200)</f>
        <v>0.446419599571689</v>
      </c>
      <c r="BT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8" t="e">
        <f aca="false">VLOOKUP(A200,'Données projet'!$A$113:$I$133,2,0)</f>
        <v>#N/A</v>
      </c>
      <c r="BW200" s="118" t="e">
        <f aca="false">VLOOKUP(A200,'Données projet'!$A$113:$I$133,9,0)</f>
        <v>#N/A</v>
      </c>
      <c r="BX200" s="118" t="e">
        <f aca="false" t="array" ref="BX200:BX200">INDEX(BW:BW,MIN(IF(ISNUMBER(BW200:BW396),ROW(BW200:BW396),"")))</f>
        <v>#N/A</v>
      </c>
      <c r="BY200" s="118" t="n">
        <f aca="false">IF('Données projet'!$A$114&gt;35,BY199+BX200-CG199,IF(A200&lt;'Données projet'!$A$114,$BV$205^A200,IF(A200='Données projet'!$A$114,'Données projet'!$B$114,BY199+BX200-CG199)))</f>
        <v>0</v>
      </c>
      <c r="BZ200" s="117" t="n">
        <f aca="false">BY200*VLOOKUP('Données projet'!$B$12,Paramètres!$A$1:$I$89,3,0)*VLOOKUP('Données projet'!$B$12,Paramètres!$A$1:$I$89,5,0)</f>
        <v>0</v>
      </c>
      <c r="CA200" s="117" t="e">
        <f aca="false">EXP(-1.0587+0.8836*LN(BZ200)+0.284)</f>
        <v>#VALUE!</v>
      </c>
      <c r="CB200" s="128" t="e">
        <f aca="false">(BZ200+CA200)*0.475*44/12</f>
        <v>#VALUE!</v>
      </c>
      <c r="CC200" s="120" t="e">
        <f aca="false">CB200+(BT200+BU200)*44/12</f>
        <v>#VALUE!</v>
      </c>
      <c r="CD200" s="120" t="n">
        <f aca="true">AVERAGE(OFFSET($CC$3,0,0,'Données projet'!$E$12+1,1))-AVERAGE(OFFSET($H$3,0,0,'Données projet'!$E$12+1,1))</f>
        <v>240.228848647662</v>
      </c>
      <c r="CE200" s="120" t="n">
        <f aca="false">$CE$3</f>
        <v>343.237768841432</v>
      </c>
      <c r="CF200" s="121" t="n">
        <f aca="false">IF(ISNA(VLOOKUP(A200,'Données projet'!$A$113:$I$133,3,0)),0,VLOOKUP(A200,'Données projet'!$A$113:$I$133,3,0))</f>
        <v>0</v>
      </c>
      <c r="CG200" s="121" t="n">
        <f aca="false">IF(ISNA(VLOOKUP(A200,'Données projet'!$A$113:$I$133,4,0)),0,VLOOKUP(A200,'Données projet'!$A$113:$I$133,4,0))</f>
        <v>0</v>
      </c>
      <c r="CH200" s="122" t="n">
        <f aca="false">IF(ISNA(VLOOKUP(A200,'Données projet'!$A$113:$I$133,5,0)),0%,VLOOKUP(A200,'Données projet'!$A$113:$I$133,5,0)*VLOOKUP('Données projet'!$B$12,Paramètres!$A$1:$I$89,7,0))</f>
        <v>0</v>
      </c>
      <c r="CI200" s="122" t="n">
        <f aca="false">IF(ISNA(VLOOKUP(A200,'Données projet'!$A$113:$I$133,6,0)),0%,VLOOKUP(A200,'Données projet'!$A$113:$I$133,6,0)*VLOOKUP('Données projet'!$B$12,Paramètres!$A$1:$I$89,7,0))</f>
        <v>0</v>
      </c>
      <c r="CJ200" s="122" t="n">
        <f aca="false">IF(ISNA(VLOOKUP(A200,'Données projet'!$A$113:$I$133,7,0)),0%,VLOOKUP(A200,'Données projet'!$A$113:$I$133,7,0))</f>
        <v>0</v>
      </c>
      <c r="CK200" s="129" t="n">
        <f aca="false">EXP(-LN(2)/35)*CK199+(1-EXP(-LN(2)/35))/(LN(2)/35)*CG200*CH200*VLOOKUP('Données projet'!$B$12,Paramètres!$A$1:$I$89,3,0)*0.475*44/12</f>
        <v>0.192764448266309</v>
      </c>
      <c r="CL200" s="129" t="n">
        <f aca="false">EXP(-LN(2)/25)*CL199+(1-EXP(-LN(2)/25))/(LN(2)/25)*Calculateur!CG200*Calculateur!CI200*VLOOKUP('Données projet'!$B$12,Paramètres!$A$1:$I$89,3,0)*0.475*44/12</f>
        <v>0.232210301321188</v>
      </c>
      <c r="CM200" s="129" t="n">
        <f aca="false">EXP(-LN(2)/2)*CM199+(1-EXP(-LN(2)/2))/(LN(2)/2)*CG200*CJ200*VLOOKUP('Données projet'!$B$12,Paramètres!$A$1:$I$89,3,0)*0.475*44/12</f>
        <v>7.04798227534273E-025</v>
      </c>
      <c r="CN200" s="130" t="n">
        <f aca="false">SUM(CK200:CM200)</f>
        <v>0.424974749587496</v>
      </c>
      <c r="CO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8" t="e">
        <f aca="false">VLOOKUP(A200,'Données projet'!$A$139:$I$159,2,0)</f>
        <v>#N/A</v>
      </c>
      <c r="CR200" s="118" t="e">
        <f aca="false">VLOOKUP(A200,'Données projet'!$A$139:$I$159,9,0)</f>
        <v>#N/A</v>
      </c>
      <c r="CS200" s="118" t="e">
        <f aca="false" t="array" ref="CS200:CS200">INDEX(CR:CR,MIN(IF(ISNUMBER(CR200:CR396),ROW(CR200:CR396),"")))</f>
        <v>#N/A</v>
      </c>
      <c r="CT200" s="118" t="n">
        <f aca="false">IF('Données projet'!$A$140&gt;35,CT199+CS200-DB199,IF(A200&lt;'Données projet'!$A$140,$CQ$205^A200,IF(A200='Données projet'!$A$140,'Données projet'!$B$140,CT199+CS200-DB199)))</f>
        <v>-5.6843418860808E-014</v>
      </c>
      <c r="CU200" s="125" t="n">
        <f aca="false">CT200*VLOOKUP('Données projet'!$B$13,Paramètres!$A$1:$I$89,3,0)*VLOOKUP('Données projet'!$B$13,Paramètres!$A$1:$I$89,5,0)</f>
        <v>-3.10365066980012E-014</v>
      </c>
      <c r="CV200" s="117" t="e">
        <f aca="false">EXP(-1.0587+0.8836*LN(CU200)+0.284)</f>
        <v>#VALUE!</v>
      </c>
      <c r="CW200" s="128" t="e">
        <f aca="false">(CU200+CV200)*0.475*44/12</f>
        <v>#VALUE!</v>
      </c>
      <c r="CX200" s="120" t="e">
        <f aca="false">CW200+(CO200+CP200)*44/12</f>
        <v>#VALUE!</v>
      </c>
      <c r="CY200" s="120" t="n">
        <f aca="true">AVERAGE(OFFSET($CX$3,0,0,'Données projet'!$E$13+1,1))-AVERAGE(OFFSET($H$3,0,0,'Données projet'!$E$13+1,1))</f>
        <v>207.023069645676</v>
      </c>
      <c r="CZ200" s="120" t="n">
        <f aca="false">$CZ$3</f>
        <v>342.068879333518</v>
      </c>
      <c r="DA200" s="121" t="n">
        <f aca="false">IF(ISNA(VLOOKUP(A200,'Données projet'!$A$139:$I$159,3,0)),0,VLOOKUP(A200,'Données projet'!$A$139:$I$159,3,0))</f>
        <v>0</v>
      </c>
      <c r="DB200" s="121" t="n">
        <f aca="false">IF(ISNA(VLOOKUP(A200,'Données projet'!$A$139:$I$159,4,0)),0,VLOOKUP(A200,'Données projet'!$A$139:$I$159,4,0))</f>
        <v>0</v>
      </c>
      <c r="DC200" s="122" t="n">
        <f aca="false">IF(ISNA(VLOOKUP(A200,'Données projet'!$A$139:$I$159,5,0)),0%,VLOOKUP(A200,'Données projet'!$A$139:$I$159,5,0)*VLOOKUP('Données projet'!$B$13,Paramètres!$A$1:$I$89,7,0))</f>
        <v>0</v>
      </c>
      <c r="DD200" s="122" t="n">
        <f aca="false">IF(ISNA(VLOOKUP(A200,'Données projet'!$A$139:$I$159,6,0)),0%,VLOOKUP(A200,'Données projet'!$A$139:$I$159,6,0)*VLOOKUP('Données projet'!$B$13,Paramètres!$A$1:$I$89,7,0))</f>
        <v>0</v>
      </c>
      <c r="DE200" s="122" t="n">
        <f aca="false">IF(ISNA(VLOOKUP(A200,'Données projet'!$A$139:$I$159,7,0)),0%,VLOOKUP(A200,'Données projet'!$A$139:$I$159,7,0))</f>
        <v>0</v>
      </c>
      <c r="DF200" s="129" t="n">
        <f aca="false">EXP(-LN(2)/35)*DF199+(1-EXP(-LN(2)/35))/(LN(2)/35)*DB200*DC200*VLOOKUP('Données projet'!$B$13,Paramètres!$A$1:$I$89,3,0)*0.475*44/12</f>
        <v>0.241864826598293</v>
      </c>
      <c r="DG200" s="129" t="n">
        <f aca="false">EXP(-LN(2)/25)*DG199+(1-EXP(-LN(2)/25))/(LN(2)/25)*Calculateur!DB200*Calculateur!DD200*VLOOKUP('Données projet'!$B$13,Paramètres!$A$1:$I$89,3,0)*0.475*44/12</f>
        <v>0.379567129664239</v>
      </c>
      <c r="DH200" s="129" t="n">
        <f aca="false">EXP(-LN(2)/2)*DH199+(1-EXP(-LN(2)/2))/(LN(2)/2)*DB200*DE200*VLOOKUP('Données projet'!$B$13,Paramètres!$A$1:$I$89,3,0)*0.475*44/12</f>
        <v>9.70507486076904E-025</v>
      </c>
      <c r="DI200" s="130" t="n">
        <f aca="false">SUM(DF200:DH200)</f>
        <v>0.621431956262532</v>
      </c>
      <c r="DJ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8" t="e">
        <f aca="false">VLOOKUP(A200,'Données projet'!$A$165:$I$185,2,0)</f>
        <v>#N/A</v>
      </c>
      <c r="DM200" s="118" t="e">
        <f aca="false">VLOOKUP(A200,'Données projet'!$A$165:$I$185,9,0)</f>
        <v>#N/A</v>
      </c>
      <c r="DN200" s="118" t="e">
        <f aca="false" t="array" ref="DN200:DN200">INDEX(DM:DM,MIN(IF(ISNUMBER(DM200:DM396),ROW(DM200:DM396),"")))</f>
        <v>#N/A</v>
      </c>
      <c r="DO200" s="118" t="n">
        <f aca="false">IF('Données projet'!$A$166&gt;35,DO199+DN200-DW199,IF(A200&lt;'Données projet'!$A$166,$DL$205^A200,IF(A200='Données projet'!$A$166,'Données projet'!$B$166,DO199+DN200-DW199)))</f>
        <v>0</v>
      </c>
      <c r="DP200" s="125" t="n">
        <f aca="false">DO200*VLOOKUP('Données projet'!$B$14,Paramètres!$A$1:$I$89,3,0)*VLOOKUP('Données projet'!$B$14,Paramètres!$A$1:$I$89,5,0)</f>
        <v>0</v>
      </c>
      <c r="DQ200" s="117" t="e">
        <f aca="false">EXP(-1.0587+0.8836*LN(DP200)+0.284)</f>
        <v>#VALUE!</v>
      </c>
      <c r="DR200" s="128" t="e">
        <f aca="false">(DP200+DQ200)*0.475*44/12</f>
        <v>#VALUE!</v>
      </c>
      <c r="DS200" s="120" t="e">
        <f aca="false">DR200+(DJ200+DK200)*44/12</f>
        <v>#VALUE!</v>
      </c>
      <c r="DT200" s="120" t="n">
        <f aca="true">AVERAGE(OFFSET($DS$3,0,0,'Données projet'!$E$14+1,1))-AVERAGE(OFFSET($H$3,0,0,'Données projet'!$E$14+1,1))</f>
        <v>549.432320957297</v>
      </c>
      <c r="DU200" s="120" t="n">
        <f aca="false">$DU$3</f>
        <v>280.26155987301</v>
      </c>
      <c r="DV200" s="121" t="n">
        <f aca="false">IF(ISNA(VLOOKUP(A200,'Données projet'!$A$165:$I$185,3,0)),0,VLOOKUP(A200,'Données projet'!$A$165:$I$185,3,0))</f>
        <v>0</v>
      </c>
      <c r="DW200" s="121" t="n">
        <f aca="false">IF(ISNA(VLOOKUP(A200,'Données projet'!$A$165:$I$185,4,0)),0,VLOOKUP(A200,'Données projet'!$A$165:$I$185,4,0))</f>
        <v>0</v>
      </c>
      <c r="DX200" s="122" t="n">
        <f aca="false">IF(ISNA(VLOOKUP(A200,'Données projet'!$A$165:$I$185,5,0)),0%,VLOOKUP(A200,'Données projet'!$A$165:$I$185,5,0)*VLOOKUP('Données projet'!$B$14,Paramètres!$A$1:$I$89,7,0))</f>
        <v>0</v>
      </c>
      <c r="DY200" s="122" t="n">
        <f aca="false">IF(ISNA(VLOOKUP(A200,'Données projet'!$A$165:$I$185,6,0)),0%,VLOOKUP(A200,'Données projet'!$A$165:$I$185,6,0)*VLOOKUP('Données projet'!$B$14,Paramètres!$A$1:$I$89,7,0))</f>
        <v>0</v>
      </c>
      <c r="DZ200" s="122" t="n">
        <f aca="false">IF(ISNA(VLOOKUP(A200,'Données projet'!$A$165:$I$185,7,0)),0%,VLOOKUP(A200,'Données projet'!$A$165:$I$185,7,0))</f>
        <v>0</v>
      </c>
      <c r="EA200" s="129" t="n">
        <f aca="false">EXP(-LN(2)/35)*EA199+(1-EXP(-LN(2)/35))/(LN(2)/35)*DW200*DX200*VLOOKUP('Données projet'!$B$14,Paramètres!$A$1:$I$89,3,0)*0.475*44/12</f>
        <v>0.0879417812612596</v>
      </c>
      <c r="EB200" s="129" t="n">
        <f aca="false">EXP(-LN(2)/25)*EB199+(1-EXP(-LN(2)/25))/(LN(2)/25)*Calculateur!DW200*Calculateur!DY200*VLOOKUP('Données projet'!$B$14,Paramètres!$A$1:$I$89,3,0)*0.475*44/12</f>
        <v>0.0756172609569605</v>
      </c>
      <c r="EC200" s="129" t="n">
        <f aca="false">EXP(-LN(2)/2)*EC199+(1-EXP(-LN(2)/2))/(LN(2)/2)*DW200*DZ200*VLOOKUP('Données projet'!$B$14,Paramètres!$A$1:$I$89,3,0)*0.475*44/12</f>
        <v>4.47383945803678E-025</v>
      </c>
      <c r="ED200" s="130" t="n">
        <f aca="false">SUM(EA200:EC200)</f>
        <v>0.16355904221822</v>
      </c>
      <c r="EE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8" t="e">
        <f aca="false">VLOOKUP(A200,'Données projet'!$A$191:$I$211,2,0)</f>
        <v>#N/A</v>
      </c>
      <c r="EH200" s="118" t="e">
        <f aca="false">VLOOKUP(A200,'Données projet'!$A$191:$I$211,9,0)</f>
        <v>#N/A</v>
      </c>
      <c r="EI200" s="118" t="e">
        <f aca="false" t="array" ref="EI200:EI200">INDEX(EH:EH,MIN(IF(ISNUMBER(EH200:EH396),ROW(EH200:EH396),"")))</f>
        <v>#N/A</v>
      </c>
      <c r="EJ200" s="118" t="n">
        <f aca="false">IF('Données projet'!$A$192&gt;35,EJ199+EI200-ER199,IF(A200&lt;'Données projet'!$A$192,$EG$205^A200,IF(A200='Données projet'!$A$192,'Données projet'!$B$192,EJ199+EI200-ER199)))</f>
        <v>0</v>
      </c>
      <c r="EK200" s="125" t="e">
        <f aca="false">EJ200*VLOOKUP('Données projet'!$B$15,Paramètres!$A$1:$I$89,3,0)*VLOOKUP('Données projet'!$B$15,Paramètres!$A$1:$I$89,5,0)</f>
        <v>#N/A</v>
      </c>
      <c r="EL200" s="117" t="e">
        <f aca="false">EXP(-1.0587+0.8836*LN(EK200)+0.284)</f>
        <v>#N/A</v>
      </c>
      <c r="EM200" s="128" t="e">
        <f aca="false">(EK200+EL200)*0.475*44/12</f>
        <v>#N/A</v>
      </c>
      <c r="EN200" s="120" t="e">
        <f aca="false">EM200+(EE200+EF200)*44/12</f>
        <v>#N/A</v>
      </c>
      <c r="EO200" s="120" t="e">
        <f aca="true">AVERAGE(OFFSET($EN$3,0,0,'Données projet'!$E$15+1,1))-AVERAGE(OFFSET($H$3,0,0,'Données projet'!$E$15+1,1))</f>
        <v>#N/A</v>
      </c>
      <c r="EP200" s="120" t="e">
        <f aca="false">$EP$3</f>
        <v>#N/A</v>
      </c>
      <c r="EQ200" s="121" t="n">
        <f aca="false">IF(ISNA(VLOOKUP(A200,'Données projet'!$A$191:$I$211,3,0)),0,VLOOKUP(A200,'Données projet'!$A$191:$I$211,3,0))</f>
        <v>0</v>
      </c>
      <c r="ER200" s="121" t="n">
        <f aca="false">IF(ISNA(VLOOKUP(A200,'Données projet'!$A$191:$I$211,4,0)),0,VLOOKUP(A200,'Données projet'!$A$191:$I$211,4,0))</f>
        <v>0</v>
      </c>
      <c r="ES200" s="122" t="n">
        <f aca="false">IF(ISNA(VLOOKUP(A200,'Données projet'!$A$191:$I$211,5,0)),0%,VLOOKUP(A200,'Données projet'!$A$191:$I$211,5,0)*VLOOKUP('Données projet'!$B$15,Paramètres!$A$1:$I$89,7,0))</f>
        <v>0</v>
      </c>
      <c r="ET200" s="122" t="n">
        <f aca="false">IF(ISNA(VLOOKUP(A200,'Données projet'!$A$191:$I$211,6,0)),0%,VLOOKUP(A200,'Données projet'!$A$191:$I$211,6,0)*VLOOKUP('Données projet'!$B$15,Paramètres!$A$1:$I$89,7,0))</f>
        <v>0</v>
      </c>
      <c r="EU200" s="122" t="n">
        <f aca="false">IF(ISNA(VLOOKUP(A200,'Données projet'!$A$191:$I$211,7,0)),0%,VLOOKUP(A200,'Données projet'!$A$191:$I$211,7,0))</f>
        <v>0</v>
      </c>
      <c r="EV200" s="129" t="e">
        <f aca="false">EXP(-LN(2)/35)*EV199+(1-EXP(-LN(2)/35))/(LN(2)/35)*ER200*ES200*VLOOKUP('Données projet'!$B$15,Paramètres!$A$1:$I$89,3,0)*0.475*44/12</f>
        <v>#N/A</v>
      </c>
      <c r="EW200" s="129" t="e">
        <f aca="false">EXP(-LN(2)/25)*EW199+(1-EXP(-LN(2)/25))/(LN(2)/25)*Calculateur!ER200*Calculateur!ET200*VLOOKUP('Données projet'!$B$15,Paramètres!$A$1:$I$89,3,0)*0.475*44/12</f>
        <v>#N/A</v>
      </c>
      <c r="EX200" s="129" t="e">
        <f aca="false">EXP(-LN(2)/2)*EX199+(1-EXP(-LN(2)/2))/(LN(2)/2)*ER200*EU200*VLOOKUP('Données projet'!$B$15,Paramètres!$A$1:$I$89,3,0)*0.475*44/12</f>
        <v>#N/A</v>
      </c>
      <c r="EY200" s="130" t="e">
        <f aca="false">SUM(EV200:EX200)</f>
        <v>#N/A</v>
      </c>
      <c r="EZ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8" t="e">
        <f aca="false">VLOOKUP(A200,'Données projet'!$A$217:$I$237,2,0)</f>
        <v>#N/A</v>
      </c>
      <c r="FC200" s="118" t="e">
        <f aca="false">VLOOKUP(A200,'Données projet'!$A$217:$I$237,9,0)</f>
        <v>#N/A</v>
      </c>
      <c r="FD200" s="118" t="e">
        <f aca="false" t="array" ref="FD200:FD200">INDEX(FC:FC,MIN(IF(ISNUMBER(FC200:FC396),ROW(FC200:FC396),"")))</f>
        <v>#N/A</v>
      </c>
      <c r="FE200" s="118" t="n">
        <f aca="false">IF('Données projet'!$A$218&gt;35,FE199+FD200-FM199,IF(A200&lt;'Données projet'!$A$218,$FB$205^A200,IF(A200='Données projet'!$A$218,'Données projet'!$B$218,FE199+FD200-FM199)))</f>
        <v>0</v>
      </c>
      <c r="FF200" s="125" t="e">
        <f aca="false">FE200*VLOOKUP('Données projet'!$B$16,Paramètres!$A$1:$I$89,3,0)*VLOOKUP('Données projet'!$B$16,Paramètres!$A$1:$I$89,5,0)</f>
        <v>#N/A</v>
      </c>
      <c r="FG200" s="117" t="e">
        <f aca="false">EXP(-1.0587+0.8836*LN(FF200)+0.284)</f>
        <v>#N/A</v>
      </c>
      <c r="FH200" s="128" t="e">
        <f aca="false">(FF200+FG200)*0.475*44/12</f>
        <v>#N/A</v>
      </c>
      <c r="FI200" s="120" t="e">
        <f aca="false">FH200+(EZ200+FA200)*44/12</f>
        <v>#N/A</v>
      </c>
      <c r="FJ200" s="120" t="e">
        <f aca="true">AVERAGE(OFFSET($FI$3,0,0,'Données projet'!$E$16+1,1))-AVERAGE(OFFSET($H$3,0,0,'Données projet'!$E$16+1,1))</f>
        <v>#N/A</v>
      </c>
      <c r="FK200" s="120" t="e">
        <f aca="false">$FK$3</f>
        <v>#N/A</v>
      </c>
      <c r="FL200" s="121" t="n">
        <f aca="false">IF(ISNA(VLOOKUP(A200,'Données projet'!$A$217:$I$237,3,0)),0,VLOOKUP(A200,'Données projet'!$A$217:$I$237,3,0))</f>
        <v>0</v>
      </c>
      <c r="FM200" s="121" t="n">
        <f aca="false">IF(ISNA(VLOOKUP(A200,'Données projet'!$A$217:$I$237,4,0)),0,VLOOKUP(A200,'Données projet'!$A$217:$I$237,4,0))</f>
        <v>0</v>
      </c>
      <c r="FN200" s="122" t="n">
        <f aca="false">IF(ISNA(VLOOKUP(A200,'Données projet'!$A$217:$I$237,5,0)),0%,VLOOKUP(A200,'Données projet'!$A$217:$I$237,5,0)*VLOOKUP('Données projet'!$B$16,Paramètres!$A$1:$I$89,7,0))</f>
        <v>0</v>
      </c>
      <c r="FO200" s="122" t="n">
        <f aca="false">IF(ISNA(VLOOKUP(A200,'Données projet'!$A$217:$I$237,6,0)),0%,VLOOKUP(A200,'Données projet'!$A$217:$I$237,6,0)*VLOOKUP('Données projet'!$B$16,Paramètres!$A$1:$I$89,7,0))</f>
        <v>0</v>
      </c>
      <c r="FP200" s="122" t="n">
        <f aca="false">IF(ISNA(VLOOKUP(A200,'Données projet'!$A$217:$I$237,7,0)),0%,VLOOKUP(A200,'Données projet'!$A$217:$I$237,7,0))</f>
        <v>0</v>
      </c>
      <c r="FQ200" s="129" t="e">
        <f aca="false">EXP(-LN(2)/35)*FQ199+(1-EXP(-LN(2)/35))/(LN(2)/35)*FM200*FN200*VLOOKUP('Données projet'!$B$16,Paramètres!$A$1:$I$89,3,0)*0.475*44/12</f>
        <v>#N/A</v>
      </c>
      <c r="FR200" s="129" t="e">
        <f aca="false">EXP(-LN(2)/25)*FR199+(1-EXP(-LN(2)/25))/(LN(2)/25)*Calculateur!FM200*Calculateur!FO200*VLOOKUP('Données projet'!$B$16,Paramètres!$A$1:$I$89,3,0)*0.475*44/12</f>
        <v>#N/A</v>
      </c>
      <c r="FS200" s="129" t="e">
        <f aca="false">EXP(-LN(2)/2)*FS199+(1-EXP(-LN(2)/2))/(LN(2)/2)*FM200*FP200*VLOOKUP('Données projet'!$B$16,Paramètres!$A$1:$I$89,3,0)*0.475*44/12</f>
        <v>#N/A</v>
      </c>
      <c r="FT200" s="130" t="e">
        <f aca="false">SUM(FQ200:FS200)</f>
        <v>#N/A</v>
      </c>
      <c r="FU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8" t="e">
        <f aca="false">VLOOKUP(A200,'Données projet'!$A$243:$I$263,2,0)</f>
        <v>#N/A</v>
      </c>
      <c r="FX200" s="118" t="e">
        <f aca="false">VLOOKUP(A200,'Données projet'!$A$243:$I$263,9,0)</f>
        <v>#N/A</v>
      </c>
      <c r="FY200" s="118" t="e">
        <f aca="false" t="array" ref="FY200:FY200">INDEX(FX:FX,MIN(IF(ISNUMBER(FX200:FX396),ROW(FX200:FX396),"")))</f>
        <v>#N/A</v>
      </c>
      <c r="FZ200" s="118" t="n">
        <f aca="false">IF('Données projet'!$A$244&gt;35,FZ199+FY200-GH199,IF(A200&lt;'Données projet'!$A$244,$FW$205^A200,IF(A200='Données projet'!$A$244,'Données projet'!$B$244,FZ199+FY200-GH199)))</f>
        <v>0</v>
      </c>
      <c r="GA200" s="125" t="e">
        <f aca="false">FZ200*VLOOKUP('Données projet'!$B$17,Paramètres!$A$1:$I$89,3,0)*VLOOKUP('Données projet'!$B$17,Paramètres!$A$1:$I$89,5,0)</f>
        <v>#N/A</v>
      </c>
      <c r="GB200" s="117" t="e">
        <f aca="false">EXP(-1.0587+0.8836*LN(GA200)+0.284)</f>
        <v>#N/A</v>
      </c>
      <c r="GC200" s="128" t="e">
        <f aca="false">(GA200+GB200)*0.475*44/12</f>
        <v>#N/A</v>
      </c>
      <c r="GD200" s="120" t="e">
        <f aca="false">GC200+(FU200+FV200)*44/12</f>
        <v>#N/A</v>
      </c>
      <c r="GE200" s="120" t="e">
        <f aca="true">AVERAGE(OFFSET($GD$3,0,0,'Données projet'!$E$17+1,1))-AVERAGE(OFFSET($H$3,0,0,'Données projet'!$E$17+1,1))</f>
        <v>#N/A</v>
      </c>
      <c r="GF200" s="120" t="e">
        <f aca="false">$GF$3</f>
        <v>#N/A</v>
      </c>
      <c r="GG200" s="121" t="n">
        <f aca="false">IF(ISNA(VLOOKUP(A200,'Données projet'!$A$243:$I$263,3,0)),0,VLOOKUP(A200,'Données projet'!$A$243:$I$263,3,0))</f>
        <v>0</v>
      </c>
      <c r="GH200" s="121" t="n">
        <f aca="false">IF(ISNA(VLOOKUP(A200,'Données projet'!$A$243:$I$263,4,0)),0,VLOOKUP(A200,'Données projet'!$A$243:$I$263,4,0))</f>
        <v>0</v>
      </c>
      <c r="GI200" s="122" t="n">
        <f aca="false">IF(ISNA(VLOOKUP(A200,'Données projet'!$A$243:$I$263,5,0)),0%,VLOOKUP(A200,'Données projet'!$A$243:$I$263,5,0)*VLOOKUP('Données projet'!$B$17,Paramètres!$A$1:$I$89,7,0))</f>
        <v>0</v>
      </c>
      <c r="GJ200" s="122" t="n">
        <f aca="false">IF(ISNA(VLOOKUP(A200,'Données projet'!$A$243:$I$263,6,0)),0%,VLOOKUP(A200,'Données projet'!$A$243:$I$263,6,0)*VLOOKUP('Données projet'!$B$17,Paramètres!$A$1:$I$89,7,0))</f>
        <v>0</v>
      </c>
      <c r="GK200" s="122" t="n">
        <f aca="false">IF(ISNA(VLOOKUP(A200,'Données projet'!$A$243:$I$263,7,0)),0%,VLOOKUP(A200,'Données projet'!$A$243:$I$263,7,0))</f>
        <v>0</v>
      </c>
      <c r="GL200" s="129" t="e">
        <f aca="false">EXP(-LN(2)/35)*GL199+(1-EXP(-LN(2)/35))/(LN(2)/35)*GH200*GI200*VLOOKUP('Données projet'!$B$17,Paramètres!$A$1:$I$89,3,0)*0.475*44/12</f>
        <v>#N/A</v>
      </c>
      <c r="GM200" s="129" t="e">
        <f aca="false">EXP(-LN(2)/25)*GM199+(1-EXP(-LN(2)/25))/(LN(2)/25)*Calculateur!GH200*Calculateur!GJ200*VLOOKUP('Données projet'!$B$17,Paramètres!$A$1:$I$89,3,0)*0.475*44/12</f>
        <v>#N/A</v>
      </c>
      <c r="GN200" s="129" t="e">
        <f aca="false">EXP(-LN(2)/2)*GN199+(1-EXP(-LN(2)/2))/(LN(2)/2)*GH200*GK200*VLOOKUP('Données projet'!$B$17,Paramètres!$A$1:$I$89,3,0)*0.475*44/12</f>
        <v>#N/A</v>
      </c>
      <c r="GO200" s="129" t="e">
        <f aca="false">SUM(GL200:GN200)</f>
        <v>#N/A</v>
      </c>
      <c r="GP200" s="126" t="n">
        <f aca="false"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8" t="n">
        <f aca="false"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8" t="e">
        <f aca="false">VLOOKUP(A200,'Données projet'!$A$269:$I$289,2,0)</f>
        <v>#N/A</v>
      </c>
      <c r="GS200" s="118" t="e">
        <f aca="false">VLOOKUP(A200,'Données projet'!$A$269:$I$289,9,0)</f>
        <v>#N/A</v>
      </c>
      <c r="GT200" s="118" t="e">
        <f aca="false" t="array" ref="GT200:GT200">INDEX(GS:GS,MIN(IF(ISNUMBER(GS200:GS396),ROW(GS200:GS396),"")))</f>
        <v>#N/A</v>
      </c>
      <c r="GU200" s="118" t="n">
        <f aca="false">IF('Données projet'!$A$270&gt;35,GU199+GT200-HC199,IF(A200&lt;'Données projet'!$A$270,$GR$205^A200,IF(A200='Données projet'!$A$270,'Données projet'!$B$270,GU199+GT200-HC199)))</f>
        <v>0</v>
      </c>
      <c r="GV200" s="125" t="e">
        <f aca="false">GU200*VLOOKUP('Données projet'!$B$18,Paramètres!$A$1:$I$89,3,0)*VLOOKUP('Données projet'!$B$18,Paramètres!$A$1:$I$89,5,0)</f>
        <v>#N/A</v>
      </c>
      <c r="GW200" s="117" t="e">
        <f aca="false">EXP(-1.0587+0.8836*LN(GV200)+0.284)</f>
        <v>#N/A</v>
      </c>
      <c r="GX200" s="128" t="e">
        <f aca="false">(GV200+GW200)*0.475*44/12</f>
        <v>#N/A</v>
      </c>
      <c r="GY200" s="120" t="e">
        <f aca="false">GX200+(GP200+GQ200)*44/12</f>
        <v>#N/A</v>
      </c>
      <c r="GZ200" s="120" t="e">
        <f aca="true">AVERAGE(OFFSET($GY$3,0,0,'Données projet'!$E$18+1,1))-AVERAGE(OFFSET($H$3,0,0,'Données projet'!$E$18+1,1))</f>
        <v>#N/A</v>
      </c>
      <c r="HA200" s="120" t="e">
        <f aca="false">$HA$3</f>
        <v>#N/A</v>
      </c>
      <c r="HB200" s="121" t="n">
        <f aca="false">IF(ISNA(VLOOKUP(A200,'Données projet'!$A$269:$I$289,3,0)),0,VLOOKUP(A200,'Données projet'!$A$269:$I$289,3,0))</f>
        <v>0</v>
      </c>
      <c r="HC200" s="121" t="n">
        <f aca="false">IF(ISNA(VLOOKUP(A200,'Données projet'!$A$269:$I$289,4,0)),0,VLOOKUP(A200,'Données projet'!$A$269:$I$289,4,0))</f>
        <v>0</v>
      </c>
      <c r="HD200" s="122" t="n">
        <f aca="false">IF(ISNA(VLOOKUP(A200,'Données projet'!$A$269:$I$289,5,0)),0%,VLOOKUP(A200,'Données projet'!$A$269:$I$289,5,0)*VLOOKUP('Données projet'!$B$18,Paramètres!$A$1:$I$89,7,0))</f>
        <v>0</v>
      </c>
      <c r="HE200" s="122" t="n">
        <f aca="false">IF(ISNA(VLOOKUP(A200,'Données projet'!$A$269:$I$289,6,0)),0%,VLOOKUP(A200,'Données projet'!$A$269:$I$289,6,0)*VLOOKUP('Données projet'!$B$18,Paramètres!$A$1:$I$89,7,0))</f>
        <v>0</v>
      </c>
      <c r="HF200" s="122" t="n">
        <f aca="false">IF(ISNA(VLOOKUP(A200,'Données projet'!$A$269:$I$289,7,0)),0%,VLOOKUP(A200,'Données projet'!$A$269:$I$289,7,0))</f>
        <v>0</v>
      </c>
      <c r="HG200" s="129" t="e">
        <f aca="false">EXP(-LN(2)/35)*HG199+(1-EXP(-LN(2)/35))/(LN(2)/35)*HC200*HD200*VLOOKUP('Données projet'!$B$18,Paramètres!$A$1:$I$89,3,0)*0.475*44/12</f>
        <v>#N/A</v>
      </c>
      <c r="HH200" s="129" t="e">
        <f aca="false">EXP(-LN(2)/25)*HH199+(1-EXP(-LN(2)/25))/(LN(2)/25)*Calculateur!HC200*Calculateur!HE200*VLOOKUP('Données projet'!$B$18,Paramètres!$A$1:$I$89,3,0)*0.475*44/12</f>
        <v>#N/A</v>
      </c>
      <c r="HI200" s="129" t="e">
        <f aca="false">EXP(-LN(2)/2)*HI199+(1-EXP(-LN(2)/2))/(LN(2)/2)*HC200*HF200*VLOOKUP('Données projet'!$B$18,Paramètres!$A$1:$I$89,3,0)*0.475*44/12</f>
        <v>#N/A</v>
      </c>
      <c r="HJ200" s="130" t="e">
        <f aca="false">SUM(HG200:HI200)</f>
        <v>#N/A</v>
      </c>
    </row>
    <row r="201" customFormat="false" ht="14.25" hidden="false" customHeight="false" outlineLevel="0" collapsed="false">
      <c r="A201" s="112" t="n">
        <f aca="false">A200+1</f>
        <v>198</v>
      </c>
      <c r="B201" s="113" t="n">
        <f aca="false">'Scénario référence'!$B$16*5+'Scénario référence'!$B$17*0+'Scénario référence'!$B$18*5</f>
        <v>0</v>
      </c>
      <c r="C201" s="127" t="n">
        <f aca="false"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4" t="n">
        <f aca="false">IFERROR(EXP(-1.0587+0.8836*LN(C201)+0.284),0)</f>
        <v>0</v>
      </c>
      <c r="E201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01" s="114" t="n">
        <f aca="false">IF(OR('Scénario référence'!$F$8&gt;0,'Scénario référence'!$F$9&gt;0),('Scénario référence'!$F$8+'Scénario référence'!$F$9)*10,0)</f>
        <v>0</v>
      </c>
      <c r="G201" s="114" t="n">
        <f aca="false"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15" t="n">
        <f aca="false">(B201+E201+F201)*44/12+(C201+D201)*0.475*44/12</f>
        <v>256.666666666667</v>
      </c>
      <c r="I201" s="11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7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8" t="e">
        <f aca="false">VLOOKUP(A201,'Données projet'!$A$35:$I$55,2,0)</f>
        <v>#N/A</v>
      </c>
      <c r="L201" s="118" t="e">
        <f aca="false">VLOOKUP(A201,'Données projet'!$A$35:$I$55,9,0)</f>
        <v>#N/A</v>
      </c>
      <c r="M201" s="118" t="e">
        <f aca="false" t="array" ref="M201:M201">INDEX(L:L,MIN(IF(ISNUMBER(L201:L397),ROW(L201:L397),"")))</f>
        <v>#N/A</v>
      </c>
      <c r="N201" s="117" t="n">
        <f aca="false">IF('Données projet'!$A$36&gt;35,N200+M201-V200,IF(A201&lt;'Données projet'!$A$36,$K$205^A201,IF(A201='Données projet'!$A$36,'Données projet'!$B$36,N200+M201-V200)))</f>
        <v>-1.13686837721616E-013</v>
      </c>
      <c r="O201" s="117" t="n">
        <f aca="false">N201*VLOOKUP('Données projet'!$B$9,Paramètres!$A$1:$I$89,3,0)*VLOOKUP('Données projet'!$B$9,Paramètres!$A$1:$I$89,5,0)</f>
        <v>-5.32054400537163E-014</v>
      </c>
      <c r="P201" s="117" t="e">
        <f aca="false">EXP(-1.0587+0.8836*LN(O201)+0.284)</f>
        <v>#VALUE!</v>
      </c>
      <c r="Q201" s="128" t="e">
        <f aca="false">(O201+P201)*0.475*44/12</f>
        <v>#VALUE!</v>
      </c>
      <c r="R201" s="120" t="e">
        <f aca="false">Q201+(I201+J201)*44/12</f>
        <v>#VALUE!</v>
      </c>
      <c r="S201" s="120" t="n">
        <f aca="true">AVERAGE(OFFSET($R$3,0,0,'Données projet'!$E$9+1,1))-AVERAGE(OFFSET($H$3,0,0,'Données projet'!$E$9+1,1))</f>
        <v>319.229030946746</v>
      </c>
      <c r="T201" s="120" t="n">
        <f aca="false">$T$3</f>
        <v>254.586909731428</v>
      </c>
      <c r="U201" s="121" t="n">
        <f aca="false">IF(ISNA(VLOOKUP(A201,'Données projet'!$A$35:$I$55,3,0)),0,VLOOKUP(A201,'Données projet'!$A$35:$I$55,3,0))</f>
        <v>0</v>
      </c>
      <c r="V201" s="121" t="n">
        <f aca="false">IF(ISNA(VLOOKUP(A201,'Données projet'!$A$35:$I$55,4,0)),0,VLOOKUP(A201,'Données projet'!$A$35:$I$55,4,0))</f>
        <v>0</v>
      </c>
      <c r="W201" s="122" t="n">
        <f aca="false">IF(ISNA(VLOOKUP(A201,'Données projet'!$A$35:$I$55,5,0)),0%,VLOOKUP(A201,'Données projet'!$A$35:$I$55,5,0)*VLOOKUP('Données projet'!$B$9,Paramètres!$A$1:$I$89,7,0))</f>
        <v>0</v>
      </c>
      <c r="X201" s="122" t="n">
        <f aca="false">IF(ISNA(VLOOKUP(A201,'Données projet'!$A$35:$I$55,6,0)),0%,VLOOKUP(A201,'Données projet'!$A$35:$I$55,6,0)*VLOOKUP('Données projet'!$B$9,Paramètres!$A$1:$I$89,7,0))</f>
        <v>0</v>
      </c>
      <c r="Y201" s="122" t="n">
        <f aca="false">IF(ISNA(VLOOKUP(A201,'Données projet'!$A$35:$I$55,7,0)),0%,VLOOKUP(A201,'Données projet'!$A$35:$I$55,7,0))</f>
        <v>0</v>
      </c>
      <c r="Z201" s="129" t="n">
        <f aca="false">EXP(-LN(2)/35)*Z200+(1-EXP(-LN(2)/35))/(LN(2)/35)*V201*W201*VLOOKUP('Données projet'!$B$9,Paramètres!$A$1:$I$89,3,0)*0.475*44/12</f>
        <v>0.325805570551586</v>
      </c>
      <c r="AA201" s="129" t="n">
        <f aca="false">EXP(-LN(2)/25)*AA200+(1-EXP(-LN(2)/25))/(LN(2)/25)*Calculateur!V201*Calculateur!X201*VLOOKUP('Données projet'!$B$9,Paramètres!$A$1:$I$89,3,0)*0.475*44/12</f>
        <v>0.105780280948094</v>
      </c>
      <c r="AB201" s="129" t="n">
        <f aca="false">EXP(-LN(2)/2)*AB200+(1-EXP(-LN(2)/2))/(LN(2)/2)*V201*Y201*VLOOKUP('Données projet'!$B$9,Paramètres!$A$1:$I$89,3,0)*0.475*44/12</f>
        <v>5.70916369744606E-025</v>
      </c>
      <c r="AC201" s="130" t="n">
        <f aca="false">SUM(Z201:AB201)</f>
        <v>0.431585851499679</v>
      </c>
      <c r="AD201" s="117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7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8" t="e">
        <f aca="false">VLOOKUP(A201,'Données projet'!$A$61:$I$81,2,0)</f>
        <v>#N/A</v>
      </c>
      <c r="AG201" s="118" t="e">
        <f aca="false">VLOOKUP(A201,'Données projet'!$A$61:$I$81,9,0)</f>
        <v>#N/A</v>
      </c>
      <c r="AH201" s="118" t="e">
        <f aca="false" t="array" ref="AH201:AH201">INDEX(AG:AG,MIN(IF(ISNUMBER(AG201:AG397),ROW(AG201:AG397),"")))</f>
        <v>#N/A</v>
      </c>
      <c r="AI201" s="117" t="n">
        <f aca="false">IF('Données projet'!$A$62&gt;35,AI200+AH201-AQ200,IF(A201&lt;'Données projet'!$A$62,$AF$205^A201,IF(A201='Données projet'!$A$62,'Données projet'!$B$62,AI200+AH201-AQ200)))</f>
        <v>1.13686837721616E-013</v>
      </c>
      <c r="AJ201" s="117" t="n">
        <f aca="false">AI201*VLOOKUP('Données projet'!$B$10,Paramètres!$A$1:$I$89,3,0)*VLOOKUP('Données projet'!$B$10,Paramètres!$A$1:$I$89,5,0)</f>
        <v>6.35509422863834E-014</v>
      </c>
      <c r="AK201" s="117" t="n">
        <f aca="false">EXP(-1.0587+0.8836*LN(AJ201)+0.284)</f>
        <v>1.0064464192544E-012</v>
      </c>
      <c r="AL201" s="128" t="n">
        <f aca="false">(AJ201+AK201)*0.475*44/12</f>
        <v>1.86357873801686E-012</v>
      </c>
      <c r="AM201" s="120" t="n">
        <f aca="false">AL201+(AD201+AE201)*44/12</f>
        <v>293.333333333335</v>
      </c>
      <c r="AN201" s="120" t="n">
        <f aca="true">AVERAGE(OFFSET($AM$3,0,0,'Données projet'!$E$10+1,1))-AVERAGE(OFFSET($H$3,0,0,'Données projet'!$E$10+1,1))</f>
        <v>365.705101827279</v>
      </c>
      <c r="AO201" s="120" t="n">
        <f aca="false">$AO$3</f>
        <v>436.238338449625</v>
      </c>
      <c r="AP201" s="121" t="n">
        <f aca="false">IF(ISNA(VLOOKUP(A201,'Données projet'!$A$61:$I$81,3,0)),0,VLOOKUP(A201,'Données projet'!$A$61:$I$81,3,0))</f>
        <v>0</v>
      </c>
      <c r="AQ201" s="121" t="n">
        <f aca="false">IF(ISNA(VLOOKUP(A201,'Données projet'!$A$61:$I$81,4,0)),0,VLOOKUP(A201,'Données projet'!$A$61:$I$81,4,0))</f>
        <v>0</v>
      </c>
      <c r="AR201" s="122" t="n">
        <f aca="false">IF(ISNA(VLOOKUP(A201,'Données projet'!$A$61:$I$81,5,0)),0%,VLOOKUP(A201,'Données projet'!$A$61:$I$81,5,0)*VLOOKUP('Données projet'!$B$10,Paramètres!$A$1:$I$89,7,0))</f>
        <v>0</v>
      </c>
      <c r="AS201" s="122" t="n">
        <f aca="false">IF(ISNA(VLOOKUP(A201,'Données projet'!$A$61:$I$81,6,0)),0%,VLOOKUP(A201,'Données projet'!$A$61:$I$81,6,0)*VLOOKUP('Données projet'!$B$10,Paramètres!$A$1:$I$89,7,0))</f>
        <v>0</v>
      </c>
      <c r="AT201" s="122" t="n">
        <f aca="false">IF(ISNA(VLOOKUP(A201,'Données projet'!$A$61:$I$81,7,0)),0%,VLOOKUP(A201,'Données projet'!$A$61:$I$81,7,0))</f>
        <v>0</v>
      </c>
      <c r="AU201" s="129" t="n">
        <f aca="false">EXP(-LN(2)/35)*AU200+(1-EXP(-LN(2)/35))/(LN(2)/35)*AQ201*AR201*VLOOKUP('Données projet'!$B$10,Paramètres!$A$1:$I$89,3,0)*0.475*44/12</f>
        <v>0.122981039807351</v>
      </c>
      <c r="AV201" s="129" t="n">
        <f aca="false">EXP(-LN(2)/25)*AV200+(1-EXP(-LN(2)/25))/(LN(2)/25)*Calculateur!AQ201*Calculateur!AS201*VLOOKUP('Données projet'!$B$10,Paramètres!$A$1:$I$89,3,0)*0.475*44/12</f>
        <v>0.125291023256246</v>
      </c>
      <c r="AW201" s="129" t="n">
        <f aca="false">EXP(-LN(2)/2)*AW200+(1-EXP(-LN(2)/2))/(LN(2)/2)*AQ201*AT201*VLOOKUP('Données projet'!$B$10,Paramètres!$A$1:$I$89,3,0)*0.475*44/12</f>
        <v>3.072493463438E-025</v>
      </c>
      <c r="AX201" s="129" t="n">
        <f aca="false">SUM(AU201:AW201)</f>
        <v>0.248272063063597</v>
      </c>
      <c r="AY201" s="124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8" t="e">
        <f aca="false">VLOOKUP(A201,'Données projet'!$A$87:$I$107,2,0)</f>
        <v>#N/A</v>
      </c>
      <c r="BB201" s="118" t="e">
        <f aca="false">VLOOKUP(A201,'Données projet'!$A$87:$I$107,9,0)</f>
        <v>#N/A</v>
      </c>
      <c r="BC201" s="118" t="e">
        <f aca="false" t="array" ref="BC201:BC201">INDEX(BB:BB,MIN(IF(ISNUMBER(BB201:BB397),ROW(BB201:BB397),"")))</f>
        <v>#N/A</v>
      </c>
      <c r="BD201" s="118" t="n">
        <f aca="false">IF('Données projet'!$A$88&gt;35,BD200+BC201-BL200,IF(A201&lt;'Données projet'!$A$88,$BA$205^A201,IF(A201='Données projet'!$A$88,'Données projet'!$B$88,BD200+BC201-BL200)))</f>
        <v>1.98951966012828E-013</v>
      </c>
      <c r="BE201" s="117" t="n">
        <f aca="false">BD201*VLOOKUP('Données projet'!$B$11,Paramètres!$A$1:$I$89,3,0)*VLOOKUP('Données projet'!$B$11,Paramètres!$A$1:$I$89,5,0)</f>
        <v>1.73804437508807E-013</v>
      </c>
      <c r="BF201" s="117" t="n">
        <f aca="false">EXP(-1.0587+0.8836*LN(BE201)+0.284)</f>
        <v>2.44832936339505E-012</v>
      </c>
      <c r="BG201" s="128" t="n">
        <f aca="false">(BE201+BF201)*0.475*44/12</f>
        <v>4.56688303657421E-012</v>
      </c>
      <c r="BH201" s="120" t="n">
        <f aca="false">BG201+(AY201+AZ201)*44/12</f>
        <v>293.333333333338</v>
      </c>
      <c r="BI201" s="120" t="n">
        <f aca="true">AVERAGE(OFFSET($BH$3,0,0,'Données projet'!$E$11+1,1))-AVERAGE(OFFSET($H$3,0,0,'Données projet'!$E$11+1,1))</f>
        <v>321.235999689929</v>
      </c>
      <c r="BJ201" s="120" t="n">
        <f aca="false">$BJ$3</f>
        <v>388.051958478005</v>
      </c>
      <c r="BK201" s="121" t="n">
        <f aca="false">IF(ISNA(VLOOKUP(A201,'Données projet'!$A$87:$I$107,3,0)),0,VLOOKUP(A201,'Données projet'!$A$87:$I$107,3,0))</f>
        <v>0</v>
      </c>
      <c r="BL201" s="121" t="n">
        <f aca="false">IF(ISNA(VLOOKUP(A201,'Données projet'!$A$87:$I$107,4,0)),0,VLOOKUP(A201,'Données projet'!$A$87:$I$107,4,0))</f>
        <v>0</v>
      </c>
      <c r="BM201" s="122" t="n">
        <f aca="false">IF(ISNA(VLOOKUP(A201,'Données projet'!$A$87:$I$107,5,0)),0%,VLOOKUP(A201,'Données projet'!$A$87:$I$107,5,0)*VLOOKUP('Données projet'!$B$11,Paramètres!$A$1:$I$89,7,0))</f>
        <v>0</v>
      </c>
      <c r="BN201" s="122" t="n">
        <f aca="false">IF(ISNA(VLOOKUP(A201,'Données projet'!$A$87:$I$107,6,0)),0%,VLOOKUP(A201,'Données projet'!$A$87:$I$107,6,0)*VLOOKUP('Données projet'!$B$11,Paramètres!$A$1:$I$89,7,0))</f>
        <v>0</v>
      </c>
      <c r="BO201" s="122" t="n">
        <f aca="false">IF(ISNA(VLOOKUP(A201,'Données projet'!$A$87:$I$107,7,0)),0%,VLOOKUP(A201,'Données projet'!$A$87:$I$107,7,0))</f>
        <v>0</v>
      </c>
      <c r="BP201" s="129" t="n">
        <f aca="false">EXP(-LN(2)/35)*BP200+(1-EXP(-LN(2)/35))/(LN(2)/35)*BL201*BM201*VLOOKUP('Données projet'!$B$11,Paramètres!$A$1:$I$89,3,0)*0.475*44/12</f>
        <v>0.308758824425444</v>
      </c>
      <c r="BQ201" s="129" t="n">
        <f aca="false">EXP(-LN(2)/25)*BQ200+(1-EXP(-LN(2)/25))/(LN(2)/25)*Calculateur!BL201*Calculateur!BN201*VLOOKUP('Données projet'!$B$11,Paramètres!$A$1:$I$89,3,0)*0.475*44/12</f>
        <v>0.127889634713301</v>
      </c>
      <c r="BR201" s="129" t="n">
        <f aca="false">EXP(-LN(2)/2)*BR200+(1-EXP(-LN(2)/2))/(LN(2)/2)*BL201*BO201*VLOOKUP('Données projet'!$B$11,Paramètres!$A$1:$I$89,3,0)*0.475*44/12</f>
        <v>3.12312574274637E-025</v>
      </c>
      <c r="BS201" s="130" t="n">
        <f aca="false">SUM(BP201:BR201)</f>
        <v>0.436648459138746</v>
      </c>
      <c r="BT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8" t="e">
        <f aca="false">VLOOKUP(A201,'Données projet'!$A$113:$I$133,2,0)</f>
        <v>#N/A</v>
      </c>
      <c r="BW201" s="118" t="e">
        <f aca="false">VLOOKUP(A201,'Données projet'!$A$113:$I$133,9,0)</f>
        <v>#N/A</v>
      </c>
      <c r="BX201" s="118" t="e">
        <f aca="false" t="array" ref="BX201:BX201">INDEX(BW:BW,MIN(IF(ISNUMBER(BW201:BW397),ROW(BW201:BW397),"")))</f>
        <v>#N/A</v>
      </c>
      <c r="BY201" s="118" t="n">
        <f aca="false">IF('Données projet'!$A$114&gt;35,BY200+BX201-CG200,IF(A201&lt;'Données projet'!$A$114,$BV$205^A201,IF(A201='Données projet'!$A$114,'Données projet'!$B$114,BY200+BX201-CG200)))</f>
        <v>0</v>
      </c>
      <c r="BZ201" s="117" t="n">
        <f aca="false">BY201*VLOOKUP('Données projet'!$B$12,Paramètres!$A$1:$I$89,3,0)*VLOOKUP('Données projet'!$B$12,Paramètres!$A$1:$I$89,5,0)</f>
        <v>0</v>
      </c>
      <c r="CA201" s="117" t="e">
        <f aca="false">EXP(-1.0587+0.8836*LN(BZ201)+0.284)</f>
        <v>#VALUE!</v>
      </c>
      <c r="CB201" s="128" t="e">
        <f aca="false">(BZ201+CA201)*0.475*44/12</f>
        <v>#VALUE!</v>
      </c>
      <c r="CC201" s="120" t="e">
        <f aca="false">CB201+(BT201+BU201)*44/12</f>
        <v>#VALUE!</v>
      </c>
      <c r="CD201" s="120" t="n">
        <f aca="true">AVERAGE(OFFSET($CC$3,0,0,'Données projet'!$E$12+1,1))-AVERAGE(OFFSET($H$3,0,0,'Données projet'!$E$12+1,1))</f>
        <v>240.228848647662</v>
      </c>
      <c r="CE201" s="120" t="n">
        <f aca="false">$CE$3</f>
        <v>343.237768841432</v>
      </c>
      <c r="CF201" s="121" t="n">
        <f aca="false">IF(ISNA(VLOOKUP(A201,'Données projet'!$A$113:$I$133,3,0)),0,VLOOKUP(A201,'Données projet'!$A$113:$I$133,3,0))</f>
        <v>0</v>
      </c>
      <c r="CG201" s="121" t="n">
        <f aca="false">IF(ISNA(VLOOKUP(A201,'Données projet'!$A$113:$I$133,4,0)),0,VLOOKUP(A201,'Données projet'!$A$113:$I$133,4,0))</f>
        <v>0</v>
      </c>
      <c r="CH201" s="122" t="n">
        <f aca="false">IF(ISNA(VLOOKUP(A201,'Données projet'!$A$113:$I$133,5,0)),0%,VLOOKUP(A201,'Données projet'!$A$113:$I$133,5,0)*VLOOKUP('Données projet'!$B$12,Paramètres!$A$1:$I$89,7,0))</f>
        <v>0</v>
      </c>
      <c r="CI201" s="122" t="n">
        <f aca="false">IF(ISNA(VLOOKUP(A201,'Données projet'!$A$113:$I$133,6,0)),0%,VLOOKUP(A201,'Données projet'!$A$113:$I$133,6,0)*VLOOKUP('Données projet'!$B$12,Paramètres!$A$1:$I$89,7,0))</f>
        <v>0</v>
      </c>
      <c r="CJ201" s="122" t="n">
        <f aca="false">IF(ISNA(VLOOKUP(A201,'Données projet'!$A$113:$I$133,7,0)),0%,VLOOKUP(A201,'Données projet'!$A$113:$I$133,7,0))</f>
        <v>0</v>
      </c>
      <c r="CK201" s="129" t="n">
        <f aca="false">EXP(-LN(2)/35)*CK200+(1-EXP(-LN(2)/35))/(LN(2)/35)*CG201*CH201*VLOOKUP('Données projet'!$B$12,Paramètres!$A$1:$I$89,3,0)*0.475*44/12</f>
        <v>0.18898445501051</v>
      </c>
      <c r="CL201" s="129" t="n">
        <f aca="false">EXP(-LN(2)/25)*CL200+(1-EXP(-LN(2)/25))/(LN(2)/25)*Calculateur!CG201*Calculateur!CI201*VLOOKUP('Données projet'!$B$12,Paramètres!$A$1:$I$89,3,0)*0.475*44/12</f>
        <v>0.225860498420151</v>
      </c>
      <c r="CM201" s="129" t="n">
        <f aca="false">EXP(-LN(2)/2)*CM200+(1-EXP(-LN(2)/2))/(LN(2)/2)*CG201*CJ201*VLOOKUP('Données projet'!$B$12,Paramètres!$A$1:$I$89,3,0)*0.475*44/12</f>
        <v>4.98367606057743E-025</v>
      </c>
      <c r="CN201" s="130" t="n">
        <f aca="false">SUM(CK201:CM201)</f>
        <v>0.414844953430661</v>
      </c>
      <c r="CO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8" t="e">
        <f aca="false">VLOOKUP(A201,'Données projet'!$A$139:$I$159,2,0)</f>
        <v>#N/A</v>
      </c>
      <c r="CR201" s="118" t="e">
        <f aca="false">VLOOKUP(A201,'Données projet'!$A$139:$I$159,9,0)</f>
        <v>#N/A</v>
      </c>
      <c r="CS201" s="118" t="e">
        <f aca="false" t="array" ref="CS201:CS201">INDEX(CR:CR,MIN(IF(ISNUMBER(CR201:CR397),ROW(CR201:CR397),"")))</f>
        <v>#N/A</v>
      </c>
      <c r="CT201" s="118" t="n">
        <f aca="false">IF('Données projet'!$A$140&gt;35,CT200+CS201-DB200,IF(A201&lt;'Données projet'!$A$140,$CQ$205^A201,IF(A201='Données projet'!$A$140,'Données projet'!$B$140,CT200+CS201-DB200)))</f>
        <v>-5.6843418860808E-014</v>
      </c>
      <c r="CU201" s="125" t="n">
        <f aca="false">CT201*VLOOKUP('Données projet'!$B$13,Paramètres!$A$1:$I$89,3,0)*VLOOKUP('Données projet'!$B$13,Paramètres!$A$1:$I$89,5,0)</f>
        <v>-3.10365066980012E-014</v>
      </c>
      <c r="CV201" s="117" t="e">
        <f aca="false">EXP(-1.0587+0.8836*LN(CU201)+0.284)</f>
        <v>#VALUE!</v>
      </c>
      <c r="CW201" s="128" t="e">
        <f aca="false">(CU201+CV201)*0.475*44/12</f>
        <v>#VALUE!</v>
      </c>
      <c r="CX201" s="120" t="e">
        <f aca="false">CW201+(CO201+CP201)*44/12</f>
        <v>#VALUE!</v>
      </c>
      <c r="CY201" s="120" t="n">
        <f aca="true">AVERAGE(OFFSET($CX$3,0,0,'Données projet'!$E$13+1,1))-AVERAGE(OFFSET($H$3,0,0,'Données projet'!$E$13+1,1))</f>
        <v>207.023069645676</v>
      </c>
      <c r="CZ201" s="120" t="n">
        <f aca="false">$CZ$3</f>
        <v>342.068879333518</v>
      </c>
      <c r="DA201" s="121" t="n">
        <f aca="false">IF(ISNA(VLOOKUP(A201,'Données projet'!$A$139:$I$159,3,0)),0,VLOOKUP(A201,'Données projet'!$A$139:$I$159,3,0))</f>
        <v>0</v>
      </c>
      <c r="DB201" s="121" t="n">
        <f aca="false">IF(ISNA(VLOOKUP(A201,'Données projet'!$A$139:$I$159,4,0)),0,VLOOKUP(A201,'Données projet'!$A$139:$I$159,4,0))</f>
        <v>0</v>
      </c>
      <c r="DC201" s="122" t="n">
        <f aca="false">IF(ISNA(VLOOKUP(A201,'Données projet'!$A$139:$I$159,5,0)),0%,VLOOKUP(A201,'Données projet'!$A$139:$I$159,5,0)*VLOOKUP('Données projet'!$B$13,Paramètres!$A$1:$I$89,7,0))</f>
        <v>0</v>
      </c>
      <c r="DD201" s="122" t="n">
        <f aca="false">IF(ISNA(VLOOKUP(A201,'Données projet'!$A$139:$I$159,6,0)),0%,VLOOKUP(A201,'Données projet'!$A$139:$I$159,6,0)*VLOOKUP('Données projet'!$B$13,Paramètres!$A$1:$I$89,7,0))</f>
        <v>0</v>
      </c>
      <c r="DE201" s="122" t="n">
        <f aca="false">IF(ISNA(VLOOKUP(A201,'Données projet'!$A$139:$I$159,7,0)),0%,VLOOKUP(A201,'Données projet'!$A$139:$I$159,7,0))</f>
        <v>0</v>
      </c>
      <c r="DF201" s="129" t="n">
        <f aca="false">EXP(-LN(2)/35)*DF200+(1-EXP(-LN(2)/35))/(LN(2)/35)*DB201*DC201*VLOOKUP('Données projet'!$B$13,Paramètres!$A$1:$I$89,3,0)*0.475*44/12</f>
        <v>0.237122004871678</v>
      </c>
      <c r="DG201" s="129" t="n">
        <f aca="false">EXP(-LN(2)/25)*DG200+(1-EXP(-LN(2)/25))/(LN(2)/25)*Calculateur!DB201*Calculateur!DD201*VLOOKUP('Données projet'!$B$13,Paramètres!$A$1:$I$89,3,0)*0.475*44/12</f>
        <v>0.369187846543003</v>
      </c>
      <c r="DH201" s="129" t="n">
        <f aca="false">EXP(-LN(2)/2)*DH200+(1-EXP(-LN(2)/2))/(LN(2)/2)*DB201*DE201*VLOOKUP('Données projet'!$B$13,Paramètres!$A$1:$I$89,3,0)*0.475*44/12</f>
        <v>6.86252424597288E-025</v>
      </c>
      <c r="DI201" s="130" t="n">
        <f aca="false">SUM(DF201:DH201)</f>
        <v>0.606309851414681</v>
      </c>
      <c r="DJ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8" t="e">
        <f aca="false">VLOOKUP(A201,'Données projet'!$A$165:$I$185,2,0)</f>
        <v>#N/A</v>
      </c>
      <c r="DM201" s="118" t="e">
        <f aca="false">VLOOKUP(A201,'Données projet'!$A$165:$I$185,9,0)</f>
        <v>#N/A</v>
      </c>
      <c r="DN201" s="118" t="e">
        <f aca="false" t="array" ref="DN201:DN201">INDEX(DM:DM,MIN(IF(ISNUMBER(DM201:DM397),ROW(DM201:DM397),"")))</f>
        <v>#N/A</v>
      </c>
      <c r="DO201" s="118" t="n">
        <f aca="false">IF('Données projet'!$A$166&gt;35,DO200+DN201-DW200,IF(A201&lt;'Données projet'!$A$166,$DL$205^A201,IF(A201='Données projet'!$A$166,'Données projet'!$B$166,DO200+DN201-DW200)))</f>
        <v>0</v>
      </c>
      <c r="DP201" s="125" t="n">
        <f aca="false">DO201*VLOOKUP('Données projet'!$B$14,Paramètres!$A$1:$I$89,3,0)*VLOOKUP('Données projet'!$B$14,Paramètres!$A$1:$I$89,5,0)</f>
        <v>0</v>
      </c>
      <c r="DQ201" s="117" t="e">
        <f aca="false">EXP(-1.0587+0.8836*LN(DP201)+0.284)</f>
        <v>#VALUE!</v>
      </c>
      <c r="DR201" s="128" t="e">
        <f aca="false">(DP201+DQ201)*0.475*44/12</f>
        <v>#VALUE!</v>
      </c>
      <c r="DS201" s="120" t="e">
        <f aca="false">DR201+(DJ201+DK201)*44/12</f>
        <v>#VALUE!</v>
      </c>
      <c r="DT201" s="120" t="n">
        <f aca="true">AVERAGE(OFFSET($DS$3,0,0,'Données projet'!$E$14+1,1))-AVERAGE(OFFSET($H$3,0,0,'Données projet'!$E$14+1,1))</f>
        <v>549.432320957297</v>
      </c>
      <c r="DU201" s="120" t="n">
        <f aca="false">$DU$3</f>
        <v>280.26155987301</v>
      </c>
      <c r="DV201" s="121" t="n">
        <f aca="false">IF(ISNA(VLOOKUP(A201,'Données projet'!$A$165:$I$185,3,0)),0,VLOOKUP(A201,'Données projet'!$A$165:$I$185,3,0))</f>
        <v>0</v>
      </c>
      <c r="DW201" s="121" t="n">
        <f aca="false">IF(ISNA(VLOOKUP(A201,'Données projet'!$A$165:$I$185,4,0)),0,VLOOKUP(A201,'Données projet'!$A$165:$I$185,4,0))</f>
        <v>0</v>
      </c>
      <c r="DX201" s="122" t="n">
        <f aca="false">IF(ISNA(VLOOKUP(A201,'Données projet'!$A$165:$I$185,5,0)),0%,VLOOKUP(A201,'Données projet'!$A$165:$I$185,5,0)*VLOOKUP('Données projet'!$B$14,Paramètres!$A$1:$I$89,7,0))</f>
        <v>0</v>
      </c>
      <c r="DY201" s="122" t="n">
        <f aca="false">IF(ISNA(VLOOKUP(A201,'Données projet'!$A$165:$I$185,6,0)),0%,VLOOKUP(A201,'Données projet'!$A$165:$I$185,6,0)*VLOOKUP('Données projet'!$B$14,Paramètres!$A$1:$I$89,7,0))</f>
        <v>0</v>
      </c>
      <c r="DZ201" s="122" t="n">
        <f aca="false">IF(ISNA(VLOOKUP(A201,'Données projet'!$A$165:$I$185,7,0)),0%,VLOOKUP(A201,'Données projet'!$A$165:$I$185,7,0))</f>
        <v>0</v>
      </c>
      <c r="EA201" s="129" t="n">
        <f aca="false">EXP(-LN(2)/35)*EA200+(1-EXP(-LN(2)/35))/(LN(2)/35)*DW201*DX201*VLOOKUP('Données projet'!$B$14,Paramètres!$A$1:$I$89,3,0)*0.475*44/12</f>
        <v>0.0862172965699164</v>
      </c>
      <c r="EB201" s="129" t="n">
        <f aca="false">EXP(-LN(2)/25)*EB200+(1-EXP(-LN(2)/25))/(LN(2)/25)*Calculateur!DW201*Calculateur!DY201*VLOOKUP('Données projet'!$B$14,Paramètres!$A$1:$I$89,3,0)*0.475*44/12</f>
        <v>0.0735495029795535</v>
      </c>
      <c r="EC201" s="129" t="n">
        <f aca="false">EXP(-LN(2)/2)*EC200+(1-EXP(-LN(2)/2))/(LN(2)/2)*DW201*DZ201*VLOOKUP('Données projet'!$B$14,Paramètres!$A$1:$I$89,3,0)*0.475*44/12</f>
        <v>3.16348221871776E-025</v>
      </c>
      <c r="ED201" s="130" t="n">
        <f aca="false">SUM(EA201:EC201)</f>
        <v>0.15976679954947</v>
      </c>
      <c r="EE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8" t="e">
        <f aca="false">VLOOKUP(A201,'Données projet'!$A$191:$I$211,2,0)</f>
        <v>#N/A</v>
      </c>
      <c r="EH201" s="118" t="e">
        <f aca="false">VLOOKUP(A201,'Données projet'!$A$191:$I$211,9,0)</f>
        <v>#N/A</v>
      </c>
      <c r="EI201" s="118" t="e">
        <f aca="false" t="array" ref="EI201:EI201">INDEX(EH:EH,MIN(IF(ISNUMBER(EH201:EH397),ROW(EH201:EH397),"")))</f>
        <v>#N/A</v>
      </c>
      <c r="EJ201" s="118" t="n">
        <f aca="false">IF('Données projet'!$A$192&gt;35,EJ200+EI201-ER200,IF(A201&lt;'Données projet'!$A$192,$EG$205^A201,IF(A201='Données projet'!$A$192,'Données projet'!$B$192,EJ200+EI201-ER200)))</f>
        <v>0</v>
      </c>
      <c r="EK201" s="125" t="e">
        <f aca="false">EJ201*VLOOKUP('Données projet'!$B$15,Paramètres!$A$1:$I$89,3,0)*VLOOKUP('Données projet'!$B$15,Paramètres!$A$1:$I$89,5,0)</f>
        <v>#N/A</v>
      </c>
      <c r="EL201" s="117" t="e">
        <f aca="false">EXP(-1.0587+0.8836*LN(EK201)+0.284)</f>
        <v>#N/A</v>
      </c>
      <c r="EM201" s="128" t="e">
        <f aca="false">(EK201+EL201)*0.475*44/12</f>
        <v>#N/A</v>
      </c>
      <c r="EN201" s="120" t="e">
        <f aca="false">EM201+(EE201+EF201)*44/12</f>
        <v>#N/A</v>
      </c>
      <c r="EO201" s="120" t="e">
        <f aca="true">AVERAGE(OFFSET($EN$3,0,0,'Données projet'!$E$15+1,1))-AVERAGE(OFFSET($H$3,0,0,'Données projet'!$E$15+1,1))</f>
        <v>#N/A</v>
      </c>
      <c r="EP201" s="120" t="e">
        <f aca="false">$EP$3</f>
        <v>#N/A</v>
      </c>
      <c r="EQ201" s="121" t="n">
        <f aca="false">IF(ISNA(VLOOKUP(A201,'Données projet'!$A$191:$I$211,3,0)),0,VLOOKUP(A201,'Données projet'!$A$191:$I$211,3,0))</f>
        <v>0</v>
      </c>
      <c r="ER201" s="121" t="n">
        <f aca="false">IF(ISNA(VLOOKUP(A201,'Données projet'!$A$191:$I$211,4,0)),0,VLOOKUP(A201,'Données projet'!$A$191:$I$211,4,0))</f>
        <v>0</v>
      </c>
      <c r="ES201" s="122" t="n">
        <f aca="false">IF(ISNA(VLOOKUP(A201,'Données projet'!$A$191:$I$211,5,0)),0%,VLOOKUP(A201,'Données projet'!$A$191:$I$211,5,0)*VLOOKUP('Données projet'!$B$15,Paramètres!$A$1:$I$89,7,0))</f>
        <v>0</v>
      </c>
      <c r="ET201" s="122" t="n">
        <f aca="false">IF(ISNA(VLOOKUP(A201,'Données projet'!$A$191:$I$211,6,0)),0%,VLOOKUP(A201,'Données projet'!$A$191:$I$211,6,0)*VLOOKUP('Données projet'!$B$15,Paramètres!$A$1:$I$89,7,0))</f>
        <v>0</v>
      </c>
      <c r="EU201" s="122" t="n">
        <f aca="false">IF(ISNA(VLOOKUP(A201,'Données projet'!$A$191:$I$211,7,0)),0%,VLOOKUP(A201,'Données projet'!$A$191:$I$211,7,0))</f>
        <v>0</v>
      </c>
      <c r="EV201" s="129" t="e">
        <f aca="false">EXP(-LN(2)/35)*EV200+(1-EXP(-LN(2)/35))/(LN(2)/35)*ER201*ES201*VLOOKUP('Données projet'!$B$15,Paramètres!$A$1:$I$89,3,0)*0.475*44/12</f>
        <v>#N/A</v>
      </c>
      <c r="EW201" s="129" t="e">
        <f aca="false">EXP(-LN(2)/25)*EW200+(1-EXP(-LN(2)/25))/(LN(2)/25)*Calculateur!ER201*Calculateur!ET201*VLOOKUP('Données projet'!$B$15,Paramètres!$A$1:$I$89,3,0)*0.475*44/12</f>
        <v>#N/A</v>
      </c>
      <c r="EX201" s="129" t="e">
        <f aca="false">EXP(-LN(2)/2)*EX200+(1-EXP(-LN(2)/2))/(LN(2)/2)*ER201*EU201*VLOOKUP('Données projet'!$B$15,Paramètres!$A$1:$I$89,3,0)*0.475*44/12</f>
        <v>#N/A</v>
      </c>
      <c r="EY201" s="130" t="e">
        <f aca="false">SUM(EV201:EX201)</f>
        <v>#N/A</v>
      </c>
      <c r="EZ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8" t="e">
        <f aca="false">VLOOKUP(A201,'Données projet'!$A$217:$I$237,2,0)</f>
        <v>#N/A</v>
      </c>
      <c r="FC201" s="118" t="e">
        <f aca="false">VLOOKUP(A201,'Données projet'!$A$217:$I$237,9,0)</f>
        <v>#N/A</v>
      </c>
      <c r="FD201" s="118" t="e">
        <f aca="false" t="array" ref="FD201:FD201">INDEX(FC:FC,MIN(IF(ISNUMBER(FC201:FC397),ROW(FC201:FC397),"")))</f>
        <v>#N/A</v>
      </c>
      <c r="FE201" s="118" t="n">
        <f aca="false">IF('Données projet'!$A$218&gt;35,FE200+FD201-FM200,IF(A201&lt;'Données projet'!$A$218,$FB$205^A201,IF(A201='Données projet'!$A$218,'Données projet'!$B$218,FE200+FD201-FM200)))</f>
        <v>0</v>
      </c>
      <c r="FF201" s="125" t="e">
        <f aca="false">FE201*VLOOKUP('Données projet'!$B$16,Paramètres!$A$1:$I$89,3,0)*VLOOKUP('Données projet'!$B$16,Paramètres!$A$1:$I$89,5,0)</f>
        <v>#N/A</v>
      </c>
      <c r="FG201" s="117" t="e">
        <f aca="false">EXP(-1.0587+0.8836*LN(FF201)+0.284)</f>
        <v>#N/A</v>
      </c>
      <c r="FH201" s="128" t="e">
        <f aca="false">(FF201+FG201)*0.475*44/12</f>
        <v>#N/A</v>
      </c>
      <c r="FI201" s="120" t="e">
        <f aca="false">FH201+(EZ201+FA201)*44/12</f>
        <v>#N/A</v>
      </c>
      <c r="FJ201" s="120" t="e">
        <f aca="true">AVERAGE(OFFSET($FI$3,0,0,'Données projet'!$E$16+1,1))-AVERAGE(OFFSET($H$3,0,0,'Données projet'!$E$16+1,1))</f>
        <v>#N/A</v>
      </c>
      <c r="FK201" s="120" t="e">
        <f aca="false">$FK$3</f>
        <v>#N/A</v>
      </c>
      <c r="FL201" s="121" t="n">
        <f aca="false">IF(ISNA(VLOOKUP(A201,'Données projet'!$A$217:$I$237,3,0)),0,VLOOKUP(A201,'Données projet'!$A$217:$I$237,3,0))</f>
        <v>0</v>
      </c>
      <c r="FM201" s="121" t="n">
        <f aca="false">IF(ISNA(VLOOKUP(A201,'Données projet'!$A$217:$I$237,4,0)),0,VLOOKUP(A201,'Données projet'!$A$217:$I$237,4,0))</f>
        <v>0</v>
      </c>
      <c r="FN201" s="122" t="n">
        <f aca="false">IF(ISNA(VLOOKUP(A201,'Données projet'!$A$217:$I$237,5,0)),0%,VLOOKUP(A201,'Données projet'!$A$217:$I$237,5,0)*VLOOKUP('Données projet'!$B$16,Paramètres!$A$1:$I$89,7,0))</f>
        <v>0</v>
      </c>
      <c r="FO201" s="122" t="n">
        <f aca="false">IF(ISNA(VLOOKUP(A201,'Données projet'!$A$217:$I$237,6,0)),0%,VLOOKUP(A201,'Données projet'!$A$217:$I$237,6,0)*VLOOKUP('Données projet'!$B$16,Paramètres!$A$1:$I$89,7,0))</f>
        <v>0</v>
      </c>
      <c r="FP201" s="122" t="n">
        <f aca="false">IF(ISNA(VLOOKUP(A201,'Données projet'!$A$217:$I$237,7,0)),0%,VLOOKUP(A201,'Données projet'!$A$217:$I$237,7,0))</f>
        <v>0</v>
      </c>
      <c r="FQ201" s="129" t="e">
        <f aca="false">EXP(-LN(2)/35)*FQ200+(1-EXP(-LN(2)/35))/(LN(2)/35)*FM201*FN201*VLOOKUP('Données projet'!$B$16,Paramètres!$A$1:$I$89,3,0)*0.475*44/12</f>
        <v>#N/A</v>
      </c>
      <c r="FR201" s="129" t="e">
        <f aca="false">EXP(-LN(2)/25)*FR200+(1-EXP(-LN(2)/25))/(LN(2)/25)*Calculateur!FM201*Calculateur!FO201*VLOOKUP('Données projet'!$B$16,Paramètres!$A$1:$I$89,3,0)*0.475*44/12</f>
        <v>#N/A</v>
      </c>
      <c r="FS201" s="129" t="e">
        <f aca="false">EXP(-LN(2)/2)*FS200+(1-EXP(-LN(2)/2))/(LN(2)/2)*FM201*FP201*VLOOKUP('Données projet'!$B$16,Paramètres!$A$1:$I$89,3,0)*0.475*44/12</f>
        <v>#N/A</v>
      </c>
      <c r="FT201" s="130" t="e">
        <f aca="false">SUM(FQ201:FS201)</f>
        <v>#N/A</v>
      </c>
      <c r="FU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8" t="e">
        <f aca="false">VLOOKUP(A201,'Données projet'!$A$243:$I$263,2,0)</f>
        <v>#N/A</v>
      </c>
      <c r="FX201" s="118" t="e">
        <f aca="false">VLOOKUP(A201,'Données projet'!$A$243:$I$263,9,0)</f>
        <v>#N/A</v>
      </c>
      <c r="FY201" s="118" t="e">
        <f aca="false" t="array" ref="FY201:FY201">INDEX(FX:FX,MIN(IF(ISNUMBER(FX201:FX397),ROW(FX201:FX397),"")))</f>
        <v>#N/A</v>
      </c>
      <c r="FZ201" s="118" t="n">
        <f aca="false">IF('Données projet'!$A$244&gt;35,FZ200+FY201-GH200,IF(A201&lt;'Données projet'!$A$244,$FW$205^A201,IF(A201='Données projet'!$A$244,'Données projet'!$B$244,FZ200+FY201-GH200)))</f>
        <v>0</v>
      </c>
      <c r="GA201" s="125" t="e">
        <f aca="false">FZ201*VLOOKUP('Données projet'!$B$17,Paramètres!$A$1:$I$89,3,0)*VLOOKUP('Données projet'!$B$17,Paramètres!$A$1:$I$89,5,0)</f>
        <v>#N/A</v>
      </c>
      <c r="GB201" s="117" t="e">
        <f aca="false">EXP(-1.0587+0.8836*LN(GA201)+0.284)</f>
        <v>#N/A</v>
      </c>
      <c r="GC201" s="128" t="e">
        <f aca="false">(GA201+GB201)*0.475*44/12</f>
        <v>#N/A</v>
      </c>
      <c r="GD201" s="120" t="e">
        <f aca="false">GC201+(FU201+FV201)*44/12</f>
        <v>#N/A</v>
      </c>
      <c r="GE201" s="120" t="e">
        <f aca="true">AVERAGE(OFFSET($GD$3,0,0,'Données projet'!$E$17+1,1))-AVERAGE(OFFSET($H$3,0,0,'Données projet'!$E$17+1,1))</f>
        <v>#N/A</v>
      </c>
      <c r="GF201" s="120" t="e">
        <f aca="false">$GF$3</f>
        <v>#N/A</v>
      </c>
      <c r="GG201" s="121" t="n">
        <f aca="false">IF(ISNA(VLOOKUP(A201,'Données projet'!$A$243:$I$263,3,0)),0,VLOOKUP(A201,'Données projet'!$A$243:$I$263,3,0))</f>
        <v>0</v>
      </c>
      <c r="GH201" s="121" t="n">
        <f aca="false">IF(ISNA(VLOOKUP(A201,'Données projet'!$A$243:$I$263,4,0)),0,VLOOKUP(A201,'Données projet'!$A$243:$I$263,4,0))</f>
        <v>0</v>
      </c>
      <c r="GI201" s="122" t="n">
        <f aca="false">IF(ISNA(VLOOKUP(A201,'Données projet'!$A$243:$I$263,5,0)),0%,VLOOKUP(A201,'Données projet'!$A$243:$I$263,5,0)*VLOOKUP('Données projet'!$B$17,Paramètres!$A$1:$I$89,7,0))</f>
        <v>0</v>
      </c>
      <c r="GJ201" s="122" t="n">
        <f aca="false">IF(ISNA(VLOOKUP(A201,'Données projet'!$A$243:$I$263,6,0)),0%,VLOOKUP(A201,'Données projet'!$A$243:$I$263,6,0)*VLOOKUP('Données projet'!$B$17,Paramètres!$A$1:$I$89,7,0))</f>
        <v>0</v>
      </c>
      <c r="GK201" s="122" t="n">
        <f aca="false">IF(ISNA(VLOOKUP(A201,'Données projet'!$A$243:$I$263,7,0)),0%,VLOOKUP(A201,'Données projet'!$A$243:$I$263,7,0))</f>
        <v>0</v>
      </c>
      <c r="GL201" s="129" t="e">
        <f aca="false">EXP(-LN(2)/35)*GL200+(1-EXP(-LN(2)/35))/(LN(2)/35)*GH201*GI201*VLOOKUP('Données projet'!$B$17,Paramètres!$A$1:$I$89,3,0)*0.475*44/12</f>
        <v>#N/A</v>
      </c>
      <c r="GM201" s="129" t="e">
        <f aca="false">EXP(-LN(2)/25)*GM200+(1-EXP(-LN(2)/25))/(LN(2)/25)*Calculateur!GH201*Calculateur!GJ201*VLOOKUP('Données projet'!$B$17,Paramètres!$A$1:$I$89,3,0)*0.475*44/12</f>
        <v>#N/A</v>
      </c>
      <c r="GN201" s="129" t="e">
        <f aca="false">EXP(-LN(2)/2)*GN200+(1-EXP(-LN(2)/2))/(LN(2)/2)*GH201*GK201*VLOOKUP('Données projet'!$B$17,Paramètres!$A$1:$I$89,3,0)*0.475*44/12</f>
        <v>#N/A</v>
      </c>
      <c r="GO201" s="129" t="e">
        <f aca="false">SUM(GL201:GN201)</f>
        <v>#N/A</v>
      </c>
      <c r="GP201" s="126" t="n">
        <f aca="false"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8" t="n">
        <f aca="false"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8" t="e">
        <f aca="false">VLOOKUP(A201,'Données projet'!$A$269:$I$289,2,0)</f>
        <v>#N/A</v>
      </c>
      <c r="GS201" s="118" t="e">
        <f aca="false">VLOOKUP(A201,'Données projet'!$A$269:$I$289,9,0)</f>
        <v>#N/A</v>
      </c>
      <c r="GT201" s="118" t="e">
        <f aca="false" t="array" ref="GT201:GT201">INDEX(GS:GS,MIN(IF(ISNUMBER(GS201:GS397),ROW(GS201:GS397),"")))</f>
        <v>#N/A</v>
      </c>
      <c r="GU201" s="118" t="n">
        <f aca="false">IF('Données projet'!$A$270&gt;35,GU200+GT201-HC200,IF(A201&lt;'Données projet'!$A$270,$GR$205^A201,IF(A201='Données projet'!$A$270,'Données projet'!$B$270,GU200+GT201-HC200)))</f>
        <v>0</v>
      </c>
      <c r="GV201" s="125" t="e">
        <f aca="false">GU201*VLOOKUP('Données projet'!$B$18,Paramètres!$A$1:$I$89,3,0)*VLOOKUP('Données projet'!$B$18,Paramètres!$A$1:$I$89,5,0)</f>
        <v>#N/A</v>
      </c>
      <c r="GW201" s="117" t="e">
        <f aca="false">EXP(-1.0587+0.8836*LN(GV201)+0.284)</f>
        <v>#N/A</v>
      </c>
      <c r="GX201" s="128" t="e">
        <f aca="false">(GV201+GW201)*0.475*44/12</f>
        <v>#N/A</v>
      </c>
      <c r="GY201" s="120" t="e">
        <f aca="false">GX201+(GP201+GQ201)*44/12</f>
        <v>#N/A</v>
      </c>
      <c r="GZ201" s="120" t="e">
        <f aca="true">AVERAGE(OFFSET($GY$3,0,0,'Données projet'!$E$18+1,1))-AVERAGE(OFFSET($H$3,0,0,'Données projet'!$E$18+1,1))</f>
        <v>#N/A</v>
      </c>
      <c r="HA201" s="120" t="e">
        <f aca="false">$HA$3</f>
        <v>#N/A</v>
      </c>
      <c r="HB201" s="121" t="n">
        <f aca="false">IF(ISNA(VLOOKUP(A201,'Données projet'!$A$269:$I$289,3,0)),0,VLOOKUP(A201,'Données projet'!$A$269:$I$289,3,0))</f>
        <v>0</v>
      </c>
      <c r="HC201" s="121" t="n">
        <f aca="false">IF(ISNA(VLOOKUP(A201,'Données projet'!$A$269:$I$289,4,0)),0,VLOOKUP(A201,'Données projet'!$A$269:$I$289,4,0))</f>
        <v>0</v>
      </c>
      <c r="HD201" s="122" t="n">
        <f aca="false">IF(ISNA(VLOOKUP(A201,'Données projet'!$A$269:$I$289,5,0)),0%,VLOOKUP(A201,'Données projet'!$A$269:$I$289,5,0)*VLOOKUP('Données projet'!$B$18,Paramètres!$A$1:$I$89,7,0))</f>
        <v>0</v>
      </c>
      <c r="HE201" s="122" t="n">
        <f aca="false">IF(ISNA(VLOOKUP(A201,'Données projet'!$A$269:$I$289,6,0)),0%,VLOOKUP(A201,'Données projet'!$A$269:$I$289,6,0)*VLOOKUP('Données projet'!$B$18,Paramètres!$A$1:$I$89,7,0))</f>
        <v>0</v>
      </c>
      <c r="HF201" s="122" t="n">
        <f aca="false">IF(ISNA(VLOOKUP(A201,'Données projet'!$A$269:$I$289,7,0)),0%,VLOOKUP(A201,'Données projet'!$A$269:$I$289,7,0))</f>
        <v>0</v>
      </c>
      <c r="HG201" s="129" t="e">
        <f aca="false">EXP(-LN(2)/35)*HG200+(1-EXP(-LN(2)/35))/(LN(2)/35)*HC201*HD201*VLOOKUP('Données projet'!$B$18,Paramètres!$A$1:$I$89,3,0)*0.475*44/12</f>
        <v>#N/A</v>
      </c>
      <c r="HH201" s="129" t="e">
        <f aca="false">EXP(-LN(2)/25)*HH200+(1-EXP(-LN(2)/25))/(LN(2)/25)*Calculateur!HC201*Calculateur!HE201*VLOOKUP('Données projet'!$B$18,Paramètres!$A$1:$I$89,3,0)*0.475*44/12</f>
        <v>#N/A</v>
      </c>
      <c r="HI201" s="129" t="e">
        <f aca="false">EXP(-LN(2)/2)*HI200+(1-EXP(-LN(2)/2))/(LN(2)/2)*HC201*HF201*VLOOKUP('Données projet'!$B$18,Paramètres!$A$1:$I$89,3,0)*0.475*44/12</f>
        <v>#N/A</v>
      </c>
      <c r="HJ201" s="130" t="e">
        <f aca="false">SUM(HG201:HI201)</f>
        <v>#N/A</v>
      </c>
    </row>
    <row r="202" customFormat="false" ht="14.25" hidden="false" customHeight="false" outlineLevel="0" collapsed="false">
      <c r="A202" s="112" t="n">
        <f aca="false">A201+1</f>
        <v>199</v>
      </c>
      <c r="B202" s="113" t="n">
        <f aca="false">'Scénario référence'!$B$16*5+'Scénario référence'!$B$17*0+'Scénario référence'!$B$18*5</f>
        <v>0</v>
      </c>
      <c r="C202" s="127" t="n">
        <f aca="false"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4" t="n">
        <f aca="false">IFERROR(EXP(-1.0587+0.8836*LN(C202)+0.284),0)</f>
        <v>0</v>
      </c>
      <c r="E202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02" s="114" t="n">
        <f aca="false">IF(OR('Scénario référence'!$F$8&gt;0,'Scénario référence'!$F$9&gt;0),('Scénario référence'!$F$8+'Scénario référence'!$F$9)*10,0)</f>
        <v>0</v>
      </c>
      <c r="G202" s="114" t="n">
        <f aca="false"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15" t="n">
        <f aca="false">(B202+E202+F202)*44/12+(C202+D202)*0.475*44/12</f>
        <v>256.666666666667</v>
      </c>
      <c r="I202" s="11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7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8" t="e">
        <f aca="false">VLOOKUP(A202,'Données projet'!$A$35:$I$55,2,0)</f>
        <v>#N/A</v>
      </c>
      <c r="L202" s="118" t="e">
        <f aca="false">VLOOKUP(A202,'Données projet'!$A$35:$I$55,9,0)</f>
        <v>#N/A</v>
      </c>
      <c r="M202" s="118" t="e">
        <f aca="false" t="array" ref="M202:M202">INDEX(L:L,MIN(IF(ISNUMBER(L202:L398),ROW(L202:L398),"")))</f>
        <v>#N/A</v>
      </c>
      <c r="N202" s="117" t="n">
        <f aca="false">IF('Données projet'!$A$36&gt;35,N201+M202-V201,IF(A202&lt;'Données projet'!$A$36,$K$205^A202,IF(A202='Données projet'!$A$36,'Données projet'!$B$36,N201+M202-V201)))</f>
        <v>-1.13686837721616E-013</v>
      </c>
      <c r="O202" s="117" t="n">
        <f aca="false">N202*VLOOKUP('Données projet'!$B$9,Paramètres!$A$1:$I$89,3,0)*VLOOKUP('Données projet'!$B$9,Paramètres!$A$1:$I$89,5,0)</f>
        <v>-5.32054400537163E-014</v>
      </c>
      <c r="P202" s="117" t="e">
        <f aca="false">EXP(-1.0587+0.8836*LN(O202)+0.284)</f>
        <v>#VALUE!</v>
      </c>
      <c r="Q202" s="128" t="e">
        <f aca="false">(O202+P202)*0.475*44/12</f>
        <v>#VALUE!</v>
      </c>
      <c r="R202" s="120" t="e">
        <f aca="false">Q202+(I202+J202)*44/12</f>
        <v>#VALUE!</v>
      </c>
      <c r="S202" s="120" t="n">
        <f aca="true">AVERAGE(OFFSET($R$3,0,0,'Données projet'!$E$9+1,1))-AVERAGE(OFFSET($H$3,0,0,'Données projet'!$E$9+1,1))</f>
        <v>319.229030946746</v>
      </c>
      <c r="T202" s="120" t="n">
        <f aca="false">$T$3</f>
        <v>254.586909731428</v>
      </c>
      <c r="U202" s="121" t="n">
        <f aca="false">IF(ISNA(VLOOKUP(A202,'Données projet'!$A$35:$I$55,3,0)),0,VLOOKUP(A202,'Données projet'!$A$35:$I$55,3,0))</f>
        <v>0</v>
      </c>
      <c r="V202" s="121" t="n">
        <f aca="false">IF(ISNA(VLOOKUP(A202,'Données projet'!$A$35:$I$55,4,0)),0,VLOOKUP(A202,'Données projet'!$A$35:$I$55,4,0))</f>
        <v>0</v>
      </c>
      <c r="W202" s="122" t="n">
        <f aca="false">IF(ISNA(VLOOKUP(A202,'Données projet'!$A$35:$I$55,5,0)),0%,VLOOKUP(A202,'Données projet'!$A$35:$I$55,5,0)*VLOOKUP('Données projet'!$B$9,Paramètres!$A$1:$I$89,7,0))</f>
        <v>0</v>
      </c>
      <c r="X202" s="122" t="n">
        <f aca="false">IF(ISNA(VLOOKUP(A202,'Données projet'!$A$35:$I$55,6,0)),0%,VLOOKUP(A202,'Données projet'!$A$35:$I$55,6,0)*VLOOKUP('Données projet'!$B$9,Paramètres!$A$1:$I$89,7,0))</f>
        <v>0</v>
      </c>
      <c r="Y202" s="122" t="n">
        <f aca="false">IF(ISNA(VLOOKUP(A202,'Données projet'!$A$35:$I$55,7,0)),0%,VLOOKUP(A202,'Données projet'!$A$35:$I$55,7,0))</f>
        <v>0</v>
      </c>
      <c r="Z202" s="129" t="n">
        <f aca="false">EXP(-LN(2)/35)*Z201+(1-EXP(-LN(2)/35))/(LN(2)/35)*V202*W202*VLOOKUP('Données projet'!$B$9,Paramètres!$A$1:$I$89,3,0)*0.475*44/12</f>
        <v>0.319416722034845</v>
      </c>
      <c r="AA202" s="129" t="n">
        <f aca="false">EXP(-LN(2)/25)*AA201+(1-EXP(-LN(2)/25))/(LN(2)/25)*Calculateur!V202*Calculateur!X202*VLOOKUP('Données projet'!$B$9,Paramètres!$A$1:$I$89,3,0)*0.475*44/12</f>
        <v>0.102887713602825</v>
      </c>
      <c r="AB202" s="129" t="n">
        <f aca="false">EXP(-LN(2)/2)*AB201+(1-EXP(-LN(2)/2))/(LN(2)/2)*V202*Y202*VLOOKUP('Données projet'!$B$9,Paramètres!$A$1:$I$89,3,0)*0.475*44/12</f>
        <v>4.03698836536817E-025</v>
      </c>
      <c r="AC202" s="130" t="n">
        <f aca="false">SUM(Z202:AB202)</f>
        <v>0.42230443563767</v>
      </c>
      <c r="AD202" s="117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7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8" t="e">
        <f aca="false">VLOOKUP(A202,'Données projet'!$A$61:$I$81,2,0)</f>
        <v>#N/A</v>
      </c>
      <c r="AG202" s="118" t="e">
        <f aca="false">VLOOKUP(A202,'Données projet'!$A$61:$I$81,9,0)</f>
        <v>#N/A</v>
      </c>
      <c r="AH202" s="118" t="e">
        <f aca="false" t="array" ref="AH202:AH202">INDEX(AG:AG,MIN(IF(ISNUMBER(AG202:AG398),ROW(AG202:AG398),"")))</f>
        <v>#N/A</v>
      </c>
      <c r="AI202" s="117" t="n">
        <f aca="false">IF('Données projet'!$A$62&gt;35,AI201+AH202-AQ201,IF(A202&lt;'Données projet'!$A$62,$AF$205^A202,IF(A202='Données projet'!$A$62,'Données projet'!$B$62,AI201+AH202-AQ201)))</f>
        <v>1.13686837721616E-013</v>
      </c>
      <c r="AJ202" s="117" t="n">
        <f aca="false">AI202*VLOOKUP('Données projet'!$B$10,Paramètres!$A$1:$I$89,3,0)*VLOOKUP('Données projet'!$B$10,Paramètres!$A$1:$I$89,5,0)</f>
        <v>6.35509422863834E-014</v>
      </c>
      <c r="AK202" s="117" t="n">
        <f aca="false">EXP(-1.0587+0.8836*LN(AJ202)+0.284)</f>
        <v>1.0064464192544E-012</v>
      </c>
      <c r="AL202" s="128" t="n">
        <f aca="false">(AJ202+AK202)*0.475*44/12</f>
        <v>1.86357873801686E-012</v>
      </c>
      <c r="AM202" s="120" t="n">
        <f aca="false">AL202+(AD202+AE202)*44/12</f>
        <v>293.333333333335</v>
      </c>
      <c r="AN202" s="120" t="n">
        <f aca="true">AVERAGE(OFFSET($AM$3,0,0,'Données projet'!$E$10+1,1))-AVERAGE(OFFSET($H$3,0,0,'Données projet'!$E$10+1,1))</f>
        <v>365.705101827279</v>
      </c>
      <c r="AO202" s="120" t="n">
        <f aca="false">$AO$3</f>
        <v>436.238338449625</v>
      </c>
      <c r="AP202" s="121" t="n">
        <f aca="false">IF(ISNA(VLOOKUP(A202,'Données projet'!$A$61:$I$81,3,0)),0,VLOOKUP(A202,'Données projet'!$A$61:$I$81,3,0))</f>
        <v>0</v>
      </c>
      <c r="AQ202" s="121" t="n">
        <f aca="false">IF(ISNA(VLOOKUP(A202,'Données projet'!$A$61:$I$81,4,0)),0,VLOOKUP(A202,'Données projet'!$A$61:$I$81,4,0))</f>
        <v>0</v>
      </c>
      <c r="AR202" s="122" t="n">
        <f aca="false">IF(ISNA(VLOOKUP(A202,'Données projet'!$A$61:$I$81,5,0)),0%,VLOOKUP(A202,'Données projet'!$A$61:$I$81,5,0)*VLOOKUP('Données projet'!$B$10,Paramètres!$A$1:$I$89,7,0))</f>
        <v>0</v>
      </c>
      <c r="AS202" s="122" t="n">
        <f aca="false">IF(ISNA(VLOOKUP(A202,'Données projet'!$A$61:$I$81,6,0)),0%,VLOOKUP(A202,'Données projet'!$A$61:$I$81,6,0)*VLOOKUP('Données projet'!$B$10,Paramètres!$A$1:$I$89,7,0))</f>
        <v>0</v>
      </c>
      <c r="AT202" s="122" t="n">
        <f aca="false">IF(ISNA(VLOOKUP(A202,'Données projet'!$A$61:$I$81,7,0)),0%,VLOOKUP(A202,'Données projet'!$A$61:$I$81,7,0))</f>
        <v>0</v>
      </c>
      <c r="AU202" s="129" t="n">
        <f aca="false">EXP(-LN(2)/35)*AU201+(1-EXP(-LN(2)/35))/(LN(2)/35)*AQ202*AR202*VLOOKUP('Données projet'!$B$10,Paramètres!$A$1:$I$89,3,0)*0.475*44/12</f>
        <v>0.120569456627756</v>
      </c>
      <c r="AV202" s="129" t="n">
        <f aca="false">EXP(-LN(2)/25)*AV201+(1-EXP(-LN(2)/25))/(LN(2)/25)*Calculateur!AQ202*Calculateur!AS202*VLOOKUP('Données projet'!$B$10,Paramètres!$A$1:$I$89,3,0)*0.475*44/12</f>
        <v>0.121864933636536</v>
      </c>
      <c r="AW202" s="129" t="n">
        <f aca="false">EXP(-LN(2)/2)*AW201+(1-EXP(-LN(2)/2))/(LN(2)/2)*AQ202*AT202*VLOOKUP('Données projet'!$B$10,Paramètres!$A$1:$I$89,3,0)*0.475*44/12</f>
        <v>2.17258096314835E-025</v>
      </c>
      <c r="AX202" s="129" t="n">
        <f aca="false">SUM(AU202:AW202)</f>
        <v>0.242434390264292</v>
      </c>
      <c r="AY202" s="124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8" t="e">
        <f aca="false">VLOOKUP(A202,'Données projet'!$A$87:$I$107,2,0)</f>
        <v>#N/A</v>
      </c>
      <c r="BB202" s="118" t="e">
        <f aca="false">VLOOKUP(A202,'Données projet'!$A$87:$I$107,9,0)</f>
        <v>#N/A</v>
      </c>
      <c r="BC202" s="118" t="e">
        <f aca="false" t="array" ref="BC202:BC202">INDEX(BB:BB,MIN(IF(ISNUMBER(BB202:BB398),ROW(BB202:BB398),"")))</f>
        <v>#N/A</v>
      </c>
      <c r="BD202" s="118" t="n">
        <f aca="false">IF('Données projet'!$A$88&gt;35,BD201+BC202-BL201,IF(A202&lt;'Données projet'!$A$88,$BA$205^A202,IF(A202='Données projet'!$A$88,'Données projet'!$B$88,BD201+BC202-BL201)))</f>
        <v>1.98951966012828E-013</v>
      </c>
      <c r="BE202" s="117" t="n">
        <f aca="false">BD202*VLOOKUP('Données projet'!$B$11,Paramètres!$A$1:$I$89,3,0)*VLOOKUP('Données projet'!$B$11,Paramètres!$A$1:$I$89,5,0)</f>
        <v>1.73804437508807E-013</v>
      </c>
      <c r="BF202" s="117" t="n">
        <f aca="false">EXP(-1.0587+0.8836*LN(BE202)+0.284)</f>
        <v>2.44832936339505E-012</v>
      </c>
      <c r="BG202" s="128" t="n">
        <f aca="false">(BE202+BF202)*0.475*44/12</f>
        <v>4.56688303657421E-012</v>
      </c>
      <c r="BH202" s="120" t="n">
        <f aca="false">BG202+(AY202+AZ202)*44/12</f>
        <v>293.333333333338</v>
      </c>
      <c r="BI202" s="120" t="n">
        <f aca="true">AVERAGE(OFFSET($BH$3,0,0,'Données projet'!$E$11+1,1))-AVERAGE(OFFSET($H$3,0,0,'Données projet'!$E$11+1,1))</f>
        <v>321.235999689929</v>
      </c>
      <c r="BJ202" s="120" t="n">
        <f aca="false">$BJ$3</f>
        <v>388.051958478005</v>
      </c>
      <c r="BK202" s="121" t="n">
        <f aca="false">IF(ISNA(VLOOKUP(A202,'Données projet'!$A$87:$I$107,3,0)),0,VLOOKUP(A202,'Données projet'!$A$87:$I$107,3,0))</f>
        <v>0</v>
      </c>
      <c r="BL202" s="121" t="n">
        <f aca="false">IF(ISNA(VLOOKUP(A202,'Données projet'!$A$87:$I$107,4,0)),0,VLOOKUP(A202,'Données projet'!$A$87:$I$107,4,0))</f>
        <v>0</v>
      </c>
      <c r="BM202" s="122" t="n">
        <f aca="false">IF(ISNA(VLOOKUP(A202,'Données projet'!$A$87:$I$107,5,0)),0%,VLOOKUP(A202,'Données projet'!$A$87:$I$107,5,0)*VLOOKUP('Données projet'!$B$11,Paramètres!$A$1:$I$89,7,0))</f>
        <v>0</v>
      </c>
      <c r="BN202" s="122" t="n">
        <f aca="false">IF(ISNA(VLOOKUP(A202,'Données projet'!$A$87:$I$107,6,0)),0%,VLOOKUP(A202,'Données projet'!$A$87:$I$107,6,0)*VLOOKUP('Données projet'!$B$11,Paramètres!$A$1:$I$89,7,0))</f>
        <v>0</v>
      </c>
      <c r="BO202" s="122" t="n">
        <f aca="false">IF(ISNA(VLOOKUP(A202,'Données projet'!$A$87:$I$107,7,0)),0%,VLOOKUP(A202,'Données projet'!$A$87:$I$107,7,0))</f>
        <v>0</v>
      </c>
      <c r="BP202" s="129" t="n">
        <f aca="false">EXP(-LN(2)/35)*BP201+(1-EXP(-LN(2)/35))/(LN(2)/35)*BL202*BM202*VLOOKUP('Données projet'!$B$11,Paramètres!$A$1:$I$89,3,0)*0.475*44/12</f>
        <v>0.302704252202749</v>
      </c>
      <c r="BQ202" s="129" t="n">
        <f aca="false">EXP(-LN(2)/25)*BQ201+(1-EXP(-LN(2)/25))/(LN(2)/25)*Calculateur!BL202*Calculateur!BN202*VLOOKUP('Données projet'!$B$11,Paramètres!$A$1:$I$89,3,0)*0.475*44/12</f>
        <v>0.124392485926642</v>
      </c>
      <c r="BR202" s="129" t="n">
        <f aca="false">EXP(-LN(2)/2)*BR201+(1-EXP(-LN(2)/2))/(LN(2)/2)*BL202*BO202*VLOOKUP('Données projet'!$B$11,Paramètres!$A$1:$I$89,3,0)*0.475*44/12</f>
        <v>2.20838339119423E-025</v>
      </c>
      <c r="BS202" s="130" t="n">
        <f aca="false">SUM(BP202:BR202)</f>
        <v>0.427096738129391</v>
      </c>
      <c r="BT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8" t="e">
        <f aca="false">VLOOKUP(A202,'Données projet'!$A$113:$I$133,2,0)</f>
        <v>#N/A</v>
      </c>
      <c r="BW202" s="118" t="e">
        <f aca="false">VLOOKUP(A202,'Données projet'!$A$113:$I$133,9,0)</f>
        <v>#N/A</v>
      </c>
      <c r="BX202" s="118" t="e">
        <f aca="false" t="array" ref="BX202:BX202">INDEX(BW:BW,MIN(IF(ISNUMBER(BW202:BW398),ROW(BW202:BW398),"")))</f>
        <v>#N/A</v>
      </c>
      <c r="BY202" s="118" t="n">
        <f aca="false">IF('Données projet'!$A$114&gt;35,BY201+BX202-CG201,IF(A202&lt;'Données projet'!$A$114,$BV$205^A202,IF(A202='Données projet'!$A$114,'Données projet'!$B$114,BY201+BX202-CG201)))</f>
        <v>0</v>
      </c>
      <c r="BZ202" s="117" t="n">
        <f aca="false">BY202*VLOOKUP('Données projet'!$B$12,Paramètres!$A$1:$I$89,3,0)*VLOOKUP('Données projet'!$B$12,Paramètres!$A$1:$I$89,5,0)</f>
        <v>0</v>
      </c>
      <c r="CA202" s="117" t="e">
        <f aca="false">EXP(-1.0587+0.8836*LN(BZ202)+0.284)</f>
        <v>#VALUE!</v>
      </c>
      <c r="CB202" s="128" t="e">
        <f aca="false">(BZ202+CA202)*0.475*44/12</f>
        <v>#VALUE!</v>
      </c>
      <c r="CC202" s="120" t="e">
        <f aca="false">CB202+(BT202+BU202)*44/12</f>
        <v>#VALUE!</v>
      </c>
      <c r="CD202" s="120" t="n">
        <f aca="true">AVERAGE(OFFSET($CC$3,0,0,'Données projet'!$E$12+1,1))-AVERAGE(OFFSET($H$3,0,0,'Données projet'!$E$12+1,1))</f>
        <v>240.228848647662</v>
      </c>
      <c r="CE202" s="120" t="n">
        <f aca="false">$CE$3</f>
        <v>343.237768841432</v>
      </c>
      <c r="CF202" s="121" t="n">
        <f aca="false">IF(ISNA(VLOOKUP(A202,'Données projet'!$A$113:$I$133,3,0)),0,VLOOKUP(A202,'Données projet'!$A$113:$I$133,3,0))</f>
        <v>0</v>
      </c>
      <c r="CG202" s="121" t="n">
        <f aca="false">IF(ISNA(VLOOKUP(A202,'Données projet'!$A$113:$I$133,4,0)),0,VLOOKUP(A202,'Données projet'!$A$113:$I$133,4,0))</f>
        <v>0</v>
      </c>
      <c r="CH202" s="122" t="n">
        <f aca="false">IF(ISNA(VLOOKUP(A202,'Données projet'!$A$113:$I$133,5,0)),0%,VLOOKUP(A202,'Données projet'!$A$113:$I$133,5,0)*VLOOKUP('Données projet'!$B$12,Paramètres!$A$1:$I$89,7,0))</f>
        <v>0</v>
      </c>
      <c r="CI202" s="122" t="n">
        <f aca="false">IF(ISNA(VLOOKUP(A202,'Données projet'!$A$113:$I$133,6,0)),0%,VLOOKUP(A202,'Données projet'!$A$113:$I$133,6,0)*VLOOKUP('Données projet'!$B$12,Paramètres!$A$1:$I$89,7,0))</f>
        <v>0</v>
      </c>
      <c r="CJ202" s="122" t="n">
        <f aca="false">IF(ISNA(VLOOKUP(A202,'Données projet'!$A$113:$I$133,7,0)),0%,VLOOKUP(A202,'Données projet'!$A$113:$I$133,7,0))</f>
        <v>0</v>
      </c>
      <c r="CK202" s="129" t="n">
        <f aca="false">EXP(-LN(2)/35)*CK201+(1-EXP(-LN(2)/35))/(LN(2)/35)*CG202*CH202*VLOOKUP('Données projet'!$B$12,Paramètres!$A$1:$I$89,3,0)*0.475*44/12</f>
        <v>0.18527858511689</v>
      </c>
      <c r="CL202" s="129" t="n">
        <f aca="false">EXP(-LN(2)/25)*CL201+(1-EXP(-LN(2)/25))/(LN(2)/25)*Calculateur!CG202*Calculateur!CI202*VLOOKUP('Données projet'!$B$12,Paramètres!$A$1:$I$89,3,0)*0.475*44/12</f>
        <v>0.219684331213364</v>
      </c>
      <c r="CM202" s="129" t="n">
        <f aca="false">EXP(-LN(2)/2)*CM201+(1-EXP(-LN(2)/2))/(LN(2)/2)*CG202*CJ202*VLOOKUP('Données projet'!$B$12,Paramètres!$A$1:$I$89,3,0)*0.475*44/12</f>
        <v>3.52399113767136E-025</v>
      </c>
      <c r="CN202" s="130" t="n">
        <f aca="false">SUM(CK202:CM202)</f>
        <v>0.404962916330254</v>
      </c>
      <c r="CO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8" t="e">
        <f aca="false">VLOOKUP(A202,'Données projet'!$A$139:$I$159,2,0)</f>
        <v>#N/A</v>
      </c>
      <c r="CR202" s="118" t="e">
        <f aca="false">VLOOKUP(A202,'Données projet'!$A$139:$I$159,9,0)</f>
        <v>#N/A</v>
      </c>
      <c r="CS202" s="118" t="e">
        <f aca="false" t="array" ref="CS202:CS202">INDEX(CR:CR,MIN(IF(ISNUMBER(CR202:CR398),ROW(CR202:CR398),"")))</f>
        <v>#N/A</v>
      </c>
      <c r="CT202" s="118" t="n">
        <f aca="false">IF('Données projet'!$A$140&gt;35,CT201+CS202-DB201,IF(A202&lt;'Données projet'!$A$140,$CQ$205^A202,IF(A202='Données projet'!$A$140,'Données projet'!$B$140,CT201+CS202-DB201)))</f>
        <v>-5.6843418860808E-014</v>
      </c>
      <c r="CU202" s="125" t="n">
        <f aca="false">CT202*VLOOKUP('Données projet'!$B$13,Paramètres!$A$1:$I$89,3,0)*VLOOKUP('Données projet'!$B$13,Paramètres!$A$1:$I$89,5,0)</f>
        <v>-3.10365066980012E-014</v>
      </c>
      <c r="CV202" s="117" t="e">
        <f aca="false">EXP(-1.0587+0.8836*LN(CU202)+0.284)</f>
        <v>#VALUE!</v>
      </c>
      <c r="CW202" s="128" t="e">
        <f aca="false">(CU202+CV202)*0.475*44/12</f>
        <v>#VALUE!</v>
      </c>
      <c r="CX202" s="120" t="e">
        <f aca="false">CW202+(CO202+CP202)*44/12</f>
        <v>#VALUE!</v>
      </c>
      <c r="CY202" s="120" t="n">
        <f aca="true">AVERAGE(OFFSET($CX$3,0,0,'Données projet'!$E$13+1,1))-AVERAGE(OFFSET($H$3,0,0,'Données projet'!$E$13+1,1))</f>
        <v>207.023069645676</v>
      </c>
      <c r="CZ202" s="120" t="n">
        <f aca="false">$CZ$3</f>
        <v>342.068879333518</v>
      </c>
      <c r="DA202" s="121" t="n">
        <f aca="false">IF(ISNA(VLOOKUP(A202,'Données projet'!$A$139:$I$159,3,0)),0,VLOOKUP(A202,'Données projet'!$A$139:$I$159,3,0))</f>
        <v>0</v>
      </c>
      <c r="DB202" s="121" t="n">
        <f aca="false">IF(ISNA(VLOOKUP(A202,'Données projet'!$A$139:$I$159,4,0)),0,VLOOKUP(A202,'Données projet'!$A$139:$I$159,4,0))</f>
        <v>0</v>
      </c>
      <c r="DC202" s="122" t="n">
        <f aca="false">IF(ISNA(VLOOKUP(A202,'Données projet'!$A$139:$I$159,5,0)),0%,VLOOKUP(A202,'Données projet'!$A$139:$I$159,5,0)*VLOOKUP('Données projet'!$B$13,Paramètres!$A$1:$I$89,7,0))</f>
        <v>0</v>
      </c>
      <c r="DD202" s="122" t="n">
        <f aca="false">IF(ISNA(VLOOKUP(A202,'Données projet'!$A$139:$I$159,6,0)),0%,VLOOKUP(A202,'Données projet'!$A$139:$I$159,6,0)*VLOOKUP('Données projet'!$B$13,Paramètres!$A$1:$I$89,7,0))</f>
        <v>0</v>
      </c>
      <c r="DE202" s="122" t="n">
        <f aca="false">IF(ISNA(VLOOKUP(A202,'Données projet'!$A$139:$I$159,7,0)),0%,VLOOKUP(A202,'Données projet'!$A$139:$I$159,7,0))</f>
        <v>0</v>
      </c>
      <c r="DF202" s="129" t="n">
        <f aca="false">EXP(-LN(2)/35)*DF201+(1-EXP(-LN(2)/35))/(LN(2)/35)*DB202*DC202*VLOOKUP('Données projet'!$B$13,Paramètres!$A$1:$I$89,3,0)*0.475*44/12</f>
        <v>0.232472186986286</v>
      </c>
      <c r="DG202" s="129" t="n">
        <f aca="false">EXP(-LN(2)/25)*DG201+(1-EXP(-LN(2)/25))/(LN(2)/25)*Calculateur!DB202*Calculateur!DD202*VLOOKUP('Données projet'!$B$13,Paramètres!$A$1:$I$89,3,0)*0.475*44/12</f>
        <v>0.359092385464539</v>
      </c>
      <c r="DH202" s="129" t="n">
        <f aca="false">EXP(-LN(2)/2)*DH201+(1-EXP(-LN(2)/2))/(LN(2)/2)*DB202*DE202*VLOOKUP('Données projet'!$B$13,Paramètres!$A$1:$I$89,3,0)*0.475*44/12</f>
        <v>4.85253743038452E-025</v>
      </c>
      <c r="DI202" s="130" t="n">
        <f aca="false">SUM(DF202:DH202)</f>
        <v>0.591564572450825</v>
      </c>
      <c r="DJ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8" t="e">
        <f aca="false">VLOOKUP(A202,'Données projet'!$A$165:$I$185,2,0)</f>
        <v>#N/A</v>
      </c>
      <c r="DM202" s="118" t="e">
        <f aca="false">VLOOKUP(A202,'Données projet'!$A$165:$I$185,9,0)</f>
        <v>#N/A</v>
      </c>
      <c r="DN202" s="118" t="e">
        <f aca="false" t="array" ref="DN202:DN202">INDEX(DM:DM,MIN(IF(ISNUMBER(DM202:DM398),ROW(DM202:DM398),"")))</f>
        <v>#N/A</v>
      </c>
      <c r="DO202" s="118" t="n">
        <f aca="false">IF('Données projet'!$A$166&gt;35,DO201+DN202-DW201,IF(A202&lt;'Données projet'!$A$166,$DL$205^A202,IF(A202='Données projet'!$A$166,'Données projet'!$B$166,DO201+DN202-DW201)))</f>
        <v>0</v>
      </c>
      <c r="DP202" s="125" t="n">
        <f aca="false">DO202*VLOOKUP('Données projet'!$B$14,Paramètres!$A$1:$I$89,3,0)*VLOOKUP('Données projet'!$B$14,Paramètres!$A$1:$I$89,5,0)</f>
        <v>0</v>
      </c>
      <c r="DQ202" s="117" t="e">
        <f aca="false">EXP(-1.0587+0.8836*LN(DP202)+0.284)</f>
        <v>#VALUE!</v>
      </c>
      <c r="DR202" s="128" t="e">
        <f aca="false">(DP202+DQ202)*0.475*44/12</f>
        <v>#VALUE!</v>
      </c>
      <c r="DS202" s="120" t="e">
        <f aca="false">DR202+(DJ202+DK202)*44/12</f>
        <v>#VALUE!</v>
      </c>
      <c r="DT202" s="120" t="n">
        <f aca="true">AVERAGE(OFFSET($DS$3,0,0,'Données projet'!$E$14+1,1))-AVERAGE(OFFSET($H$3,0,0,'Données projet'!$E$14+1,1))</f>
        <v>549.432320957297</v>
      </c>
      <c r="DU202" s="120" t="n">
        <f aca="false">$DU$3</f>
        <v>280.26155987301</v>
      </c>
      <c r="DV202" s="121" t="n">
        <f aca="false">IF(ISNA(VLOOKUP(A202,'Données projet'!$A$165:$I$185,3,0)),0,VLOOKUP(A202,'Données projet'!$A$165:$I$185,3,0))</f>
        <v>0</v>
      </c>
      <c r="DW202" s="121" t="n">
        <f aca="false">IF(ISNA(VLOOKUP(A202,'Données projet'!$A$165:$I$185,4,0)),0,VLOOKUP(A202,'Données projet'!$A$165:$I$185,4,0))</f>
        <v>0</v>
      </c>
      <c r="DX202" s="122" t="n">
        <f aca="false">IF(ISNA(VLOOKUP(A202,'Données projet'!$A$165:$I$185,5,0)),0%,VLOOKUP(A202,'Données projet'!$A$165:$I$185,5,0)*VLOOKUP('Données projet'!$B$14,Paramètres!$A$1:$I$89,7,0))</f>
        <v>0</v>
      </c>
      <c r="DY202" s="122" t="n">
        <f aca="false">IF(ISNA(VLOOKUP(A202,'Données projet'!$A$165:$I$185,6,0)),0%,VLOOKUP(A202,'Données projet'!$A$165:$I$185,6,0)*VLOOKUP('Données projet'!$B$14,Paramètres!$A$1:$I$89,7,0))</f>
        <v>0</v>
      </c>
      <c r="DZ202" s="122" t="n">
        <f aca="false">IF(ISNA(VLOOKUP(A202,'Données projet'!$A$165:$I$185,7,0)),0%,VLOOKUP(A202,'Données projet'!$A$165:$I$185,7,0))</f>
        <v>0</v>
      </c>
      <c r="EA202" s="129" t="n">
        <f aca="false">EXP(-LN(2)/35)*EA201+(1-EXP(-LN(2)/35))/(LN(2)/35)*DW202*DX202*VLOOKUP('Données projet'!$B$14,Paramètres!$A$1:$I$89,3,0)*0.475*44/12</f>
        <v>0.0845266279715387</v>
      </c>
      <c r="EB202" s="129" t="n">
        <f aca="false">EXP(-LN(2)/25)*EB201+(1-EXP(-LN(2)/25))/(LN(2)/25)*Calculateur!DW202*Calculateur!DY202*VLOOKUP('Données projet'!$B$14,Paramètres!$A$1:$I$89,3,0)*0.475*44/12</f>
        <v>0.0715382879527773</v>
      </c>
      <c r="EC202" s="129" t="n">
        <f aca="false">EXP(-LN(2)/2)*EC201+(1-EXP(-LN(2)/2))/(LN(2)/2)*DW202*DZ202*VLOOKUP('Données projet'!$B$14,Paramètres!$A$1:$I$89,3,0)*0.475*44/12</f>
        <v>2.23691972901839E-025</v>
      </c>
      <c r="ED202" s="130" t="n">
        <f aca="false">SUM(EA202:EC202)</f>
        <v>0.156064915924316</v>
      </c>
      <c r="EE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8" t="e">
        <f aca="false">VLOOKUP(A202,'Données projet'!$A$191:$I$211,2,0)</f>
        <v>#N/A</v>
      </c>
      <c r="EH202" s="118" t="e">
        <f aca="false">VLOOKUP(A202,'Données projet'!$A$191:$I$211,9,0)</f>
        <v>#N/A</v>
      </c>
      <c r="EI202" s="118" t="e">
        <f aca="false" t="array" ref="EI202:EI202">INDEX(EH:EH,MIN(IF(ISNUMBER(EH202:EH398),ROW(EH202:EH398),"")))</f>
        <v>#N/A</v>
      </c>
      <c r="EJ202" s="118" t="n">
        <f aca="false">IF('Données projet'!$A$192&gt;35,EJ201+EI202-ER201,IF(A202&lt;'Données projet'!$A$192,$EG$205^A202,IF(A202='Données projet'!$A$192,'Données projet'!$B$192,EJ201+EI202-ER201)))</f>
        <v>0</v>
      </c>
      <c r="EK202" s="125" t="e">
        <f aca="false">EJ202*VLOOKUP('Données projet'!$B$15,Paramètres!$A$1:$I$89,3,0)*VLOOKUP('Données projet'!$B$15,Paramètres!$A$1:$I$89,5,0)</f>
        <v>#N/A</v>
      </c>
      <c r="EL202" s="117" t="e">
        <f aca="false">EXP(-1.0587+0.8836*LN(EK202)+0.284)</f>
        <v>#N/A</v>
      </c>
      <c r="EM202" s="128" t="e">
        <f aca="false">(EK202+EL202)*0.475*44/12</f>
        <v>#N/A</v>
      </c>
      <c r="EN202" s="120" t="e">
        <f aca="false">EM202+(EE202+EF202)*44/12</f>
        <v>#N/A</v>
      </c>
      <c r="EO202" s="120" t="e">
        <f aca="true">AVERAGE(OFFSET($EN$3,0,0,'Données projet'!$E$15+1,1))-AVERAGE(OFFSET($H$3,0,0,'Données projet'!$E$15+1,1))</f>
        <v>#N/A</v>
      </c>
      <c r="EP202" s="120" t="e">
        <f aca="false">$EP$3</f>
        <v>#N/A</v>
      </c>
      <c r="EQ202" s="121" t="n">
        <f aca="false">IF(ISNA(VLOOKUP(A202,'Données projet'!$A$191:$I$211,3,0)),0,VLOOKUP(A202,'Données projet'!$A$191:$I$211,3,0))</f>
        <v>0</v>
      </c>
      <c r="ER202" s="121" t="n">
        <f aca="false">IF(ISNA(VLOOKUP(A202,'Données projet'!$A$191:$I$211,4,0)),0,VLOOKUP(A202,'Données projet'!$A$191:$I$211,4,0))</f>
        <v>0</v>
      </c>
      <c r="ES202" s="122" t="n">
        <f aca="false">IF(ISNA(VLOOKUP(A202,'Données projet'!$A$191:$I$211,5,0)),0%,VLOOKUP(A202,'Données projet'!$A$191:$I$211,5,0)*VLOOKUP('Données projet'!$B$15,Paramètres!$A$1:$I$89,7,0))</f>
        <v>0</v>
      </c>
      <c r="ET202" s="122" t="n">
        <f aca="false">IF(ISNA(VLOOKUP(A202,'Données projet'!$A$191:$I$211,6,0)),0%,VLOOKUP(A202,'Données projet'!$A$191:$I$211,6,0)*VLOOKUP('Données projet'!$B$15,Paramètres!$A$1:$I$89,7,0))</f>
        <v>0</v>
      </c>
      <c r="EU202" s="122" t="n">
        <f aca="false">IF(ISNA(VLOOKUP(A202,'Données projet'!$A$191:$I$211,7,0)),0%,VLOOKUP(A202,'Données projet'!$A$191:$I$211,7,0))</f>
        <v>0</v>
      </c>
      <c r="EV202" s="129" t="e">
        <f aca="false">EXP(-LN(2)/35)*EV201+(1-EXP(-LN(2)/35))/(LN(2)/35)*ER202*ES202*VLOOKUP('Données projet'!$B$15,Paramètres!$A$1:$I$89,3,0)*0.475*44/12</f>
        <v>#N/A</v>
      </c>
      <c r="EW202" s="129" t="e">
        <f aca="false">EXP(-LN(2)/25)*EW201+(1-EXP(-LN(2)/25))/(LN(2)/25)*Calculateur!ER202*Calculateur!ET202*VLOOKUP('Données projet'!$B$15,Paramètres!$A$1:$I$89,3,0)*0.475*44/12</f>
        <v>#N/A</v>
      </c>
      <c r="EX202" s="129" t="e">
        <f aca="false">EXP(-LN(2)/2)*EX201+(1-EXP(-LN(2)/2))/(LN(2)/2)*ER202*EU202*VLOOKUP('Données projet'!$B$15,Paramètres!$A$1:$I$89,3,0)*0.475*44/12</f>
        <v>#N/A</v>
      </c>
      <c r="EY202" s="130" t="e">
        <f aca="false">SUM(EV202:EX202)</f>
        <v>#N/A</v>
      </c>
      <c r="EZ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8" t="e">
        <f aca="false">VLOOKUP(A202,'Données projet'!$A$217:$I$237,2,0)</f>
        <v>#N/A</v>
      </c>
      <c r="FC202" s="118" t="e">
        <f aca="false">VLOOKUP(A202,'Données projet'!$A$217:$I$237,9,0)</f>
        <v>#N/A</v>
      </c>
      <c r="FD202" s="118" t="e">
        <f aca="false" t="array" ref="FD202:FD202">INDEX(FC:FC,MIN(IF(ISNUMBER(FC202:FC398),ROW(FC202:FC398),"")))</f>
        <v>#N/A</v>
      </c>
      <c r="FE202" s="118" t="n">
        <f aca="false">IF('Données projet'!$A$218&gt;35,FE201+FD202-FM201,IF(A202&lt;'Données projet'!$A$218,$FB$205^A202,IF(A202='Données projet'!$A$218,'Données projet'!$B$218,FE201+FD202-FM201)))</f>
        <v>0</v>
      </c>
      <c r="FF202" s="125" t="e">
        <f aca="false">FE202*VLOOKUP('Données projet'!$B$16,Paramètres!$A$1:$I$89,3,0)*VLOOKUP('Données projet'!$B$16,Paramètres!$A$1:$I$89,5,0)</f>
        <v>#N/A</v>
      </c>
      <c r="FG202" s="117" t="e">
        <f aca="false">EXP(-1.0587+0.8836*LN(FF202)+0.284)</f>
        <v>#N/A</v>
      </c>
      <c r="FH202" s="128" t="e">
        <f aca="false">(FF202+FG202)*0.475*44/12</f>
        <v>#N/A</v>
      </c>
      <c r="FI202" s="120" t="e">
        <f aca="false">FH202+(EZ202+FA202)*44/12</f>
        <v>#N/A</v>
      </c>
      <c r="FJ202" s="120" t="e">
        <f aca="true">AVERAGE(OFFSET($FI$3,0,0,'Données projet'!$E$16+1,1))-AVERAGE(OFFSET($H$3,0,0,'Données projet'!$E$16+1,1))</f>
        <v>#N/A</v>
      </c>
      <c r="FK202" s="120" t="e">
        <f aca="false">$FK$3</f>
        <v>#N/A</v>
      </c>
      <c r="FL202" s="121" t="n">
        <f aca="false">IF(ISNA(VLOOKUP(A202,'Données projet'!$A$217:$I$237,3,0)),0,VLOOKUP(A202,'Données projet'!$A$217:$I$237,3,0))</f>
        <v>0</v>
      </c>
      <c r="FM202" s="121" t="n">
        <f aca="false">IF(ISNA(VLOOKUP(A202,'Données projet'!$A$217:$I$237,4,0)),0,VLOOKUP(A202,'Données projet'!$A$217:$I$237,4,0))</f>
        <v>0</v>
      </c>
      <c r="FN202" s="122" t="n">
        <f aca="false">IF(ISNA(VLOOKUP(A202,'Données projet'!$A$217:$I$237,5,0)),0%,VLOOKUP(A202,'Données projet'!$A$217:$I$237,5,0)*VLOOKUP('Données projet'!$B$16,Paramètres!$A$1:$I$89,7,0))</f>
        <v>0</v>
      </c>
      <c r="FO202" s="122" t="n">
        <f aca="false">IF(ISNA(VLOOKUP(A202,'Données projet'!$A$217:$I$237,6,0)),0%,VLOOKUP(A202,'Données projet'!$A$217:$I$237,6,0)*VLOOKUP('Données projet'!$B$16,Paramètres!$A$1:$I$89,7,0))</f>
        <v>0</v>
      </c>
      <c r="FP202" s="122" t="n">
        <f aca="false">IF(ISNA(VLOOKUP(A202,'Données projet'!$A$217:$I$237,7,0)),0%,VLOOKUP(A202,'Données projet'!$A$217:$I$237,7,0))</f>
        <v>0</v>
      </c>
      <c r="FQ202" s="129" t="e">
        <f aca="false">EXP(-LN(2)/35)*FQ201+(1-EXP(-LN(2)/35))/(LN(2)/35)*FM202*FN202*VLOOKUP('Données projet'!$B$16,Paramètres!$A$1:$I$89,3,0)*0.475*44/12</f>
        <v>#N/A</v>
      </c>
      <c r="FR202" s="129" t="e">
        <f aca="false">EXP(-LN(2)/25)*FR201+(1-EXP(-LN(2)/25))/(LN(2)/25)*Calculateur!FM202*Calculateur!FO202*VLOOKUP('Données projet'!$B$16,Paramètres!$A$1:$I$89,3,0)*0.475*44/12</f>
        <v>#N/A</v>
      </c>
      <c r="FS202" s="129" t="e">
        <f aca="false">EXP(-LN(2)/2)*FS201+(1-EXP(-LN(2)/2))/(LN(2)/2)*FM202*FP202*VLOOKUP('Données projet'!$B$16,Paramètres!$A$1:$I$89,3,0)*0.475*44/12</f>
        <v>#N/A</v>
      </c>
      <c r="FT202" s="130" t="e">
        <f aca="false">SUM(FQ202:FS202)</f>
        <v>#N/A</v>
      </c>
      <c r="FU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8" t="e">
        <f aca="false">VLOOKUP(A202,'Données projet'!$A$243:$I$263,2,0)</f>
        <v>#N/A</v>
      </c>
      <c r="FX202" s="118" t="e">
        <f aca="false">VLOOKUP(A202,'Données projet'!$A$243:$I$263,9,0)</f>
        <v>#N/A</v>
      </c>
      <c r="FY202" s="118" t="e">
        <f aca="false" t="array" ref="FY202:FY202">INDEX(FX:FX,MIN(IF(ISNUMBER(FX202:FX398),ROW(FX202:FX398),"")))</f>
        <v>#N/A</v>
      </c>
      <c r="FZ202" s="118" t="n">
        <f aca="false">IF('Données projet'!$A$244&gt;35,FZ201+FY202-GH201,IF(A202&lt;'Données projet'!$A$244,$FW$205^A202,IF(A202='Données projet'!$A$244,'Données projet'!$B$244,FZ201+FY202-GH201)))</f>
        <v>0</v>
      </c>
      <c r="GA202" s="125" t="e">
        <f aca="false">FZ202*VLOOKUP('Données projet'!$B$17,Paramètres!$A$1:$I$89,3,0)*VLOOKUP('Données projet'!$B$17,Paramètres!$A$1:$I$89,5,0)</f>
        <v>#N/A</v>
      </c>
      <c r="GB202" s="117" t="e">
        <f aca="false">EXP(-1.0587+0.8836*LN(GA202)+0.284)</f>
        <v>#N/A</v>
      </c>
      <c r="GC202" s="128" t="e">
        <f aca="false">(GA202+GB202)*0.475*44/12</f>
        <v>#N/A</v>
      </c>
      <c r="GD202" s="120" t="e">
        <f aca="false">GC202+(FU202+FV202)*44/12</f>
        <v>#N/A</v>
      </c>
      <c r="GE202" s="120" t="e">
        <f aca="true">AVERAGE(OFFSET($GD$3,0,0,'Données projet'!$E$17+1,1))-AVERAGE(OFFSET($H$3,0,0,'Données projet'!$E$17+1,1))</f>
        <v>#N/A</v>
      </c>
      <c r="GF202" s="120" t="e">
        <f aca="false">$GF$3</f>
        <v>#N/A</v>
      </c>
      <c r="GG202" s="121" t="n">
        <f aca="false">IF(ISNA(VLOOKUP(A202,'Données projet'!$A$243:$I$263,3,0)),0,VLOOKUP(A202,'Données projet'!$A$243:$I$263,3,0))</f>
        <v>0</v>
      </c>
      <c r="GH202" s="121" t="n">
        <f aca="false">IF(ISNA(VLOOKUP(A202,'Données projet'!$A$243:$I$263,4,0)),0,VLOOKUP(A202,'Données projet'!$A$243:$I$263,4,0))</f>
        <v>0</v>
      </c>
      <c r="GI202" s="122" t="n">
        <f aca="false">IF(ISNA(VLOOKUP(A202,'Données projet'!$A$243:$I$263,5,0)),0%,VLOOKUP(A202,'Données projet'!$A$243:$I$263,5,0)*VLOOKUP('Données projet'!$B$17,Paramètres!$A$1:$I$89,7,0))</f>
        <v>0</v>
      </c>
      <c r="GJ202" s="122" t="n">
        <f aca="false">IF(ISNA(VLOOKUP(A202,'Données projet'!$A$243:$I$263,6,0)),0%,VLOOKUP(A202,'Données projet'!$A$243:$I$263,6,0)*VLOOKUP('Données projet'!$B$17,Paramètres!$A$1:$I$89,7,0))</f>
        <v>0</v>
      </c>
      <c r="GK202" s="122" t="n">
        <f aca="false">IF(ISNA(VLOOKUP(A202,'Données projet'!$A$243:$I$263,7,0)),0%,VLOOKUP(A202,'Données projet'!$A$243:$I$263,7,0))</f>
        <v>0</v>
      </c>
      <c r="GL202" s="129" t="e">
        <f aca="false">EXP(-LN(2)/35)*GL201+(1-EXP(-LN(2)/35))/(LN(2)/35)*GH202*GI202*VLOOKUP('Données projet'!$B$17,Paramètres!$A$1:$I$89,3,0)*0.475*44/12</f>
        <v>#N/A</v>
      </c>
      <c r="GM202" s="129" t="e">
        <f aca="false">EXP(-LN(2)/25)*GM201+(1-EXP(-LN(2)/25))/(LN(2)/25)*Calculateur!GH202*Calculateur!GJ202*VLOOKUP('Données projet'!$B$17,Paramètres!$A$1:$I$89,3,0)*0.475*44/12</f>
        <v>#N/A</v>
      </c>
      <c r="GN202" s="129" t="e">
        <f aca="false">EXP(-LN(2)/2)*GN201+(1-EXP(-LN(2)/2))/(LN(2)/2)*GH202*GK202*VLOOKUP('Données projet'!$B$17,Paramètres!$A$1:$I$89,3,0)*0.475*44/12</f>
        <v>#N/A</v>
      </c>
      <c r="GO202" s="129" t="e">
        <f aca="false">SUM(GL202:GN202)</f>
        <v>#N/A</v>
      </c>
      <c r="GP202" s="126" t="n">
        <f aca="false"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8" t="n">
        <f aca="false"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8" t="e">
        <f aca="false">VLOOKUP(A202,'Données projet'!$A$269:$I$289,2,0)</f>
        <v>#N/A</v>
      </c>
      <c r="GS202" s="118" t="e">
        <f aca="false">VLOOKUP(A202,'Données projet'!$A$269:$I$289,9,0)</f>
        <v>#N/A</v>
      </c>
      <c r="GT202" s="118" t="e">
        <f aca="false" t="array" ref="GT202:GT202">INDEX(GS:GS,MIN(IF(ISNUMBER(GS202:GS398),ROW(GS202:GS398),"")))</f>
        <v>#N/A</v>
      </c>
      <c r="GU202" s="118" t="n">
        <f aca="false">IF('Données projet'!$A$270&gt;35,GU201+GT202-HC201,IF(A202&lt;'Données projet'!$A$270,$GR$205^A202,IF(A202='Données projet'!$A$270,'Données projet'!$B$270,GU201+GT202-HC201)))</f>
        <v>0</v>
      </c>
      <c r="GV202" s="125" t="e">
        <f aca="false">GU202*VLOOKUP('Données projet'!$B$18,Paramètres!$A$1:$I$89,3,0)*VLOOKUP('Données projet'!$B$18,Paramètres!$A$1:$I$89,5,0)</f>
        <v>#N/A</v>
      </c>
      <c r="GW202" s="117" t="e">
        <f aca="false">EXP(-1.0587+0.8836*LN(GV202)+0.284)</f>
        <v>#N/A</v>
      </c>
      <c r="GX202" s="128" t="e">
        <f aca="false">(GV202+GW202)*0.475*44/12</f>
        <v>#N/A</v>
      </c>
      <c r="GY202" s="120" t="e">
        <f aca="false">GX202+(GP202+GQ202)*44/12</f>
        <v>#N/A</v>
      </c>
      <c r="GZ202" s="120" t="e">
        <f aca="true">AVERAGE(OFFSET($GY$3,0,0,'Données projet'!$E$18+1,1))-AVERAGE(OFFSET($H$3,0,0,'Données projet'!$E$18+1,1))</f>
        <v>#N/A</v>
      </c>
      <c r="HA202" s="120" t="e">
        <f aca="false">$HA$3</f>
        <v>#N/A</v>
      </c>
      <c r="HB202" s="121" t="n">
        <f aca="false">IF(ISNA(VLOOKUP(A202,'Données projet'!$A$269:$I$289,3,0)),0,VLOOKUP(A202,'Données projet'!$A$269:$I$289,3,0))</f>
        <v>0</v>
      </c>
      <c r="HC202" s="121" t="n">
        <f aca="false">IF(ISNA(VLOOKUP(A202,'Données projet'!$A$269:$I$289,4,0)),0,VLOOKUP(A202,'Données projet'!$A$269:$I$289,4,0))</f>
        <v>0</v>
      </c>
      <c r="HD202" s="122" t="n">
        <f aca="false">IF(ISNA(VLOOKUP(A202,'Données projet'!$A$269:$I$289,5,0)),0%,VLOOKUP(A202,'Données projet'!$A$269:$I$289,5,0)*VLOOKUP('Données projet'!$B$18,Paramètres!$A$1:$I$89,7,0))</f>
        <v>0</v>
      </c>
      <c r="HE202" s="122" t="n">
        <f aca="false">IF(ISNA(VLOOKUP(A202,'Données projet'!$A$269:$I$289,6,0)),0%,VLOOKUP(A202,'Données projet'!$A$269:$I$289,6,0)*VLOOKUP('Données projet'!$B$18,Paramètres!$A$1:$I$89,7,0))</f>
        <v>0</v>
      </c>
      <c r="HF202" s="122" t="n">
        <f aca="false">IF(ISNA(VLOOKUP(A202,'Données projet'!$A$269:$I$289,7,0)),0%,VLOOKUP(A202,'Données projet'!$A$269:$I$289,7,0))</f>
        <v>0</v>
      </c>
      <c r="HG202" s="129" t="e">
        <f aca="false">EXP(-LN(2)/35)*HG201+(1-EXP(-LN(2)/35))/(LN(2)/35)*HC202*HD202*VLOOKUP('Données projet'!$B$18,Paramètres!$A$1:$I$89,3,0)*0.475*44/12</f>
        <v>#N/A</v>
      </c>
      <c r="HH202" s="129" t="e">
        <f aca="false">EXP(-LN(2)/25)*HH201+(1-EXP(-LN(2)/25))/(LN(2)/25)*Calculateur!HC202*Calculateur!HE202*VLOOKUP('Données projet'!$B$18,Paramètres!$A$1:$I$89,3,0)*0.475*44/12</f>
        <v>#N/A</v>
      </c>
      <c r="HI202" s="129" t="e">
        <f aca="false">EXP(-LN(2)/2)*HI201+(1-EXP(-LN(2)/2))/(LN(2)/2)*HC202*HF202*VLOOKUP('Données projet'!$B$18,Paramètres!$A$1:$I$89,3,0)*0.475*44/12</f>
        <v>#N/A</v>
      </c>
      <c r="HJ202" s="130" t="e">
        <f aca="false">SUM(HG202:HI202)</f>
        <v>#N/A</v>
      </c>
    </row>
    <row r="203" customFormat="false" ht="15" hidden="false" customHeight="false" outlineLevel="0" collapsed="false">
      <c r="A203" s="112" t="n">
        <f aca="false">A202+1</f>
        <v>200</v>
      </c>
      <c r="B203" s="113" t="n">
        <f aca="false">'Scénario référence'!$B$16*5+'Scénario référence'!$B$17*0+'Scénario référence'!$B$18*5</f>
        <v>0</v>
      </c>
      <c r="C203" s="127" t="n">
        <f aca="false"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4" t="n">
        <f aca="false">IFERROR(EXP(-1.0587+0.8836*LN(C203)+0.284),0)</f>
        <v>0</v>
      </c>
      <c r="E203" s="114" t="n">
        <f aca="false">'Scénario référence'!$B$16*45+('Scénario référence'!$B$17+'Scénario référence'!$F$8+'Scénario référence'!$F$9+'Scénario référence'!$B$10+'Scénario référence'!$B$9)*70+'Scénario référence'!$B$18*32</f>
        <v>70</v>
      </c>
      <c r="F203" s="114" t="n">
        <f aca="false">IF(OR('Scénario référence'!$F$8&gt;0,'Scénario référence'!$F$9&gt;0),('Scénario référence'!$F$8+'Scénario référence'!$F$9)*10,0)</f>
        <v>0</v>
      </c>
      <c r="G203" s="114" t="n">
        <f aca="false"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15" t="n">
        <f aca="false">(B203+E203+F203)*44/12+(C203+D203)*0.475*44/12</f>
        <v>256.666666666667</v>
      </c>
      <c r="I203" s="11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7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8" t="e">
        <f aca="false">VLOOKUP(A203,'Données projet'!$A$35:$I$55,2,0)</f>
        <v>#N/A</v>
      </c>
      <c r="L203" s="118" t="e">
        <f aca="false">VLOOKUP(A203,'Données projet'!$A$35:$I$55,9,0)</f>
        <v>#N/A</v>
      </c>
      <c r="M203" s="118" t="e">
        <f aca="false" t="array" ref="M203:M203">INDEX(L:L,MIN(IF(ISNUMBER(L203:L399),ROW(L203:L399),"")))</f>
        <v>#N/A</v>
      </c>
      <c r="N203" s="117" t="n">
        <f aca="false">IF('Données projet'!$A$36&gt;35,N202+M203-V202,IF(A203&lt;'Données projet'!$A$36,$K$205^A203,IF(A203='Données projet'!$A$36,'Données projet'!$B$36,N202+M203-V202)))</f>
        <v>-1.13686837721616E-013</v>
      </c>
      <c r="O203" s="117" t="n">
        <f aca="false">N203*VLOOKUP('Données projet'!$B$9,Paramètres!$A$1:$I$89,3,0)*VLOOKUP('Données projet'!$B$9,Paramètres!$A$1:$I$89,5,0)</f>
        <v>-5.32054400537163E-014</v>
      </c>
      <c r="P203" s="117" t="e">
        <f aca="false">EXP(-1.0587+0.8836*LN(O203)+0.284)</f>
        <v>#VALUE!</v>
      </c>
      <c r="Q203" s="128" t="e">
        <f aca="false">(O203+P203)*0.475*44/12</f>
        <v>#VALUE!</v>
      </c>
      <c r="R203" s="120" t="e">
        <f aca="false">Q203+(I203+J203)*44/12</f>
        <v>#VALUE!</v>
      </c>
      <c r="S203" s="120" t="n">
        <f aca="true">AVERAGE(OFFSET($R$3,0,0,'Données projet'!$E$9+1,1))-AVERAGE(OFFSET($H$3,0,0,'Données projet'!$E$9+1,1))</f>
        <v>319.229030946746</v>
      </c>
      <c r="T203" s="120" t="n">
        <f aca="false">$T$3</f>
        <v>254.586909731428</v>
      </c>
      <c r="U203" s="121" t="n">
        <f aca="false">IF(ISNA(VLOOKUP(A203,'Données projet'!$A$35:$I$55,3,0)),0,VLOOKUP(A203,'Données projet'!$A$35:$I$55,3,0))</f>
        <v>0</v>
      </c>
      <c r="V203" s="121" t="n">
        <f aca="false">IF(ISNA(VLOOKUP(A203,'Données projet'!$A$35:$I$55,4,0)),0,VLOOKUP(A203,'Données projet'!$A$35:$I$55,4,0))</f>
        <v>0</v>
      </c>
      <c r="W203" s="122" t="n">
        <f aca="false">IF(ISNA(VLOOKUP(A203,'Données projet'!$A$35:$I$55,5,0)),0%,VLOOKUP(A203,'Données projet'!$A$35:$I$55,5,0)*VLOOKUP('Données projet'!$B$9,Paramètres!$A$1:$I$89,7,0))</f>
        <v>0</v>
      </c>
      <c r="X203" s="122" t="n">
        <f aca="false">IF(ISNA(VLOOKUP(A203,'Données projet'!$A$35:$I$55,6,0)),0%,VLOOKUP(A203,'Données projet'!$A$35:$I$55,6,0)*VLOOKUP('Données projet'!$B$9,Paramètres!$A$1:$I$89,7,0))</f>
        <v>0</v>
      </c>
      <c r="Y203" s="122" t="n">
        <f aca="false">IF(ISNA(VLOOKUP(A203,'Données projet'!$A$35:$I$55,7,0)),0%,VLOOKUP(A203,'Données projet'!$A$35:$I$55,7,0))</f>
        <v>0</v>
      </c>
      <c r="Z203" s="129" t="n">
        <f aca="false">EXP(-LN(2)/35)*Z202+(1-EXP(-LN(2)/35))/(LN(2)/35)*V203*W203*VLOOKUP('Données projet'!$B$9,Paramètres!$A$1:$I$89,3,0)*0.475*44/12</f>
        <v>0.313153154940705</v>
      </c>
      <c r="AA203" s="129" t="n">
        <f aca="false">EXP(-LN(2)/25)*AA202+(1-EXP(-LN(2)/25))/(LN(2)/25)*Calculateur!V203*Calculateur!X203*VLOOKUP('Données projet'!$B$9,Paramètres!$A$1:$I$89,3,0)*0.475*44/12</f>
        <v>0.100074243663726</v>
      </c>
      <c r="AB203" s="129" t="n">
        <f aca="false">EXP(-LN(2)/2)*AB202+(1-EXP(-LN(2)/2))/(LN(2)/2)*V203*Y203*VLOOKUP('Données projet'!$B$9,Paramètres!$A$1:$I$89,3,0)*0.475*44/12</f>
        <v>2.85458184872303E-025</v>
      </c>
      <c r="AC203" s="130" t="n">
        <f aca="false">SUM(Z203:AB203)</f>
        <v>0.413227398604431</v>
      </c>
      <c r="AD203" s="117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7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8" t="e">
        <f aca="false">VLOOKUP(A203,'Données projet'!$A$61:$I$81,2,0)</f>
        <v>#N/A</v>
      </c>
      <c r="AG203" s="118" t="e">
        <f aca="false">VLOOKUP(A203,'Données projet'!$A$61:$I$81,9,0)</f>
        <v>#N/A</v>
      </c>
      <c r="AH203" s="118" t="e">
        <f aca="false" t="array" ref="AH203:AH203">INDEX(AG:AG,MIN(IF(ISNUMBER(AG203:AG399),ROW(AG203:AG399),"")))</f>
        <v>#N/A</v>
      </c>
      <c r="AI203" s="117" t="n">
        <f aca="false">IF('Données projet'!$A$62&gt;35,AI202+AH203-AQ202,IF(A203&lt;'Données projet'!$A$62,$AF$205^A203,IF(A203='Données projet'!$A$62,'Données projet'!$B$62,AI202+AH203-AQ202)))</f>
        <v>1.13686837721616E-013</v>
      </c>
      <c r="AJ203" s="117" t="n">
        <f aca="false">AI203*VLOOKUP('Données projet'!$B$10,Paramètres!$A$1:$I$89,3,0)*VLOOKUP('Données projet'!$B$10,Paramètres!$A$1:$I$89,5,0)</f>
        <v>6.35509422863834E-014</v>
      </c>
      <c r="AK203" s="117" t="n">
        <f aca="false">EXP(-1.0587+0.8836*LN(AJ203)+0.284)</f>
        <v>1.0064464192544E-012</v>
      </c>
      <c r="AL203" s="128" t="n">
        <f aca="false">(AJ203+AK203)*0.475*44/12</f>
        <v>1.86357873801686E-012</v>
      </c>
      <c r="AM203" s="120" t="n">
        <f aca="false">AL203+(AD203+AE203)*44/12</f>
        <v>293.333333333335</v>
      </c>
      <c r="AN203" s="120" t="n">
        <f aca="true">AVERAGE(OFFSET($AM$3,0,0,'Données projet'!$E$10+1,1))-AVERAGE(OFFSET($H$3,0,0,'Données projet'!$E$10+1,1))</f>
        <v>365.705101827279</v>
      </c>
      <c r="AO203" s="120" t="n">
        <f aca="false">$AO$3</f>
        <v>436.238338449625</v>
      </c>
      <c r="AP203" s="121" t="n">
        <f aca="false">IF(ISNA(VLOOKUP(A203,'Données projet'!$A$61:$I$81,3,0)),0,VLOOKUP(A203,'Données projet'!$A$61:$I$81,3,0))</f>
        <v>0</v>
      </c>
      <c r="AQ203" s="121" t="n">
        <f aca="false">IF(ISNA(VLOOKUP(A203,'Données projet'!$A$61:$I$81,4,0)),0,VLOOKUP(A203,'Données projet'!$A$61:$I$81,4,0))</f>
        <v>0</v>
      </c>
      <c r="AR203" s="122" t="n">
        <f aca="false">IF(ISNA(VLOOKUP(A203,'Données projet'!$A$61:$I$81,5,0)),0%,VLOOKUP(A203,'Données projet'!$A$61:$I$81,5,0)*VLOOKUP('Données projet'!$B$10,Paramètres!$A$1:$I$89,7,0))</f>
        <v>0</v>
      </c>
      <c r="AS203" s="122" t="n">
        <f aca="false">IF(ISNA(VLOOKUP(A203,'Données projet'!$A$61:$I$81,6,0)),0%,VLOOKUP(A203,'Données projet'!$A$61:$I$81,6,0)*VLOOKUP('Données projet'!$B$10,Paramètres!$A$1:$I$89,7,0))</f>
        <v>0</v>
      </c>
      <c r="AT203" s="122" t="n">
        <f aca="false">IF(ISNA(VLOOKUP(A203,'Données projet'!$A$61:$I$81,7,0)),0%,VLOOKUP(A203,'Données projet'!$A$61:$I$81,7,0))</f>
        <v>0</v>
      </c>
      <c r="AU203" s="129" t="n">
        <f aca="false">EXP(-LN(2)/35)*AU202+(1-EXP(-LN(2)/35))/(LN(2)/35)*AQ203*AR203*VLOOKUP('Données projet'!$B$10,Paramètres!$A$1:$I$89,3,0)*0.475*44/12</f>
        <v>0.118205163123393</v>
      </c>
      <c r="AV203" s="129" t="n">
        <f aca="false">EXP(-LN(2)/25)*AV202+(1-EXP(-LN(2)/25))/(LN(2)/25)*Calculateur!AQ203*Calculateur!AS203*VLOOKUP('Données projet'!$B$10,Paramètres!$A$1:$I$89,3,0)*0.475*44/12</f>
        <v>0.118532530617646</v>
      </c>
      <c r="AW203" s="129" t="n">
        <f aca="false">EXP(-LN(2)/2)*AW202+(1-EXP(-LN(2)/2))/(LN(2)/2)*AQ203*AT203*VLOOKUP('Données projet'!$B$10,Paramètres!$A$1:$I$89,3,0)*0.475*44/12</f>
        <v>1.536246731719E-025</v>
      </c>
      <c r="AX203" s="129" t="n">
        <f aca="false">SUM(AU203:AW203)</f>
        <v>0.236737693741039</v>
      </c>
      <c r="AY203" s="124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8" t="e">
        <f aca="false">VLOOKUP(A203,'Données projet'!$A$87:$I$107,2,0)</f>
        <v>#N/A</v>
      </c>
      <c r="BB203" s="118" t="e">
        <f aca="false">VLOOKUP(A203,'Données projet'!$A$87:$I$107,9,0)</f>
        <v>#N/A</v>
      </c>
      <c r="BC203" s="118" t="e">
        <f aca="false" t="array" ref="BC203:BC203">INDEX(BB:BB,MIN(IF(ISNUMBER(BB203:BB399),ROW(BB203:BB399),"")))</f>
        <v>#N/A</v>
      </c>
      <c r="BD203" s="118" t="n">
        <f aca="false">IF('Données projet'!$A$88&gt;35,BD202+BC203-BL202,IF(A203&lt;'Données projet'!$A$88,$BA$205^A203,IF(A203='Données projet'!$A$88,'Données projet'!$B$88,BD202+BC203-BL202)))</f>
        <v>1.98951966012828E-013</v>
      </c>
      <c r="BE203" s="117" t="n">
        <f aca="false">BD203*VLOOKUP('Données projet'!$B$11,Paramètres!$A$1:$I$89,3,0)*VLOOKUP('Données projet'!$B$11,Paramètres!$A$1:$I$89,5,0)</f>
        <v>1.73804437508807E-013</v>
      </c>
      <c r="BF203" s="117" t="n">
        <f aca="false">EXP(-1.0587+0.8836*LN(BE203)+0.284)</f>
        <v>2.44832936339505E-012</v>
      </c>
      <c r="BG203" s="128" t="n">
        <f aca="false">(BE203+BF203)*0.475*44/12</f>
        <v>4.56688303657421E-012</v>
      </c>
      <c r="BH203" s="120" t="n">
        <f aca="false">BG203+(AY203+AZ203)*44/12</f>
        <v>293.333333333338</v>
      </c>
      <c r="BI203" s="120" t="n">
        <f aca="true">AVERAGE(OFFSET($BH$3,0,0,'Données projet'!$E$11+1,1))-AVERAGE(OFFSET($H$3,0,0,'Données projet'!$E$11+1,1))</f>
        <v>321.235999689929</v>
      </c>
      <c r="BJ203" s="120" t="n">
        <f aca="false">$BJ$3</f>
        <v>388.051958478005</v>
      </c>
      <c r="BK203" s="121" t="n">
        <f aca="false">IF(ISNA(VLOOKUP(A203,'Données projet'!$A$87:$I$107,3,0)),0,VLOOKUP(A203,'Données projet'!$A$87:$I$107,3,0))</f>
        <v>0</v>
      </c>
      <c r="BL203" s="121" t="n">
        <f aca="false">IF(ISNA(VLOOKUP(A203,'Données projet'!$A$87:$I$107,4,0)),0,VLOOKUP(A203,'Données projet'!$A$87:$I$107,4,0))</f>
        <v>0</v>
      </c>
      <c r="BM203" s="122" t="n">
        <f aca="false">IF(ISNA(VLOOKUP(A203,'Données projet'!$A$87:$I$107,5,0)),0%,VLOOKUP(A203,'Données projet'!$A$87:$I$107,5,0)*VLOOKUP('Données projet'!$B$11,Paramètres!$A$1:$I$89,7,0))</f>
        <v>0</v>
      </c>
      <c r="BN203" s="122" t="n">
        <f aca="false">IF(ISNA(VLOOKUP(A203,'Données projet'!$A$87:$I$107,6,0)),0%,VLOOKUP(A203,'Données projet'!$A$87:$I$107,6,0)*VLOOKUP('Données projet'!$B$11,Paramètres!$A$1:$I$89,7,0))</f>
        <v>0</v>
      </c>
      <c r="BO203" s="122" t="n">
        <f aca="false">IF(ISNA(VLOOKUP(A203,'Données projet'!$A$87:$I$107,7,0)),0%,VLOOKUP(A203,'Données projet'!$A$87:$I$107,7,0))</f>
        <v>0</v>
      </c>
      <c r="BP203" s="129" t="n">
        <f aca="false">EXP(-LN(2)/35)*BP202+(1-EXP(-LN(2)/35))/(LN(2)/35)*BL203*BM203*VLOOKUP('Données projet'!$B$11,Paramètres!$A$1:$I$89,3,0)*0.475*44/12</f>
        <v>0.296768406448416</v>
      </c>
      <c r="BQ203" s="129" t="n">
        <f aca="false">EXP(-LN(2)/25)*BQ202+(1-EXP(-LN(2)/25))/(LN(2)/25)*Calculateur!BL203*Calculateur!BN203*VLOOKUP('Données projet'!$B$11,Paramètres!$A$1:$I$89,3,0)*0.475*44/12</f>
        <v>0.120990966857462</v>
      </c>
      <c r="BR203" s="129" t="n">
        <f aca="false">EXP(-LN(2)/2)*BR202+(1-EXP(-LN(2)/2))/(LN(2)/2)*BL203*BO203*VLOOKUP('Données projet'!$B$11,Paramètres!$A$1:$I$89,3,0)*0.475*44/12</f>
        <v>1.56156287137319E-025</v>
      </c>
      <c r="BS203" s="130" t="n">
        <f aca="false">SUM(BP203:BR203)</f>
        <v>0.417759373305878</v>
      </c>
      <c r="BT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8" t="e">
        <f aca="false">VLOOKUP(A203,'Données projet'!$A$113:$I$133,2,0)</f>
        <v>#N/A</v>
      </c>
      <c r="BW203" s="118" t="e">
        <f aca="false">VLOOKUP(A203,'Données projet'!$A$113:$I$133,9,0)</f>
        <v>#N/A</v>
      </c>
      <c r="BX203" s="118" t="e">
        <f aca="false" t="array" ref="BX203:BX203">INDEX(BW:BW,MIN(IF(ISNUMBER(BW203:BW399),ROW(BW203:BW399),"")))</f>
        <v>#N/A</v>
      </c>
      <c r="BY203" s="118" t="n">
        <f aca="false">IF('Données projet'!$A$114&gt;35,BY202+BX203-CG202,IF(A203&lt;'Données projet'!$A$114,$BV$205^A203,IF(A203='Données projet'!$A$114,'Données projet'!$B$114,BY202+BX203-CG202)))</f>
        <v>0</v>
      </c>
      <c r="BZ203" s="117" t="n">
        <f aca="false">BY203*VLOOKUP('Données projet'!$B$12,Paramètres!$A$1:$I$89,3,0)*VLOOKUP('Données projet'!$B$12,Paramètres!$A$1:$I$89,5,0)</f>
        <v>0</v>
      </c>
      <c r="CA203" s="117" t="e">
        <f aca="false">EXP(-1.0587+0.8836*LN(BZ203)+0.284)</f>
        <v>#VALUE!</v>
      </c>
      <c r="CB203" s="128" t="e">
        <f aca="false">(BZ203+CA203)*0.475*44/12</f>
        <v>#VALUE!</v>
      </c>
      <c r="CC203" s="120" t="e">
        <f aca="false">CB203+(BT203+BU203)*44/12</f>
        <v>#VALUE!</v>
      </c>
      <c r="CD203" s="120" t="n">
        <f aca="true">AVERAGE(OFFSET($CC$3,0,0,'Données projet'!$E$12+1,1))-AVERAGE(OFFSET($H$3,0,0,'Données projet'!$E$12+1,1))</f>
        <v>240.228848647662</v>
      </c>
      <c r="CE203" s="120" t="n">
        <f aca="false">$CE$3</f>
        <v>343.237768841432</v>
      </c>
      <c r="CF203" s="121" t="n">
        <f aca="false">IF(ISNA(VLOOKUP(A203,'Données projet'!$A$113:$I$133,3,0)),0,VLOOKUP(A203,'Données projet'!$A$113:$I$133,3,0))</f>
        <v>0</v>
      </c>
      <c r="CG203" s="121" t="n">
        <f aca="false">IF(ISNA(VLOOKUP(A203,'Données projet'!$A$113:$I$133,4,0)),0,VLOOKUP(A203,'Données projet'!$A$113:$I$133,4,0))</f>
        <v>0</v>
      </c>
      <c r="CH203" s="122" t="n">
        <f aca="false">IF(ISNA(VLOOKUP(A203,'Données projet'!$A$113:$I$133,5,0)),0%,VLOOKUP(A203,'Données projet'!$A$113:$I$133,5,0)*VLOOKUP('Données projet'!$B$12,Paramètres!$A$1:$I$89,7,0))</f>
        <v>0</v>
      </c>
      <c r="CI203" s="122" t="n">
        <f aca="false">IF(ISNA(VLOOKUP(A203,'Données projet'!$A$113:$I$133,6,0)),0%,VLOOKUP(A203,'Données projet'!$A$113:$I$133,6,0)*VLOOKUP('Données projet'!$B$12,Paramètres!$A$1:$I$89,7,0))</f>
        <v>0</v>
      </c>
      <c r="CJ203" s="122" t="n">
        <f aca="false">IF(ISNA(VLOOKUP(A203,'Données projet'!$A$113:$I$133,7,0)),0%,VLOOKUP(A203,'Données projet'!$A$113:$I$133,7,0))</f>
        <v>0</v>
      </c>
      <c r="CK203" s="129" t="n">
        <f aca="false">EXP(-LN(2)/35)*CK202+(1-EXP(-LN(2)/35))/(LN(2)/35)*CG203*CH203*VLOOKUP('Données projet'!$B$12,Paramètres!$A$1:$I$89,3,0)*0.475*44/12</f>
        <v>0.181645385071526</v>
      </c>
      <c r="CL203" s="129" t="n">
        <f aca="false">EXP(-LN(2)/25)*CL202+(1-EXP(-LN(2)/25))/(LN(2)/25)*Calculateur!CG203*Calculateur!CI203*VLOOKUP('Données projet'!$B$12,Paramètres!$A$1:$I$89,3,0)*0.475*44/12</f>
        <v>0.213677051623638</v>
      </c>
      <c r="CM203" s="129" t="n">
        <f aca="false">EXP(-LN(2)/2)*CM202+(1-EXP(-LN(2)/2))/(LN(2)/2)*CG203*CJ203*VLOOKUP('Données projet'!$B$12,Paramètres!$A$1:$I$89,3,0)*0.475*44/12</f>
        <v>2.49183803028872E-025</v>
      </c>
      <c r="CN203" s="130" t="n">
        <f aca="false">SUM(CK203:CM203)</f>
        <v>0.395322436695164</v>
      </c>
      <c r="CO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8" t="e">
        <f aca="false">VLOOKUP(A203,'Données projet'!$A$139:$I$159,2,0)</f>
        <v>#N/A</v>
      </c>
      <c r="CR203" s="118" t="e">
        <f aca="false">VLOOKUP(A203,'Données projet'!$A$139:$I$159,9,0)</f>
        <v>#N/A</v>
      </c>
      <c r="CS203" s="118" t="e">
        <f aca="false" t="array" ref="CS203:CS203">INDEX(CR:CR,MIN(IF(ISNUMBER(CR203:CR399),ROW(CR203:CR399),"")))</f>
        <v>#N/A</v>
      </c>
      <c r="CT203" s="118" t="n">
        <f aca="false">IF('Données projet'!$A$140&gt;35,CT202+CS203-DB202,IF(A203&lt;'Données projet'!$A$140,$CQ$205^A203,IF(A203='Données projet'!$A$140,'Données projet'!$B$140,CT202+CS203-DB202)))</f>
        <v>-5.6843418860808E-014</v>
      </c>
      <c r="CU203" s="125" t="n">
        <f aca="false">CT203*VLOOKUP('Données projet'!$B$13,Paramètres!$A$1:$I$89,3,0)*VLOOKUP('Données projet'!$B$13,Paramètres!$A$1:$I$89,5,0)</f>
        <v>-3.10365066980012E-014</v>
      </c>
      <c r="CV203" s="117" t="e">
        <f aca="false">EXP(-1.0587+0.8836*LN(CU203)+0.284)</f>
        <v>#VALUE!</v>
      </c>
      <c r="CW203" s="128" t="e">
        <f aca="false">(CU203+CV203)*0.475*44/12</f>
        <v>#VALUE!</v>
      </c>
      <c r="CX203" s="120" t="e">
        <f aca="false">CW203+(CO203+CP203)*44/12</f>
        <v>#VALUE!</v>
      </c>
      <c r="CY203" s="120" t="n">
        <f aca="true">AVERAGE(OFFSET($CX$3,0,0,'Données projet'!$E$13+1,1))-AVERAGE(OFFSET($H$3,0,0,'Données projet'!$E$13+1,1))</f>
        <v>207.023069645676</v>
      </c>
      <c r="CZ203" s="120" t="n">
        <f aca="false">$CZ$3</f>
        <v>342.068879333518</v>
      </c>
      <c r="DA203" s="121" t="n">
        <f aca="false">IF(ISNA(VLOOKUP(A203,'Données projet'!$A$139:$I$159,3,0)),0,VLOOKUP(A203,'Données projet'!$A$139:$I$159,3,0))</f>
        <v>0</v>
      </c>
      <c r="DB203" s="121" t="n">
        <f aca="false">IF(ISNA(VLOOKUP(A203,'Données projet'!$A$139:$I$159,4,0)),0,VLOOKUP(A203,'Données projet'!$A$139:$I$159,4,0))</f>
        <v>0</v>
      </c>
      <c r="DC203" s="122" t="n">
        <f aca="false">IF(ISNA(VLOOKUP(A203,'Données projet'!$A$139:$I$159,5,0)),0%,VLOOKUP(A203,'Données projet'!$A$139:$I$159,5,0)*VLOOKUP('Données projet'!$B$13,Paramètres!$A$1:$I$89,7,0))</f>
        <v>0</v>
      </c>
      <c r="DD203" s="122" t="n">
        <f aca="false">IF(ISNA(VLOOKUP(A203,'Données projet'!$A$139:$I$159,6,0)),0%,VLOOKUP(A203,'Données projet'!$A$139:$I$159,6,0)*VLOOKUP('Données projet'!$B$13,Paramètres!$A$1:$I$89,7,0))</f>
        <v>0</v>
      </c>
      <c r="DE203" s="122" t="n">
        <f aca="false">IF(ISNA(VLOOKUP(A203,'Données projet'!$A$139:$I$159,7,0)),0%,VLOOKUP(A203,'Données projet'!$A$139:$I$159,7,0))</f>
        <v>0</v>
      </c>
      <c r="DF203" s="129" t="n">
        <f aca="false">EXP(-LN(2)/35)*DF202+(1-EXP(-LN(2)/35))/(LN(2)/35)*DB203*DC203*VLOOKUP('Données projet'!$B$13,Paramètres!$A$1:$I$89,3,0)*0.475*44/12</f>
        <v>0.227913549193518</v>
      </c>
      <c r="DG203" s="129" t="n">
        <f aca="false">EXP(-LN(2)/25)*DG202+(1-EXP(-LN(2)/25))/(LN(2)/25)*Calculateur!DB203*Calculateur!DD203*VLOOKUP('Données projet'!$B$13,Paramètres!$A$1:$I$89,3,0)*0.475*44/12</f>
        <v>0.349272985300163</v>
      </c>
      <c r="DH203" s="129" t="n">
        <f aca="false">EXP(-LN(2)/2)*DH202+(1-EXP(-LN(2)/2))/(LN(2)/2)*DB203*DE203*VLOOKUP('Données projet'!$B$13,Paramètres!$A$1:$I$89,3,0)*0.475*44/12</f>
        <v>3.43126212298644E-025</v>
      </c>
      <c r="DI203" s="130" t="n">
        <f aca="false">SUM(DF203:DH203)</f>
        <v>0.577186534493682</v>
      </c>
      <c r="DJ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8" t="e">
        <f aca="false">VLOOKUP(A203,'Données projet'!$A$165:$I$185,2,0)</f>
        <v>#N/A</v>
      </c>
      <c r="DM203" s="118" t="e">
        <f aca="false">VLOOKUP(A203,'Données projet'!$A$165:$I$185,9,0)</f>
        <v>#N/A</v>
      </c>
      <c r="DN203" s="118" t="e">
        <f aca="false" t="array" ref="DN203:DN203">INDEX(DM:DM,MIN(IF(ISNUMBER(DM203:DM399),ROW(DM203:DM399),"")))</f>
        <v>#N/A</v>
      </c>
      <c r="DO203" s="118" t="n">
        <f aca="false">IF('Données projet'!$A$166&gt;35,DO202+DN203-DW202,IF(A203&lt;'Données projet'!$A$166,$DL$205^A203,IF(A203='Données projet'!$A$166,'Données projet'!$B$166,DO202+DN203-DW202)))</f>
        <v>0</v>
      </c>
      <c r="DP203" s="125" t="n">
        <f aca="false">DO203*VLOOKUP('Données projet'!$B$14,Paramètres!$A$1:$I$89,3,0)*VLOOKUP('Données projet'!$B$14,Paramètres!$A$1:$I$89,5,0)</f>
        <v>0</v>
      </c>
      <c r="DQ203" s="117" t="e">
        <f aca="false">EXP(-1.0587+0.8836*LN(DP203)+0.284)</f>
        <v>#VALUE!</v>
      </c>
      <c r="DR203" s="128" t="e">
        <f aca="false">(DP203+DQ203)*0.475*44/12</f>
        <v>#VALUE!</v>
      </c>
      <c r="DS203" s="120" t="e">
        <f aca="false">DR203+(DJ203+DK203)*44/12</f>
        <v>#VALUE!</v>
      </c>
      <c r="DT203" s="120" t="n">
        <f aca="true">AVERAGE(OFFSET($DS$3,0,0,'Données projet'!$E$14+1,1))-AVERAGE(OFFSET($H$3,0,0,'Données projet'!$E$14+1,1))</f>
        <v>549.432320957297</v>
      </c>
      <c r="DU203" s="120" t="n">
        <f aca="false">$DU$3</f>
        <v>280.26155987301</v>
      </c>
      <c r="DV203" s="121" t="n">
        <f aca="false">IF(ISNA(VLOOKUP(A203,'Données projet'!$A$165:$I$185,3,0)),0,VLOOKUP(A203,'Données projet'!$A$165:$I$185,3,0))</f>
        <v>0</v>
      </c>
      <c r="DW203" s="121" t="n">
        <f aca="false">IF(ISNA(VLOOKUP(A203,'Données projet'!$A$165:$I$185,4,0)),0,VLOOKUP(A203,'Données projet'!$A$165:$I$185,4,0))</f>
        <v>0</v>
      </c>
      <c r="DX203" s="122" t="n">
        <f aca="false">IF(ISNA(VLOOKUP(A203,'Données projet'!$A$165:$I$185,5,0)),0%,VLOOKUP(A203,'Données projet'!$A$165:$I$185,5,0)*VLOOKUP('Données projet'!$B$14,Paramètres!$A$1:$I$89,7,0))</f>
        <v>0</v>
      </c>
      <c r="DY203" s="122" t="n">
        <f aca="false">IF(ISNA(VLOOKUP(A203,'Données projet'!$A$165:$I$185,6,0)),0%,VLOOKUP(A203,'Données projet'!$A$165:$I$185,6,0)*VLOOKUP('Données projet'!$B$14,Paramètres!$A$1:$I$89,7,0))</f>
        <v>0</v>
      </c>
      <c r="DZ203" s="122" t="n">
        <f aca="false">IF(ISNA(VLOOKUP(A203,'Données projet'!$A$165:$I$185,7,0)),0%,VLOOKUP(A203,'Données projet'!$A$165:$I$185,7,0))</f>
        <v>0</v>
      </c>
      <c r="EA203" s="129" t="n">
        <f aca="false">EXP(-LN(2)/35)*EA202+(1-EXP(-LN(2)/35))/(LN(2)/35)*DW203*DX203*VLOOKUP('Données projet'!$B$14,Paramètres!$A$1:$I$89,3,0)*0.475*44/12</f>
        <v>0.0828691123531691</v>
      </c>
      <c r="EB203" s="129" t="n">
        <f aca="false">EXP(-LN(2)/25)*EB202+(1-EXP(-LN(2)/25))/(LN(2)/25)*Calculateur!DW203*Calculateur!DY203*VLOOKUP('Données projet'!$B$14,Paramètres!$A$1:$I$89,3,0)*0.475*44/12</f>
        <v>0.0695820697066736</v>
      </c>
      <c r="EC203" s="129" t="n">
        <f aca="false">EXP(-LN(2)/2)*EC202+(1-EXP(-LN(2)/2))/(LN(2)/2)*DW203*DZ203*VLOOKUP('Données projet'!$B$14,Paramètres!$A$1:$I$89,3,0)*0.475*44/12</f>
        <v>1.58174110935888E-025</v>
      </c>
      <c r="ED203" s="130" t="n">
        <f aca="false">SUM(EA203:EC203)</f>
        <v>0.152451182059843</v>
      </c>
      <c r="EE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8" t="e">
        <f aca="false">VLOOKUP(A203,'Données projet'!$A$191:$I$211,2,0)</f>
        <v>#N/A</v>
      </c>
      <c r="EH203" s="118" t="e">
        <f aca="false">VLOOKUP(A203,'Données projet'!$A$191:$I$211,9,0)</f>
        <v>#N/A</v>
      </c>
      <c r="EI203" s="118" t="e">
        <f aca="false" t="array" ref="EI203:EI203">INDEX(EH:EH,MIN(IF(ISNUMBER(EH203:EH399),ROW(EH203:EH399),"")))</f>
        <v>#N/A</v>
      </c>
      <c r="EJ203" s="118" t="n">
        <f aca="false">IF('Données projet'!$A$192&gt;35,EJ202+EI203-ER202,IF(A203&lt;'Données projet'!$A$192,$EG$205^A203,IF(A203='Données projet'!$A$192,'Données projet'!$B$192,EJ202+EI203-ER202)))</f>
        <v>0</v>
      </c>
      <c r="EK203" s="125" t="e">
        <f aca="false">EJ203*VLOOKUP('Données projet'!$B$15,Paramètres!$A$1:$I$89,3,0)*VLOOKUP('Données projet'!$B$15,Paramètres!$A$1:$I$89,5,0)</f>
        <v>#N/A</v>
      </c>
      <c r="EL203" s="117" t="e">
        <f aca="false">EXP(-1.0587+0.8836*LN(EK203)+0.284)</f>
        <v>#N/A</v>
      </c>
      <c r="EM203" s="128" t="e">
        <f aca="false">(EK203+EL203)*0.475*44/12</f>
        <v>#N/A</v>
      </c>
      <c r="EN203" s="120" t="e">
        <f aca="false">EM203+(EE203+EF203)*44/12</f>
        <v>#N/A</v>
      </c>
      <c r="EO203" s="120" t="e">
        <f aca="true">AVERAGE(OFFSET($EN$3,0,0,'Données projet'!$E$15+1,1))-AVERAGE(OFFSET($H$3,0,0,'Données projet'!$E$15+1,1))</f>
        <v>#N/A</v>
      </c>
      <c r="EP203" s="120" t="e">
        <f aca="false">$EP$3</f>
        <v>#N/A</v>
      </c>
      <c r="EQ203" s="121" t="n">
        <f aca="false">IF(ISNA(VLOOKUP(A203,'Données projet'!$A$191:$I$211,3,0)),0,VLOOKUP(A203,'Données projet'!$A$191:$I$211,3,0))</f>
        <v>0</v>
      </c>
      <c r="ER203" s="121" t="n">
        <f aca="false">IF(ISNA(VLOOKUP(A203,'Données projet'!$A$191:$I$211,4,0)),0,VLOOKUP(A203,'Données projet'!$A$191:$I$211,4,0))</f>
        <v>0</v>
      </c>
      <c r="ES203" s="122" t="n">
        <f aca="false">IF(ISNA(VLOOKUP(A203,'Données projet'!$A$191:$I$211,5,0)),0%,VLOOKUP(A203,'Données projet'!$A$191:$I$211,5,0)*VLOOKUP('Données projet'!$B$15,Paramètres!$A$1:$I$89,7,0))</f>
        <v>0</v>
      </c>
      <c r="ET203" s="122" t="n">
        <f aca="false">IF(ISNA(VLOOKUP(A203,'Données projet'!$A$191:$I$211,6,0)),0%,VLOOKUP(A203,'Données projet'!$A$191:$I$211,6,0)*VLOOKUP('Données projet'!$B$15,Paramètres!$A$1:$I$89,7,0))</f>
        <v>0</v>
      </c>
      <c r="EU203" s="122" t="n">
        <f aca="false">IF(ISNA(VLOOKUP(A203,'Données projet'!$A$191:$I$211,7,0)),0%,VLOOKUP(A203,'Données projet'!$A$191:$I$211,7,0))</f>
        <v>0</v>
      </c>
      <c r="EV203" s="129" t="e">
        <f aca="false">EXP(-LN(2)/35)*EV202+(1-EXP(-LN(2)/35))/(LN(2)/35)*ER203*ES203*VLOOKUP('Données projet'!$B$15,Paramètres!$A$1:$I$89,3,0)*0.475*44/12</f>
        <v>#N/A</v>
      </c>
      <c r="EW203" s="129" t="e">
        <f aca="false">EXP(-LN(2)/25)*EW202+(1-EXP(-LN(2)/25))/(LN(2)/25)*Calculateur!ER203*Calculateur!ET203*VLOOKUP('Données projet'!$B$15,Paramètres!$A$1:$I$89,3,0)*0.475*44/12</f>
        <v>#N/A</v>
      </c>
      <c r="EX203" s="129" t="e">
        <f aca="false">EXP(-LN(2)/2)*EX202+(1-EXP(-LN(2)/2))/(LN(2)/2)*ER203*EU203*VLOOKUP('Données projet'!$B$15,Paramètres!$A$1:$I$89,3,0)*0.475*44/12</f>
        <v>#N/A</v>
      </c>
      <c r="EY203" s="130" t="e">
        <f aca="false">SUM(EV203:EX203)</f>
        <v>#N/A</v>
      </c>
      <c r="EZ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8" t="e">
        <f aca="false">VLOOKUP(A203,'Données projet'!$A$217:$I$237,2,0)</f>
        <v>#N/A</v>
      </c>
      <c r="FC203" s="118" t="e">
        <f aca="false">VLOOKUP(A203,'Données projet'!$A$217:$I$237,9,0)</f>
        <v>#N/A</v>
      </c>
      <c r="FD203" s="118" t="e">
        <f aca="false" t="array" ref="FD203:FD203">INDEX(FC:FC,MIN(IF(ISNUMBER(FC203:FC399),ROW(FC203:FC399),"")))</f>
        <v>#N/A</v>
      </c>
      <c r="FE203" s="118" t="n">
        <f aca="false">IF('Données projet'!$A$218&gt;35,FE202+FD203-FM202,IF(A203&lt;'Données projet'!$A$218,$FB$205^A203,IF(A203='Données projet'!$A$218,'Données projet'!$B$218,FE202+FD203-FM202)))</f>
        <v>0</v>
      </c>
      <c r="FF203" s="125" t="e">
        <f aca="false">FE203*VLOOKUP('Données projet'!$B$16,Paramètres!$A$1:$I$89,3,0)*VLOOKUP('Données projet'!$B$16,Paramètres!$A$1:$I$89,5,0)</f>
        <v>#N/A</v>
      </c>
      <c r="FG203" s="117" t="e">
        <f aca="false">EXP(-1.0587+0.8836*LN(FF203)+0.284)</f>
        <v>#N/A</v>
      </c>
      <c r="FH203" s="128" t="e">
        <f aca="false">(FF203+FG203)*0.475*44/12</f>
        <v>#N/A</v>
      </c>
      <c r="FI203" s="120" t="e">
        <f aca="false">FH203+(EZ203+FA203)*44/12</f>
        <v>#N/A</v>
      </c>
      <c r="FJ203" s="120" t="e">
        <f aca="true">AVERAGE(OFFSET($FI$3,0,0,'Données projet'!$E$16+1,1))-AVERAGE(OFFSET($H$3,0,0,'Données projet'!$E$16+1,1))</f>
        <v>#N/A</v>
      </c>
      <c r="FK203" s="120" t="e">
        <f aca="false">$FK$3</f>
        <v>#N/A</v>
      </c>
      <c r="FL203" s="121" t="n">
        <f aca="false">IF(ISNA(VLOOKUP(A203,'Données projet'!$A$217:$I$237,3,0)),0,VLOOKUP(A203,'Données projet'!$A$217:$I$237,3,0))</f>
        <v>0</v>
      </c>
      <c r="FM203" s="121" t="n">
        <f aca="false">IF(ISNA(VLOOKUP(A203,'Données projet'!$A$217:$I$237,4,0)),0,VLOOKUP(A203,'Données projet'!$A$217:$I$237,4,0))</f>
        <v>0</v>
      </c>
      <c r="FN203" s="122" t="n">
        <f aca="false">IF(ISNA(VLOOKUP(A203,'Données projet'!$A$217:$I$237,5,0)),0%,VLOOKUP(A203,'Données projet'!$A$217:$I$237,5,0)*VLOOKUP('Données projet'!$B$16,Paramètres!$A$1:$I$89,7,0))</f>
        <v>0</v>
      </c>
      <c r="FO203" s="122" t="n">
        <f aca="false">IF(ISNA(VLOOKUP(A203,'Données projet'!$A$217:$I$237,6,0)),0%,VLOOKUP(A203,'Données projet'!$A$217:$I$237,6,0)*VLOOKUP('Données projet'!$B$16,Paramètres!$A$1:$I$89,7,0))</f>
        <v>0</v>
      </c>
      <c r="FP203" s="122" t="n">
        <f aca="false">IF(ISNA(VLOOKUP(A203,'Données projet'!$A$217:$I$237,7,0)),0%,VLOOKUP(A203,'Données projet'!$A$217:$I$237,7,0))</f>
        <v>0</v>
      </c>
      <c r="FQ203" s="129" t="e">
        <f aca="false">EXP(-LN(2)/35)*FQ202+(1-EXP(-LN(2)/35))/(LN(2)/35)*FM203*FN203*VLOOKUP('Données projet'!$B$16,Paramètres!$A$1:$I$89,3,0)*0.475*44/12</f>
        <v>#N/A</v>
      </c>
      <c r="FR203" s="129" t="e">
        <f aca="false">EXP(-LN(2)/25)*FR202+(1-EXP(-LN(2)/25))/(LN(2)/25)*Calculateur!FM203*Calculateur!FO203*VLOOKUP('Données projet'!$B$16,Paramètres!$A$1:$I$89,3,0)*0.475*44/12</f>
        <v>#N/A</v>
      </c>
      <c r="FS203" s="129" t="e">
        <f aca="false">EXP(-LN(2)/2)*FS202+(1-EXP(-LN(2)/2))/(LN(2)/2)*FM203*FP203*VLOOKUP('Données projet'!$B$16,Paramètres!$A$1:$I$89,3,0)*0.475*44/12</f>
        <v>#N/A</v>
      </c>
      <c r="FT203" s="130" t="e">
        <f aca="false">SUM(FQ203:FS203)</f>
        <v>#N/A</v>
      </c>
      <c r="FU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8" t="e">
        <f aca="false">VLOOKUP(A203,'Données projet'!$A$243:$I$263,2,0)</f>
        <v>#N/A</v>
      </c>
      <c r="FX203" s="118" t="e">
        <f aca="false">VLOOKUP(A203,'Données projet'!$A$243:$I$263,9,0)</f>
        <v>#N/A</v>
      </c>
      <c r="FY203" s="118" t="e">
        <f aca="false" t="array" ref="FY203:FY203">INDEX(FX:FX,MIN(IF(ISNUMBER(FX203:FX399),ROW(FX203:FX399),"")))</f>
        <v>#N/A</v>
      </c>
      <c r="FZ203" s="118" t="n">
        <f aca="false">IF('Données projet'!$A$244&gt;35,FZ202+FY203-GH202,IF(A203&lt;'Données projet'!$A$244,$FW$205^A203,IF(A203='Données projet'!$A$244,'Données projet'!$B$244,FZ202+FY203-GH202)))</f>
        <v>0</v>
      </c>
      <c r="GA203" s="125" t="e">
        <f aca="false">FZ203*VLOOKUP('Données projet'!$B$17,Paramètres!$A$1:$I$89,3,0)*VLOOKUP('Données projet'!$B$17,Paramètres!$A$1:$I$89,5,0)</f>
        <v>#N/A</v>
      </c>
      <c r="GB203" s="117" t="e">
        <f aca="false">EXP(-1.0587+0.8836*LN(GA203)+0.284)</f>
        <v>#N/A</v>
      </c>
      <c r="GC203" s="128" t="e">
        <f aca="false">(GA203+GB203)*0.475*44/12</f>
        <v>#N/A</v>
      </c>
      <c r="GD203" s="120" t="e">
        <f aca="false">GC203+(FU203+FV203)*44/12</f>
        <v>#N/A</v>
      </c>
      <c r="GE203" s="120" t="e">
        <f aca="true">AVERAGE(OFFSET($GD$3,0,0,'Données projet'!$E$17+1,1))-AVERAGE(OFFSET($H$3,0,0,'Données projet'!$E$17+1,1))</f>
        <v>#N/A</v>
      </c>
      <c r="GF203" s="120" t="e">
        <f aca="false">$GF$3</f>
        <v>#N/A</v>
      </c>
      <c r="GG203" s="121" t="n">
        <f aca="false">IF(ISNA(VLOOKUP(A203,'Données projet'!$A$243:$I$263,3,0)),0,VLOOKUP(A203,'Données projet'!$A$243:$I$263,3,0))</f>
        <v>0</v>
      </c>
      <c r="GH203" s="121" t="n">
        <f aca="false">IF(ISNA(VLOOKUP(A203,'Données projet'!$A$243:$I$263,4,0)),0,VLOOKUP(A203,'Données projet'!$A$243:$I$263,4,0))</f>
        <v>0</v>
      </c>
      <c r="GI203" s="122" t="n">
        <f aca="false">IF(ISNA(VLOOKUP(A203,'Données projet'!$A$243:$I$263,5,0)),0%,VLOOKUP(A203,'Données projet'!$A$243:$I$263,5,0)*VLOOKUP('Données projet'!$B$17,Paramètres!$A$1:$I$89,7,0))</f>
        <v>0</v>
      </c>
      <c r="GJ203" s="122" t="n">
        <f aca="false">IF(ISNA(VLOOKUP(A203,'Données projet'!$A$243:$I$263,6,0)),0%,VLOOKUP(A203,'Données projet'!$A$243:$I$263,6,0)*VLOOKUP('Données projet'!$B$17,Paramètres!$A$1:$I$89,7,0))</f>
        <v>0</v>
      </c>
      <c r="GK203" s="122" t="n">
        <f aca="false">IF(ISNA(VLOOKUP(A203,'Données projet'!$A$243:$I$263,7,0)),0%,VLOOKUP(A203,'Données projet'!$A$243:$I$263,7,0))</f>
        <v>0</v>
      </c>
      <c r="GL203" s="129" t="e">
        <f aca="false">EXP(-LN(2)/35)*GL202+(1-EXP(-LN(2)/35))/(LN(2)/35)*GH203*GI203*VLOOKUP('Données projet'!$B$17,Paramètres!$A$1:$I$89,3,0)*0.475*44/12</f>
        <v>#N/A</v>
      </c>
      <c r="GM203" s="129" t="e">
        <f aca="false">EXP(-LN(2)/25)*GM202+(1-EXP(-LN(2)/25))/(LN(2)/25)*Calculateur!GH203*Calculateur!GJ203*VLOOKUP('Données projet'!$B$17,Paramètres!$A$1:$I$89,3,0)*0.475*44/12</f>
        <v>#N/A</v>
      </c>
      <c r="GN203" s="129" t="e">
        <f aca="false">EXP(-LN(2)/2)*GN202+(1-EXP(-LN(2)/2))/(LN(2)/2)*GH203*GK203*VLOOKUP('Données projet'!$B$17,Paramètres!$A$1:$I$89,3,0)*0.475*44/12</f>
        <v>#N/A</v>
      </c>
      <c r="GO203" s="129" t="e">
        <f aca="false">SUM(GL203:GN203)</f>
        <v>#N/A</v>
      </c>
      <c r="GP203" s="126" t="n">
        <f aca="false"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8" t="n">
        <f aca="false"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8" t="e">
        <f aca="false">VLOOKUP(A203,'Données projet'!$A$269:$I$289,2,0)</f>
        <v>#N/A</v>
      </c>
      <c r="GS203" s="118" t="e">
        <f aca="false">VLOOKUP(A203,'Données projet'!$A$269:$I$289,9,0)</f>
        <v>#N/A</v>
      </c>
      <c r="GT203" s="118" t="e">
        <f aca="false" t="array" ref="GT203:GT203">INDEX(GS:GS,MIN(IF(ISNUMBER(GS203:GS399),ROW(GS203:GS399),"")))</f>
        <v>#N/A</v>
      </c>
      <c r="GU203" s="118" t="n">
        <f aca="false">IF('Données projet'!$A$270&gt;35,GU202+GT203-HC202,IF(A203&lt;'Données projet'!$A$270,$GR$205^A203,IF(A203='Données projet'!$A$270,'Données projet'!$B$270,GU202+GT203-HC202)))</f>
        <v>0</v>
      </c>
      <c r="GV203" s="125" t="e">
        <f aca="false">GU203*VLOOKUP('Données projet'!$B$18,Paramètres!$A$1:$I$89,3,0)*VLOOKUP('Données projet'!$B$18,Paramètres!$A$1:$I$89,5,0)</f>
        <v>#N/A</v>
      </c>
      <c r="GW203" s="117" t="e">
        <f aca="false">EXP(-1.0587+0.8836*LN(GV203)+0.284)</f>
        <v>#N/A</v>
      </c>
      <c r="GX203" s="128" t="e">
        <f aca="false">(GV203+GW203)*0.475*44/12</f>
        <v>#N/A</v>
      </c>
      <c r="GY203" s="120" t="e">
        <f aca="false">GX203+(GP203+GQ203)*44/12</f>
        <v>#N/A</v>
      </c>
      <c r="GZ203" s="120" t="e">
        <f aca="true">AVERAGE(OFFSET($GY$3,0,0,'Données projet'!$E$18+1,1))-AVERAGE(OFFSET($H$3,0,0,'Données projet'!$E$18+1,1))</f>
        <v>#N/A</v>
      </c>
      <c r="HA203" s="120" t="e">
        <f aca="false">$HA$3</f>
        <v>#N/A</v>
      </c>
      <c r="HB203" s="121" t="n">
        <f aca="false">IF(ISNA(VLOOKUP(A203,'Données projet'!$A$269:$I$289,3,0)),0,VLOOKUP(A203,'Données projet'!$A$269:$I$289,3,0))</f>
        <v>0</v>
      </c>
      <c r="HC203" s="121" t="n">
        <f aca="false">IF(ISNA(VLOOKUP(A203,'Données projet'!$A$269:$I$289,4,0)),0,VLOOKUP(A203,'Données projet'!$A$269:$I$289,4,0))</f>
        <v>0</v>
      </c>
      <c r="HD203" s="122" t="n">
        <f aca="false">IF(ISNA(VLOOKUP(A203,'Données projet'!$A$269:$I$289,5,0)),0%,VLOOKUP(A203,'Données projet'!$A$269:$I$289,5,0)*VLOOKUP('Données projet'!$B$18,Paramètres!$A$1:$I$89,7,0))</f>
        <v>0</v>
      </c>
      <c r="HE203" s="122" t="n">
        <f aca="false">IF(ISNA(VLOOKUP(A203,'Données projet'!$A$269:$I$289,6,0)),0%,VLOOKUP(A203,'Données projet'!$A$269:$I$289,6,0)*VLOOKUP('Données projet'!$B$18,Paramètres!$A$1:$I$89,7,0))</f>
        <v>0</v>
      </c>
      <c r="HF203" s="122" t="n">
        <f aca="false">IF(ISNA(VLOOKUP(A203,'Données projet'!$A$269:$I$289,7,0)),0%,VLOOKUP(A203,'Données projet'!$A$269:$I$289,7,0))</f>
        <v>0</v>
      </c>
      <c r="HG203" s="129" t="e">
        <f aca="false">EXP(-LN(2)/35)*HG202+(1-EXP(-LN(2)/35))/(LN(2)/35)*HC203*HD203*VLOOKUP('Données projet'!$B$18,Paramètres!$A$1:$I$89,3,0)*0.475*44/12</f>
        <v>#N/A</v>
      </c>
      <c r="HH203" s="129" t="e">
        <f aca="false">EXP(-LN(2)/25)*HH202+(1-EXP(-LN(2)/25))/(LN(2)/25)*Calculateur!HC203*Calculateur!HE203*VLOOKUP('Données projet'!$B$18,Paramètres!$A$1:$I$89,3,0)*0.475*44/12</f>
        <v>#N/A</v>
      </c>
      <c r="HI203" s="129" t="e">
        <f aca="false">EXP(-LN(2)/2)*HI202+(1-EXP(-LN(2)/2))/(LN(2)/2)*HC203*HF203*VLOOKUP('Données projet'!$B$18,Paramètres!$A$1:$I$89,3,0)*0.475*44/12</f>
        <v>#N/A</v>
      </c>
      <c r="HJ203" s="130" t="e">
        <f aca="false">SUM(HG203:HI203)</f>
        <v>#N/A</v>
      </c>
    </row>
    <row r="204" customFormat="false" ht="15" hidden="false" customHeight="false" outlineLevel="0" collapsed="false">
      <c r="B204" s="112"/>
      <c r="C204" s="131"/>
      <c r="D204" s="132"/>
      <c r="E204" s="132"/>
      <c r="F204" s="132"/>
      <c r="G204" s="114" t="n">
        <f aca="false"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1"/>
      <c r="I204" s="131"/>
      <c r="J204" s="131"/>
      <c r="K204" s="133" t="s">
        <v>103</v>
      </c>
      <c r="L204" s="31"/>
      <c r="M204" s="31"/>
      <c r="N204" s="31"/>
      <c r="O204" s="131"/>
      <c r="P204" s="131"/>
      <c r="Q204" s="132"/>
      <c r="R204" s="134"/>
      <c r="S204" s="134"/>
      <c r="T204" s="134"/>
      <c r="U204" s="31"/>
      <c r="V204" s="31"/>
      <c r="W204" s="135"/>
      <c r="X204" s="135"/>
      <c r="Y204" s="135"/>
      <c r="Z204" s="131"/>
      <c r="AA204" s="131"/>
      <c r="AB204" s="131"/>
      <c r="AC204" s="131"/>
      <c r="AD204" s="131"/>
      <c r="AE204" s="131"/>
      <c r="AF204" s="136" t="s">
        <v>103</v>
      </c>
      <c r="BA204" s="136" t="s">
        <v>103</v>
      </c>
      <c r="BV204" s="136" t="s">
        <v>103</v>
      </c>
      <c r="CQ204" s="136" t="s">
        <v>103</v>
      </c>
      <c r="DL204" s="136" t="s">
        <v>103</v>
      </c>
      <c r="EG204" s="136" t="s">
        <v>103</v>
      </c>
      <c r="FB204" s="136" t="s">
        <v>103</v>
      </c>
      <c r="FW204" s="136" t="s">
        <v>103</v>
      </c>
      <c r="GR204" s="136" t="s">
        <v>103</v>
      </c>
    </row>
    <row r="205" customFormat="false" ht="15" hidden="false" customHeight="false" outlineLevel="0" collapsed="false">
      <c r="B205" s="112"/>
      <c r="C205" s="131"/>
      <c r="D205" s="132"/>
      <c r="E205" s="132"/>
      <c r="F205" s="132"/>
      <c r="G205" s="114" t="n">
        <f aca="false"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1"/>
      <c r="I205" s="131"/>
      <c r="J205" s="131"/>
      <c r="K205" s="137" t="n">
        <f aca="false">EXP(LN('Données projet'!B36)/'Données projet'!A36)</f>
        <v>1.28805039265809</v>
      </c>
      <c r="L205" s="31"/>
      <c r="M205" s="31"/>
      <c r="N205" s="31"/>
      <c r="O205" s="131"/>
      <c r="P205" s="131"/>
      <c r="Q205" s="132"/>
      <c r="R205" s="134"/>
      <c r="S205" s="134"/>
      <c r="T205" s="134"/>
      <c r="U205" s="31"/>
      <c r="V205" s="31"/>
      <c r="W205" s="135"/>
      <c r="X205" s="135"/>
      <c r="Y205" s="135"/>
      <c r="Z205" s="131"/>
      <c r="AA205" s="131"/>
      <c r="AB205" s="131"/>
      <c r="AC205" s="131"/>
      <c r="AD205" s="131"/>
      <c r="AE205" s="131"/>
      <c r="AF205" s="138" t="n">
        <f aca="false">EXP(LN('Données projet'!B62)/'Données projet'!A62)</f>
        <v>1.2475727214129</v>
      </c>
      <c r="BA205" s="137" t="n">
        <f aca="false">EXP(LN('Données projet'!B88)/'Données projet'!A88)</f>
        <v>1.3467943429206</v>
      </c>
      <c r="BV205" s="137" t="n">
        <f aca="false">EXP(LN('Données projet'!B114)/'Données projet'!A114)</f>
        <v>1.29970696326233</v>
      </c>
      <c r="CQ205" s="137" t="n">
        <f aca="false">EXP(LN('Données projet'!B140)/'Données projet'!A140)</f>
        <v>1.48606623194608</v>
      </c>
      <c r="DL205" s="137" t="n">
        <f aca="false">EXP(LN('Données projet'!B166)/'Données projet'!A166)</f>
        <v>1.34800615459728</v>
      </c>
      <c r="EG205" s="137" t="e">
        <f aca="false">EXP(LN('Données projet'!B192)/'Données projet'!A192)</f>
        <v>#VALUE!</v>
      </c>
      <c r="FB205" s="137" t="e">
        <f aca="false">EXP(LN('Données projet'!B218)/'Données projet'!A218)</f>
        <v>#VALUE!</v>
      </c>
      <c r="FW205" s="137" t="e">
        <f aca="false">EXP(LN('Données projet'!B244)/'Données projet'!A244)</f>
        <v>#VALUE!</v>
      </c>
      <c r="GR205" s="137" t="e">
        <f aca="false">EXP(LN('Données projet'!B270)/'Données projet'!A270)</f>
        <v>#VALUE!</v>
      </c>
    </row>
  </sheetData>
  <sheetProtection algorithmName="SHA-512" hashValue="E5XKn2aWoKGVstosYF6mK1fToi+YwFf2tnxpqp1+eJaUOVqRtFYozbbTK2TVQqixla5SnSDcLnpZzZZheUeRWQ==" saltValue="amSB2CkEFfFPgBWPtMTRCg==" spinCount="100000" sheet="true" objects="true" scenarios="true"/>
  <mergeCells count="11">
    <mergeCell ref="B1:H1"/>
    <mergeCell ref="I1:AC1"/>
    <mergeCell ref="AD1:AX1"/>
    <mergeCell ref="AY1:BS1"/>
    <mergeCell ref="BT1:CN1"/>
    <mergeCell ref="CO1:DI1"/>
    <mergeCell ref="DJ1:ED1"/>
    <mergeCell ref="EE1:EY1"/>
    <mergeCell ref="EZ1:FT1"/>
    <mergeCell ref="FU1:GO1"/>
    <mergeCell ref="GP1:HJ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95"/>
  <sheetViews>
    <sheetView showFormulas="false" showGridLines="true" showRowColHeaders="true" showZeros="true" rightToLeft="false" tabSelected="false" showOutlineSymbols="true" defaultGridColor="true" view="normal" topLeftCell="A53" colorId="64" zoomScale="100" zoomScaleNormal="100" zoomScalePageLayoutView="100" workbookViewId="0">
      <selection pane="topLeft" activeCell="D102" activeCellId="0" sqref="D102"/>
    </sheetView>
  </sheetViews>
  <sheetFormatPr defaultColWidth="11.4609375" defaultRowHeight="14.25" zeroHeight="false" outlineLevelRow="0" outlineLevelCol="0"/>
  <cols>
    <col collapsed="false" customWidth="true" hidden="false" outlineLevel="0" max="1" min="1" style="3" width="23.44"/>
    <col collapsed="false" customWidth="true" hidden="false" outlineLevel="0" max="2" min="2" style="3" width="27.66"/>
    <col collapsed="false" customWidth="true" hidden="false" outlineLevel="0" max="3" min="3" style="3" width="11.89"/>
    <col collapsed="false" customWidth="true" hidden="false" outlineLevel="0" max="4" min="4" style="3" width="40"/>
    <col collapsed="false" customWidth="true" hidden="false" outlineLevel="0" max="5" min="5" style="3" width="11.89"/>
    <col collapsed="false" customWidth="true" hidden="false" outlineLevel="0" max="6" min="6" style="3" width="13.66"/>
    <col collapsed="false" customWidth="false" hidden="false" outlineLevel="0" max="7" min="7" style="3" width="11.45"/>
    <col collapsed="false" customWidth="true" hidden="false" outlineLevel="0" max="8" min="8" style="3" width="39.01"/>
    <col collapsed="false" customWidth="true" hidden="false" outlineLevel="0" max="9" min="9" style="3" width="16.67"/>
    <col collapsed="false" customWidth="false" hidden="false" outlineLevel="0" max="14" min="10" style="3" width="11.45"/>
    <col collapsed="false" customWidth="true" hidden="false" outlineLevel="0" max="15" min="15" style="3" width="23.44"/>
    <col collapsed="false" customWidth="false" hidden="false" outlineLevel="0" max="1024" min="16" style="3" width="11.45"/>
  </cols>
  <sheetData>
    <row r="1" customFormat="false" ht="43.5" hidden="false" customHeight="false" outlineLevel="0" collapsed="false">
      <c r="A1" s="139" t="s">
        <v>104</v>
      </c>
      <c r="B1" s="140" t="s">
        <v>105</v>
      </c>
      <c r="C1" s="141" t="s">
        <v>106</v>
      </c>
      <c r="D1" s="140" t="s">
        <v>107</v>
      </c>
      <c r="E1" s="141" t="s">
        <v>108</v>
      </c>
      <c r="F1" s="141" t="s">
        <v>107</v>
      </c>
      <c r="G1" s="141" t="s">
        <v>109</v>
      </c>
      <c r="H1" s="141" t="s">
        <v>107</v>
      </c>
      <c r="I1" s="142" t="s">
        <v>110</v>
      </c>
      <c r="J1" s="31"/>
      <c r="K1" s="31"/>
      <c r="L1" s="31"/>
      <c r="M1" s="31"/>
      <c r="N1" s="31"/>
    </row>
    <row r="2" customFormat="false" ht="14.25" hidden="false" customHeight="false" outlineLevel="0" collapsed="false">
      <c r="A2" s="143" t="s">
        <v>111</v>
      </c>
      <c r="B2" s="144" t="s">
        <v>112</v>
      </c>
      <c r="C2" s="145" t="n">
        <v>0.62</v>
      </c>
      <c r="D2" s="145" t="s">
        <v>113</v>
      </c>
      <c r="E2" s="145" t="n">
        <v>1.56</v>
      </c>
      <c r="F2" s="145" t="s">
        <v>114</v>
      </c>
      <c r="G2" s="146" t="n">
        <v>0.43</v>
      </c>
      <c r="H2" s="147" t="s">
        <v>115</v>
      </c>
      <c r="I2" s="148" t="n">
        <v>0.25</v>
      </c>
      <c r="J2" s="31"/>
      <c r="K2" s="31"/>
      <c r="L2" s="31"/>
      <c r="M2" s="31"/>
      <c r="N2" s="31"/>
      <c r="O2" s="149" t="s">
        <v>116</v>
      </c>
      <c r="P2" s="150" t="n">
        <v>0</v>
      </c>
    </row>
    <row r="3" customFormat="false" ht="15" hidden="false" customHeight="false" outlineLevel="0" collapsed="false">
      <c r="A3" s="151" t="s">
        <v>117</v>
      </c>
      <c r="B3" s="152" t="s">
        <v>118</v>
      </c>
      <c r="C3" s="153" t="n">
        <v>0.64</v>
      </c>
      <c r="D3" s="153" t="s">
        <v>113</v>
      </c>
      <c r="E3" s="153" t="n">
        <v>1.56</v>
      </c>
      <c r="F3" s="154" t="s">
        <v>114</v>
      </c>
      <c r="G3" s="155" t="n">
        <v>0.43</v>
      </c>
      <c r="H3" s="153" t="s">
        <v>115</v>
      </c>
      <c r="I3" s="156" t="n">
        <v>0.25</v>
      </c>
      <c r="J3" s="31"/>
      <c r="K3" s="31"/>
      <c r="L3" s="31"/>
      <c r="M3" s="31"/>
      <c r="N3" s="31"/>
      <c r="O3" s="149"/>
      <c r="P3" s="157" t="n">
        <v>0.2</v>
      </c>
    </row>
    <row r="4" customFormat="false" ht="15" hidden="false" customHeight="false" outlineLevel="0" collapsed="false">
      <c r="A4" s="151" t="s">
        <v>119</v>
      </c>
      <c r="B4" s="152" t="s">
        <v>120</v>
      </c>
      <c r="C4" s="153" t="n">
        <v>0.42</v>
      </c>
      <c r="D4" s="153" t="s">
        <v>113</v>
      </c>
      <c r="E4" s="153" t="n">
        <v>1.56</v>
      </c>
      <c r="F4" s="154" t="s">
        <v>114</v>
      </c>
      <c r="G4" s="155" t="n">
        <v>0.43</v>
      </c>
      <c r="H4" s="153" t="s">
        <v>115</v>
      </c>
      <c r="I4" s="156" t="n">
        <v>0.25</v>
      </c>
      <c r="J4" s="31"/>
      <c r="K4" s="31"/>
      <c r="L4" s="31"/>
      <c r="M4" s="31"/>
      <c r="N4" s="31"/>
    </row>
    <row r="5" customFormat="false" ht="14.25" hidden="false" customHeight="false" outlineLevel="0" collapsed="false">
      <c r="A5" s="151" t="s">
        <v>121</v>
      </c>
      <c r="B5" s="152" t="s">
        <v>122</v>
      </c>
      <c r="C5" s="153" t="n">
        <v>0.42</v>
      </c>
      <c r="D5" s="153" t="s">
        <v>113</v>
      </c>
      <c r="E5" s="153" t="n">
        <v>1.56</v>
      </c>
      <c r="F5" s="154" t="s">
        <v>114</v>
      </c>
      <c r="G5" s="155" t="n">
        <v>0.43</v>
      </c>
      <c r="H5" s="153" t="s">
        <v>115</v>
      </c>
      <c r="I5" s="156" t="n">
        <v>0.25</v>
      </c>
      <c r="J5" s="31"/>
      <c r="K5" s="31"/>
      <c r="L5" s="31"/>
      <c r="M5" s="31"/>
      <c r="N5" s="31"/>
      <c r="O5" s="149" t="s">
        <v>123</v>
      </c>
      <c r="P5" s="150" t="n">
        <v>0</v>
      </c>
    </row>
    <row r="6" customFormat="false" ht="14.25" hidden="false" customHeight="false" outlineLevel="0" collapsed="false">
      <c r="A6" s="151" t="s">
        <v>124</v>
      </c>
      <c r="B6" s="152" t="s">
        <v>125</v>
      </c>
      <c r="C6" s="153" t="n">
        <v>0.42</v>
      </c>
      <c r="D6" s="153" t="s">
        <v>113</v>
      </c>
      <c r="E6" s="153" t="n">
        <v>1.56</v>
      </c>
      <c r="F6" s="154" t="s">
        <v>114</v>
      </c>
      <c r="G6" s="155" t="n">
        <v>0.43</v>
      </c>
      <c r="H6" s="153" t="s">
        <v>115</v>
      </c>
      <c r="I6" s="156" t="n">
        <v>0.25</v>
      </c>
      <c r="J6" s="31"/>
      <c r="K6" s="31"/>
      <c r="L6" s="31"/>
      <c r="M6" s="31"/>
      <c r="N6" s="31"/>
      <c r="O6" s="149"/>
      <c r="P6" s="158" t="n">
        <v>0.05</v>
      </c>
    </row>
    <row r="7" customFormat="false" ht="14.25" hidden="false" customHeight="false" outlineLevel="0" collapsed="false">
      <c r="A7" s="151" t="s">
        <v>126</v>
      </c>
      <c r="B7" s="152" t="s">
        <v>127</v>
      </c>
      <c r="C7" s="153" t="n">
        <v>0.52</v>
      </c>
      <c r="D7" s="153" t="s">
        <v>113</v>
      </c>
      <c r="E7" s="153" t="n">
        <v>1.56</v>
      </c>
      <c r="F7" s="154" t="s">
        <v>114</v>
      </c>
      <c r="G7" s="155" t="n">
        <v>0.43</v>
      </c>
      <c r="H7" s="153" t="s">
        <v>115</v>
      </c>
      <c r="I7" s="156" t="n">
        <v>0.25</v>
      </c>
      <c r="J7" s="31"/>
      <c r="K7" s="31"/>
      <c r="L7" s="31"/>
      <c r="M7" s="31"/>
      <c r="N7" s="31"/>
      <c r="O7" s="149"/>
      <c r="P7" s="158" t="n">
        <v>0.1</v>
      </c>
    </row>
    <row r="8" customFormat="false" ht="15" hidden="false" customHeight="false" outlineLevel="0" collapsed="false">
      <c r="A8" s="151" t="s">
        <v>16</v>
      </c>
      <c r="B8" s="152" t="s">
        <v>128</v>
      </c>
      <c r="C8" s="153" t="n">
        <v>0.36</v>
      </c>
      <c r="D8" s="153" t="s">
        <v>113</v>
      </c>
      <c r="E8" s="153" t="n">
        <v>1.3</v>
      </c>
      <c r="F8" s="154" t="s">
        <v>114</v>
      </c>
      <c r="G8" s="155" t="n">
        <v>0.55</v>
      </c>
      <c r="H8" s="153" t="s">
        <v>129</v>
      </c>
      <c r="I8" s="156" t="n">
        <v>0.43</v>
      </c>
      <c r="J8" s="31"/>
      <c r="K8" s="31"/>
      <c r="L8" s="31"/>
      <c r="M8" s="31"/>
      <c r="N8" s="31"/>
      <c r="O8" s="149"/>
      <c r="P8" s="157" t="n">
        <v>0.15</v>
      </c>
    </row>
    <row r="9" customFormat="false" ht="15" hidden="false" customHeight="false" outlineLevel="0" collapsed="false">
      <c r="A9" s="151" t="s">
        <v>130</v>
      </c>
      <c r="B9" s="152" t="s">
        <v>131</v>
      </c>
      <c r="C9" s="153" t="n">
        <v>0.61</v>
      </c>
      <c r="D9" s="153" t="s">
        <v>113</v>
      </c>
      <c r="E9" s="153" t="n">
        <v>1.56</v>
      </c>
      <c r="F9" s="154" t="s">
        <v>114</v>
      </c>
      <c r="G9" s="155" t="n">
        <v>0.43</v>
      </c>
      <c r="H9" s="153" t="s">
        <v>115</v>
      </c>
      <c r="I9" s="156" t="n">
        <v>0.25</v>
      </c>
      <c r="J9" s="31"/>
      <c r="K9" s="31"/>
      <c r="L9" s="31"/>
      <c r="M9" s="31"/>
      <c r="N9" s="31"/>
    </row>
    <row r="10" customFormat="false" ht="14.25" hidden="false" customHeight="false" outlineLevel="0" collapsed="false">
      <c r="A10" s="151" t="s">
        <v>132</v>
      </c>
      <c r="B10" s="152" t="s">
        <v>133</v>
      </c>
      <c r="C10" s="153" t="n">
        <v>0.66</v>
      </c>
      <c r="D10" s="153" t="s">
        <v>113</v>
      </c>
      <c r="E10" s="153" t="n">
        <v>1.56</v>
      </c>
      <c r="F10" s="154" t="s">
        <v>114</v>
      </c>
      <c r="G10" s="155" t="n">
        <v>0.43</v>
      </c>
      <c r="H10" s="153" t="s">
        <v>115</v>
      </c>
      <c r="I10" s="156" t="n">
        <v>0.25</v>
      </c>
      <c r="J10" s="31"/>
      <c r="K10" s="31"/>
      <c r="L10" s="31"/>
      <c r="M10" s="31"/>
      <c r="N10" s="31"/>
      <c r="O10" s="149" t="s">
        <v>134</v>
      </c>
      <c r="P10" s="150" t="n">
        <v>0</v>
      </c>
    </row>
    <row r="11" customFormat="false" ht="15" hidden="false" customHeight="false" outlineLevel="0" collapsed="false">
      <c r="A11" s="151" t="s">
        <v>135</v>
      </c>
      <c r="B11" s="152" t="s">
        <v>136</v>
      </c>
      <c r="C11" s="153" t="n">
        <v>0.47</v>
      </c>
      <c r="D11" s="153" t="s">
        <v>113</v>
      </c>
      <c r="E11" s="153" t="n">
        <v>1.56</v>
      </c>
      <c r="F11" s="154" t="s">
        <v>114</v>
      </c>
      <c r="G11" s="155" t="n">
        <v>0.43</v>
      </c>
      <c r="H11" s="153" t="s">
        <v>115</v>
      </c>
      <c r="I11" s="156" t="n">
        <v>0.25</v>
      </c>
      <c r="J11" s="31"/>
      <c r="K11" s="31"/>
      <c r="L11" s="31"/>
      <c r="M11" s="31"/>
      <c r="N11" s="31"/>
      <c r="O11" s="149"/>
      <c r="P11" s="157" t="n">
        <v>0.1</v>
      </c>
    </row>
    <row r="12" customFormat="false" ht="14.25" hidden="false" customHeight="false" outlineLevel="0" collapsed="false">
      <c r="A12" s="151" t="s">
        <v>137</v>
      </c>
      <c r="B12" s="152" t="s">
        <v>138</v>
      </c>
      <c r="C12" s="153" t="n">
        <v>0.67</v>
      </c>
      <c r="D12" s="153" t="s">
        <v>113</v>
      </c>
      <c r="E12" s="153" t="n">
        <v>1.56</v>
      </c>
      <c r="F12" s="154" t="s">
        <v>114</v>
      </c>
      <c r="G12" s="155" t="n">
        <v>0.43</v>
      </c>
      <c r="H12" s="153" t="s">
        <v>139</v>
      </c>
      <c r="I12" s="156" t="n">
        <v>0.25</v>
      </c>
      <c r="J12" s="31"/>
      <c r="K12" s="31"/>
      <c r="L12" s="31"/>
      <c r="M12" s="31"/>
      <c r="N12" s="31"/>
    </row>
    <row r="13" customFormat="false" ht="14.25" hidden="false" customHeight="false" outlineLevel="0" collapsed="false">
      <c r="A13" s="151" t="s">
        <v>140</v>
      </c>
      <c r="B13" s="152" t="s">
        <v>141</v>
      </c>
      <c r="C13" s="153" t="n">
        <v>0.7</v>
      </c>
      <c r="D13" s="153" t="s">
        <v>113</v>
      </c>
      <c r="E13" s="153" t="n">
        <v>1.56</v>
      </c>
      <c r="F13" s="154" t="s">
        <v>114</v>
      </c>
      <c r="G13" s="155" t="n">
        <v>0.43</v>
      </c>
      <c r="H13" s="153" t="s">
        <v>139</v>
      </c>
      <c r="I13" s="156" t="n">
        <v>0.25</v>
      </c>
      <c r="J13" s="31"/>
      <c r="K13" s="31"/>
      <c r="L13" s="31"/>
      <c r="M13" s="31"/>
      <c r="N13" s="31"/>
    </row>
    <row r="14" customFormat="false" ht="14.25" hidden="false" customHeight="false" outlineLevel="0" collapsed="false">
      <c r="A14" s="151" t="s">
        <v>142</v>
      </c>
      <c r="B14" s="152" t="s">
        <v>143</v>
      </c>
      <c r="C14" s="153" t="n">
        <v>0.54</v>
      </c>
      <c r="D14" s="153" t="s">
        <v>113</v>
      </c>
      <c r="E14" s="153" t="n">
        <v>1.56</v>
      </c>
      <c r="F14" s="154" t="s">
        <v>114</v>
      </c>
      <c r="G14" s="155" t="n">
        <v>0.43</v>
      </c>
      <c r="H14" s="153" t="s">
        <v>139</v>
      </c>
      <c r="I14" s="156" t="n">
        <v>0.25</v>
      </c>
      <c r="J14" s="31"/>
      <c r="K14" s="31"/>
      <c r="L14" s="31"/>
      <c r="M14" s="31"/>
      <c r="N14" s="31"/>
    </row>
    <row r="15" customFormat="false" ht="14.25" hidden="false" customHeight="false" outlineLevel="0" collapsed="false">
      <c r="A15" s="151" t="s">
        <v>144</v>
      </c>
      <c r="B15" s="152" t="s">
        <v>145</v>
      </c>
      <c r="C15" s="153" t="n">
        <v>0.65</v>
      </c>
      <c r="D15" s="153" t="s">
        <v>113</v>
      </c>
      <c r="E15" s="153" t="n">
        <v>1.56</v>
      </c>
      <c r="F15" s="154" t="s">
        <v>114</v>
      </c>
      <c r="G15" s="155" t="n">
        <v>0.43</v>
      </c>
      <c r="H15" s="153" t="s">
        <v>139</v>
      </c>
      <c r="I15" s="156" t="n">
        <v>0.25</v>
      </c>
      <c r="J15" s="31"/>
      <c r="K15" s="31"/>
      <c r="L15" s="31"/>
      <c r="M15" s="31"/>
      <c r="N15" s="31"/>
    </row>
    <row r="16" customFormat="false" ht="14.25" hidden="false" customHeight="false" outlineLevel="0" collapsed="false">
      <c r="A16" s="151" t="s">
        <v>21</v>
      </c>
      <c r="B16" s="152" t="s">
        <v>146</v>
      </c>
      <c r="C16" s="153" t="n">
        <v>0.56</v>
      </c>
      <c r="D16" s="153" t="s">
        <v>113</v>
      </c>
      <c r="E16" s="153" t="n">
        <v>1.56</v>
      </c>
      <c r="F16" s="154" t="s">
        <v>114</v>
      </c>
      <c r="G16" s="155" t="n">
        <v>0.43</v>
      </c>
      <c r="H16" s="153" t="s">
        <v>139</v>
      </c>
      <c r="I16" s="156" t="n">
        <v>0.25</v>
      </c>
      <c r="J16" s="31"/>
      <c r="K16" s="31"/>
      <c r="L16" s="31"/>
      <c r="M16" s="31"/>
      <c r="N16" s="31"/>
    </row>
    <row r="17" customFormat="false" ht="14.25" hidden="false" customHeight="false" outlineLevel="0" collapsed="false">
      <c r="A17" s="151" t="s">
        <v>147</v>
      </c>
      <c r="B17" s="152" t="s">
        <v>148</v>
      </c>
      <c r="C17" s="153" t="n">
        <v>0.58</v>
      </c>
      <c r="D17" s="153" t="s">
        <v>113</v>
      </c>
      <c r="E17" s="153" t="n">
        <v>1.56</v>
      </c>
      <c r="F17" s="154" t="s">
        <v>114</v>
      </c>
      <c r="G17" s="155" t="n">
        <v>0.43</v>
      </c>
      <c r="H17" s="153" t="s">
        <v>139</v>
      </c>
      <c r="I17" s="156" t="n">
        <v>0.25</v>
      </c>
      <c r="J17" s="31"/>
      <c r="K17" s="31"/>
      <c r="L17" s="31"/>
      <c r="M17" s="31"/>
      <c r="N17" s="31"/>
    </row>
    <row r="18" customFormat="false" ht="14.25" hidden="false" customHeight="false" outlineLevel="0" collapsed="false">
      <c r="A18" s="151" t="s">
        <v>149</v>
      </c>
      <c r="B18" s="152" t="s">
        <v>150</v>
      </c>
      <c r="C18" s="153" t="n">
        <v>0.64</v>
      </c>
      <c r="D18" s="153" t="s">
        <v>113</v>
      </c>
      <c r="E18" s="153" t="n">
        <v>1.56</v>
      </c>
      <c r="F18" s="154" t="s">
        <v>114</v>
      </c>
      <c r="G18" s="155" t="n">
        <v>0.43</v>
      </c>
      <c r="H18" s="153" t="s">
        <v>139</v>
      </c>
      <c r="I18" s="156" t="n">
        <v>0.25</v>
      </c>
      <c r="J18" s="31"/>
      <c r="K18" s="31"/>
      <c r="L18" s="31"/>
      <c r="M18" s="31"/>
      <c r="N18" s="31"/>
    </row>
    <row r="19" customFormat="false" ht="14.25" hidden="false" customHeight="false" outlineLevel="0" collapsed="false">
      <c r="A19" s="151" t="s">
        <v>151</v>
      </c>
      <c r="B19" s="152" t="s">
        <v>152</v>
      </c>
      <c r="C19" s="153" t="n">
        <v>0.73</v>
      </c>
      <c r="D19" s="153" t="s">
        <v>113</v>
      </c>
      <c r="E19" s="153" t="n">
        <v>1.56</v>
      </c>
      <c r="F19" s="154" t="s">
        <v>114</v>
      </c>
      <c r="G19" s="155" t="n">
        <v>0.43</v>
      </c>
      <c r="H19" s="153" t="s">
        <v>139</v>
      </c>
      <c r="I19" s="156" t="n">
        <v>0.25</v>
      </c>
      <c r="J19" s="31"/>
      <c r="K19" s="31"/>
      <c r="L19" s="31"/>
      <c r="M19" s="31"/>
      <c r="N19" s="31"/>
    </row>
    <row r="20" customFormat="false" ht="14.25" hidden="false" customHeight="false" outlineLevel="0" collapsed="false">
      <c r="A20" s="151" t="s">
        <v>153</v>
      </c>
      <c r="B20" s="152" t="s">
        <v>154</v>
      </c>
      <c r="C20" s="153" t="n">
        <v>0.69</v>
      </c>
      <c r="D20" s="153" t="s">
        <v>155</v>
      </c>
      <c r="E20" s="153" t="n">
        <v>1.56</v>
      </c>
      <c r="F20" s="154" t="s">
        <v>114</v>
      </c>
      <c r="G20" s="155" t="n">
        <v>0.43</v>
      </c>
      <c r="H20" s="153" t="s">
        <v>156</v>
      </c>
      <c r="I20" s="156" t="n">
        <v>0.25</v>
      </c>
      <c r="J20" s="31"/>
      <c r="K20" s="31"/>
      <c r="L20" s="31"/>
      <c r="M20" s="31"/>
      <c r="N20" s="31"/>
    </row>
    <row r="21" customFormat="false" ht="14.25" hidden="false" customHeight="false" outlineLevel="0" collapsed="false">
      <c r="A21" s="151" t="s">
        <v>157</v>
      </c>
      <c r="B21" s="152" t="s">
        <v>158</v>
      </c>
      <c r="C21" s="153" t="n">
        <v>0.36</v>
      </c>
      <c r="D21" s="153" t="s">
        <v>113</v>
      </c>
      <c r="E21" s="153" t="n">
        <v>1.3</v>
      </c>
      <c r="F21" s="154" t="s">
        <v>114</v>
      </c>
      <c r="G21" s="155" t="n">
        <v>0.55</v>
      </c>
      <c r="H21" s="153" t="s">
        <v>129</v>
      </c>
      <c r="I21" s="156" t="n">
        <v>0.43</v>
      </c>
      <c r="J21" s="31"/>
      <c r="K21" s="31"/>
      <c r="L21" s="31"/>
      <c r="M21" s="31"/>
      <c r="N21" s="31"/>
    </row>
    <row r="22" customFormat="false" ht="14.25" hidden="false" customHeight="false" outlineLevel="0" collapsed="false">
      <c r="A22" s="151" t="s">
        <v>159</v>
      </c>
      <c r="B22" s="152" t="s">
        <v>160</v>
      </c>
      <c r="C22" s="153" t="n">
        <v>0.4</v>
      </c>
      <c r="D22" s="153" t="s">
        <v>113</v>
      </c>
      <c r="E22" s="153" t="n">
        <v>1.3</v>
      </c>
      <c r="F22" s="154" t="s">
        <v>114</v>
      </c>
      <c r="G22" s="155" t="n">
        <v>0.55</v>
      </c>
      <c r="H22" s="153" t="s">
        <v>129</v>
      </c>
      <c r="I22" s="156" t="n">
        <v>0.43</v>
      </c>
      <c r="J22" s="31"/>
      <c r="K22" s="31"/>
      <c r="L22" s="31"/>
      <c r="M22" s="31"/>
      <c r="N22" s="31"/>
    </row>
    <row r="23" customFormat="false" ht="14.25" hidden="false" customHeight="false" outlineLevel="0" collapsed="false">
      <c r="A23" s="151" t="s">
        <v>19</v>
      </c>
      <c r="B23" s="152" t="s">
        <v>161</v>
      </c>
      <c r="C23" s="153" t="n">
        <v>0.43</v>
      </c>
      <c r="D23" s="153" t="s">
        <v>113</v>
      </c>
      <c r="E23" s="153" t="n">
        <v>1.3</v>
      </c>
      <c r="F23" s="154" t="s">
        <v>114</v>
      </c>
      <c r="G23" s="155" t="n">
        <v>0.55</v>
      </c>
      <c r="H23" s="153" t="s">
        <v>129</v>
      </c>
      <c r="I23" s="156" t="n">
        <v>0.43</v>
      </c>
      <c r="J23" s="31"/>
      <c r="K23" s="31"/>
      <c r="L23" s="31"/>
      <c r="M23" s="31"/>
      <c r="N23" s="31"/>
    </row>
    <row r="24" customFormat="false" ht="14.25" hidden="false" customHeight="false" outlineLevel="0" collapsed="false">
      <c r="A24" s="151" t="s">
        <v>162</v>
      </c>
      <c r="B24" s="152" t="s">
        <v>163</v>
      </c>
      <c r="C24" s="153" t="n">
        <v>0.37</v>
      </c>
      <c r="D24" s="153" t="s">
        <v>113</v>
      </c>
      <c r="E24" s="153" t="n">
        <v>1.3</v>
      </c>
      <c r="F24" s="154" t="s">
        <v>114</v>
      </c>
      <c r="G24" s="155" t="n">
        <v>0.55</v>
      </c>
      <c r="H24" s="153" t="s">
        <v>139</v>
      </c>
      <c r="I24" s="156" t="n">
        <v>0.43</v>
      </c>
      <c r="J24" s="31"/>
      <c r="K24" s="31"/>
      <c r="L24" s="31"/>
      <c r="M24" s="31"/>
      <c r="N24" s="31"/>
    </row>
    <row r="25" customFormat="false" ht="14.25" hidden="false" customHeight="false" outlineLevel="0" collapsed="false">
      <c r="A25" s="151" t="s">
        <v>164</v>
      </c>
      <c r="B25" s="152" t="s">
        <v>165</v>
      </c>
      <c r="C25" s="153" t="n">
        <v>0.36</v>
      </c>
      <c r="D25" s="153" t="s">
        <v>113</v>
      </c>
      <c r="E25" s="153" t="n">
        <v>1.3</v>
      </c>
      <c r="F25" s="154" t="s">
        <v>114</v>
      </c>
      <c r="G25" s="155" t="n">
        <v>0.55</v>
      </c>
      <c r="H25" s="153" t="s">
        <v>139</v>
      </c>
      <c r="I25" s="156" t="n">
        <v>0.43</v>
      </c>
      <c r="J25" s="31"/>
      <c r="K25" s="31"/>
      <c r="L25" s="31"/>
      <c r="M25" s="31"/>
      <c r="N25" s="31"/>
    </row>
    <row r="26" customFormat="false" ht="14.25" hidden="false" customHeight="false" outlineLevel="0" collapsed="false">
      <c r="A26" s="151" t="s">
        <v>166</v>
      </c>
      <c r="B26" s="152" t="s">
        <v>167</v>
      </c>
      <c r="C26" s="153" t="n">
        <v>0.56</v>
      </c>
      <c r="D26" s="153" t="s">
        <v>113</v>
      </c>
      <c r="E26" s="153" t="n">
        <v>1.56</v>
      </c>
      <c r="F26" s="154" t="s">
        <v>114</v>
      </c>
      <c r="G26" s="155" t="n">
        <v>0.53</v>
      </c>
      <c r="H26" s="153" t="s">
        <v>168</v>
      </c>
      <c r="I26" s="156" t="n">
        <v>0.25</v>
      </c>
      <c r="J26" s="31"/>
      <c r="K26" s="31"/>
      <c r="L26" s="31"/>
      <c r="M26" s="31"/>
      <c r="N26" s="31"/>
    </row>
    <row r="27" customFormat="false" ht="14.25" hidden="false" customHeight="false" outlineLevel="0" collapsed="false">
      <c r="A27" s="151" t="s">
        <v>169</v>
      </c>
      <c r="B27" s="152" t="s">
        <v>170</v>
      </c>
      <c r="C27" s="153" t="n">
        <v>0.51</v>
      </c>
      <c r="D27" s="153" t="s">
        <v>113</v>
      </c>
      <c r="E27" s="153" t="n">
        <v>1.56</v>
      </c>
      <c r="F27" s="154" t="s">
        <v>114</v>
      </c>
      <c r="G27" s="155" t="n">
        <v>0.53</v>
      </c>
      <c r="H27" s="153" t="s">
        <v>168</v>
      </c>
      <c r="I27" s="156" t="n">
        <v>0.25</v>
      </c>
      <c r="J27" s="31"/>
      <c r="K27" s="31"/>
      <c r="L27" s="31"/>
      <c r="M27" s="31"/>
      <c r="N27" s="31"/>
    </row>
    <row r="28" customFormat="false" ht="14.25" hidden="false" customHeight="false" outlineLevel="0" collapsed="false">
      <c r="A28" s="151" t="s">
        <v>171</v>
      </c>
      <c r="B28" s="152" t="s">
        <v>172</v>
      </c>
      <c r="C28" s="153" t="n">
        <v>0.51</v>
      </c>
      <c r="D28" s="153" t="s">
        <v>113</v>
      </c>
      <c r="E28" s="153" t="n">
        <v>1.56</v>
      </c>
      <c r="F28" s="154" t="s">
        <v>114</v>
      </c>
      <c r="G28" s="155" t="n">
        <v>0.53</v>
      </c>
      <c r="H28" s="153" t="s">
        <v>168</v>
      </c>
      <c r="I28" s="156" t="n">
        <v>0.25</v>
      </c>
      <c r="J28" s="31"/>
      <c r="K28" s="31"/>
      <c r="L28" s="31"/>
      <c r="M28" s="31"/>
      <c r="N28" s="31"/>
    </row>
    <row r="29" customFormat="false" ht="14.25" hidden="false" customHeight="false" outlineLevel="0" collapsed="false">
      <c r="A29" s="151" t="s">
        <v>173</v>
      </c>
      <c r="B29" s="152" t="s">
        <v>173</v>
      </c>
      <c r="C29" s="153" t="n">
        <v>0.56</v>
      </c>
      <c r="D29" s="153" t="s">
        <v>113</v>
      </c>
      <c r="E29" s="153" t="n">
        <v>1.56</v>
      </c>
      <c r="F29" s="154" t="s">
        <v>114</v>
      </c>
      <c r="G29" s="155" t="n">
        <v>0.53</v>
      </c>
      <c r="H29" s="153" t="s">
        <v>168</v>
      </c>
      <c r="I29" s="156" t="n">
        <v>0.25</v>
      </c>
      <c r="J29" s="31"/>
      <c r="K29" s="31"/>
      <c r="L29" s="31"/>
      <c r="M29" s="31"/>
      <c r="N29" s="31"/>
    </row>
    <row r="30" customFormat="false" ht="14.25" hidden="false" customHeight="false" outlineLevel="0" collapsed="false">
      <c r="A30" s="151" t="s">
        <v>174</v>
      </c>
      <c r="B30" s="152" t="s">
        <v>175</v>
      </c>
      <c r="C30" s="153" t="n">
        <v>0.55</v>
      </c>
      <c r="D30" s="153" t="s">
        <v>113</v>
      </c>
      <c r="E30" s="153" t="n">
        <v>1.56</v>
      </c>
      <c r="F30" s="154" t="s">
        <v>114</v>
      </c>
      <c r="G30" s="155" t="n">
        <v>0.53</v>
      </c>
      <c r="H30" s="153" t="s">
        <v>139</v>
      </c>
      <c r="I30" s="156" t="n">
        <v>0.25</v>
      </c>
      <c r="J30" s="31"/>
      <c r="K30" s="31"/>
      <c r="L30" s="31"/>
      <c r="M30" s="31"/>
      <c r="N30" s="31"/>
    </row>
    <row r="31" customFormat="false" ht="14.25" hidden="false" customHeight="false" outlineLevel="0" collapsed="false">
      <c r="A31" s="151" t="s">
        <v>176</v>
      </c>
      <c r="B31" s="152" t="s">
        <v>177</v>
      </c>
      <c r="C31" s="153" t="n">
        <v>0.56</v>
      </c>
      <c r="D31" s="153" t="s">
        <v>113</v>
      </c>
      <c r="E31" s="153" t="n">
        <v>1.56</v>
      </c>
      <c r="F31" s="154" t="s">
        <v>114</v>
      </c>
      <c r="G31" s="155" t="n">
        <v>0.43</v>
      </c>
      <c r="H31" s="153" t="s">
        <v>115</v>
      </c>
      <c r="I31" s="156" t="n">
        <v>0.25</v>
      </c>
      <c r="J31" s="31"/>
      <c r="K31" s="31"/>
      <c r="L31" s="31"/>
      <c r="M31" s="31"/>
      <c r="N31" s="31"/>
    </row>
    <row r="32" customFormat="false" ht="14.25" hidden="false" customHeight="false" outlineLevel="0" collapsed="false">
      <c r="A32" s="151" t="s">
        <v>23</v>
      </c>
      <c r="B32" s="152" t="s">
        <v>178</v>
      </c>
      <c r="C32" s="153" t="n">
        <v>0.48</v>
      </c>
      <c r="D32" s="153" t="s">
        <v>113</v>
      </c>
      <c r="E32" s="153" t="n">
        <v>1.3</v>
      </c>
      <c r="F32" s="154" t="s">
        <v>114</v>
      </c>
      <c r="G32" s="155" t="n">
        <v>0.6</v>
      </c>
      <c r="H32" s="153" t="s">
        <v>179</v>
      </c>
      <c r="I32" s="156" t="n">
        <v>0.43</v>
      </c>
      <c r="J32" s="31"/>
      <c r="K32" s="31"/>
      <c r="L32" s="31"/>
      <c r="M32" s="31"/>
      <c r="N32" s="31"/>
    </row>
    <row r="33" customFormat="false" ht="14.25" hidden="false" customHeight="false" outlineLevel="0" collapsed="false">
      <c r="A33" s="151" t="s">
        <v>180</v>
      </c>
      <c r="B33" s="152" t="s">
        <v>181</v>
      </c>
      <c r="C33" s="153" t="n">
        <v>0.42</v>
      </c>
      <c r="D33" s="153" t="s">
        <v>113</v>
      </c>
      <c r="E33" s="153" t="n">
        <v>1.3</v>
      </c>
      <c r="F33" s="154" t="s">
        <v>114</v>
      </c>
      <c r="G33" s="155" t="n">
        <v>0.6</v>
      </c>
      <c r="H33" s="153" t="s">
        <v>179</v>
      </c>
      <c r="I33" s="156" t="n">
        <v>0.43</v>
      </c>
      <c r="J33" s="31"/>
      <c r="K33" s="31"/>
      <c r="L33" s="31"/>
      <c r="M33" s="31"/>
      <c r="N33" s="31"/>
    </row>
    <row r="34" customFormat="false" ht="14.25" hidden="false" customHeight="false" outlineLevel="0" collapsed="false">
      <c r="A34" s="151" t="s">
        <v>25</v>
      </c>
      <c r="B34" s="152" t="s">
        <v>182</v>
      </c>
      <c r="C34" s="153" t="n">
        <v>0.42</v>
      </c>
      <c r="D34" s="153" t="s">
        <v>183</v>
      </c>
      <c r="E34" s="153" t="n">
        <v>1.3</v>
      </c>
      <c r="F34" s="154" t="s">
        <v>114</v>
      </c>
      <c r="G34" s="155" t="n">
        <v>0.6</v>
      </c>
      <c r="H34" s="152" t="s">
        <v>184</v>
      </c>
      <c r="I34" s="156" t="n">
        <v>0.43</v>
      </c>
      <c r="J34" s="31"/>
      <c r="K34" s="31"/>
      <c r="L34" s="31"/>
      <c r="M34" s="31"/>
      <c r="N34" s="31"/>
    </row>
    <row r="35" customFormat="false" ht="14.25" hidden="false" customHeight="false" outlineLevel="0" collapsed="false">
      <c r="A35" s="151" t="s">
        <v>185</v>
      </c>
      <c r="B35" s="152" t="s">
        <v>186</v>
      </c>
      <c r="C35" s="153" t="n">
        <v>0.5</v>
      </c>
      <c r="D35" s="153" t="s">
        <v>113</v>
      </c>
      <c r="E35" s="153" t="n">
        <v>1.56</v>
      </c>
      <c r="F35" s="154" t="s">
        <v>114</v>
      </c>
      <c r="G35" s="155" t="n">
        <v>0.43</v>
      </c>
      <c r="H35" s="153" t="s">
        <v>115</v>
      </c>
      <c r="I35" s="156" t="n">
        <v>0.25</v>
      </c>
      <c r="J35" s="31"/>
      <c r="K35" s="31"/>
      <c r="L35" s="31"/>
      <c r="M35" s="31"/>
      <c r="N35" s="31"/>
    </row>
    <row r="36" customFormat="false" ht="14.25" hidden="false" customHeight="false" outlineLevel="0" collapsed="false">
      <c r="A36" s="151" t="s">
        <v>187</v>
      </c>
      <c r="B36" s="152" t="s">
        <v>188</v>
      </c>
      <c r="C36" s="153" t="n">
        <v>0.55</v>
      </c>
      <c r="D36" s="153" t="s">
        <v>113</v>
      </c>
      <c r="E36" s="153" t="n">
        <v>1.56</v>
      </c>
      <c r="F36" s="154" t="s">
        <v>114</v>
      </c>
      <c r="G36" s="155" t="n">
        <v>0.53</v>
      </c>
      <c r="H36" s="153" t="s">
        <v>168</v>
      </c>
      <c r="I36" s="156" t="n">
        <v>0.25</v>
      </c>
      <c r="J36" s="31"/>
      <c r="K36" s="31"/>
      <c r="L36" s="31"/>
      <c r="M36" s="31"/>
      <c r="N36" s="31"/>
    </row>
    <row r="37" customFormat="false" ht="14.25" hidden="false" customHeight="false" outlineLevel="0" collapsed="false">
      <c r="A37" s="151" t="s">
        <v>189</v>
      </c>
      <c r="B37" s="152" t="s">
        <v>190</v>
      </c>
      <c r="C37" s="153" t="n">
        <v>0.52</v>
      </c>
      <c r="D37" s="153" t="s">
        <v>113</v>
      </c>
      <c r="E37" s="153" t="n">
        <v>1.56</v>
      </c>
      <c r="F37" s="154" t="s">
        <v>114</v>
      </c>
      <c r="G37" s="155" t="n">
        <v>0.53</v>
      </c>
      <c r="H37" s="153" t="s">
        <v>168</v>
      </c>
      <c r="I37" s="156" t="n">
        <v>0.25</v>
      </c>
      <c r="J37" s="31"/>
      <c r="K37" s="31"/>
      <c r="L37" s="31"/>
      <c r="M37" s="31"/>
      <c r="N37" s="31"/>
    </row>
    <row r="38" customFormat="false" ht="14.25" hidden="false" customHeight="false" outlineLevel="0" collapsed="false">
      <c r="A38" s="151" t="s">
        <v>191</v>
      </c>
      <c r="B38" s="152" t="s">
        <v>192</v>
      </c>
      <c r="C38" s="153" t="n">
        <v>0.52</v>
      </c>
      <c r="D38" s="153" t="s">
        <v>113</v>
      </c>
      <c r="E38" s="153" t="n">
        <v>1.56</v>
      </c>
      <c r="F38" s="154" t="s">
        <v>114</v>
      </c>
      <c r="G38" s="155" t="n">
        <v>0.43</v>
      </c>
      <c r="H38" s="153" t="s">
        <v>115</v>
      </c>
      <c r="I38" s="156" t="n">
        <v>0.25</v>
      </c>
      <c r="J38" s="31"/>
      <c r="K38" s="31"/>
      <c r="L38" s="31"/>
      <c r="M38" s="31"/>
      <c r="N38" s="31"/>
    </row>
    <row r="39" customFormat="false" ht="14.25" hidden="false" customHeight="false" outlineLevel="0" collapsed="false">
      <c r="A39" s="151" t="s">
        <v>193</v>
      </c>
      <c r="B39" s="152" t="s">
        <v>194</v>
      </c>
      <c r="C39" s="153" t="n">
        <v>0.313</v>
      </c>
      <c r="D39" s="153" t="s">
        <v>195</v>
      </c>
      <c r="E39" s="153" t="n">
        <v>1.56</v>
      </c>
      <c r="F39" s="154" t="s">
        <v>114</v>
      </c>
      <c r="G39" s="155" t="n">
        <v>0.6</v>
      </c>
      <c r="H39" s="153" t="s">
        <v>196</v>
      </c>
      <c r="I39" s="156" t="n">
        <v>1.03</v>
      </c>
      <c r="J39" s="31"/>
      <c r="K39" s="31"/>
      <c r="L39" s="31"/>
      <c r="M39" s="31"/>
      <c r="N39" s="31"/>
    </row>
    <row r="40" customFormat="false" ht="14.25" hidden="false" customHeight="false" outlineLevel="0" collapsed="false">
      <c r="A40" s="151" t="s">
        <v>197</v>
      </c>
      <c r="B40" s="152" t="s">
        <v>194</v>
      </c>
      <c r="C40" s="153" t="n">
        <v>0.352</v>
      </c>
      <c r="D40" s="153" t="s">
        <v>195</v>
      </c>
      <c r="E40" s="153" t="n">
        <v>1.56</v>
      </c>
      <c r="F40" s="154" t="s">
        <v>114</v>
      </c>
      <c r="G40" s="155" t="n">
        <v>0.6</v>
      </c>
      <c r="H40" s="153" t="s">
        <v>196</v>
      </c>
      <c r="I40" s="156" t="n">
        <v>1.03</v>
      </c>
      <c r="J40" s="31"/>
      <c r="K40" s="31"/>
      <c r="L40" s="31"/>
      <c r="M40" s="31"/>
      <c r="N40" s="31"/>
    </row>
    <row r="41" customFormat="false" ht="14.25" hidden="false" customHeight="false" outlineLevel="0" collapsed="false">
      <c r="A41" s="151" t="s">
        <v>198</v>
      </c>
      <c r="B41" s="152" t="s">
        <v>194</v>
      </c>
      <c r="C41" s="153" t="n">
        <v>0.322</v>
      </c>
      <c r="D41" s="153" t="s">
        <v>195</v>
      </c>
      <c r="E41" s="153" t="n">
        <v>1.56</v>
      </c>
      <c r="F41" s="154" t="s">
        <v>114</v>
      </c>
      <c r="G41" s="155" t="n">
        <v>0.6</v>
      </c>
      <c r="H41" s="153" t="s">
        <v>196</v>
      </c>
      <c r="I41" s="156" t="n">
        <v>1.03</v>
      </c>
      <c r="J41" s="31"/>
      <c r="K41" s="31"/>
      <c r="L41" s="31"/>
      <c r="M41" s="31"/>
      <c r="N41" s="31"/>
    </row>
    <row r="42" customFormat="false" ht="14.25" hidden="false" customHeight="false" outlineLevel="0" collapsed="false">
      <c r="A42" s="151" t="s">
        <v>199</v>
      </c>
      <c r="B42" s="152" t="s">
        <v>194</v>
      </c>
      <c r="C42" s="153" t="n">
        <v>0.311</v>
      </c>
      <c r="D42" s="153" t="s">
        <v>195</v>
      </c>
      <c r="E42" s="153" t="n">
        <v>1.56</v>
      </c>
      <c r="F42" s="154" t="s">
        <v>114</v>
      </c>
      <c r="G42" s="155" t="n">
        <v>0.6</v>
      </c>
      <c r="H42" s="153" t="s">
        <v>196</v>
      </c>
      <c r="I42" s="156" t="n">
        <v>1.03</v>
      </c>
      <c r="J42" s="31"/>
      <c r="K42" s="31"/>
      <c r="L42" s="31"/>
      <c r="M42" s="31"/>
      <c r="N42" s="31"/>
    </row>
    <row r="43" customFormat="false" ht="14.25" hidden="false" customHeight="false" outlineLevel="0" collapsed="false">
      <c r="A43" s="151" t="s">
        <v>200</v>
      </c>
      <c r="B43" s="152" t="s">
        <v>194</v>
      </c>
      <c r="C43" s="153" t="n">
        <v>0.339</v>
      </c>
      <c r="D43" s="153" t="s">
        <v>195</v>
      </c>
      <c r="E43" s="153" t="n">
        <v>1.56</v>
      </c>
      <c r="F43" s="154" t="s">
        <v>114</v>
      </c>
      <c r="G43" s="155" t="n">
        <v>0.6</v>
      </c>
      <c r="H43" s="153" t="s">
        <v>196</v>
      </c>
      <c r="I43" s="156" t="n">
        <v>1.03</v>
      </c>
      <c r="J43" s="31"/>
      <c r="K43" s="31"/>
      <c r="L43" s="31"/>
      <c r="M43" s="31"/>
      <c r="N43" s="31"/>
    </row>
    <row r="44" customFormat="false" ht="14.25" hidden="false" customHeight="false" outlineLevel="0" collapsed="false">
      <c r="A44" s="151" t="s">
        <v>201</v>
      </c>
      <c r="B44" s="152" t="s">
        <v>194</v>
      </c>
      <c r="C44" s="153" t="n">
        <v>0.336</v>
      </c>
      <c r="D44" s="153" t="s">
        <v>195</v>
      </c>
      <c r="E44" s="153" t="n">
        <v>1.56</v>
      </c>
      <c r="F44" s="154" t="s">
        <v>114</v>
      </c>
      <c r="G44" s="155" t="n">
        <v>0.6</v>
      </c>
      <c r="H44" s="153" t="s">
        <v>196</v>
      </c>
      <c r="I44" s="156" t="n">
        <v>1.03</v>
      </c>
      <c r="J44" s="31"/>
      <c r="K44" s="31"/>
      <c r="L44" s="31"/>
      <c r="M44" s="31"/>
      <c r="N44" s="31"/>
    </row>
    <row r="45" customFormat="false" ht="14.25" hidden="false" customHeight="false" outlineLevel="0" collapsed="false">
      <c r="A45" s="151" t="s">
        <v>202</v>
      </c>
      <c r="B45" s="152" t="s">
        <v>194</v>
      </c>
      <c r="C45" s="153" t="n">
        <v>0.329</v>
      </c>
      <c r="D45" s="153" t="s">
        <v>195</v>
      </c>
      <c r="E45" s="153" t="n">
        <v>1.56</v>
      </c>
      <c r="F45" s="154" t="s">
        <v>114</v>
      </c>
      <c r="G45" s="155" t="n">
        <v>0.6</v>
      </c>
      <c r="H45" s="153" t="s">
        <v>196</v>
      </c>
      <c r="I45" s="156" t="n">
        <v>1.03</v>
      </c>
      <c r="J45" s="31"/>
      <c r="K45" s="31"/>
      <c r="L45" s="31"/>
      <c r="M45" s="31"/>
      <c r="N45" s="31"/>
    </row>
    <row r="46" customFormat="false" ht="14.25" hidden="false" customHeight="false" outlineLevel="0" collapsed="false">
      <c r="A46" s="151" t="s">
        <v>203</v>
      </c>
      <c r="B46" s="152" t="s">
        <v>194</v>
      </c>
      <c r="C46" s="153" t="n">
        <v>0.343</v>
      </c>
      <c r="D46" s="153" t="s">
        <v>195</v>
      </c>
      <c r="E46" s="153" t="n">
        <v>1.56</v>
      </c>
      <c r="F46" s="154" t="s">
        <v>114</v>
      </c>
      <c r="G46" s="155" t="n">
        <v>0.6</v>
      </c>
      <c r="H46" s="153" t="s">
        <v>196</v>
      </c>
      <c r="I46" s="156" t="n">
        <v>1.03</v>
      </c>
      <c r="J46" s="31"/>
      <c r="K46" s="31"/>
      <c r="L46" s="31"/>
      <c r="M46" s="31"/>
      <c r="N46" s="31"/>
    </row>
    <row r="47" customFormat="false" ht="14.25" hidden="false" customHeight="false" outlineLevel="0" collapsed="false">
      <c r="A47" s="151" t="s">
        <v>204</v>
      </c>
      <c r="B47" s="152" t="s">
        <v>194</v>
      </c>
      <c r="C47" s="153" t="n">
        <v>0.325</v>
      </c>
      <c r="D47" s="153" t="s">
        <v>195</v>
      </c>
      <c r="E47" s="153" t="n">
        <v>1.56</v>
      </c>
      <c r="F47" s="154" t="s">
        <v>114</v>
      </c>
      <c r="G47" s="155" t="n">
        <v>0.6</v>
      </c>
      <c r="H47" s="153" t="s">
        <v>196</v>
      </c>
      <c r="I47" s="156" t="n">
        <v>1.03</v>
      </c>
      <c r="J47" s="31"/>
      <c r="K47" s="31"/>
      <c r="L47" s="31"/>
      <c r="M47" s="31"/>
      <c r="N47" s="31"/>
    </row>
    <row r="48" customFormat="false" ht="14.25" hidden="false" customHeight="false" outlineLevel="0" collapsed="false">
      <c r="A48" s="151" t="s">
        <v>205</v>
      </c>
      <c r="B48" s="152" t="s">
        <v>194</v>
      </c>
      <c r="C48" s="153" t="n">
        <v>0.32</v>
      </c>
      <c r="D48" s="153" t="s">
        <v>195</v>
      </c>
      <c r="E48" s="153" t="n">
        <v>1.56</v>
      </c>
      <c r="F48" s="154" t="s">
        <v>114</v>
      </c>
      <c r="G48" s="155" t="n">
        <v>0.6</v>
      </c>
      <c r="H48" s="153" t="s">
        <v>196</v>
      </c>
      <c r="I48" s="156" t="n">
        <v>1.03</v>
      </c>
      <c r="J48" s="31"/>
      <c r="K48" s="31"/>
      <c r="L48" s="31"/>
      <c r="M48" s="31"/>
      <c r="N48" s="31"/>
    </row>
    <row r="49" customFormat="false" ht="14.25" hidden="false" customHeight="false" outlineLevel="0" collapsed="false">
      <c r="A49" s="151" t="s">
        <v>206</v>
      </c>
      <c r="B49" s="152" t="s">
        <v>194</v>
      </c>
      <c r="C49" s="153" t="n">
        <v>0.282</v>
      </c>
      <c r="D49" s="153" t="s">
        <v>195</v>
      </c>
      <c r="E49" s="153" t="n">
        <v>1.56</v>
      </c>
      <c r="F49" s="154" t="s">
        <v>114</v>
      </c>
      <c r="G49" s="155" t="n">
        <v>0.6</v>
      </c>
      <c r="H49" s="153" t="s">
        <v>196</v>
      </c>
      <c r="I49" s="156" t="n">
        <v>1.03</v>
      </c>
      <c r="J49" s="31"/>
      <c r="K49" s="31"/>
      <c r="L49" s="31"/>
      <c r="M49" s="31"/>
      <c r="N49" s="31"/>
    </row>
    <row r="50" customFormat="false" ht="14.25" hidden="false" customHeight="false" outlineLevel="0" collapsed="false">
      <c r="A50" s="151" t="s">
        <v>207</v>
      </c>
      <c r="B50" s="152" t="s">
        <v>194</v>
      </c>
      <c r="C50" s="153" t="n">
        <v>0.328</v>
      </c>
      <c r="D50" s="153" t="s">
        <v>195</v>
      </c>
      <c r="E50" s="153" t="n">
        <v>1.56</v>
      </c>
      <c r="F50" s="154" t="s">
        <v>114</v>
      </c>
      <c r="G50" s="155" t="n">
        <v>0.6</v>
      </c>
      <c r="H50" s="153" t="s">
        <v>196</v>
      </c>
      <c r="I50" s="156" t="n">
        <v>1.03</v>
      </c>
      <c r="J50" s="31"/>
      <c r="K50" s="31"/>
      <c r="L50" s="31"/>
      <c r="M50" s="31"/>
      <c r="N50" s="31"/>
    </row>
    <row r="51" customFormat="false" ht="14.25" hidden="false" customHeight="false" outlineLevel="0" collapsed="false">
      <c r="A51" s="151" t="s">
        <v>208</v>
      </c>
      <c r="B51" s="152" t="s">
        <v>194</v>
      </c>
      <c r="C51" s="153" t="n">
        <v>0.326</v>
      </c>
      <c r="D51" s="153" t="s">
        <v>195</v>
      </c>
      <c r="E51" s="153" t="n">
        <v>1.56</v>
      </c>
      <c r="F51" s="154" t="s">
        <v>114</v>
      </c>
      <c r="G51" s="155" t="n">
        <v>0.6</v>
      </c>
      <c r="H51" s="153" t="s">
        <v>196</v>
      </c>
      <c r="I51" s="156" t="n">
        <v>1.03</v>
      </c>
      <c r="J51" s="31"/>
      <c r="K51" s="31"/>
      <c r="L51" s="31"/>
      <c r="M51" s="31"/>
      <c r="N51" s="31"/>
    </row>
    <row r="52" customFormat="false" ht="14.25" hidden="false" customHeight="false" outlineLevel="0" collapsed="false">
      <c r="A52" s="151" t="s">
        <v>209</v>
      </c>
      <c r="B52" s="152" t="s">
        <v>194</v>
      </c>
      <c r="C52" s="153" t="n">
        <v>0.359</v>
      </c>
      <c r="D52" s="153" t="s">
        <v>195</v>
      </c>
      <c r="E52" s="153" t="n">
        <v>1.56</v>
      </c>
      <c r="F52" s="154" t="s">
        <v>114</v>
      </c>
      <c r="G52" s="155" t="n">
        <v>0.6</v>
      </c>
      <c r="H52" s="153" t="s">
        <v>196</v>
      </c>
      <c r="I52" s="156" t="n">
        <v>1.03</v>
      </c>
      <c r="J52" s="31"/>
      <c r="K52" s="31"/>
      <c r="L52" s="31"/>
      <c r="M52" s="31"/>
      <c r="N52" s="31"/>
    </row>
    <row r="53" customFormat="false" ht="14.25" hidden="false" customHeight="false" outlineLevel="0" collapsed="false">
      <c r="A53" s="151" t="s">
        <v>210</v>
      </c>
      <c r="B53" s="152" t="s">
        <v>194</v>
      </c>
      <c r="C53" s="153" t="n">
        <v>0.346</v>
      </c>
      <c r="D53" s="153" t="s">
        <v>195</v>
      </c>
      <c r="E53" s="153" t="n">
        <v>1.56</v>
      </c>
      <c r="F53" s="154" t="s">
        <v>114</v>
      </c>
      <c r="G53" s="155" t="n">
        <v>0.6</v>
      </c>
      <c r="H53" s="153" t="s">
        <v>196</v>
      </c>
      <c r="I53" s="156" t="n">
        <v>1.03</v>
      </c>
      <c r="J53" s="31"/>
      <c r="K53" s="31"/>
      <c r="L53" s="31"/>
      <c r="M53" s="31"/>
      <c r="N53" s="31"/>
    </row>
    <row r="54" customFormat="false" ht="14.25" hidden="false" customHeight="false" outlineLevel="0" collapsed="false">
      <c r="A54" s="151" t="s">
        <v>211</v>
      </c>
      <c r="B54" s="152" t="s">
        <v>194</v>
      </c>
      <c r="C54" s="153" t="n">
        <v>0.326</v>
      </c>
      <c r="D54" s="153" t="s">
        <v>195</v>
      </c>
      <c r="E54" s="153" t="n">
        <v>1.56</v>
      </c>
      <c r="F54" s="154" t="s">
        <v>114</v>
      </c>
      <c r="G54" s="155" t="n">
        <v>0.6</v>
      </c>
      <c r="H54" s="153" t="s">
        <v>196</v>
      </c>
      <c r="I54" s="156" t="n">
        <v>1.03</v>
      </c>
      <c r="J54" s="31"/>
      <c r="K54" s="31"/>
      <c r="L54" s="31"/>
      <c r="M54" s="31"/>
      <c r="N54" s="31"/>
    </row>
    <row r="55" customFormat="false" ht="14.25" hidden="false" customHeight="false" outlineLevel="0" collapsed="false">
      <c r="A55" s="151" t="s">
        <v>212</v>
      </c>
      <c r="B55" s="152" t="s">
        <v>194</v>
      </c>
      <c r="C55" s="153" t="n">
        <v>0.305</v>
      </c>
      <c r="D55" s="153" t="s">
        <v>195</v>
      </c>
      <c r="E55" s="153" t="n">
        <v>1.56</v>
      </c>
      <c r="F55" s="154" t="s">
        <v>114</v>
      </c>
      <c r="G55" s="155" t="n">
        <v>0.6</v>
      </c>
      <c r="H55" s="153" t="s">
        <v>196</v>
      </c>
      <c r="I55" s="156" t="n">
        <v>1.03</v>
      </c>
      <c r="J55" s="31"/>
      <c r="K55" s="31"/>
      <c r="L55" s="31"/>
      <c r="M55" s="31"/>
      <c r="N55" s="31"/>
    </row>
    <row r="56" customFormat="false" ht="14.25" hidden="false" customHeight="false" outlineLevel="0" collapsed="false">
      <c r="A56" s="151" t="s">
        <v>213</v>
      </c>
      <c r="B56" s="152" t="s">
        <v>194</v>
      </c>
      <c r="C56" s="153" t="n">
        <v>0.323</v>
      </c>
      <c r="D56" s="153" t="s">
        <v>195</v>
      </c>
      <c r="E56" s="153" t="n">
        <v>1.56</v>
      </c>
      <c r="F56" s="154" t="s">
        <v>114</v>
      </c>
      <c r="G56" s="155" t="n">
        <v>0.6</v>
      </c>
      <c r="H56" s="153" t="s">
        <v>196</v>
      </c>
      <c r="I56" s="156" t="n">
        <v>1.03</v>
      </c>
      <c r="J56" s="31"/>
      <c r="K56" s="31"/>
      <c r="L56" s="31"/>
      <c r="M56" s="31"/>
      <c r="N56" s="31"/>
    </row>
    <row r="57" customFormat="false" ht="14.25" hidden="false" customHeight="false" outlineLevel="0" collapsed="false">
      <c r="A57" s="151" t="s">
        <v>214</v>
      </c>
      <c r="B57" s="152" t="s">
        <v>194</v>
      </c>
      <c r="C57" s="153" t="n">
        <v>0.367</v>
      </c>
      <c r="D57" s="153" t="s">
        <v>195</v>
      </c>
      <c r="E57" s="153" t="n">
        <v>1.56</v>
      </c>
      <c r="F57" s="154" t="s">
        <v>114</v>
      </c>
      <c r="G57" s="155" t="n">
        <v>0.6</v>
      </c>
      <c r="H57" s="153" t="s">
        <v>196</v>
      </c>
      <c r="I57" s="156" t="n">
        <v>1.03</v>
      </c>
      <c r="J57" s="31"/>
      <c r="K57" s="31"/>
      <c r="L57" s="31"/>
      <c r="M57" s="31"/>
      <c r="N57" s="31"/>
    </row>
    <row r="58" customFormat="false" ht="14.25" hidden="false" customHeight="false" outlineLevel="0" collapsed="false">
      <c r="A58" s="151" t="s">
        <v>215</v>
      </c>
      <c r="B58" s="152" t="s">
        <v>194</v>
      </c>
      <c r="C58" s="153" t="n">
        <v>0.36</v>
      </c>
      <c r="D58" s="153" t="s">
        <v>195</v>
      </c>
      <c r="E58" s="153" t="n">
        <v>1.56</v>
      </c>
      <c r="F58" s="154" t="s">
        <v>114</v>
      </c>
      <c r="G58" s="155" t="n">
        <v>0.6</v>
      </c>
      <c r="H58" s="153" t="s">
        <v>196</v>
      </c>
      <c r="I58" s="156" t="n">
        <v>1.03</v>
      </c>
      <c r="J58" s="31"/>
      <c r="K58" s="31"/>
      <c r="L58" s="31"/>
      <c r="M58" s="31"/>
      <c r="N58" s="31"/>
    </row>
    <row r="59" customFormat="false" ht="14.25" hidden="false" customHeight="false" outlineLevel="0" collapsed="false">
      <c r="A59" s="151" t="s">
        <v>216</v>
      </c>
      <c r="B59" s="152" t="s">
        <v>194</v>
      </c>
      <c r="C59" s="153" t="n">
        <v>0.368</v>
      </c>
      <c r="D59" s="153" t="s">
        <v>195</v>
      </c>
      <c r="E59" s="153" t="n">
        <v>1.56</v>
      </c>
      <c r="F59" s="154" t="s">
        <v>114</v>
      </c>
      <c r="G59" s="155" t="n">
        <v>0.6</v>
      </c>
      <c r="H59" s="153" t="s">
        <v>196</v>
      </c>
      <c r="I59" s="156" t="n">
        <v>1.03</v>
      </c>
      <c r="J59" s="31"/>
      <c r="K59" s="31"/>
      <c r="L59" s="31"/>
      <c r="M59" s="31"/>
      <c r="N59" s="31"/>
    </row>
    <row r="60" customFormat="false" ht="14.25" hidden="false" customHeight="false" outlineLevel="0" collapsed="false">
      <c r="A60" s="151" t="s">
        <v>217</v>
      </c>
      <c r="B60" s="152" t="s">
        <v>194</v>
      </c>
      <c r="C60" s="153" t="n">
        <v>0.306</v>
      </c>
      <c r="D60" s="153" t="s">
        <v>195</v>
      </c>
      <c r="E60" s="153" t="n">
        <v>1.56</v>
      </c>
      <c r="F60" s="154" t="s">
        <v>114</v>
      </c>
      <c r="G60" s="155" t="n">
        <v>0.6</v>
      </c>
      <c r="H60" s="153" t="s">
        <v>196</v>
      </c>
      <c r="I60" s="156" t="n">
        <v>1.03</v>
      </c>
      <c r="J60" s="31"/>
      <c r="K60" s="31"/>
      <c r="L60" s="31"/>
      <c r="M60" s="31"/>
      <c r="N60" s="31"/>
    </row>
    <row r="61" customFormat="false" ht="14.25" hidden="false" customHeight="false" outlineLevel="0" collapsed="false">
      <c r="A61" s="151" t="s">
        <v>218</v>
      </c>
      <c r="B61" s="152" t="s">
        <v>194</v>
      </c>
      <c r="C61" s="153" t="n">
        <v>0.313</v>
      </c>
      <c r="D61" s="153" t="s">
        <v>195</v>
      </c>
      <c r="E61" s="153" t="n">
        <v>1.56</v>
      </c>
      <c r="F61" s="154" t="s">
        <v>114</v>
      </c>
      <c r="G61" s="155" t="n">
        <v>0.6</v>
      </c>
      <c r="H61" s="153" t="s">
        <v>196</v>
      </c>
      <c r="I61" s="156" t="n">
        <v>1.03</v>
      </c>
      <c r="J61" s="31"/>
      <c r="K61" s="31"/>
      <c r="L61" s="31"/>
      <c r="M61" s="31"/>
      <c r="N61" s="31"/>
    </row>
    <row r="62" customFormat="false" ht="14.25" hidden="false" customHeight="false" outlineLevel="0" collapsed="false">
      <c r="A62" s="151" t="s">
        <v>219</v>
      </c>
      <c r="B62" s="152" t="s">
        <v>220</v>
      </c>
      <c r="C62" s="153" t="n">
        <v>0.37</v>
      </c>
      <c r="D62" s="153" t="s">
        <v>113</v>
      </c>
      <c r="E62" s="153" t="n">
        <v>1.56</v>
      </c>
      <c r="F62" s="154" t="s">
        <v>114</v>
      </c>
      <c r="G62" s="155" t="n">
        <v>0.6</v>
      </c>
      <c r="H62" s="153" t="s">
        <v>196</v>
      </c>
      <c r="I62" s="156" t="n">
        <v>1.03</v>
      </c>
      <c r="J62" s="31"/>
      <c r="K62" s="31"/>
      <c r="L62" s="31"/>
      <c r="M62" s="31"/>
      <c r="N62" s="31"/>
    </row>
    <row r="63" customFormat="false" ht="14.25" hidden="false" customHeight="false" outlineLevel="0" collapsed="false">
      <c r="A63" s="151" t="s">
        <v>221</v>
      </c>
      <c r="B63" s="152" t="s">
        <v>222</v>
      </c>
      <c r="C63" s="153" t="n">
        <v>0.45</v>
      </c>
      <c r="D63" s="153" t="s">
        <v>113</v>
      </c>
      <c r="E63" s="153" t="n">
        <v>1.3</v>
      </c>
      <c r="F63" s="154" t="s">
        <v>114</v>
      </c>
      <c r="G63" s="155" t="n">
        <v>0.45</v>
      </c>
      <c r="H63" s="153" t="s">
        <v>223</v>
      </c>
      <c r="I63" s="156" t="n">
        <v>0.43</v>
      </c>
      <c r="J63" s="31"/>
      <c r="K63" s="31"/>
      <c r="L63" s="31"/>
      <c r="M63" s="31"/>
      <c r="N63" s="31"/>
    </row>
    <row r="64" customFormat="false" ht="14.25" hidden="false" customHeight="false" outlineLevel="0" collapsed="false">
      <c r="A64" s="151" t="s">
        <v>224</v>
      </c>
      <c r="B64" s="152" t="s">
        <v>225</v>
      </c>
      <c r="C64" s="153" t="n">
        <v>0.39</v>
      </c>
      <c r="D64" s="153" t="s">
        <v>113</v>
      </c>
      <c r="E64" s="153" t="n">
        <v>1.3</v>
      </c>
      <c r="F64" s="154" t="s">
        <v>114</v>
      </c>
      <c r="G64" s="155" t="n">
        <v>0.45</v>
      </c>
      <c r="H64" s="153" t="s">
        <v>223</v>
      </c>
      <c r="I64" s="156" t="n">
        <v>0.43</v>
      </c>
      <c r="J64" s="31"/>
      <c r="K64" s="31"/>
      <c r="L64" s="31"/>
      <c r="M64" s="31"/>
      <c r="N64" s="31"/>
    </row>
    <row r="65" customFormat="false" ht="14.25" hidden="false" customHeight="false" outlineLevel="0" collapsed="false">
      <c r="A65" s="151" t="s">
        <v>226</v>
      </c>
      <c r="B65" s="152" t="s">
        <v>227</v>
      </c>
      <c r="C65" s="153" t="n">
        <v>0.44</v>
      </c>
      <c r="D65" s="153" t="s">
        <v>113</v>
      </c>
      <c r="E65" s="153" t="n">
        <v>1.3</v>
      </c>
      <c r="F65" s="154" t="s">
        <v>114</v>
      </c>
      <c r="G65" s="155" t="n">
        <v>0.45</v>
      </c>
      <c r="H65" s="153" t="s">
        <v>223</v>
      </c>
      <c r="I65" s="156" t="n">
        <v>0.43</v>
      </c>
      <c r="J65" s="31"/>
      <c r="K65" s="31"/>
      <c r="L65" s="31"/>
      <c r="M65" s="31"/>
      <c r="N65" s="31"/>
    </row>
    <row r="66" customFormat="false" ht="14.25" hidden="false" customHeight="false" outlineLevel="0" collapsed="false">
      <c r="A66" s="151" t="s">
        <v>228</v>
      </c>
      <c r="B66" s="152" t="s">
        <v>229</v>
      </c>
      <c r="C66" s="153" t="n">
        <v>0.46</v>
      </c>
      <c r="D66" s="153" t="s">
        <v>113</v>
      </c>
      <c r="E66" s="153" t="n">
        <v>1.3</v>
      </c>
      <c r="F66" s="154" t="s">
        <v>114</v>
      </c>
      <c r="G66" s="155" t="n">
        <v>0.45</v>
      </c>
      <c r="H66" s="153" t="s">
        <v>223</v>
      </c>
      <c r="I66" s="156" t="n">
        <v>0.43</v>
      </c>
      <c r="J66" s="31"/>
      <c r="K66" s="31"/>
      <c r="L66" s="31"/>
      <c r="M66" s="31"/>
      <c r="N66" s="31"/>
    </row>
    <row r="67" customFormat="false" ht="14.25" hidden="false" customHeight="false" outlineLevel="0" collapsed="false">
      <c r="A67" s="151" t="s">
        <v>27</v>
      </c>
      <c r="B67" s="152" t="s">
        <v>230</v>
      </c>
      <c r="C67" s="153" t="n">
        <v>0.46</v>
      </c>
      <c r="D67" s="153" t="s">
        <v>113</v>
      </c>
      <c r="E67" s="153" t="n">
        <v>1.3</v>
      </c>
      <c r="F67" s="154" t="s">
        <v>114</v>
      </c>
      <c r="G67" s="155" t="n">
        <v>0.45</v>
      </c>
      <c r="H67" s="153" t="s">
        <v>139</v>
      </c>
      <c r="I67" s="156" t="n">
        <v>0.59</v>
      </c>
      <c r="J67" s="31"/>
      <c r="K67" s="31"/>
      <c r="L67" s="31"/>
      <c r="M67" s="31"/>
      <c r="N67" s="31"/>
    </row>
    <row r="68" customFormat="false" ht="14.25" hidden="false" customHeight="false" outlineLevel="0" collapsed="false">
      <c r="A68" s="151" t="s">
        <v>231</v>
      </c>
      <c r="B68" s="152" t="s">
        <v>232</v>
      </c>
      <c r="C68" s="153" t="n">
        <v>0.44</v>
      </c>
      <c r="D68" s="153" t="s">
        <v>113</v>
      </c>
      <c r="E68" s="153" t="n">
        <v>1.3</v>
      </c>
      <c r="F68" s="154" t="s">
        <v>114</v>
      </c>
      <c r="G68" s="155" t="n">
        <v>0.45</v>
      </c>
      <c r="H68" s="153" t="s">
        <v>223</v>
      </c>
      <c r="I68" s="156" t="n">
        <v>0.43</v>
      </c>
      <c r="J68" s="31"/>
      <c r="K68" s="31"/>
      <c r="L68" s="31"/>
      <c r="M68" s="31"/>
      <c r="N68" s="31"/>
    </row>
    <row r="69" customFormat="false" ht="14.25" hidden="false" customHeight="false" outlineLevel="0" collapsed="false">
      <c r="A69" s="151" t="s">
        <v>233</v>
      </c>
      <c r="B69" s="152" t="s">
        <v>234</v>
      </c>
      <c r="C69" s="153" t="n">
        <v>0.46</v>
      </c>
      <c r="D69" s="153" t="s">
        <v>113</v>
      </c>
      <c r="E69" s="153" t="n">
        <v>1.3</v>
      </c>
      <c r="F69" s="154" t="s">
        <v>114</v>
      </c>
      <c r="G69" s="155" t="n">
        <v>0.45</v>
      </c>
      <c r="H69" s="153" t="s">
        <v>223</v>
      </c>
      <c r="I69" s="156" t="n">
        <v>0.43</v>
      </c>
      <c r="J69" s="31"/>
      <c r="K69" s="31"/>
      <c r="L69" s="31"/>
      <c r="M69" s="31"/>
      <c r="N69" s="31"/>
    </row>
    <row r="70" customFormat="false" ht="14.25" hidden="false" customHeight="false" outlineLevel="0" collapsed="false">
      <c r="A70" s="151" t="s">
        <v>235</v>
      </c>
      <c r="B70" s="152" t="s">
        <v>236</v>
      </c>
      <c r="C70" s="153" t="n">
        <v>0.48</v>
      </c>
      <c r="D70" s="153" t="s">
        <v>113</v>
      </c>
      <c r="E70" s="153" t="n">
        <v>2.4</v>
      </c>
      <c r="F70" s="153" t="s">
        <v>237</v>
      </c>
      <c r="G70" s="155" t="n">
        <v>0.45</v>
      </c>
      <c r="H70" s="153" t="s">
        <v>223</v>
      </c>
      <c r="I70" s="156" t="n">
        <v>0.43</v>
      </c>
      <c r="J70" s="31"/>
      <c r="K70" s="31"/>
      <c r="L70" s="31"/>
      <c r="M70" s="31"/>
      <c r="N70" s="31"/>
    </row>
    <row r="71" customFormat="false" ht="14.25" hidden="false" customHeight="false" outlineLevel="0" collapsed="false">
      <c r="A71" s="151" t="s">
        <v>238</v>
      </c>
      <c r="B71" s="152" t="s">
        <v>239</v>
      </c>
      <c r="C71" s="153" t="n">
        <v>0.46</v>
      </c>
      <c r="D71" s="153" t="s">
        <v>240</v>
      </c>
      <c r="E71" s="153" t="n">
        <v>1.3</v>
      </c>
      <c r="F71" s="154" t="s">
        <v>114</v>
      </c>
      <c r="G71" s="155" t="n">
        <v>0.45</v>
      </c>
      <c r="H71" s="153" t="s">
        <v>223</v>
      </c>
      <c r="I71" s="156" t="n">
        <v>0.43</v>
      </c>
      <c r="J71" s="31"/>
      <c r="K71" s="31"/>
      <c r="L71" s="31"/>
      <c r="M71" s="31"/>
      <c r="N71" s="31"/>
    </row>
    <row r="72" customFormat="false" ht="14.25" hidden="false" customHeight="false" outlineLevel="0" collapsed="false">
      <c r="A72" s="151" t="s">
        <v>241</v>
      </c>
      <c r="B72" s="152" t="s">
        <v>242</v>
      </c>
      <c r="C72" s="153" t="n">
        <v>0.44</v>
      </c>
      <c r="D72" s="153" t="s">
        <v>113</v>
      </c>
      <c r="E72" s="153" t="n">
        <v>1.3</v>
      </c>
      <c r="F72" s="154" t="s">
        <v>114</v>
      </c>
      <c r="G72" s="155" t="n">
        <v>0.45</v>
      </c>
      <c r="H72" s="153" t="s">
        <v>223</v>
      </c>
      <c r="I72" s="156" t="n">
        <v>0.43</v>
      </c>
      <c r="J72" s="31"/>
      <c r="K72" s="31"/>
      <c r="L72" s="31"/>
      <c r="M72" s="31"/>
      <c r="N72" s="31"/>
    </row>
    <row r="73" customFormat="false" ht="14.25" hidden="false" customHeight="false" outlineLevel="0" collapsed="false">
      <c r="A73" s="151" t="s">
        <v>243</v>
      </c>
      <c r="B73" s="152" t="s">
        <v>244</v>
      </c>
      <c r="C73" s="153" t="n">
        <v>0.46</v>
      </c>
      <c r="D73" s="153" t="s">
        <v>245</v>
      </c>
      <c r="E73" s="153" t="n">
        <v>1.3</v>
      </c>
      <c r="F73" s="154" t="s">
        <v>114</v>
      </c>
      <c r="G73" s="155" t="n">
        <v>0.45</v>
      </c>
      <c r="H73" s="153" t="s">
        <v>223</v>
      </c>
      <c r="I73" s="156" t="n">
        <v>0.43</v>
      </c>
      <c r="J73" s="31"/>
      <c r="K73" s="31"/>
      <c r="L73" s="31"/>
      <c r="M73" s="31"/>
      <c r="N73" s="31"/>
    </row>
    <row r="74" customFormat="false" ht="14.25" hidden="false" customHeight="false" outlineLevel="0" collapsed="false">
      <c r="A74" s="151" t="s">
        <v>246</v>
      </c>
      <c r="B74" s="152" t="s">
        <v>247</v>
      </c>
      <c r="C74" s="153" t="n">
        <v>0.34</v>
      </c>
      <c r="D74" s="153" t="s">
        <v>113</v>
      </c>
      <c r="E74" s="153" t="n">
        <v>1.3</v>
      </c>
      <c r="F74" s="154" t="s">
        <v>114</v>
      </c>
      <c r="G74" s="155" t="n">
        <v>0.45</v>
      </c>
      <c r="H74" s="153" t="s">
        <v>223</v>
      </c>
      <c r="I74" s="156" t="n">
        <v>0.43</v>
      </c>
      <c r="J74" s="31"/>
      <c r="K74" s="31"/>
      <c r="L74" s="31"/>
      <c r="M74" s="31"/>
      <c r="N74" s="31"/>
    </row>
    <row r="75" customFormat="false" ht="14.25" hidden="false" customHeight="false" outlineLevel="0" collapsed="false">
      <c r="A75" s="151" t="s">
        <v>248</v>
      </c>
      <c r="B75" s="152" t="s">
        <v>249</v>
      </c>
      <c r="C75" s="153" t="n">
        <v>0.5</v>
      </c>
      <c r="D75" s="153" t="s">
        <v>113</v>
      </c>
      <c r="E75" s="153" t="n">
        <v>1.56</v>
      </c>
      <c r="F75" s="154" t="s">
        <v>114</v>
      </c>
      <c r="G75" s="155" t="n">
        <v>0.53</v>
      </c>
      <c r="H75" s="153" t="s">
        <v>168</v>
      </c>
      <c r="I75" s="156" t="n">
        <v>0.25</v>
      </c>
      <c r="J75" s="31"/>
      <c r="K75" s="31"/>
      <c r="L75" s="31"/>
      <c r="M75" s="31"/>
      <c r="N75" s="31"/>
    </row>
    <row r="76" customFormat="false" ht="14.25" hidden="false" customHeight="false" outlineLevel="0" collapsed="false">
      <c r="A76" s="151" t="s">
        <v>250</v>
      </c>
      <c r="B76" s="152" t="s">
        <v>251</v>
      </c>
      <c r="C76" s="153" t="n">
        <v>0.58</v>
      </c>
      <c r="D76" s="153" t="s">
        <v>113</v>
      </c>
      <c r="E76" s="153" t="n">
        <v>1.56</v>
      </c>
      <c r="F76" s="154" t="s">
        <v>114</v>
      </c>
      <c r="G76" s="155" t="n">
        <v>0.3</v>
      </c>
      <c r="H76" s="153" t="s">
        <v>252</v>
      </c>
      <c r="I76" s="156" t="n">
        <v>0.25</v>
      </c>
      <c r="J76" s="31"/>
      <c r="K76" s="31"/>
      <c r="L76" s="31"/>
      <c r="M76" s="31"/>
      <c r="N76" s="31"/>
    </row>
    <row r="77" customFormat="false" ht="14.25" hidden="false" customHeight="false" outlineLevel="0" collapsed="false">
      <c r="A77" s="151" t="s">
        <v>253</v>
      </c>
      <c r="B77" s="152" t="s">
        <v>254</v>
      </c>
      <c r="C77" s="153" t="n">
        <v>0.37</v>
      </c>
      <c r="D77" s="153" t="s">
        <v>113</v>
      </c>
      <c r="E77" s="153" t="n">
        <v>1.3</v>
      </c>
      <c r="F77" s="154" t="s">
        <v>114</v>
      </c>
      <c r="G77" s="155" t="n">
        <v>0.55</v>
      </c>
      <c r="H77" s="153" t="s">
        <v>139</v>
      </c>
      <c r="I77" s="156" t="n">
        <v>0.43</v>
      </c>
      <c r="J77" s="31"/>
      <c r="K77" s="31"/>
      <c r="L77" s="31"/>
      <c r="M77" s="31"/>
      <c r="N77" s="31"/>
    </row>
    <row r="78" customFormat="false" ht="14.25" hidden="false" customHeight="false" outlineLevel="0" collapsed="false">
      <c r="A78" s="151" t="s">
        <v>255</v>
      </c>
      <c r="B78" s="152" t="s">
        <v>256</v>
      </c>
      <c r="C78" s="153" t="n">
        <v>0.37</v>
      </c>
      <c r="D78" s="153" t="s">
        <v>113</v>
      </c>
      <c r="E78" s="153" t="n">
        <v>1.3</v>
      </c>
      <c r="F78" s="154" t="s">
        <v>114</v>
      </c>
      <c r="G78" s="155" t="n">
        <v>0.55</v>
      </c>
      <c r="H78" s="153" t="s">
        <v>139</v>
      </c>
      <c r="I78" s="156" t="n">
        <v>0.43</v>
      </c>
      <c r="J78" s="31"/>
      <c r="K78" s="31"/>
      <c r="L78" s="31"/>
      <c r="M78" s="31"/>
      <c r="N78" s="31"/>
    </row>
    <row r="79" customFormat="false" ht="14.25" hidden="false" customHeight="false" outlineLevel="0" collapsed="false">
      <c r="A79" s="151" t="s">
        <v>257</v>
      </c>
      <c r="B79" s="152" t="s">
        <v>258</v>
      </c>
      <c r="C79" s="153" t="n">
        <v>0.38</v>
      </c>
      <c r="D79" s="153" t="s">
        <v>113</v>
      </c>
      <c r="E79" s="153" t="n">
        <v>1.3</v>
      </c>
      <c r="F79" s="154" t="s">
        <v>114</v>
      </c>
      <c r="G79" s="155" t="n">
        <v>0.55</v>
      </c>
      <c r="H79" s="153" t="s">
        <v>129</v>
      </c>
      <c r="I79" s="156" t="n">
        <v>0.43</v>
      </c>
      <c r="J79" s="31"/>
      <c r="K79" s="31"/>
      <c r="L79" s="31"/>
      <c r="M79" s="31"/>
      <c r="N79" s="31"/>
    </row>
    <row r="80" customFormat="false" ht="14.25" hidden="false" customHeight="false" outlineLevel="0" collapsed="false">
      <c r="A80" s="151" t="s">
        <v>259</v>
      </c>
      <c r="B80" s="152" t="s">
        <v>260</v>
      </c>
      <c r="C80" s="153" t="n">
        <v>0.36</v>
      </c>
      <c r="D80" s="153" t="s">
        <v>113</v>
      </c>
      <c r="E80" s="153" t="n">
        <v>1.3</v>
      </c>
      <c r="F80" s="154" t="s">
        <v>114</v>
      </c>
      <c r="G80" s="155" t="n">
        <v>0.55</v>
      </c>
      <c r="H80" s="153" t="s">
        <v>129</v>
      </c>
      <c r="I80" s="156" t="n">
        <v>0.43</v>
      </c>
      <c r="J80" s="31"/>
      <c r="K80" s="31"/>
      <c r="L80" s="31"/>
      <c r="M80" s="31"/>
      <c r="N80" s="31"/>
    </row>
    <row r="81" customFormat="false" ht="14.25" hidden="false" customHeight="false" outlineLevel="0" collapsed="false">
      <c r="A81" s="151" t="s">
        <v>261</v>
      </c>
      <c r="B81" s="152" t="s">
        <v>262</v>
      </c>
      <c r="C81" s="153" t="n">
        <v>0.37</v>
      </c>
      <c r="D81" s="153" t="s">
        <v>113</v>
      </c>
      <c r="E81" s="153" t="n">
        <v>1.56</v>
      </c>
      <c r="F81" s="154" t="s">
        <v>114</v>
      </c>
      <c r="G81" s="155" t="n">
        <v>0.43</v>
      </c>
      <c r="H81" s="153" t="s">
        <v>115</v>
      </c>
      <c r="I81" s="156" t="n">
        <v>0.25</v>
      </c>
      <c r="J81" s="31"/>
      <c r="K81" s="31"/>
      <c r="L81" s="31"/>
      <c r="M81" s="31"/>
      <c r="N81" s="31"/>
    </row>
    <row r="82" customFormat="false" ht="14.25" hidden="false" customHeight="false" outlineLevel="0" collapsed="false">
      <c r="A82" s="151" t="s">
        <v>263</v>
      </c>
      <c r="B82" s="152" t="s">
        <v>264</v>
      </c>
      <c r="C82" s="153" t="n">
        <v>0.35</v>
      </c>
      <c r="D82" s="153" t="s">
        <v>265</v>
      </c>
      <c r="E82" s="153" t="n">
        <v>1.3</v>
      </c>
      <c r="F82" s="154" t="s">
        <v>114</v>
      </c>
      <c r="G82" s="155" t="n">
        <v>0.55</v>
      </c>
      <c r="H82" s="153" t="s">
        <v>129</v>
      </c>
      <c r="I82" s="156" t="n">
        <v>0.43</v>
      </c>
      <c r="J82" s="31"/>
      <c r="K82" s="31"/>
      <c r="L82" s="31"/>
      <c r="M82" s="31"/>
      <c r="N82" s="31"/>
    </row>
    <row r="83" customFormat="false" ht="14.25" hidden="false" customHeight="false" outlineLevel="0" collapsed="false">
      <c r="A83" s="151" t="s">
        <v>266</v>
      </c>
      <c r="B83" s="152" t="s">
        <v>267</v>
      </c>
      <c r="C83" s="153" t="n">
        <v>0.34</v>
      </c>
      <c r="D83" s="153" t="s">
        <v>113</v>
      </c>
      <c r="E83" s="153" t="n">
        <v>1.3</v>
      </c>
      <c r="F83" s="154" t="s">
        <v>114</v>
      </c>
      <c r="G83" s="155" t="n">
        <v>0.55</v>
      </c>
      <c r="H83" s="153" t="s">
        <v>129</v>
      </c>
      <c r="I83" s="156" t="n">
        <v>0.43</v>
      </c>
      <c r="J83" s="31"/>
      <c r="K83" s="31"/>
      <c r="L83" s="31"/>
      <c r="M83" s="31"/>
      <c r="N83" s="31"/>
    </row>
    <row r="84" customFormat="false" ht="14.25" hidden="false" customHeight="false" outlineLevel="0" collapsed="false">
      <c r="A84" s="151" t="s">
        <v>268</v>
      </c>
      <c r="B84" s="152" t="s">
        <v>269</v>
      </c>
      <c r="C84" s="153" t="n">
        <v>0.31</v>
      </c>
      <c r="D84" s="153" t="s">
        <v>113</v>
      </c>
      <c r="E84" s="153" t="n">
        <v>1.3</v>
      </c>
      <c r="F84" s="154" t="s">
        <v>114</v>
      </c>
      <c r="G84" s="155" t="n">
        <v>0.55</v>
      </c>
      <c r="H84" s="153" t="s">
        <v>129</v>
      </c>
      <c r="I84" s="156" t="n">
        <v>0.43</v>
      </c>
      <c r="J84" s="31"/>
      <c r="K84" s="31"/>
      <c r="L84" s="31"/>
      <c r="M84" s="31"/>
      <c r="N84" s="31"/>
    </row>
    <row r="85" customFormat="false" ht="14.25" hidden="false" customHeight="false" outlineLevel="0" collapsed="false">
      <c r="A85" s="151" t="s">
        <v>270</v>
      </c>
      <c r="B85" s="152" t="s">
        <v>271</v>
      </c>
      <c r="C85" s="153" t="n">
        <v>0.43</v>
      </c>
      <c r="D85" s="153" t="s">
        <v>113</v>
      </c>
      <c r="E85" s="153" t="n">
        <v>1.56</v>
      </c>
      <c r="F85" s="154" t="s">
        <v>114</v>
      </c>
      <c r="G85" s="155" t="n">
        <v>0.53</v>
      </c>
      <c r="H85" s="153" t="s">
        <v>168</v>
      </c>
      <c r="I85" s="156" t="n">
        <v>0.25</v>
      </c>
      <c r="J85" s="31"/>
      <c r="K85" s="31"/>
      <c r="L85" s="31"/>
      <c r="M85" s="31"/>
      <c r="N85" s="31"/>
    </row>
    <row r="86" customFormat="false" ht="14.25" hidden="false" customHeight="false" outlineLevel="0" collapsed="false">
      <c r="A86" s="151" t="s">
        <v>272</v>
      </c>
      <c r="B86" s="152" t="s">
        <v>273</v>
      </c>
      <c r="C86" s="153" t="n">
        <v>0.38</v>
      </c>
      <c r="D86" s="153" t="s">
        <v>113</v>
      </c>
      <c r="E86" s="153" t="n">
        <v>1.56</v>
      </c>
      <c r="F86" s="154" t="s">
        <v>114</v>
      </c>
      <c r="G86" s="155" t="n">
        <v>0.6</v>
      </c>
      <c r="H86" s="153" t="s">
        <v>274</v>
      </c>
      <c r="I86" s="156" t="n">
        <v>0.25</v>
      </c>
      <c r="J86" s="31"/>
      <c r="K86" s="31"/>
      <c r="L86" s="31"/>
      <c r="M86" s="31"/>
      <c r="N86" s="31"/>
    </row>
    <row r="87" customFormat="false" ht="14.25" hidden="false" customHeight="false" outlineLevel="0" collapsed="false">
      <c r="A87" s="159" t="s">
        <v>275</v>
      </c>
      <c r="B87" s="160" t="s">
        <v>276</v>
      </c>
      <c r="C87" s="161" t="n">
        <v>0.41</v>
      </c>
      <c r="D87" s="161" t="s">
        <v>277</v>
      </c>
      <c r="E87" s="161" t="n">
        <v>1.56</v>
      </c>
      <c r="F87" s="162" t="s">
        <v>114</v>
      </c>
      <c r="G87" s="163" t="n">
        <v>0.43</v>
      </c>
      <c r="H87" s="161" t="s">
        <v>115</v>
      </c>
      <c r="I87" s="164" t="n">
        <v>0.25</v>
      </c>
      <c r="J87" s="31"/>
      <c r="K87" s="31"/>
      <c r="L87" s="31"/>
      <c r="M87" s="31"/>
      <c r="N87" s="31"/>
    </row>
    <row r="88" customFormat="false" ht="14.25" hidden="false" customHeight="false" outlineLevel="0" collapsed="false">
      <c r="A88" s="151" t="s">
        <v>73</v>
      </c>
      <c r="B88" s="165"/>
      <c r="C88" s="153" t="n">
        <v>0.42</v>
      </c>
      <c r="D88" s="153" t="s">
        <v>113</v>
      </c>
      <c r="E88" s="153" t="n">
        <v>1.3</v>
      </c>
      <c r="F88" s="154" t="s">
        <v>114</v>
      </c>
      <c r="G88" s="166"/>
      <c r="H88" s="165"/>
      <c r="I88" s="167"/>
    </row>
    <row r="89" customFormat="false" ht="15" hidden="false" customHeight="false" outlineLevel="0" collapsed="false">
      <c r="A89" s="168" t="s">
        <v>278</v>
      </c>
      <c r="B89" s="169"/>
      <c r="C89" s="170" t="n">
        <v>0.57</v>
      </c>
      <c r="D89" s="171" t="s">
        <v>113</v>
      </c>
      <c r="E89" s="170" t="n">
        <v>1.56</v>
      </c>
      <c r="F89" s="170" t="s">
        <v>114</v>
      </c>
      <c r="G89" s="169"/>
      <c r="H89" s="169"/>
      <c r="I89" s="172"/>
    </row>
    <row r="93" customFormat="false" ht="14.25" hidden="false" customHeight="false" outlineLevel="0" collapsed="false">
      <c r="A93" s="151" t="s">
        <v>74</v>
      </c>
    </row>
    <row r="94" customFormat="false" ht="14.25" hidden="false" customHeight="false" outlineLevel="0" collapsed="false">
      <c r="A94" s="151" t="s">
        <v>75</v>
      </c>
    </row>
    <row r="95" customFormat="false" ht="14.25" hidden="false" customHeight="false" outlineLevel="0" collapsed="false">
      <c r="A95" s="151" t="s">
        <v>76</v>
      </c>
    </row>
  </sheetData>
  <sheetProtection algorithmName="SHA-512" hashValue="1lkpCPlrQLxBThe2nyd7YV+C15ZfSSril6wKq/F33XUcFWRtGV9M3TMdIqgCdUuOdZ6I6k6WPWChzHuT0FKPWA==" saltValue="uxF5Mj4qOBxlgNP0l1D7wA==" spinCount="100000" sheet="true" objects="true" scenarios="true"/>
  <mergeCells count="3">
    <mergeCell ref="O2:O3"/>
    <mergeCell ref="O5:O8"/>
    <mergeCell ref="O10:O1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J357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Q14" activeCellId="0" sqref="Q14"/>
    </sheetView>
  </sheetViews>
  <sheetFormatPr defaultColWidth="11.4609375" defaultRowHeight="14.25" zeroHeight="false" outlineLevelRow="0" outlineLevelCol="0"/>
  <cols>
    <col collapsed="false" customWidth="true" hidden="false" outlineLevel="0" max="1" min="1" style="76" width="22.89"/>
    <col collapsed="false" customWidth="true" hidden="false" outlineLevel="0" max="2" min="2" style="76" width="10.56"/>
    <col collapsed="false" customWidth="true" hidden="false" outlineLevel="0" max="3" min="3" style="76" width="15.56"/>
    <col collapsed="false" customWidth="true" hidden="false" outlineLevel="0" max="4" min="4" style="76" width="13.44"/>
    <col collapsed="false" customWidth="false" hidden="false" outlineLevel="0" max="8" min="5" style="76" width="11.45"/>
    <col collapsed="false" customWidth="false" hidden="false" outlineLevel="0" max="13" min="9" style="173" width="11.45"/>
    <col collapsed="false" customWidth="false" hidden="false" outlineLevel="0" max="15" min="14" style="76" width="11.45"/>
    <col collapsed="false" customWidth="true" hidden="false" outlineLevel="0" max="17" min="16" style="76" width="13.44"/>
    <col collapsed="false" customWidth="false" hidden="false" outlineLevel="0" max="1024" min="18" style="76" width="11.45"/>
  </cols>
  <sheetData>
    <row r="1" customFormat="false" ht="1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customFormat="false" ht="26.25" hidden="false" customHeight="false" outlineLevel="0" collapsed="false">
      <c r="A2" s="78" t="s">
        <v>279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customFormat="false" ht="14.2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customFormat="false" ht="15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customFormat="false" ht="72" hidden="false" customHeight="false" outlineLevel="0" collapsed="false">
      <c r="A5" s="174" t="s">
        <v>280</v>
      </c>
      <c r="B5" s="175" t="s">
        <v>281</v>
      </c>
      <c r="C5" s="176" t="str">
        <f aca="false">Calculateur!S2</f>
        <v>ΔStock moyen de long terme (tCO₂/ha)</v>
      </c>
      <c r="D5" s="176" t="str">
        <f aca="false">Calculateur!T2</f>
        <v>Δstock CO₂ 30 ans (tCO₂/ha)</v>
      </c>
      <c r="E5" s="176" t="s">
        <v>282</v>
      </c>
      <c r="F5" s="176" t="s">
        <v>283</v>
      </c>
      <c r="G5" s="176" t="s">
        <v>284</v>
      </c>
      <c r="H5" s="177" t="s">
        <v>285</v>
      </c>
      <c r="I5" s="178" t="s">
        <v>286</v>
      </c>
      <c r="J5" s="179" t="s">
        <v>287</v>
      </c>
      <c r="K5" s="180" t="s">
        <v>288</v>
      </c>
      <c r="L5" s="133" t="s">
        <v>289</v>
      </c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customFormat="false" ht="14.25" hidden="false" customHeight="false" outlineLevel="0" collapsed="false">
      <c r="A6" s="181" t="str">
        <f aca="false">IF('Données projet'!$B$9="","",'Données projet'!$B$9)</f>
        <v>Cèdre de l'Atlas</v>
      </c>
      <c r="B6" s="182" t="n">
        <f aca="false">'Données projet'!D9</f>
        <v>0.6175</v>
      </c>
      <c r="C6" s="183" t="n">
        <f aca="false">IF(OR('Données projet'!B9="",'Données projet'!C9="",'Données projet'!C9=0%),0,Calculateur!S3)</f>
        <v>319.229030946746</v>
      </c>
      <c r="D6" s="183" t="n">
        <f aca="false">IF(OR('Données projet'!B9="",'Données projet'!C9="",'Données projet'!C9=0%),0,Calculateur!T3)</f>
        <v>254.586909731428</v>
      </c>
      <c r="E6" s="183" t="n">
        <f aca="false">MIN(C6,D6)</f>
        <v>254.586909731428</v>
      </c>
      <c r="F6" s="183" t="n">
        <f aca="false">E6*B6</f>
        <v>157.207416759157</v>
      </c>
      <c r="G6" s="183" t="n">
        <f aca="false">F6*(100%-'Données projet'!$C$24)*(100%-'Données projet'!$C$25)*(100%-'Données projet'!$C$26)*(100%-'Données projet'!$C$27)</f>
        <v>141.486675083241</v>
      </c>
      <c r="H6" s="184" t="n">
        <f aca="false">IF(OR('Données projet'!B9="",'Données projet'!C9="",'Données projet'!C9=0%),0,AVERAGE(Calculateur!$AC$3:$AC$33)*B6)</f>
        <v>2.41651685093306</v>
      </c>
      <c r="I6" s="185" t="n">
        <f aca="false">H6*(100%-'Données projet'!$C$24)*(100%-'Données projet'!$C$25)*(100%-'Données projet'!$C$26)*(100%-'Données projet'!$C$27)</f>
        <v>2.17486516583975</v>
      </c>
      <c r="J6" s="186" t="n">
        <f aca="false">IF(OR('Données projet'!B9="",'Données projet'!C9="",'Données projet'!C9=0%),0,SUM(Calculateur!$V$3:$V$33)*VLOOKUP('Données projet'!$B$9,Paramètres!$A$1:$I$89,9,0)*B6)</f>
        <v>28.2784125</v>
      </c>
      <c r="K6" s="187" t="n">
        <f aca="false">J6*(100%-'Données projet'!$C$24)*(100%-'Données projet'!$C$25)*(100%-'Données projet'!$C$26)*(100%-'Données projet'!$C$27)</f>
        <v>25.45057125</v>
      </c>
      <c r="L6" s="188" t="n">
        <f aca="false">G6+I6+K6</f>
        <v>169.112111499081</v>
      </c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customFormat="false" ht="14.25" hidden="false" customHeight="false" outlineLevel="0" collapsed="false">
      <c r="A7" s="189" t="str">
        <f aca="false">IF('Données projet'!$B$10="","",'Données projet'!$B$10)</f>
        <v>Douglas</v>
      </c>
      <c r="B7" s="190" t="n">
        <f aca="false">'Données projet'!D10</f>
        <v>2.375</v>
      </c>
      <c r="C7" s="183" t="n">
        <f aca="false">IF(OR('Données projet'!B10="",'Données projet'!C10="",'Données projet'!C10=0%),0,Calculateur!AN3)</f>
        <v>365.705101827279</v>
      </c>
      <c r="D7" s="183" t="n">
        <f aca="false">IF(OR('Données projet'!B10="",'Données projet'!C10="",'Données projet'!C10=0%),0,Calculateur!AO3)</f>
        <v>436.238338449625</v>
      </c>
      <c r="E7" s="183" t="n">
        <f aca="false">MIN(C7,D7)</f>
        <v>365.705101827279</v>
      </c>
      <c r="F7" s="183" t="n">
        <f aca="false">E7*B7</f>
        <v>868.549616839787</v>
      </c>
      <c r="G7" s="183" t="n">
        <f aca="false">F7*(100%-'Données projet'!$C$24)*(100%-'Données projet'!$C$25)*(100%-'Données projet'!$C$26)*(100%-'Données projet'!$C$27)</f>
        <v>781.694655155809</v>
      </c>
      <c r="H7" s="191" t="n">
        <f aca="false">IF(OR('Données projet'!B10="",'Données projet'!C10="",'Données projet'!C10=0%),0,AVERAGE(Calculateur!$AX$3:$AX$33)*B7)</f>
        <v>3.73054829408578</v>
      </c>
      <c r="I7" s="185" t="n">
        <f aca="false">H7*(100%-'Données projet'!$C$24)*(100%-'Données projet'!$C$25)*(100%-'Données projet'!$C$26)*(100%-'Données projet'!$C$27)</f>
        <v>3.3574934646772</v>
      </c>
      <c r="J7" s="186" t="n">
        <f aca="false">IF(OR('Données projet'!B10="",'Données projet'!C10="",'Données projet'!C10=0%),0,SUM(Calculateur!$AQ$3:$AQ$33)*VLOOKUP('Données projet'!$B$10,Paramètres!$A$1:$I$89,9,0)*B7)</f>
        <v>57.19</v>
      </c>
      <c r="K7" s="187" t="n">
        <f aca="false">J7*(100%-'Données projet'!$C$24)*(100%-'Données projet'!$C$25)*(100%-'Données projet'!$C$26)*(100%-'Données projet'!$C$27)</f>
        <v>51.471</v>
      </c>
      <c r="L7" s="188" t="n">
        <f aca="false">G7+I7+K7</f>
        <v>836.523148620486</v>
      </c>
      <c r="M7" s="2"/>
      <c r="N7" s="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customFormat="false" ht="14.25" hidden="false" customHeight="false" outlineLevel="0" collapsed="false">
      <c r="A8" s="189" t="str">
        <f aca="false">IF('Données projet'!$B$11="","",'Données projet'!$B$11)</f>
        <v>Chêne rouge d'Amérique</v>
      </c>
      <c r="B8" s="190" t="n">
        <f aca="false">'Données projet'!D11</f>
        <v>0.6175</v>
      </c>
      <c r="C8" s="183" t="n">
        <f aca="false">IF(OR('Données projet'!B11="",'Données projet'!C11="",'Données projet'!C11=0%),0,Calculateur!BI3)</f>
        <v>321.235999689929</v>
      </c>
      <c r="D8" s="183" t="n">
        <f aca="false">IF(OR('Données projet'!B11="",'Données projet'!C11="",'Données projet'!C11=0%),0,Calculateur!BJ3)</f>
        <v>388.051958478005</v>
      </c>
      <c r="E8" s="183" t="n">
        <f aca="false">MIN(C8,D8)</f>
        <v>321.235999689929</v>
      </c>
      <c r="F8" s="183" t="n">
        <f aca="false">E8*B8</f>
        <v>198.363229808531</v>
      </c>
      <c r="G8" s="183" t="n">
        <f aca="false">F8*(100%-'Données projet'!$C$24)*(100%-'Données projet'!$C$25)*(100%-'Données projet'!$C$26)*(100%-'Données projet'!$C$27)</f>
        <v>178.526906827678</v>
      </c>
      <c r="H8" s="191" t="n">
        <f aca="false">IF(OR('Données projet'!B11="",'Données projet'!C11="",'Données projet'!C11=0%),0,AVERAGE(Calculateur!$BS$3:$BS$33)*B8)</f>
        <v>4.54724488147941</v>
      </c>
      <c r="I8" s="185" t="n">
        <f aca="false">H8*(100%-'Données projet'!$C$24)*(100%-'Données projet'!$C$25)*(100%-'Données projet'!$C$26)*(100%-'Données projet'!$C$27)</f>
        <v>4.09252039333147</v>
      </c>
      <c r="J8" s="186" t="n">
        <f aca="false">IF(OR('Données projet'!B11="",'Données projet'!C11="",'Données projet'!C11=0%),0,SUM(Calculateur!$BL$3:$BL$33)*VLOOKUP('Données projet'!$B$11,Paramètres!$A$1:$I$89,9,0)*B8)</f>
        <v>23.465</v>
      </c>
      <c r="K8" s="187" t="n">
        <f aca="false">J8*(100%-'Données projet'!$C$24)*(100%-'Données projet'!$C$25)*(100%-'Données projet'!$C$26)*(100%-'Données projet'!$C$27)</f>
        <v>21.1185</v>
      </c>
      <c r="L8" s="188" t="n">
        <f aca="false">G8+I8+K8</f>
        <v>203.73792722101</v>
      </c>
      <c r="M8" s="2"/>
      <c r="N8" s="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customFormat="false" ht="14.25" hidden="false" customHeight="false" outlineLevel="0" collapsed="false">
      <c r="A9" s="189" t="str">
        <f aca="false">IF('Données projet'!$B$12="","",'Données projet'!$B$12)</f>
        <v>Mélèze d'Europe</v>
      </c>
      <c r="B9" s="190" t="n">
        <f aca="false">'Données projet'!D12</f>
        <v>0.19</v>
      </c>
      <c r="C9" s="183" t="n">
        <f aca="false">IF(OR('Données projet'!B12="",'Données projet'!C12="",'Données projet'!C12=0%),0,Calculateur!CD3)</f>
        <v>240.228848647662</v>
      </c>
      <c r="D9" s="183" t="n">
        <f aca="false">IF(OR('Données projet'!B12="",'Données projet'!C12="",'Données projet'!C12=0%),0,Calculateur!CE3)</f>
        <v>343.237768841432</v>
      </c>
      <c r="E9" s="183" t="n">
        <f aca="false">MIN(C9,D9)</f>
        <v>240.228848647662</v>
      </c>
      <c r="F9" s="183" t="n">
        <f aca="false">E9*B9</f>
        <v>45.6434812430558</v>
      </c>
      <c r="G9" s="183" t="n">
        <f aca="false">F9*(100%-'Données projet'!$C$24)*(100%-'Données projet'!$C$25)*(100%-'Données projet'!$C$26)*(100%-'Données projet'!$C$27)</f>
        <v>41.0791331187502</v>
      </c>
      <c r="H9" s="191" t="n">
        <f aca="false">IF(OR('Données projet'!B12="",'Données projet'!C12="",'Données projet'!C12=0%),0,AVERAGE(Calculateur!$CN$3:$CN$33)*B9)</f>
        <v>1.38358592050661</v>
      </c>
      <c r="I9" s="185" t="n">
        <f aca="false">H9*(100%-'Données projet'!$C$24)*(100%-'Données projet'!$C$25)*(100%-'Données projet'!$C$26)*(100%-'Données projet'!$C$27)</f>
        <v>1.24522732845595</v>
      </c>
      <c r="J9" s="186" t="n">
        <f aca="false">IF(OR('Données projet'!B12="",'Données projet'!C12="",'Données projet'!C12=0%),0,SUM(Calculateur!$CG$3:$CG$33)*VLOOKUP('Données projet'!$B$12,Paramètres!$A$1:$I$89,9,0)*B9)</f>
        <v>10.4576</v>
      </c>
      <c r="K9" s="187" t="n">
        <f aca="false">J9*(100%-'Données projet'!$C$24)*(100%-'Données projet'!$C$25)*(100%-'Données projet'!$C$26)*(100%-'Données projet'!$C$27)</f>
        <v>9.41184</v>
      </c>
      <c r="L9" s="188" t="n">
        <f aca="false">G9+I9+K9</f>
        <v>51.7362004472062</v>
      </c>
      <c r="M9" s="2"/>
      <c r="N9" s="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customFormat="false" ht="14.25" hidden="false" customHeight="false" outlineLevel="0" collapsed="false">
      <c r="A10" s="189" t="str">
        <f aca="false">IF('Données projet'!$B$13="","",'Données projet'!$B$13)</f>
        <v>Mélèze hybride</v>
      </c>
      <c r="B10" s="190" t="n">
        <f aca="false">'Données projet'!D13</f>
        <v>0.19</v>
      </c>
      <c r="C10" s="183" t="n">
        <f aca="false">IF(OR('Données projet'!B13="",'Données projet'!C13="",'Données projet'!C13=0%),0,Calculateur!CY3)</f>
        <v>207.023069645676</v>
      </c>
      <c r="D10" s="183" t="n">
        <f aca="false">IF(OR('Données projet'!B13="",'Données projet'!C13="",'Données projet'!C13=0%),0,Calculateur!CZ3)</f>
        <v>342.068879333518</v>
      </c>
      <c r="E10" s="183" t="n">
        <f aca="false">MIN(C10,D10)</f>
        <v>207.023069645676</v>
      </c>
      <c r="F10" s="183" t="n">
        <f aca="false">E10*B10</f>
        <v>39.3343832326785</v>
      </c>
      <c r="G10" s="183" t="n">
        <f aca="false">F10*(100%-'Données projet'!$C$24)*(100%-'Données projet'!$C$25)*(100%-'Données projet'!$C$26)*(100%-'Données projet'!$C$27)</f>
        <v>35.4009449094106</v>
      </c>
      <c r="H10" s="191" t="n">
        <f aca="false">IF(OR('Données projet'!B13="",'Données projet'!C13="",'Données projet'!C13=0%),0,AVERAGE(Calculateur!$DI$3:$DI$33)*B10)</f>
        <v>3.02137959148689</v>
      </c>
      <c r="I10" s="185" t="n">
        <f aca="false">H10*(100%-'Données projet'!$C$24)*(100%-'Données projet'!$C$25)*(100%-'Données projet'!$C$26)*(100%-'Données projet'!$C$27)</f>
        <v>2.7192416323382</v>
      </c>
      <c r="J10" s="186" t="n">
        <f aca="false">IF(OR('Données projet'!B13="",'Données projet'!C13="",'Données projet'!C13=0%),0,SUM(Calculateur!$DB$3:$DB$33)*VLOOKUP('Données projet'!$B$13,Paramètres!$A$1:$I$89,9,0)*B10)</f>
        <v>23.6113</v>
      </c>
      <c r="K10" s="187" t="n">
        <f aca="false">J10*(100%-'Données projet'!$C$24)*(100%-'Données projet'!$C$25)*(100%-'Données projet'!$C$26)*(100%-'Données projet'!$C$27)</f>
        <v>21.25017</v>
      </c>
      <c r="L10" s="188" t="n">
        <f aca="false">G10+I10+K10</f>
        <v>59.3703565417488</v>
      </c>
      <c r="M10" s="2"/>
      <c r="N10" s="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customFormat="false" ht="14.25" hidden="false" customHeight="false" outlineLevel="0" collapsed="false">
      <c r="A11" s="189" t="str">
        <f aca="false">IF('Données projet'!$B$14="","",'Données projet'!$B$14)</f>
        <v>Pin maritime</v>
      </c>
      <c r="B11" s="190" t="n">
        <f aca="false">'Données projet'!D14</f>
        <v>0.76</v>
      </c>
      <c r="C11" s="183" t="n">
        <f aca="false">IF(OR('Données projet'!B14="",'Données projet'!C14="",'Données projet'!C14=0%),0,Calculateur!DT3)</f>
        <v>549.432320957297</v>
      </c>
      <c r="D11" s="183" t="n">
        <f aca="false">IF(OR('Données projet'!B14="",'Données projet'!C14="",'Données projet'!C14=0%),0,Calculateur!DU3)</f>
        <v>280.26155987301</v>
      </c>
      <c r="E11" s="183" t="n">
        <f aca="false">MIN(C11,D11)</f>
        <v>280.26155987301</v>
      </c>
      <c r="F11" s="183" t="n">
        <f aca="false">E11*B11</f>
        <v>212.998785503488</v>
      </c>
      <c r="G11" s="183" t="n">
        <f aca="false">F11*(100%-'Données projet'!$C$24)*(100%-'Données projet'!$C$25)*(100%-'Données projet'!$C$26)*(100%-'Données projet'!$C$27)</f>
        <v>191.698906953139</v>
      </c>
      <c r="H11" s="191" t="n">
        <f aca="false">IF(OR('Données projet'!B14="",'Données projet'!C14="",'Données projet'!C14=0%),0,AVERAGE(Calculateur!$ED$3:$ED$33)*B11)</f>
        <v>3.85934784824488</v>
      </c>
      <c r="I11" s="185" t="n">
        <f aca="false">H11*(100%-'Données projet'!$C$24)*(100%-'Données projet'!$C$25)*(100%-'Données projet'!$C$26)*(100%-'Données projet'!$C$27)</f>
        <v>3.47341306342039</v>
      </c>
      <c r="J11" s="186" t="n">
        <f aca="false">IF(OR('Données projet'!B14="",'Données projet'!C14="",'Données projet'!C14=0%),0,SUM(Calculateur!$DW$3:$DW$33)*VLOOKUP('Données projet'!$B$14,Paramètres!$A$1:$I$89,9,0)*B11)</f>
        <v>46.1852</v>
      </c>
      <c r="K11" s="187" t="n">
        <f aca="false">J11*(100%-'Données projet'!$C$24)*(100%-'Données projet'!$C$25)*(100%-'Données projet'!$C$26)*(100%-'Données projet'!$C$27)</f>
        <v>41.56668</v>
      </c>
      <c r="L11" s="188" t="n">
        <f aca="false">G11+I11+K11</f>
        <v>236.739000016559</v>
      </c>
      <c r="M11" s="2"/>
      <c r="N11" s="2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customFormat="false" ht="14.25" hidden="false" customHeight="false" outlineLevel="0" collapsed="false">
      <c r="A12" s="189" t="str">
        <f aca="false">IF('Données projet'!$B$15="","",'Données projet'!$B$15)</f>
        <v/>
      </c>
      <c r="B12" s="190" t="n">
        <f aca="false">'Données projet'!D15</f>
        <v>0</v>
      </c>
      <c r="C12" s="183" t="n">
        <f aca="false">IF(OR('Données projet'!B15="",'Données projet'!C15="",'Données projet'!C15=0%),0,Calculateur!EO3)</f>
        <v>0</v>
      </c>
      <c r="D12" s="183" t="n">
        <f aca="false">IF(OR('Données projet'!B15="",'Données projet'!C15="",'Données projet'!C15=0%),0,Calculateur!EP3)</f>
        <v>0</v>
      </c>
      <c r="E12" s="183" t="n">
        <f aca="false">MIN(C12,D12)</f>
        <v>0</v>
      </c>
      <c r="F12" s="183" t="n">
        <f aca="false">E12*B12</f>
        <v>0</v>
      </c>
      <c r="G12" s="183" t="n">
        <f aca="false">F12*(100%-'Données projet'!$C$24)*(100%-'Données projet'!$C$25)*(100%-'Données projet'!$C$26)*(100%-'Données projet'!$C$27)</f>
        <v>0</v>
      </c>
      <c r="H12" s="191" t="n">
        <f aca="false">IF(OR('Données projet'!B15="",'Données projet'!C15="",'Données projet'!C15=0%),0,AVERAGE(Calculateur!$EY$3:$EY$33)*B12)</f>
        <v>0</v>
      </c>
      <c r="I12" s="185" t="n">
        <f aca="false">H12*(100%-'Données projet'!$C$24)*(100%-'Données projet'!$C$25)*(100%-'Données projet'!$C$26)*(100%-'Données projet'!$C$27)</f>
        <v>0</v>
      </c>
      <c r="J12" s="186" t="n">
        <f aca="false">IF(OR('Données projet'!B15="",'Données projet'!C15="",'Données projet'!C15=0%),0,SUM(Calculateur!$ER$3:$ER$33)*VLOOKUP('Données projet'!$B$15,Paramètres!$A$1:$I$89,9,0)*B12)</f>
        <v>0</v>
      </c>
      <c r="K12" s="187" t="n">
        <f aca="false">J12*(100%-'Données projet'!$C$24)*(100%-'Données projet'!$C$25)*(100%-'Données projet'!$C$26)*(100%-'Données projet'!$C$27)</f>
        <v>0</v>
      </c>
      <c r="L12" s="188" t="n">
        <f aca="false">G12+I12+K12</f>
        <v>0</v>
      </c>
      <c r="M12" s="2"/>
      <c r="N12" s="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customFormat="false" ht="14.25" hidden="false" customHeight="false" outlineLevel="0" collapsed="false">
      <c r="A13" s="189" t="str">
        <f aca="false">IF('Données projet'!$B$16="","",'Données projet'!$B$16)</f>
        <v/>
      </c>
      <c r="B13" s="190" t="n">
        <f aca="false">'Données projet'!D16</f>
        <v>0</v>
      </c>
      <c r="C13" s="183" t="n">
        <f aca="false">IF(OR('Données projet'!B16="",'Données projet'!C16="",'Données projet'!C16=0%),0,Calculateur!FJ3)</f>
        <v>0</v>
      </c>
      <c r="D13" s="183" t="n">
        <f aca="false">IF(OR('Données projet'!B16="",'Données projet'!C16="",'Données projet'!C16=0%),0,Calculateur!FK3)</f>
        <v>0</v>
      </c>
      <c r="E13" s="183" t="n">
        <f aca="false">MIN(C13,D13)</f>
        <v>0</v>
      </c>
      <c r="F13" s="183" t="n">
        <f aca="false">E13*B13</f>
        <v>0</v>
      </c>
      <c r="G13" s="183" t="n">
        <f aca="false">F13*(100%-'Données projet'!$C$24)*(100%-'Données projet'!$C$25)*(100%-'Données projet'!$C$26)*(100%-'Données projet'!$C$27)</f>
        <v>0</v>
      </c>
      <c r="H13" s="191" t="n">
        <f aca="false">IF(OR('Données projet'!B16="",'Données projet'!C16="",'Données projet'!C16=0%),0,AVERAGE(Calculateur!$FT$3:$FT$33)*B13)</f>
        <v>0</v>
      </c>
      <c r="I13" s="185" t="n">
        <f aca="false">H13*(100%-'Données projet'!$C$24)*(100%-'Données projet'!$C$25)*(100%-'Données projet'!$C$26)*(100%-'Données projet'!$C$27)</f>
        <v>0</v>
      </c>
      <c r="J13" s="186" t="n">
        <f aca="false">IF(OR('Données projet'!C16="",'Données projet'!C16=0%),0,SUM(Calculateur!$FM$3:$FM$33)*VLOOKUP('Données projet'!$B$16,Paramètres!$A$1:$I$89,9,0)*B13)</f>
        <v>0</v>
      </c>
      <c r="K13" s="187" t="n">
        <f aca="false">J13*(100%-'Données projet'!$C$24)*(100%-'Données projet'!$C$25)*(100%-'Données projet'!$C$26)*(100%-'Données projet'!$C$27)</f>
        <v>0</v>
      </c>
      <c r="L13" s="188" t="n">
        <f aca="false">G13+I13+K13</f>
        <v>0</v>
      </c>
      <c r="M13" s="2"/>
      <c r="N13" s="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customFormat="false" ht="14.25" hidden="false" customHeight="false" outlineLevel="0" collapsed="false">
      <c r="A14" s="189" t="str">
        <f aca="false">IF('Données projet'!$B$17="","",'Données projet'!$B$17)</f>
        <v/>
      </c>
      <c r="B14" s="190" t="n">
        <f aca="false">'Données projet'!D17</f>
        <v>0</v>
      </c>
      <c r="C14" s="183" t="n">
        <f aca="false">IF(OR('Données projet'!B17="",'Données projet'!C17="",'Données projet'!C17=0%),0,Calculateur!GE3)</f>
        <v>0</v>
      </c>
      <c r="D14" s="183" t="n">
        <f aca="false">IF(OR('Données projet'!B17="",'Données projet'!C17="",'Données projet'!C17=0%),0,Calculateur!GF3)</f>
        <v>0</v>
      </c>
      <c r="E14" s="183" t="n">
        <f aca="false">MIN(C14,D14)</f>
        <v>0</v>
      </c>
      <c r="F14" s="183" t="n">
        <f aca="false">E14*B14</f>
        <v>0</v>
      </c>
      <c r="G14" s="183" t="n">
        <f aca="false">F14*(100%-'Données projet'!$C$24)*(100%-'Données projet'!$C$25)*(100%-'Données projet'!$C$26)*(100%-'Données projet'!$C$27)</f>
        <v>0</v>
      </c>
      <c r="H14" s="191" t="n">
        <f aca="false">IF(OR('Données projet'!B17="",'Données projet'!C17="",'Données projet'!C17=0%),0,AVERAGE(Calculateur!$GO$3:$GO$33)*B14)</f>
        <v>0</v>
      </c>
      <c r="I14" s="185" t="n">
        <f aca="false">H14*(100%-'Données projet'!$C$24)*(100%-'Données projet'!$C$25)*(100%-'Données projet'!$C$26)*(100%-'Données projet'!$C$27)</f>
        <v>0</v>
      </c>
      <c r="J14" s="186" t="n">
        <f aca="false">IF(OR('Données projet'!B17="",'Données projet'!C17="",'Données projet'!C17=0%),0,SUM(Calculateur!$GH$3:$GH$33)*VLOOKUP('Données projet'!$B$17,Paramètres!$A$1:$I$89,9,0)*B14)</f>
        <v>0</v>
      </c>
      <c r="K14" s="187" t="n">
        <f aca="false">J14*(100%-'Données projet'!$C$24)*(100%-'Données projet'!$C$25)*(100%-'Données projet'!$C$26)*(100%-'Données projet'!$C$27)</f>
        <v>0</v>
      </c>
      <c r="L14" s="188" t="n">
        <f aca="false">G14+I14+K14</f>
        <v>0</v>
      </c>
      <c r="M14" s="2"/>
      <c r="N14" s="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customFormat="false" ht="15" hidden="false" customHeight="false" outlineLevel="0" collapsed="false">
      <c r="A15" s="192" t="str">
        <f aca="false">IF('Données projet'!B18="","",'Données projet'!B18)</f>
        <v/>
      </c>
      <c r="B15" s="193" t="n">
        <f aca="false">'Données projet'!D18</f>
        <v>0</v>
      </c>
      <c r="C15" s="194" t="n">
        <f aca="false">IF(OR('Données projet'!B18="",'Données projet'!C18="",'Données projet'!C18=0%),0,Calculateur!GZ3)</f>
        <v>0</v>
      </c>
      <c r="D15" s="194" t="n">
        <f aca="false">IF(OR('Données projet'!B18="",'Données projet'!C18="",'Données projet'!C18=0%),0,Calculateur!HA3)</f>
        <v>0</v>
      </c>
      <c r="E15" s="194" t="n">
        <f aca="false">MIN(C15,D15)</f>
        <v>0</v>
      </c>
      <c r="F15" s="195" t="n">
        <f aca="false">E15*B15</f>
        <v>0</v>
      </c>
      <c r="G15" s="195" t="n">
        <f aca="false">F15*(100%-'Données projet'!$C$24)*(100%-'Données projet'!$C$25)*(100%-'Données projet'!$C$26)*(100%-'Données projet'!$C$27)</f>
        <v>0</v>
      </c>
      <c r="H15" s="196" t="n">
        <f aca="false">IF(OR('Données projet'!B18="",'Données projet'!C18="",'Données projet'!C18=0%),0,AVERAGE(Calculateur!$HJ$3:$HJ$33)*B15)</f>
        <v>0</v>
      </c>
      <c r="I15" s="197" t="n">
        <f aca="false">H15*(100%-'Données projet'!$C$24)*(100%-'Données projet'!$C$25)*(100%-'Données projet'!$C$26)*(100%-'Données projet'!$C$27)</f>
        <v>0</v>
      </c>
      <c r="J15" s="198" t="n">
        <f aca="false">IF(OR('Données projet'!B18="",'Données projet'!C18="",'Données projet'!C18=0%),0,SUM(Calculateur!$HC$3:$HC$33)*VLOOKUP('Données projet'!$B$18,Paramètres!$A$1:$I$89,9,0)*B15)</f>
        <v>0</v>
      </c>
      <c r="K15" s="199" t="n">
        <f aca="false">J15*(100%-'Données projet'!$C$24)*(100%-'Données projet'!$C$25)*(100%-'Données projet'!$C$26)*(100%-'Données projet'!$C$27)</f>
        <v>0</v>
      </c>
      <c r="L15" s="200" t="n">
        <f aca="false">G15+I15+K15</f>
        <v>0</v>
      </c>
      <c r="M15" s="2"/>
      <c r="N15" s="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customFormat="false" ht="15" hidden="false" customHeight="false" outlineLevel="0" collapsed="false">
      <c r="A16" s="201"/>
      <c r="B16" s="202"/>
      <c r="C16" s="203"/>
      <c r="D16" s="2"/>
      <c r="E16" s="2"/>
      <c r="F16" s="204" t="n">
        <f aca="false">SUM(F6:F15)</f>
        <v>1522.0969133867</v>
      </c>
      <c r="G16" s="205" t="n">
        <f aca="false">SUM(G6:G15)</f>
        <v>1369.88722204803</v>
      </c>
      <c r="H16" s="206" t="n">
        <f aca="false">SUM(H6:H15)</f>
        <v>18.9586233867366</v>
      </c>
      <c r="I16" s="206" t="n">
        <f aca="false">SUM(I6:I15)</f>
        <v>17.062761048063</v>
      </c>
      <c r="J16" s="207" t="n">
        <f aca="false">SUM(J6:J15)</f>
        <v>189.1875125</v>
      </c>
      <c r="K16" s="207" t="n">
        <f aca="false">SUM(K6:K15)</f>
        <v>170.26876125</v>
      </c>
      <c r="L16" s="208" t="n">
        <f aca="false">SUM(L6:L15)</f>
        <v>1557.21874434609</v>
      </c>
      <c r="M16" s="2"/>
      <c r="N16" s="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customFormat="false" ht="14.25" hidden="false" customHeight="true" outlineLevel="0" collapsed="false">
      <c r="A17" s="201"/>
      <c r="B17" s="202"/>
      <c r="C17" s="203"/>
      <c r="D17" s="2"/>
      <c r="E17" s="2"/>
      <c r="F17" s="209" t="s">
        <v>290</v>
      </c>
      <c r="G17" s="209"/>
      <c r="H17" s="209"/>
      <c r="I17" s="209"/>
      <c r="J17" s="209"/>
      <c r="K17" s="209"/>
      <c r="L17" s="209"/>
      <c r="M17" s="2"/>
      <c r="N17" s="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customFormat="false" ht="14.25" hidden="false" customHeight="false" outlineLevel="0" collapsed="false">
      <c r="A18" s="201"/>
      <c r="B18" s="202"/>
      <c r="C18" s="203"/>
      <c r="D18" s="2"/>
      <c r="E18" s="2"/>
      <c r="F18" s="209"/>
      <c r="G18" s="209"/>
      <c r="H18" s="209"/>
      <c r="I18" s="209"/>
      <c r="J18" s="209"/>
      <c r="K18" s="209"/>
      <c r="L18" s="209"/>
      <c r="M18" s="2"/>
      <c r="N18" s="2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customFormat="false" ht="14.25" hidden="false" customHeight="false" outlineLevel="0" collapsed="false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customFormat="false" ht="15" hidden="false" customHeight="false" outlineLevel="0" collapsed="false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customFormat="false" ht="15" hidden="false" customHeight="false" outlineLevel="0" collapsed="false">
      <c r="A21" s="210" t="str">
        <f aca="false">A6</f>
        <v>Cèdre de l'Atlas</v>
      </c>
      <c r="B21" s="3"/>
      <c r="C21" s="3"/>
      <c r="D21" s="3"/>
      <c r="E21" s="3"/>
      <c r="F21" s="3"/>
      <c r="G21" s="3"/>
      <c r="H21" s="3"/>
      <c r="I21" s="2"/>
      <c r="J21" s="2"/>
      <c r="K21" s="2"/>
      <c r="L21" s="2"/>
      <c r="M21" s="2"/>
      <c r="N21" s="2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customFormat="false" ht="14.2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2"/>
      <c r="J22" s="2"/>
      <c r="K22" s="2"/>
      <c r="L22" s="2"/>
      <c r="M22" s="2"/>
      <c r="N22" s="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customFormat="false" ht="14.25" hidden="false" customHeight="false" outlineLevel="0" collapsed="false">
      <c r="A23" s="3"/>
      <c r="B23" s="3"/>
      <c r="C23" s="3"/>
      <c r="D23" s="3"/>
      <c r="E23" s="3"/>
      <c r="F23" s="3"/>
      <c r="G23" s="3"/>
      <c r="H23" s="3"/>
      <c r="I23" s="2"/>
      <c r="J23" s="2"/>
      <c r="K23" s="2"/>
      <c r="L23" s="2"/>
      <c r="M23" s="2"/>
      <c r="N23" s="2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customFormat="false" ht="14.25" hidden="false" customHeight="false" outlineLevel="0" collapsed="false">
      <c r="A24" s="3"/>
      <c r="B24" s="3"/>
      <c r="C24" s="3"/>
      <c r="D24" s="3"/>
      <c r="E24" s="3"/>
      <c r="F24" s="3"/>
      <c r="G24" s="3"/>
      <c r="H24" s="3"/>
      <c r="I24" s="2"/>
      <c r="J24" s="2"/>
      <c r="K24" s="2"/>
      <c r="L24" s="2"/>
      <c r="M24" s="2"/>
      <c r="N24" s="2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customFormat="false" ht="14.25" hidden="false" customHeight="false" outlineLevel="0" collapsed="false">
      <c r="A25" s="3"/>
      <c r="B25" s="3"/>
      <c r="C25" s="3"/>
      <c r="D25" s="3"/>
      <c r="E25" s="3"/>
      <c r="F25" s="3"/>
      <c r="G25" s="3"/>
      <c r="H25" s="3"/>
      <c r="I25" s="2"/>
      <c r="J25" s="2"/>
      <c r="K25" s="2"/>
      <c r="L25" s="2"/>
      <c r="M25" s="2"/>
      <c r="N25" s="2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customFormat="false" ht="14.25" hidden="false" customHeight="false" outlineLevel="0" collapsed="false">
      <c r="A26" s="3"/>
      <c r="B26" s="3"/>
      <c r="C26" s="3"/>
      <c r="D26" s="3"/>
      <c r="E26" s="3"/>
      <c r="F26" s="3"/>
      <c r="G26" s="3"/>
      <c r="H26" s="3"/>
      <c r="I26" s="2"/>
      <c r="J26" s="2"/>
      <c r="K26" s="2"/>
      <c r="L26" s="2"/>
      <c r="M26" s="2"/>
      <c r="N26" s="2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customFormat="false" ht="14.25" hidden="false" customHeight="false" outlineLevel="0" collapsed="false">
      <c r="A27" s="3"/>
      <c r="B27" s="3"/>
      <c r="C27" s="3"/>
      <c r="D27" s="3"/>
      <c r="E27" s="3"/>
      <c r="F27" s="3"/>
      <c r="G27" s="3"/>
      <c r="H27" s="3"/>
      <c r="I27" s="2"/>
      <c r="J27" s="2"/>
      <c r="K27" s="2"/>
      <c r="L27" s="2"/>
      <c r="M27" s="2"/>
      <c r="N27" s="2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customFormat="false" ht="14.25" hidden="false" customHeight="false" outlineLevel="0" collapsed="false">
      <c r="A28" s="3"/>
      <c r="B28" s="3"/>
      <c r="C28" s="3"/>
      <c r="D28" s="3"/>
      <c r="E28" s="3"/>
      <c r="F28" s="3"/>
      <c r="G28" s="3"/>
      <c r="H28" s="3"/>
      <c r="I28" s="2"/>
      <c r="J28" s="2"/>
      <c r="K28" s="2"/>
      <c r="L28" s="2"/>
      <c r="M28" s="2"/>
      <c r="N28" s="2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customFormat="false" ht="14.25" hidden="false" customHeight="false" outlineLevel="0" collapsed="false">
      <c r="A29" s="3"/>
      <c r="B29" s="3"/>
      <c r="C29" s="3"/>
      <c r="D29" s="3"/>
      <c r="E29" s="3"/>
      <c r="F29" s="3"/>
      <c r="G29" s="3"/>
      <c r="H29" s="3"/>
      <c r="I29" s="2"/>
      <c r="J29" s="2"/>
      <c r="K29" s="2"/>
      <c r="L29" s="2"/>
      <c r="M29" s="2"/>
      <c r="N29" s="2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customFormat="false" ht="14.25" hidden="false" customHeight="false" outlineLevel="0" collapsed="false">
      <c r="A30" s="3"/>
      <c r="B30" s="3"/>
      <c r="C30" s="3"/>
      <c r="D30" s="3"/>
      <c r="E30" s="3"/>
      <c r="F30" s="3"/>
      <c r="G30" s="3"/>
      <c r="H30" s="3"/>
      <c r="I30" s="2"/>
      <c r="J30" s="2"/>
      <c r="K30" s="2"/>
      <c r="L30" s="2"/>
      <c r="M30" s="2"/>
      <c r="N30" s="2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customFormat="false" ht="14.25" hidden="false" customHeight="false" outlineLevel="0" collapsed="false">
      <c r="A31" s="3"/>
      <c r="B31" s="3"/>
      <c r="C31" s="3"/>
      <c r="D31" s="3"/>
      <c r="E31" s="3"/>
      <c r="F31" s="3"/>
      <c r="G31" s="3"/>
      <c r="H31" s="3"/>
      <c r="I31" s="2"/>
      <c r="J31" s="2"/>
      <c r="K31" s="2"/>
      <c r="L31" s="2"/>
      <c r="M31" s="2"/>
      <c r="N31" s="2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customFormat="false" ht="14.25" hidden="false" customHeight="false" outlineLevel="0" collapsed="false">
      <c r="A32" s="3"/>
      <c r="B32" s="3"/>
      <c r="C32" s="3"/>
      <c r="D32" s="3"/>
      <c r="E32" s="3"/>
      <c r="F32" s="3"/>
      <c r="G32" s="3"/>
      <c r="H32" s="3"/>
      <c r="I32" s="2"/>
      <c r="J32" s="2"/>
      <c r="K32" s="2"/>
      <c r="L32" s="2"/>
      <c r="M32" s="2"/>
      <c r="N32" s="2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  <row r="33" customFormat="false" ht="14.25" hidden="false" customHeight="false" outlineLevel="0" collapsed="false">
      <c r="A33" s="3"/>
      <c r="B33" s="3"/>
      <c r="C33" s="3"/>
      <c r="D33" s="3"/>
      <c r="E33" s="3"/>
      <c r="F33" s="3"/>
      <c r="G33" s="3"/>
      <c r="H33" s="3"/>
      <c r="I33" s="2"/>
      <c r="J33" s="2"/>
      <c r="K33" s="2"/>
      <c r="L33" s="2"/>
      <c r="M33" s="2"/>
      <c r="N33" s="2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customFormat="false" ht="14.25" hidden="false" customHeight="false" outlineLevel="0" collapsed="false">
      <c r="A34" s="3"/>
      <c r="B34" s="3"/>
      <c r="C34" s="3"/>
      <c r="D34" s="3"/>
      <c r="E34" s="3"/>
      <c r="F34" s="3"/>
      <c r="G34" s="3"/>
      <c r="H34" s="3"/>
      <c r="I34" s="2"/>
      <c r="J34" s="2"/>
      <c r="K34" s="2"/>
      <c r="L34" s="2"/>
      <c r="M34" s="2"/>
      <c r="N34" s="2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customFormat="false" ht="14.25" hidden="false" customHeight="false" outlineLevel="0" collapsed="false">
      <c r="A35" s="3"/>
      <c r="B35" s="3"/>
      <c r="C35" s="3"/>
      <c r="D35" s="3"/>
      <c r="E35" s="3"/>
      <c r="F35" s="3"/>
      <c r="G35" s="3"/>
      <c r="H35" s="3"/>
      <c r="I35" s="2"/>
      <c r="J35" s="2"/>
      <c r="K35" s="2"/>
      <c r="L35" s="2"/>
      <c r="M35" s="2"/>
      <c r="N35" s="2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customFormat="false" ht="14.25" hidden="false" customHeight="false" outlineLevel="0" collapsed="false">
      <c r="A36" s="3"/>
      <c r="B36" s="3"/>
      <c r="C36" s="3"/>
      <c r="D36" s="3"/>
      <c r="E36" s="3"/>
      <c r="F36" s="3"/>
      <c r="G36" s="3"/>
      <c r="H36" s="3"/>
      <c r="I36" s="2"/>
      <c r="J36" s="2"/>
      <c r="K36" s="2"/>
      <c r="L36" s="2"/>
      <c r="M36" s="2"/>
      <c r="N36" s="2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</row>
    <row r="37" customFormat="false" ht="14.25" hidden="false" customHeight="false" outlineLevel="0" collapsed="false">
      <c r="A37" s="3"/>
      <c r="B37" s="3"/>
      <c r="C37" s="3"/>
      <c r="D37" s="3"/>
      <c r="E37" s="3"/>
      <c r="F37" s="3"/>
      <c r="G37" s="3"/>
      <c r="H37" s="3"/>
      <c r="I37" s="2"/>
      <c r="J37" s="2"/>
      <c r="K37" s="2"/>
      <c r="L37" s="2"/>
      <c r="M37" s="2"/>
      <c r="N37" s="2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customFormat="false" ht="15" hidden="false" customHeight="false" outlineLevel="0" collapsed="false">
      <c r="A38" s="3"/>
      <c r="B38" s="3"/>
      <c r="C38" s="3"/>
      <c r="D38" s="3"/>
      <c r="E38" s="3"/>
      <c r="F38" s="3"/>
      <c r="G38" s="3"/>
      <c r="H38" s="3"/>
      <c r="I38" s="2"/>
      <c r="J38" s="2"/>
      <c r="K38" s="2"/>
      <c r="L38" s="2"/>
      <c r="M38" s="2"/>
      <c r="N38" s="2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</row>
    <row r="39" customFormat="false" ht="15" hidden="false" customHeight="false" outlineLevel="0" collapsed="false">
      <c r="A39" s="210" t="str">
        <f aca="false">A7</f>
        <v>Douglas</v>
      </c>
      <c r="B39" s="3"/>
      <c r="C39" s="3"/>
      <c r="D39" s="3"/>
      <c r="E39" s="3"/>
      <c r="F39" s="3"/>
      <c r="G39" s="3"/>
      <c r="H39" s="3"/>
      <c r="I39" s="2"/>
      <c r="J39" s="2"/>
      <c r="K39" s="2"/>
      <c r="L39" s="2"/>
      <c r="M39" s="2"/>
      <c r="N39" s="2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</row>
    <row r="40" customFormat="false" ht="14.25" hidden="false" customHeight="false" outlineLevel="0" collapsed="false">
      <c r="A40" s="3"/>
      <c r="B40" s="3"/>
      <c r="C40" s="3"/>
      <c r="D40" s="3"/>
      <c r="E40" s="3"/>
      <c r="F40" s="3"/>
      <c r="G40" s="3"/>
      <c r="H40" s="3"/>
      <c r="I40" s="2"/>
      <c r="J40" s="2"/>
      <c r="K40" s="2"/>
      <c r="L40" s="2"/>
      <c r="M40" s="2"/>
      <c r="N40" s="2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</row>
    <row r="41" customFormat="false" ht="14.25" hidden="false" customHeight="false" outlineLevel="0" collapsed="false">
      <c r="A41" s="3"/>
      <c r="B41" s="3"/>
      <c r="C41" s="3"/>
      <c r="D41" s="3"/>
      <c r="E41" s="3"/>
      <c r="F41" s="3"/>
      <c r="G41" s="3"/>
      <c r="H41" s="3"/>
      <c r="I41" s="2"/>
      <c r="J41" s="2"/>
      <c r="K41" s="2"/>
      <c r="L41" s="2"/>
      <c r="M41" s="2"/>
      <c r="N41" s="2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</row>
    <row r="42" customFormat="false" ht="14.25" hidden="false" customHeight="false" outlineLevel="0" collapsed="false">
      <c r="A42" s="3"/>
      <c r="B42" s="3"/>
      <c r="C42" s="3"/>
      <c r="D42" s="3"/>
      <c r="E42" s="3"/>
      <c r="F42" s="3"/>
      <c r="G42" s="3"/>
      <c r="H42" s="3"/>
      <c r="I42" s="2"/>
      <c r="J42" s="2"/>
      <c r="K42" s="2"/>
      <c r="L42" s="2"/>
      <c r="M42" s="2"/>
      <c r="N42" s="2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</row>
    <row r="43" customFormat="false" ht="14.25" hidden="false" customHeight="false" outlineLevel="0" collapsed="false">
      <c r="A43" s="3"/>
      <c r="B43" s="3"/>
      <c r="C43" s="3"/>
      <c r="D43" s="3"/>
      <c r="E43" s="3"/>
      <c r="F43" s="3"/>
      <c r="G43" s="3"/>
      <c r="H43" s="3"/>
      <c r="I43" s="2"/>
      <c r="J43" s="2"/>
      <c r="K43" s="2"/>
      <c r="L43" s="2"/>
      <c r="M43" s="2"/>
      <c r="N43" s="2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</row>
    <row r="44" customFormat="false" ht="14.25" hidden="false" customHeight="false" outlineLevel="0" collapsed="false">
      <c r="A44" s="3"/>
      <c r="B44" s="3"/>
      <c r="C44" s="3"/>
      <c r="D44" s="3"/>
      <c r="E44" s="3"/>
      <c r="F44" s="3"/>
      <c r="G44" s="3"/>
      <c r="H44" s="3"/>
      <c r="I44" s="2"/>
      <c r="J44" s="2"/>
      <c r="K44" s="2"/>
      <c r="L44" s="2"/>
      <c r="M44" s="2"/>
      <c r="N44" s="2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</row>
    <row r="45" customFormat="false" ht="14.25" hidden="false" customHeight="false" outlineLevel="0" collapsed="false">
      <c r="A45" s="3"/>
      <c r="B45" s="3"/>
      <c r="C45" s="3"/>
      <c r="D45" s="3"/>
      <c r="E45" s="3"/>
      <c r="F45" s="3"/>
      <c r="G45" s="3"/>
      <c r="H45" s="3"/>
      <c r="I45" s="2"/>
      <c r="J45" s="2"/>
      <c r="K45" s="2"/>
      <c r="L45" s="2"/>
      <c r="M45" s="2"/>
      <c r="N45" s="2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</row>
    <row r="46" customFormat="false" ht="14.25" hidden="false" customHeight="false" outlineLevel="0" collapsed="false">
      <c r="A46" s="3"/>
      <c r="B46" s="3"/>
      <c r="C46" s="3"/>
      <c r="D46" s="3"/>
      <c r="E46" s="3"/>
      <c r="F46" s="3"/>
      <c r="G46" s="3"/>
      <c r="H46" s="3"/>
      <c r="I46" s="2"/>
      <c r="J46" s="2"/>
      <c r="K46" s="2"/>
      <c r="L46" s="2"/>
      <c r="M46" s="2"/>
      <c r="N46" s="2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customFormat="false" ht="14.25" hidden="false" customHeight="false" outlineLevel="0" collapsed="false">
      <c r="A47" s="3"/>
      <c r="B47" s="3"/>
      <c r="C47" s="3"/>
      <c r="D47" s="3"/>
      <c r="E47" s="3"/>
      <c r="F47" s="3"/>
      <c r="G47" s="3"/>
      <c r="H47" s="3"/>
      <c r="I47" s="2"/>
      <c r="J47" s="2"/>
      <c r="K47" s="2"/>
      <c r="L47" s="2"/>
      <c r="M47" s="2"/>
      <c r="N47" s="2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</row>
    <row r="48" customFormat="false" ht="14.25" hidden="false" customHeight="false" outlineLevel="0" collapsed="false">
      <c r="A48" s="3"/>
      <c r="B48" s="3"/>
      <c r="C48" s="3"/>
      <c r="D48" s="3"/>
      <c r="E48" s="3"/>
      <c r="F48" s="3"/>
      <c r="G48" s="3"/>
      <c r="H48" s="3"/>
      <c r="I48" s="2"/>
      <c r="J48" s="2"/>
      <c r="K48" s="2"/>
      <c r="L48" s="2"/>
      <c r="M48" s="2"/>
      <c r="N48" s="2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</row>
    <row r="49" customFormat="false" ht="14.2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2"/>
      <c r="J49" s="2"/>
      <c r="K49" s="2"/>
      <c r="L49" s="2"/>
      <c r="M49" s="2"/>
      <c r="N49" s="2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customFormat="false" ht="14.2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2"/>
      <c r="J50" s="2"/>
      <c r="K50" s="2"/>
      <c r="L50" s="2"/>
      <c r="M50" s="2"/>
      <c r="N50" s="2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</row>
    <row r="51" customFormat="false" ht="14.2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2"/>
      <c r="J51" s="2"/>
      <c r="K51" s="2"/>
      <c r="L51" s="2"/>
      <c r="M51" s="2"/>
      <c r="N51" s="2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</row>
    <row r="52" customFormat="false" ht="14.2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2"/>
      <c r="J52" s="2"/>
      <c r="K52" s="2"/>
      <c r="L52" s="2"/>
      <c r="M52" s="2"/>
      <c r="N52" s="2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</row>
    <row r="53" customFormat="false" ht="14.2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2"/>
      <c r="J53" s="2"/>
      <c r="K53" s="2"/>
      <c r="L53" s="2"/>
      <c r="M53" s="2"/>
      <c r="N53" s="2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</row>
    <row r="54" customFormat="false" ht="14.2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2"/>
      <c r="J54" s="2"/>
      <c r="K54" s="2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</row>
    <row r="55" customFormat="false" ht="14.2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2"/>
      <c r="J55" s="2"/>
      <c r="K55" s="2"/>
      <c r="L55" s="2"/>
      <c r="M55" s="2"/>
      <c r="N55" s="2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</row>
    <row r="56" customFormat="false" ht="1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2"/>
      <c r="J56" s="2"/>
      <c r="K56" s="2"/>
      <c r="L56" s="2"/>
      <c r="M56" s="2"/>
      <c r="N56" s="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</row>
    <row r="57" customFormat="false" ht="15" hidden="false" customHeight="false" outlineLevel="0" collapsed="false">
      <c r="A57" s="210" t="str">
        <f aca="false">A8</f>
        <v>Chêne rouge d'Amérique</v>
      </c>
      <c r="B57" s="3"/>
      <c r="C57" s="3"/>
      <c r="D57" s="3"/>
      <c r="E57" s="3"/>
      <c r="F57" s="3"/>
      <c r="G57" s="3"/>
      <c r="H57" s="3"/>
      <c r="I57" s="2"/>
      <c r="J57" s="2"/>
      <c r="K57" s="2"/>
      <c r="L57" s="2"/>
      <c r="M57" s="2"/>
      <c r="N57" s="2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</row>
    <row r="58" customFormat="false" ht="14.2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2"/>
      <c r="J58" s="2"/>
      <c r="K58" s="2"/>
      <c r="L58" s="2"/>
      <c r="M58" s="2"/>
      <c r="N58" s="2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</row>
    <row r="59" customFormat="false" ht="14.2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2"/>
      <c r="J59" s="2"/>
      <c r="K59" s="2"/>
      <c r="L59" s="2"/>
      <c r="M59" s="2"/>
      <c r="N59" s="2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</row>
    <row r="60" customFormat="false" ht="14.2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2"/>
      <c r="J60" s="2"/>
      <c r="K60" s="2"/>
      <c r="L60" s="2"/>
      <c r="M60" s="2"/>
      <c r="N60" s="2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</row>
    <row r="61" customFormat="false" ht="14.2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2"/>
      <c r="J61" s="2"/>
      <c r="K61" s="2"/>
      <c r="L61" s="2"/>
      <c r="M61" s="2"/>
      <c r="N61" s="2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</row>
    <row r="62" customFormat="false" ht="14.2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2"/>
      <c r="J62" s="2"/>
      <c r="K62" s="2"/>
      <c r="L62" s="2"/>
      <c r="M62" s="2"/>
      <c r="N62" s="2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</row>
    <row r="63" customFormat="false" ht="14.2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2"/>
      <c r="J63" s="2"/>
      <c r="K63" s="2"/>
      <c r="L63" s="2"/>
      <c r="M63" s="2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</row>
    <row r="64" customFormat="false" ht="14.2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2"/>
      <c r="J64" s="2"/>
      <c r="K64" s="2"/>
      <c r="L64" s="2"/>
      <c r="M64" s="2"/>
      <c r="N64" s="2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</row>
    <row r="65" customFormat="false" ht="14.2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2"/>
      <c r="J65" s="2"/>
      <c r="K65" s="2"/>
      <c r="L65" s="2"/>
      <c r="M65" s="2"/>
      <c r="N65" s="2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</row>
    <row r="66" customFormat="false" ht="14.2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2"/>
      <c r="J66" s="2"/>
      <c r="K66" s="2"/>
      <c r="L66" s="2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</row>
    <row r="67" customFormat="false" ht="14.2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2"/>
      <c r="J67" s="2"/>
      <c r="K67" s="2"/>
      <c r="L67" s="2"/>
      <c r="M67" s="2"/>
      <c r="N67" s="2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</row>
    <row r="68" customFormat="false" ht="14.2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2"/>
      <c r="J68" s="2"/>
      <c r="K68" s="2"/>
      <c r="L68" s="2"/>
      <c r="M68" s="2"/>
      <c r="N68" s="2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</row>
    <row r="69" customFormat="false" ht="14.2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2"/>
      <c r="J69" s="2"/>
      <c r="K69" s="2"/>
      <c r="L69" s="2"/>
      <c r="M69" s="2"/>
      <c r="N69" s="2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</row>
    <row r="70" customFormat="false" ht="14.2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2"/>
      <c r="J70" s="2"/>
      <c r="K70" s="2"/>
      <c r="L70" s="2"/>
      <c r="M70" s="2"/>
      <c r="N70" s="2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</row>
    <row r="71" customFormat="false" ht="14.2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2"/>
      <c r="J71" s="2"/>
      <c r="K71" s="2"/>
      <c r="L71" s="2"/>
      <c r="M71" s="2"/>
      <c r="N71" s="2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</row>
    <row r="72" customFormat="false" ht="14.2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2"/>
      <c r="J72" s="2"/>
      <c r="K72" s="2"/>
      <c r="L72" s="2"/>
      <c r="M72" s="2"/>
      <c r="N72" s="2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</row>
    <row r="73" customFormat="false" ht="14.2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2"/>
      <c r="J73" s="2"/>
      <c r="K73" s="2"/>
      <c r="L73" s="2"/>
      <c r="M73" s="2"/>
      <c r="N73" s="2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</row>
    <row r="74" customFormat="false" ht="14.2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2"/>
      <c r="J74" s="2"/>
      <c r="K74" s="2"/>
      <c r="L74" s="2"/>
      <c r="M74" s="2"/>
      <c r="N74" s="2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</row>
    <row r="75" customFormat="false" ht="1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2"/>
      <c r="J75" s="2"/>
      <c r="K75" s="2"/>
      <c r="L75" s="2"/>
      <c r="M75" s="2"/>
      <c r="N75" s="2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</row>
    <row r="76" customFormat="false" ht="15" hidden="false" customHeight="false" outlineLevel="0" collapsed="false">
      <c r="A76" s="210" t="str">
        <f aca="false">A9</f>
        <v>Mélèze d'Europe</v>
      </c>
      <c r="B76" s="3"/>
      <c r="C76" s="3"/>
      <c r="D76" s="3"/>
      <c r="E76" s="3"/>
      <c r="F76" s="3"/>
      <c r="G76" s="3"/>
      <c r="H76" s="3"/>
      <c r="I76" s="2"/>
      <c r="J76" s="2"/>
      <c r="K76" s="2"/>
      <c r="L76" s="2"/>
      <c r="M76" s="2"/>
      <c r="N76" s="2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</row>
    <row r="77" customFormat="false" ht="14.2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2"/>
      <c r="J77" s="2"/>
      <c r="K77" s="2"/>
      <c r="L77" s="2"/>
      <c r="M77" s="2"/>
      <c r="N77" s="2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</row>
    <row r="78" customFormat="false" ht="14.2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2"/>
      <c r="J78" s="2"/>
      <c r="K78" s="2"/>
      <c r="L78" s="2"/>
      <c r="M78" s="2"/>
      <c r="N78" s="2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</row>
    <row r="79" customFormat="false" ht="14.25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2"/>
      <c r="J79" s="2"/>
      <c r="K79" s="2"/>
      <c r="L79" s="2"/>
      <c r="M79" s="2"/>
      <c r="N79" s="2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</row>
    <row r="80" customFormat="false" ht="14.25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2"/>
      <c r="J80" s="2"/>
      <c r="K80" s="2"/>
      <c r="L80" s="2"/>
      <c r="M80" s="2"/>
      <c r="N80" s="2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</row>
    <row r="81" customFormat="false" ht="14.25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2"/>
      <c r="J81" s="2"/>
      <c r="K81" s="2"/>
      <c r="L81" s="2"/>
      <c r="M81" s="2"/>
      <c r="N81" s="2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</row>
    <row r="82" customFormat="false" ht="14.25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2"/>
      <c r="J82" s="2"/>
      <c r="K82" s="2"/>
      <c r="L82" s="2"/>
      <c r="M82" s="2"/>
      <c r="N82" s="2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</row>
    <row r="83" customFormat="false" ht="14.25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2"/>
      <c r="J83" s="2"/>
      <c r="K83" s="2"/>
      <c r="L83" s="2"/>
      <c r="M83" s="2"/>
      <c r="N83" s="2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</row>
    <row r="84" customFormat="false" ht="14.25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2"/>
      <c r="J84" s="2"/>
      <c r="K84" s="2"/>
      <c r="L84" s="2"/>
      <c r="M84" s="2"/>
      <c r="N84" s="2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</row>
    <row r="85" customFormat="false" ht="14.25" hidden="false" customHeight="false" outlineLevel="0" collapsed="false">
      <c r="A85" s="3"/>
      <c r="B85" s="3"/>
      <c r="C85" s="3"/>
      <c r="D85" s="3"/>
      <c r="E85" s="3"/>
      <c r="F85" s="3"/>
      <c r="G85" s="3"/>
      <c r="H85" s="3"/>
      <c r="I85" s="2"/>
      <c r="J85" s="2"/>
      <c r="K85" s="2"/>
      <c r="L85" s="2"/>
      <c r="M85" s="2"/>
      <c r="N85" s="2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</row>
    <row r="86" customFormat="false" ht="14.25" hidden="false" customHeight="false" outlineLevel="0" collapsed="false">
      <c r="A86" s="3"/>
      <c r="B86" s="3"/>
      <c r="C86" s="3"/>
      <c r="D86" s="3"/>
      <c r="E86" s="3"/>
      <c r="F86" s="3"/>
      <c r="G86" s="3"/>
      <c r="H86" s="3"/>
      <c r="I86" s="2"/>
      <c r="J86" s="2"/>
      <c r="K86" s="2"/>
      <c r="L86" s="2"/>
      <c r="M86" s="2"/>
      <c r="N86" s="2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</row>
    <row r="87" customFormat="false" ht="14.25" hidden="false" customHeight="false" outlineLevel="0" collapsed="false">
      <c r="A87" s="3"/>
      <c r="B87" s="3"/>
      <c r="C87" s="3"/>
      <c r="D87" s="3"/>
      <c r="E87" s="3"/>
      <c r="F87" s="3"/>
      <c r="G87" s="3"/>
      <c r="H87" s="3"/>
      <c r="I87" s="2"/>
      <c r="J87" s="2"/>
      <c r="K87" s="2"/>
      <c r="L87" s="2"/>
      <c r="M87" s="2"/>
      <c r="N87" s="2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</row>
    <row r="88" customFormat="false" ht="14.25" hidden="false" customHeight="false" outlineLevel="0" collapsed="false">
      <c r="A88" s="3"/>
      <c r="B88" s="3"/>
      <c r="C88" s="3"/>
      <c r="D88" s="3"/>
      <c r="E88" s="3"/>
      <c r="F88" s="3"/>
      <c r="G88" s="3"/>
      <c r="H88" s="3"/>
      <c r="I88" s="2"/>
      <c r="J88" s="2"/>
      <c r="K88" s="2"/>
      <c r="L88" s="2"/>
      <c r="M88" s="2"/>
      <c r="N88" s="2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</row>
    <row r="89" customFormat="false" ht="14.25" hidden="false" customHeight="false" outlineLevel="0" collapsed="false">
      <c r="A89" s="3"/>
      <c r="B89" s="3"/>
      <c r="C89" s="3"/>
      <c r="D89" s="3"/>
      <c r="E89" s="3"/>
      <c r="F89" s="3"/>
      <c r="G89" s="3"/>
      <c r="H89" s="3"/>
      <c r="I89" s="2"/>
      <c r="J89" s="2"/>
      <c r="K89" s="2"/>
      <c r="L89" s="2"/>
      <c r="M89" s="2"/>
      <c r="N89" s="2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</row>
    <row r="90" customFormat="false" ht="14.25" hidden="false" customHeight="false" outlineLevel="0" collapsed="false">
      <c r="A90" s="3"/>
      <c r="B90" s="3"/>
      <c r="C90" s="3"/>
      <c r="D90" s="3"/>
      <c r="E90" s="3"/>
      <c r="F90" s="3"/>
      <c r="G90" s="3"/>
      <c r="H90" s="3"/>
      <c r="I90" s="2"/>
      <c r="J90" s="2"/>
      <c r="K90" s="2"/>
      <c r="L90" s="2"/>
      <c r="M90" s="2"/>
      <c r="N90" s="2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</row>
    <row r="91" customFormat="false" ht="14.25" hidden="false" customHeight="false" outlineLevel="0" collapsed="false">
      <c r="A91" s="3"/>
      <c r="B91" s="3"/>
      <c r="C91" s="3"/>
      <c r="D91" s="3"/>
      <c r="E91" s="3"/>
      <c r="F91" s="3"/>
      <c r="G91" s="3"/>
      <c r="H91" s="3"/>
      <c r="I91" s="2"/>
      <c r="J91" s="2"/>
      <c r="K91" s="2"/>
      <c r="L91" s="2"/>
      <c r="M91" s="2"/>
      <c r="N91" s="2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</row>
    <row r="92" customFormat="false" ht="14.25" hidden="false" customHeight="false" outlineLevel="0" collapsed="false">
      <c r="A92" s="3"/>
      <c r="B92" s="3"/>
      <c r="C92" s="3"/>
      <c r="D92" s="3"/>
      <c r="E92" s="3"/>
      <c r="F92" s="3"/>
      <c r="G92" s="3"/>
      <c r="H92" s="3"/>
      <c r="I92" s="2"/>
      <c r="J92" s="2"/>
      <c r="K92" s="2"/>
      <c r="L92" s="2"/>
      <c r="M92" s="2"/>
      <c r="N92" s="2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</row>
    <row r="93" customFormat="false" ht="15" hidden="false" customHeight="false" outlineLevel="0" collapsed="false">
      <c r="A93" s="3"/>
      <c r="B93" s="3"/>
      <c r="C93" s="3"/>
      <c r="D93" s="3"/>
      <c r="E93" s="3"/>
      <c r="F93" s="3"/>
      <c r="G93" s="3"/>
      <c r="H93" s="3"/>
      <c r="I93" s="2"/>
      <c r="J93" s="2"/>
      <c r="K93" s="2"/>
      <c r="L93" s="2"/>
      <c r="M93" s="2"/>
      <c r="N93" s="2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</row>
    <row r="94" customFormat="false" ht="15" hidden="false" customHeight="false" outlineLevel="0" collapsed="false">
      <c r="A94" s="210" t="str">
        <f aca="false">A10</f>
        <v>Mélèze hybride</v>
      </c>
      <c r="B94" s="3"/>
      <c r="C94" s="3"/>
      <c r="D94" s="3"/>
      <c r="E94" s="3"/>
      <c r="F94" s="3"/>
      <c r="G94" s="3"/>
      <c r="H94" s="3"/>
      <c r="I94" s="2"/>
      <c r="J94" s="2"/>
      <c r="K94" s="2"/>
      <c r="L94" s="2"/>
      <c r="M94" s="2"/>
      <c r="N94" s="2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</row>
    <row r="95" customFormat="false" ht="14.25" hidden="false" customHeight="false" outlineLevel="0" collapsed="false">
      <c r="A95" s="3"/>
      <c r="B95" s="3"/>
      <c r="C95" s="3"/>
      <c r="D95" s="3"/>
      <c r="E95" s="3"/>
      <c r="F95" s="3"/>
      <c r="G95" s="3"/>
      <c r="H95" s="3"/>
      <c r="I95" s="2"/>
      <c r="J95" s="2"/>
      <c r="K95" s="2"/>
      <c r="L95" s="2"/>
      <c r="M95" s="2"/>
      <c r="N95" s="2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</row>
    <row r="96" customFormat="false" ht="14.25" hidden="false" customHeight="false" outlineLevel="0" collapsed="false">
      <c r="A96" s="3"/>
      <c r="B96" s="3"/>
      <c r="C96" s="3"/>
      <c r="D96" s="3"/>
      <c r="E96" s="3"/>
      <c r="F96" s="3"/>
      <c r="G96" s="3"/>
      <c r="H96" s="3"/>
      <c r="I96" s="2"/>
      <c r="J96" s="2"/>
      <c r="K96" s="2"/>
      <c r="L96" s="2"/>
      <c r="M96" s="2"/>
      <c r="N96" s="2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</row>
    <row r="97" customFormat="false" ht="14.25" hidden="false" customHeight="false" outlineLevel="0" collapsed="false">
      <c r="A97" s="3"/>
      <c r="B97" s="3"/>
      <c r="C97" s="3"/>
      <c r="D97" s="3"/>
      <c r="E97" s="3"/>
      <c r="F97" s="3"/>
      <c r="G97" s="3"/>
      <c r="H97" s="3"/>
      <c r="I97" s="2"/>
      <c r="J97" s="2"/>
      <c r="K97" s="2"/>
      <c r="L97" s="2"/>
      <c r="M97" s="2"/>
      <c r="N97" s="2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</row>
    <row r="98" customFormat="false" ht="14.25" hidden="false" customHeight="false" outlineLevel="0" collapsed="false">
      <c r="A98" s="3"/>
      <c r="B98" s="3"/>
      <c r="C98" s="3"/>
      <c r="D98" s="3"/>
      <c r="E98" s="3"/>
      <c r="F98" s="3"/>
      <c r="G98" s="3"/>
      <c r="H98" s="3"/>
      <c r="I98" s="2"/>
      <c r="J98" s="2"/>
      <c r="K98" s="2"/>
      <c r="L98" s="2"/>
      <c r="M98" s="2"/>
      <c r="N98" s="2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</row>
    <row r="99" customFormat="false" ht="14.25" hidden="false" customHeight="false" outlineLevel="0" collapsed="false">
      <c r="A99" s="3"/>
      <c r="B99" s="3"/>
      <c r="C99" s="3"/>
      <c r="D99" s="3"/>
      <c r="E99" s="3"/>
      <c r="F99" s="3"/>
      <c r="G99" s="3"/>
      <c r="H99" s="3"/>
      <c r="I99" s="2"/>
      <c r="J99" s="2"/>
      <c r="K99" s="2"/>
      <c r="L99" s="2"/>
      <c r="M99" s="2"/>
      <c r="N99" s="2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</row>
    <row r="100" customFormat="false" ht="14.25" hidden="false" customHeight="false" outlineLevel="0" collapsed="false">
      <c r="A100" s="3"/>
      <c r="B100" s="3"/>
      <c r="C100" s="3"/>
      <c r="D100" s="3"/>
      <c r="E100" s="3"/>
      <c r="F100" s="3"/>
      <c r="G100" s="3"/>
      <c r="H100" s="3"/>
      <c r="I100" s="2"/>
      <c r="J100" s="2"/>
      <c r="K100" s="2"/>
      <c r="L100" s="2"/>
      <c r="M100" s="2"/>
      <c r="N100" s="2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</row>
    <row r="101" customFormat="false" ht="14.25" hidden="false" customHeight="false" outlineLevel="0" collapsed="false">
      <c r="A101" s="3"/>
      <c r="B101" s="3"/>
      <c r="C101" s="3"/>
      <c r="D101" s="3"/>
      <c r="E101" s="3"/>
      <c r="F101" s="3"/>
      <c r="G101" s="3"/>
      <c r="H101" s="3"/>
      <c r="I101" s="2"/>
      <c r="J101" s="2"/>
      <c r="K101" s="2"/>
      <c r="L101" s="2"/>
      <c r="M101" s="2"/>
      <c r="N101" s="2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</row>
    <row r="102" customFormat="false" ht="14.25" hidden="false" customHeight="false" outlineLevel="0" collapsed="false">
      <c r="A102" s="3"/>
      <c r="B102" s="3"/>
      <c r="C102" s="3"/>
      <c r="D102" s="3"/>
      <c r="E102" s="3"/>
      <c r="F102" s="3"/>
      <c r="G102" s="3"/>
      <c r="H102" s="3"/>
      <c r="I102" s="2"/>
      <c r="J102" s="2"/>
      <c r="K102" s="2"/>
      <c r="L102" s="2"/>
      <c r="M102" s="2"/>
      <c r="N102" s="2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</row>
    <row r="103" customFormat="false" ht="14.25" hidden="false" customHeight="false" outlineLevel="0" collapsed="false">
      <c r="A103" s="3"/>
      <c r="B103" s="3"/>
      <c r="C103" s="3"/>
      <c r="D103" s="3"/>
      <c r="E103" s="3"/>
      <c r="F103" s="3"/>
      <c r="G103" s="3"/>
      <c r="H103" s="3"/>
      <c r="I103" s="2"/>
      <c r="J103" s="2"/>
      <c r="K103" s="2"/>
      <c r="L103" s="2"/>
      <c r="M103" s="2"/>
      <c r="N103" s="2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</row>
    <row r="104" customFormat="false" ht="14.25" hidden="false" customHeight="false" outlineLevel="0" collapsed="false">
      <c r="A104" s="3"/>
      <c r="B104" s="3"/>
      <c r="C104" s="3"/>
      <c r="D104" s="3"/>
      <c r="E104" s="3"/>
      <c r="F104" s="3"/>
      <c r="G104" s="3"/>
      <c r="H104" s="3"/>
      <c r="I104" s="2"/>
      <c r="J104" s="2"/>
      <c r="K104" s="2"/>
      <c r="L104" s="2"/>
      <c r="M104" s="2"/>
      <c r="N104" s="2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</row>
    <row r="105" customFormat="false" ht="14.25" hidden="false" customHeight="false" outlineLevel="0" collapsed="false">
      <c r="A105" s="3"/>
      <c r="B105" s="3"/>
      <c r="C105" s="3"/>
      <c r="D105" s="3"/>
      <c r="E105" s="3"/>
      <c r="F105" s="3"/>
      <c r="G105" s="3"/>
      <c r="H105" s="3"/>
      <c r="I105" s="2"/>
      <c r="J105" s="2"/>
      <c r="K105" s="2"/>
      <c r="L105" s="2"/>
      <c r="M105" s="2"/>
      <c r="N105" s="2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</row>
    <row r="106" customFormat="false" ht="14.25" hidden="false" customHeight="false" outlineLevel="0" collapsed="false">
      <c r="A106" s="3"/>
      <c r="B106" s="3"/>
      <c r="C106" s="3"/>
      <c r="D106" s="3"/>
      <c r="E106" s="3"/>
      <c r="F106" s="3"/>
      <c r="G106" s="3"/>
      <c r="H106" s="3"/>
      <c r="I106" s="2"/>
      <c r="J106" s="2"/>
      <c r="K106" s="2"/>
      <c r="L106" s="2"/>
      <c r="M106" s="2"/>
      <c r="N106" s="2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</row>
    <row r="107" customFormat="false" ht="14.25" hidden="false" customHeight="false" outlineLevel="0" collapsed="false">
      <c r="A107" s="3"/>
      <c r="B107" s="3"/>
      <c r="C107" s="3"/>
      <c r="D107" s="3"/>
      <c r="E107" s="3"/>
      <c r="F107" s="3"/>
      <c r="G107" s="3"/>
      <c r="H107" s="3"/>
      <c r="I107" s="2"/>
      <c r="J107" s="2"/>
      <c r="K107" s="2"/>
      <c r="L107" s="2"/>
      <c r="M107" s="2"/>
      <c r="N107" s="2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</row>
    <row r="108" customFormat="false" ht="14.25" hidden="false" customHeight="false" outlineLevel="0" collapsed="false">
      <c r="A108" s="3"/>
      <c r="B108" s="3"/>
      <c r="C108" s="3"/>
      <c r="D108" s="3"/>
      <c r="E108" s="3"/>
      <c r="F108" s="3"/>
      <c r="G108" s="3"/>
      <c r="H108" s="3"/>
      <c r="I108" s="2"/>
      <c r="J108" s="2"/>
      <c r="K108" s="2"/>
      <c r="L108" s="2"/>
      <c r="M108" s="2"/>
      <c r="N108" s="2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</row>
    <row r="109" customFormat="false" ht="14.25" hidden="false" customHeight="false" outlineLevel="0" collapsed="false">
      <c r="A109" s="3"/>
      <c r="B109" s="3"/>
      <c r="C109" s="3"/>
      <c r="D109" s="3"/>
      <c r="E109" s="3"/>
      <c r="F109" s="3"/>
      <c r="G109" s="3"/>
      <c r="H109" s="3"/>
      <c r="I109" s="2"/>
      <c r="J109" s="2"/>
      <c r="K109" s="2"/>
      <c r="L109" s="2"/>
      <c r="M109" s="2"/>
      <c r="N109" s="2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</row>
    <row r="110" customFormat="false" ht="14.25" hidden="false" customHeight="false" outlineLevel="0" collapsed="false">
      <c r="A110" s="3"/>
      <c r="B110" s="3"/>
      <c r="C110" s="3"/>
      <c r="D110" s="3"/>
      <c r="E110" s="3"/>
      <c r="F110" s="3"/>
      <c r="G110" s="3"/>
      <c r="H110" s="3"/>
      <c r="I110" s="2"/>
      <c r="J110" s="2"/>
      <c r="K110" s="2"/>
      <c r="L110" s="2"/>
      <c r="M110" s="2"/>
      <c r="N110" s="2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</row>
    <row r="111" customFormat="false" ht="15" hidden="false" customHeight="false" outlineLevel="0" collapsed="false">
      <c r="A111" s="3"/>
      <c r="B111" s="3"/>
      <c r="C111" s="3"/>
      <c r="D111" s="3"/>
      <c r="E111" s="3"/>
      <c r="F111" s="3"/>
      <c r="G111" s="3"/>
      <c r="H111" s="3"/>
      <c r="I111" s="2"/>
      <c r="J111" s="2"/>
      <c r="K111" s="2"/>
      <c r="L111" s="2"/>
      <c r="M111" s="2"/>
      <c r="N111" s="2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</row>
    <row r="112" customFormat="false" ht="15" hidden="false" customHeight="false" outlineLevel="0" collapsed="false">
      <c r="A112" s="210" t="str">
        <f aca="false">A11</f>
        <v>Pin maritime</v>
      </c>
      <c r="B112" s="3"/>
      <c r="C112" s="3"/>
      <c r="D112" s="3"/>
      <c r="E112" s="3"/>
      <c r="F112" s="3"/>
      <c r="G112" s="3"/>
      <c r="H112" s="3"/>
      <c r="I112" s="2"/>
      <c r="J112" s="2"/>
      <c r="K112" s="2"/>
      <c r="L112" s="2"/>
      <c r="M112" s="2"/>
      <c r="N112" s="2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</row>
    <row r="113" customFormat="false" ht="14.25" hidden="false" customHeight="false" outlineLevel="0" collapsed="false">
      <c r="A113" s="3"/>
      <c r="B113" s="3"/>
      <c r="C113" s="3"/>
      <c r="D113" s="3"/>
      <c r="E113" s="3"/>
      <c r="F113" s="3"/>
      <c r="G113" s="3"/>
      <c r="H113" s="3"/>
      <c r="I113" s="2"/>
      <c r="J113" s="2"/>
      <c r="K113" s="2"/>
      <c r="L113" s="2"/>
      <c r="M113" s="2"/>
      <c r="N113" s="2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</row>
    <row r="114" customFormat="false" ht="14.25" hidden="false" customHeight="false" outlineLevel="0" collapsed="false">
      <c r="A114" s="3"/>
      <c r="B114" s="3"/>
      <c r="C114" s="3"/>
      <c r="D114" s="3"/>
      <c r="E114" s="3"/>
      <c r="F114" s="3"/>
      <c r="G114" s="3"/>
      <c r="H114" s="3"/>
      <c r="I114" s="2"/>
      <c r="J114" s="2"/>
      <c r="K114" s="2"/>
      <c r="L114" s="2"/>
      <c r="M114" s="2"/>
      <c r="N114" s="2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</row>
    <row r="115" customFormat="false" ht="14.25" hidden="false" customHeight="false" outlineLevel="0" collapsed="false">
      <c r="A115" s="3"/>
      <c r="B115" s="3"/>
      <c r="C115" s="3"/>
      <c r="D115" s="3"/>
      <c r="E115" s="3"/>
      <c r="F115" s="3"/>
      <c r="G115" s="3"/>
      <c r="H115" s="3"/>
      <c r="I115" s="2"/>
      <c r="J115" s="2"/>
      <c r="K115" s="2"/>
      <c r="L115" s="2"/>
      <c r="M115" s="2"/>
      <c r="N115" s="2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</row>
    <row r="116" customFormat="false" ht="14.25" hidden="false" customHeight="false" outlineLevel="0" collapsed="false">
      <c r="A116" s="3"/>
      <c r="B116" s="3"/>
      <c r="C116" s="3"/>
      <c r="D116" s="3"/>
      <c r="E116" s="3"/>
      <c r="F116" s="3"/>
      <c r="G116" s="3"/>
      <c r="H116" s="3"/>
      <c r="I116" s="2"/>
      <c r="J116" s="2"/>
      <c r="K116" s="2"/>
      <c r="L116" s="2"/>
      <c r="M116" s="2"/>
      <c r="N116" s="2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</row>
    <row r="117" customFormat="false" ht="14.25" hidden="false" customHeight="false" outlineLevel="0" collapsed="false">
      <c r="A117" s="3"/>
      <c r="B117" s="3"/>
      <c r="C117" s="3"/>
      <c r="D117" s="3"/>
      <c r="E117" s="3"/>
      <c r="F117" s="3"/>
      <c r="G117" s="3"/>
      <c r="H117" s="3"/>
      <c r="I117" s="2"/>
      <c r="J117" s="2"/>
      <c r="K117" s="2"/>
      <c r="L117" s="2"/>
      <c r="M117" s="2"/>
      <c r="N117" s="2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</row>
    <row r="118" customFormat="false" ht="14.25" hidden="false" customHeight="false" outlineLevel="0" collapsed="false">
      <c r="A118" s="3"/>
      <c r="B118" s="3"/>
      <c r="C118" s="3"/>
      <c r="D118" s="3"/>
      <c r="E118" s="3"/>
      <c r="F118" s="3"/>
      <c r="G118" s="3"/>
      <c r="H118" s="3"/>
      <c r="I118" s="2"/>
      <c r="J118" s="2"/>
      <c r="K118" s="2"/>
      <c r="L118" s="2"/>
      <c r="M118" s="2"/>
      <c r="N118" s="2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</row>
    <row r="119" customFormat="false" ht="14.25" hidden="false" customHeight="false" outlineLevel="0" collapsed="false">
      <c r="A119" s="3"/>
      <c r="B119" s="3"/>
      <c r="C119" s="3"/>
      <c r="D119" s="3"/>
      <c r="E119" s="3"/>
      <c r="F119" s="3"/>
      <c r="G119" s="3"/>
      <c r="H119" s="3"/>
      <c r="I119" s="2"/>
      <c r="J119" s="2"/>
      <c r="K119" s="2"/>
      <c r="L119" s="2"/>
      <c r="M119" s="2"/>
      <c r="N119" s="2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</row>
    <row r="120" customFormat="false" ht="14.25" hidden="false" customHeight="false" outlineLevel="0" collapsed="false">
      <c r="A120" s="3"/>
      <c r="B120" s="3"/>
      <c r="C120" s="3"/>
      <c r="D120" s="3"/>
      <c r="E120" s="3"/>
      <c r="F120" s="3"/>
      <c r="G120" s="3"/>
      <c r="H120" s="3"/>
      <c r="I120" s="2"/>
      <c r="J120" s="2"/>
      <c r="K120" s="2"/>
      <c r="L120" s="2"/>
      <c r="M120" s="2"/>
      <c r="N120" s="2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</row>
    <row r="121" customFormat="false" ht="14.25" hidden="false" customHeight="false" outlineLevel="0" collapsed="false">
      <c r="A121" s="3"/>
      <c r="B121" s="3"/>
      <c r="C121" s="3"/>
      <c r="D121" s="3"/>
      <c r="E121" s="3"/>
      <c r="F121" s="3"/>
      <c r="G121" s="3"/>
      <c r="H121" s="3"/>
      <c r="I121" s="2"/>
      <c r="J121" s="2"/>
      <c r="K121" s="2"/>
      <c r="L121" s="2"/>
      <c r="M121" s="2"/>
      <c r="N121" s="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</row>
    <row r="122" customFormat="false" ht="14.25" hidden="false" customHeight="false" outlineLevel="0" collapsed="false">
      <c r="A122" s="3"/>
      <c r="B122" s="3"/>
      <c r="C122" s="3"/>
      <c r="D122" s="3"/>
      <c r="E122" s="3"/>
      <c r="F122" s="3"/>
      <c r="G122" s="3"/>
      <c r="H122" s="3"/>
      <c r="I122" s="2"/>
      <c r="J122" s="2"/>
      <c r="K122" s="2"/>
      <c r="L122" s="2"/>
      <c r="M122" s="2"/>
      <c r="N122" s="2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</row>
    <row r="123" customFormat="false" ht="14.25" hidden="false" customHeight="false" outlineLevel="0" collapsed="false">
      <c r="A123" s="3"/>
      <c r="B123" s="3"/>
      <c r="C123" s="3"/>
      <c r="D123" s="3"/>
      <c r="E123" s="3"/>
      <c r="F123" s="3"/>
      <c r="G123" s="3"/>
      <c r="H123" s="3"/>
      <c r="I123" s="2"/>
      <c r="J123" s="2"/>
      <c r="K123" s="2"/>
      <c r="L123" s="2"/>
      <c r="M123" s="2"/>
      <c r="N123" s="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</row>
    <row r="124" customFormat="false" ht="14.25" hidden="false" customHeight="false" outlineLevel="0" collapsed="false">
      <c r="A124" s="3"/>
      <c r="B124" s="3"/>
      <c r="C124" s="3"/>
      <c r="D124" s="3"/>
      <c r="E124" s="3"/>
      <c r="F124" s="3"/>
      <c r="G124" s="3"/>
      <c r="H124" s="3"/>
      <c r="I124" s="2"/>
      <c r="J124" s="2"/>
      <c r="K124" s="2"/>
      <c r="L124" s="2"/>
      <c r="M124" s="2"/>
      <c r="N124" s="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</row>
    <row r="125" customFormat="false" ht="14.25" hidden="false" customHeight="false" outlineLevel="0" collapsed="false">
      <c r="A125" s="3"/>
      <c r="B125" s="3"/>
      <c r="C125" s="3"/>
      <c r="D125" s="3"/>
      <c r="E125" s="3"/>
      <c r="F125" s="3"/>
      <c r="G125" s="3"/>
      <c r="H125" s="3"/>
      <c r="I125" s="2"/>
      <c r="J125" s="2"/>
      <c r="K125" s="2"/>
      <c r="L125" s="2"/>
      <c r="M125" s="2"/>
      <c r="N125" s="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</row>
    <row r="126" customFormat="false" ht="14.25" hidden="false" customHeight="false" outlineLevel="0" collapsed="false">
      <c r="A126" s="3"/>
      <c r="B126" s="3"/>
      <c r="C126" s="3"/>
      <c r="D126" s="3"/>
      <c r="E126" s="3"/>
      <c r="F126" s="3"/>
      <c r="G126" s="3"/>
      <c r="H126" s="3"/>
      <c r="I126" s="2"/>
      <c r="J126" s="2"/>
      <c r="K126" s="2"/>
      <c r="L126" s="2"/>
      <c r="M126" s="2"/>
      <c r="N126" s="2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</row>
    <row r="127" customFormat="false" ht="14.25" hidden="false" customHeight="false" outlineLevel="0" collapsed="false">
      <c r="A127" s="3"/>
      <c r="B127" s="3"/>
      <c r="C127" s="3"/>
      <c r="D127" s="3"/>
      <c r="E127" s="3"/>
      <c r="F127" s="3"/>
      <c r="G127" s="3"/>
      <c r="H127" s="3"/>
      <c r="I127" s="2"/>
      <c r="J127" s="2"/>
      <c r="K127" s="2"/>
      <c r="L127" s="2"/>
      <c r="M127" s="2"/>
      <c r="N127" s="2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</row>
    <row r="128" customFormat="false" ht="14.25" hidden="false" customHeight="false" outlineLevel="0" collapsed="false">
      <c r="A128" s="3"/>
      <c r="B128" s="3"/>
      <c r="C128" s="3"/>
      <c r="D128" s="3"/>
      <c r="E128" s="3"/>
      <c r="F128" s="3"/>
      <c r="G128" s="3"/>
      <c r="H128" s="3"/>
      <c r="I128" s="2"/>
      <c r="J128" s="2"/>
      <c r="K128" s="2"/>
      <c r="L128" s="2"/>
      <c r="M128" s="2"/>
      <c r="N128" s="2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</row>
    <row r="129" customFormat="false" ht="15" hidden="false" customHeight="false" outlineLevel="0" collapsed="false">
      <c r="A129" s="3"/>
      <c r="B129" s="3"/>
      <c r="C129" s="3"/>
      <c r="D129" s="3"/>
      <c r="E129" s="3"/>
      <c r="F129" s="3"/>
      <c r="G129" s="3"/>
      <c r="H129" s="3"/>
      <c r="I129" s="2"/>
      <c r="J129" s="2"/>
      <c r="K129" s="2"/>
      <c r="L129" s="2"/>
      <c r="M129" s="2"/>
      <c r="N129" s="2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</row>
    <row r="130" customFormat="false" ht="15" hidden="false" customHeight="false" outlineLevel="0" collapsed="false">
      <c r="A130" s="210" t="str">
        <f aca="false">A12</f>
        <v/>
      </c>
      <c r="B130" s="3"/>
      <c r="C130" s="3"/>
      <c r="D130" s="3"/>
      <c r="E130" s="3"/>
      <c r="F130" s="3"/>
      <c r="G130" s="3"/>
      <c r="H130" s="3"/>
      <c r="I130" s="2"/>
      <c r="J130" s="2"/>
      <c r="K130" s="2"/>
      <c r="L130" s="2"/>
      <c r="M130" s="2"/>
      <c r="N130" s="2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</row>
    <row r="131" customFormat="false" ht="14.25" hidden="false" customHeight="false" outlineLevel="0" collapsed="false">
      <c r="A131" s="3"/>
      <c r="B131" s="3"/>
      <c r="C131" s="3"/>
      <c r="D131" s="3"/>
      <c r="E131" s="3"/>
      <c r="F131" s="3"/>
      <c r="G131" s="3"/>
      <c r="H131" s="3"/>
      <c r="I131" s="2"/>
      <c r="J131" s="2"/>
      <c r="K131" s="2"/>
      <c r="L131" s="2"/>
      <c r="M131" s="2"/>
      <c r="N131" s="2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</row>
    <row r="132" customFormat="false" ht="14.25" hidden="false" customHeight="false" outlineLevel="0" collapsed="false">
      <c r="A132" s="3"/>
      <c r="B132" s="3"/>
      <c r="C132" s="3"/>
      <c r="D132" s="3"/>
      <c r="E132" s="3"/>
      <c r="F132" s="3"/>
      <c r="G132" s="3"/>
      <c r="H132" s="3"/>
      <c r="I132" s="2"/>
      <c r="J132" s="2"/>
      <c r="K132" s="2"/>
      <c r="L132" s="2"/>
      <c r="M132" s="2"/>
      <c r="N132" s="2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</row>
    <row r="133" customFormat="false" ht="14.25" hidden="false" customHeight="false" outlineLevel="0" collapsed="false">
      <c r="A133" s="3"/>
      <c r="B133" s="3"/>
      <c r="C133" s="3"/>
      <c r="D133" s="3"/>
      <c r="E133" s="3"/>
      <c r="F133" s="3"/>
      <c r="G133" s="3"/>
      <c r="H133" s="3"/>
      <c r="I133" s="2"/>
      <c r="J133" s="2"/>
      <c r="K133" s="2"/>
      <c r="L133" s="2"/>
      <c r="M133" s="2"/>
      <c r="N133" s="2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</row>
    <row r="134" customFormat="false" ht="14.25" hidden="false" customHeight="false" outlineLevel="0" collapsed="false">
      <c r="A134" s="3"/>
      <c r="B134" s="3"/>
      <c r="C134" s="3"/>
      <c r="D134" s="3"/>
      <c r="E134" s="3"/>
      <c r="F134" s="3"/>
      <c r="G134" s="3"/>
      <c r="H134" s="3"/>
      <c r="I134" s="2"/>
      <c r="J134" s="2"/>
      <c r="K134" s="2"/>
      <c r="L134" s="2"/>
      <c r="M134" s="2"/>
      <c r="N134" s="2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</row>
    <row r="135" customFormat="false" ht="14.25" hidden="false" customHeight="false" outlineLevel="0" collapsed="false">
      <c r="A135" s="3"/>
      <c r="B135" s="3"/>
      <c r="C135" s="3"/>
      <c r="D135" s="3"/>
      <c r="E135" s="3"/>
      <c r="F135" s="3"/>
      <c r="G135" s="3"/>
      <c r="H135" s="3"/>
      <c r="I135" s="2"/>
      <c r="J135" s="2"/>
      <c r="K135" s="2"/>
      <c r="L135" s="2"/>
      <c r="M135" s="2"/>
      <c r="N135" s="2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</row>
    <row r="136" customFormat="false" ht="14.25" hidden="false" customHeight="false" outlineLevel="0" collapsed="false">
      <c r="A136" s="3"/>
      <c r="B136" s="3"/>
      <c r="C136" s="3"/>
      <c r="D136" s="3"/>
      <c r="E136" s="3"/>
      <c r="F136" s="3"/>
      <c r="G136" s="3"/>
      <c r="H136" s="3"/>
      <c r="I136" s="2"/>
      <c r="J136" s="2"/>
      <c r="K136" s="2"/>
      <c r="L136" s="2"/>
      <c r="M136" s="2"/>
      <c r="N136" s="2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</row>
    <row r="137" customFormat="false" ht="14.25" hidden="false" customHeight="false" outlineLevel="0" collapsed="false">
      <c r="A137" s="3"/>
      <c r="B137" s="3"/>
      <c r="C137" s="3"/>
      <c r="D137" s="3"/>
      <c r="E137" s="3"/>
      <c r="F137" s="3"/>
      <c r="G137" s="3"/>
      <c r="H137" s="3"/>
      <c r="I137" s="2"/>
      <c r="J137" s="2"/>
      <c r="K137" s="2"/>
      <c r="L137" s="2"/>
      <c r="M137" s="2"/>
      <c r="N137" s="2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</row>
    <row r="138" customFormat="false" ht="14.25" hidden="false" customHeight="false" outlineLevel="0" collapsed="false">
      <c r="A138" s="3"/>
      <c r="B138" s="3"/>
      <c r="C138" s="3"/>
      <c r="D138" s="3"/>
      <c r="E138" s="3"/>
      <c r="F138" s="3"/>
      <c r="G138" s="3"/>
      <c r="H138" s="3"/>
      <c r="I138" s="2"/>
      <c r="J138" s="2"/>
      <c r="K138" s="2"/>
      <c r="L138" s="2"/>
      <c r="M138" s="2"/>
      <c r="N138" s="2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</row>
    <row r="139" customFormat="false" ht="14.25" hidden="false" customHeight="false" outlineLevel="0" collapsed="false">
      <c r="A139" s="3"/>
      <c r="B139" s="3"/>
      <c r="C139" s="3"/>
      <c r="D139" s="3"/>
      <c r="E139" s="3"/>
      <c r="F139" s="3"/>
      <c r="G139" s="3"/>
      <c r="H139" s="3"/>
      <c r="I139" s="2"/>
      <c r="J139" s="2"/>
      <c r="K139" s="2"/>
      <c r="L139" s="2"/>
      <c r="M139" s="2"/>
      <c r="N139" s="2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</row>
    <row r="140" customFormat="false" ht="14.25" hidden="false" customHeight="false" outlineLevel="0" collapsed="false">
      <c r="A140" s="3"/>
      <c r="B140" s="3"/>
      <c r="C140" s="3"/>
      <c r="D140" s="3"/>
      <c r="E140" s="3"/>
      <c r="F140" s="3"/>
      <c r="G140" s="3"/>
      <c r="H140" s="3"/>
      <c r="I140" s="2"/>
      <c r="J140" s="2"/>
      <c r="K140" s="2"/>
      <c r="L140" s="2"/>
      <c r="M140" s="2"/>
      <c r="N140" s="2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</row>
    <row r="141" customFormat="false" ht="14.25" hidden="false" customHeight="false" outlineLevel="0" collapsed="false">
      <c r="A141" s="3"/>
      <c r="B141" s="3"/>
      <c r="C141" s="3"/>
      <c r="D141" s="3"/>
      <c r="E141" s="3"/>
      <c r="F141" s="3"/>
      <c r="G141" s="3"/>
      <c r="H141" s="3"/>
      <c r="I141" s="2"/>
      <c r="J141" s="2"/>
      <c r="K141" s="2"/>
      <c r="L141" s="2"/>
      <c r="M141" s="2"/>
      <c r="N141" s="2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</row>
    <row r="142" customFormat="false" ht="14.25" hidden="false" customHeight="false" outlineLevel="0" collapsed="false">
      <c r="A142" s="3"/>
      <c r="B142" s="3"/>
      <c r="C142" s="3"/>
      <c r="D142" s="3"/>
      <c r="E142" s="3"/>
      <c r="F142" s="3"/>
      <c r="G142" s="3"/>
      <c r="H142" s="3"/>
      <c r="I142" s="2"/>
      <c r="J142" s="2"/>
      <c r="K142" s="2"/>
      <c r="L142" s="2"/>
      <c r="M142" s="2"/>
      <c r="N142" s="2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</row>
    <row r="143" customFormat="false" ht="14.25" hidden="false" customHeight="false" outlineLevel="0" collapsed="false">
      <c r="A143" s="3"/>
      <c r="B143" s="3"/>
      <c r="C143" s="3"/>
      <c r="D143" s="3"/>
      <c r="E143" s="3"/>
      <c r="F143" s="3"/>
      <c r="G143" s="3"/>
      <c r="H143" s="3"/>
      <c r="I143" s="2"/>
      <c r="J143" s="2"/>
      <c r="K143" s="2"/>
      <c r="L143" s="2"/>
      <c r="M143" s="2"/>
      <c r="N143" s="2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</row>
    <row r="144" customFormat="false" ht="14.25" hidden="false" customHeight="false" outlineLevel="0" collapsed="false">
      <c r="A144" s="3"/>
      <c r="B144" s="3"/>
      <c r="C144" s="3"/>
      <c r="D144" s="3"/>
      <c r="E144" s="3"/>
      <c r="F144" s="3"/>
      <c r="G144" s="3"/>
      <c r="H144" s="3"/>
      <c r="I144" s="2"/>
      <c r="J144" s="2"/>
      <c r="K144" s="2"/>
      <c r="L144" s="2"/>
      <c r="M144" s="2"/>
      <c r="N144" s="2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</row>
    <row r="145" customFormat="false" ht="14.25" hidden="false" customHeight="false" outlineLevel="0" collapsed="false">
      <c r="A145" s="3"/>
      <c r="B145" s="3"/>
      <c r="C145" s="3"/>
      <c r="D145" s="3"/>
      <c r="E145" s="3"/>
      <c r="F145" s="3"/>
      <c r="G145" s="3"/>
      <c r="H145" s="3"/>
      <c r="I145" s="2"/>
      <c r="J145" s="2"/>
      <c r="K145" s="2"/>
      <c r="L145" s="2"/>
      <c r="M145" s="2"/>
      <c r="N145" s="2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</row>
    <row r="146" customFormat="false" ht="14.25" hidden="false" customHeight="false" outlineLevel="0" collapsed="false">
      <c r="A146" s="3"/>
      <c r="B146" s="3"/>
      <c r="C146" s="3"/>
      <c r="D146" s="3"/>
      <c r="E146" s="3"/>
      <c r="F146" s="3"/>
      <c r="G146" s="3"/>
      <c r="H146" s="3"/>
      <c r="I146" s="2"/>
      <c r="J146" s="2"/>
      <c r="K146" s="2"/>
      <c r="L146" s="2"/>
      <c r="M146" s="2"/>
      <c r="N146" s="2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</row>
    <row r="147" customFormat="false" ht="15" hidden="false" customHeight="false" outlineLevel="0" collapsed="false">
      <c r="A147" s="3"/>
      <c r="B147" s="3"/>
      <c r="C147" s="3"/>
      <c r="D147" s="3"/>
      <c r="E147" s="3"/>
      <c r="F147" s="3"/>
      <c r="G147" s="3"/>
      <c r="H147" s="3"/>
      <c r="I147" s="2"/>
      <c r="J147" s="2"/>
      <c r="K147" s="2"/>
      <c r="L147" s="2"/>
      <c r="M147" s="2"/>
      <c r="N147" s="2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</row>
    <row r="148" customFormat="false" ht="15" hidden="false" customHeight="false" outlineLevel="0" collapsed="false">
      <c r="A148" s="210" t="str">
        <f aca="false">A13</f>
        <v/>
      </c>
      <c r="B148" s="3"/>
      <c r="C148" s="3"/>
      <c r="D148" s="3"/>
      <c r="E148" s="3"/>
      <c r="F148" s="3"/>
      <c r="G148" s="3"/>
      <c r="H148" s="3"/>
      <c r="I148" s="2"/>
      <c r="J148" s="2"/>
      <c r="K148" s="2"/>
      <c r="L148" s="2"/>
      <c r="M148" s="2"/>
      <c r="N148" s="2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</row>
    <row r="149" customFormat="false" ht="14.25" hidden="false" customHeight="false" outlineLevel="0" collapsed="false">
      <c r="A149" s="3"/>
      <c r="B149" s="3"/>
      <c r="C149" s="3"/>
      <c r="D149" s="3"/>
      <c r="E149" s="3"/>
      <c r="F149" s="3"/>
      <c r="G149" s="3"/>
      <c r="H149" s="3"/>
      <c r="I149" s="2"/>
      <c r="J149" s="2"/>
      <c r="K149" s="2"/>
      <c r="L149" s="2"/>
      <c r="M149" s="2"/>
      <c r="N149" s="2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</row>
    <row r="150" customFormat="false" ht="14.25" hidden="false" customHeight="false" outlineLevel="0" collapsed="false">
      <c r="A150" s="3"/>
      <c r="B150" s="3"/>
      <c r="C150" s="3"/>
      <c r="D150" s="3"/>
      <c r="E150" s="3"/>
      <c r="F150" s="3"/>
      <c r="G150" s="3"/>
      <c r="H150" s="3"/>
      <c r="I150" s="2"/>
      <c r="J150" s="2"/>
      <c r="K150" s="2"/>
      <c r="L150" s="2"/>
      <c r="M150" s="2"/>
      <c r="N150" s="2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</row>
    <row r="151" customFormat="false" ht="14.25" hidden="false" customHeight="false" outlineLevel="0" collapsed="false">
      <c r="A151" s="3"/>
      <c r="B151" s="3"/>
      <c r="C151" s="3"/>
      <c r="D151" s="3"/>
      <c r="E151" s="3"/>
      <c r="F151" s="3"/>
      <c r="G151" s="3"/>
      <c r="H151" s="3"/>
      <c r="I151" s="2"/>
      <c r="J151" s="2"/>
      <c r="K151" s="2"/>
      <c r="L151" s="2"/>
      <c r="M151" s="2"/>
      <c r="N151" s="2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</row>
    <row r="152" customFormat="false" ht="14.25" hidden="false" customHeight="false" outlineLevel="0" collapsed="false">
      <c r="A152" s="3"/>
      <c r="B152" s="3"/>
      <c r="C152" s="3"/>
      <c r="D152" s="3"/>
      <c r="E152" s="3"/>
      <c r="F152" s="3"/>
      <c r="G152" s="3"/>
      <c r="H152" s="3"/>
      <c r="I152" s="2"/>
      <c r="J152" s="2"/>
      <c r="K152" s="2"/>
      <c r="L152" s="2"/>
      <c r="M152" s="2"/>
      <c r="N152" s="2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</row>
    <row r="153" customFormat="false" ht="14.25" hidden="false" customHeight="false" outlineLevel="0" collapsed="false">
      <c r="A153" s="3"/>
      <c r="B153" s="3"/>
      <c r="C153" s="3"/>
      <c r="D153" s="3"/>
      <c r="E153" s="3"/>
      <c r="F153" s="3"/>
      <c r="G153" s="3"/>
      <c r="H153" s="3"/>
      <c r="I153" s="2"/>
      <c r="J153" s="2"/>
      <c r="K153" s="2"/>
      <c r="L153" s="2"/>
      <c r="M153" s="2"/>
      <c r="N153" s="2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</row>
    <row r="154" customFormat="false" ht="14.25" hidden="false" customHeight="false" outlineLevel="0" collapsed="false">
      <c r="A154" s="3"/>
      <c r="B154" s="3"/>
      <c r="C154" s="3"/>
      <c r="D154" s="3"/>
      <c r="E154" s="3"/>
      <c r="F154" s="3"/>
      <c r="G154" s="3"/>
      <c r="H154" s="3"/>
      <c r="I154" s="2"/>
      <c r="J154" s="2"/>
      <c r="K154" s="2"/>
      <c r="L154" s="2"/>
      <c r="M154" s="2"/>
      <c r="N154" s="2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</row>
    <row r="155" customFormat="false" ht="14.25" hidden="false" customHeight="false" outlineLevel="0" collapsed="false">
      <c r="A155" s="3"/>
      <c r="B155" s="3"/>
      <c r="C155" s="3"/>
      <c r="D155" s="3"/>
      <c r="E155" s="3"/>
      <c r="F155" s="3"/>
      <c r="G155" s="3"/>
      <c r="H155" s="3"/>
      <c r="I155" s="2"/>
      <c r="J155" s="2"/>
      <c r="K155" s="2"/>
      <c r="L155" s="2"/>
      <c r="M155" s="2"/>
      <c r="N155" s="2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</row>
    <row r="156" customFormat="false" ht="14.25" hidden="false" customHeight="false" outlineLevel="0" collapsed="false">
      <c r="A156" s="3"/>
      <c r="B156" s="3"/>
      <c r="C156" s="3"/>
      <c r="D156" s="3"/>
      <c r="E156" s="3"/>
      <c r="F156" s="3"/>
      <c r="G156" s="3"/>
      <c r="H156" s="3"/>
      <c r="I156" s="2"/>
      <c r="J156" s="2"/>
      <c r="K156" s="2"/>
      <c r="L156" s="2"/>
      <c r="M156" s="2"/>
      <c r="N156" s="2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</row>
    <row r="157" customFormat="false" ht="14.25" hidden="false" customHeight="false" outlineLevel="0" collapsed="false">
      <c r="A157" s="3"/>
      <c r="B157" s="3"/>
      <c r="C157" s="3"/>
      <c r="D157" s="3"/>
      <c r="E157" s="3"/>
      <c r="F157" s="3"/>
      <c r="G157" s="3"/>
      <c r="H157" s="3"/>
      <c r="I157" s="2"/>
      <c r="J157" s="2"/>
      <c r="K157" s="2"/>
      <c r="L157" s="2"/>
      <c r="M157" s="2"/>
      <c r="N157" s="2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</row>
    <row r="158" customFormat="false" ht="14.25" hidden="false" customHeight="false" outlineLevel="0" collapsed="false">
      <c r="A158" s="3"/>
      <c r="B158" s="3"/>
      <c r="C158" s="3"/>
      <c r="D158" s="3"/>
      <c r="E158" s="3"/>
      <c r="F158" s="3"/>
      <c r="G158" s="3"/>
      <c r="H158" s="3"/>
      <c r="I158" s="2"/>
      <c r="J158" s="2"/>
      <c r="K158" s="2"/>
      <c r="L158" s="2"/>
      <c r="M158" s="2"/>
      <c r="N158" s="2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</row>
    <row r="159" customFormat="false" ht="14.25" hidden="false" customHeight="false" outlineLevel="0" collapsed="false">
      <c r="A159" s="3"/>
      <c r="B159" s="3"/>
      <c r="C159" s="3"/>
      <c r="D159" s="3"/>
      <c r="E159" s="3"/>
      <c r="F159" s="3"/>
      <c r="G159" s="3"/>
      <c r="H159" s="3"/>
      <c r="I159" s="2"/>
      <c r="J159" s="2"/>
      <c r="K159" s="2"/>
      <c r="L159" s="2"/>
      <c r="M159" s="2"/>
      <c r="N159" s="2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</row>
    <row r="160" customFormat="false" ht="14.25" hidden="false" customHeight="false" outlineLevel="0" collapsed="false">
      <c r="A160" s="3"/>
      <c r="B160" s="3"/>
      <c r="C160" s="3"/>
      <c r="D160" s="3"/>
      <c r="E160" s="3"/>
      <c r="F160" s="3"/>
      <c r="G160" s="3"/>
      <c r="H160" s="3"/>
      <c r="I160" s="2"/>
      <c r="J160" s="2"/>
      <c r="K160" s="2"/>
      <c r="L160" s="2"/>
      <c r="M160" s="2"/>
      <c r="N160" s="2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</row>
    <row r="161" customFormat="false" ht="14.25" hidden="false" customHeight="false" outlineLevel="0" collapsed="false">
      <c r="A161" s="3"/>
      <c r="B161" s="3"/>
      <c r="C161" s="3"/>
      <c r="D161" s="3"/>
      <c r="E161" s="3"/>
      <c r="F161" s="3"/>
      <c r="G161" s="3"/>
      <c r="H161" s="3"/>
      <c r="I161" s="2"/>
      <c r="J161" s="2"/>
      <c r="K161" s="2"/>
      <c r="L161" s="2"/>
      <c r="M161" s="2"/>
      <c r="N161" s="2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</row>
    <row r="162" customFormat="false" ht="14.25" hidden="false" customHeight="false" outlineLevel="0" collapsed="false">
      <c r="A162" s="3"/>
      <c r="B162" s="3"/>
      <c r="C162" s="3"/>
      <c r="D162" s="3"/>
      <c r="E162" s="3"/>
      <c r="F162" s="3"/>
      <c r="G162" s="3"/>
      <c r="H162" s="3"/>
      <c r="I162" s="2"/>
      <c r="J162" s="2"/>
      <c r="K162" s="2"/>
      <c r="L162" s="2"/>
      <c r="M162" s="2"/>
      <c r="N162" s="2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</row>
    <row r="163" customFormat="false" ht="14.25" hidden="false" customHeight="false" outlineLevel="0" collapsed="false">
      <c r="A163" s="3"/>
      <c r="B163" s="3"/>
      <c r="C163" s="3"/>
      <c r="D163" s="3"/>
      <c r="E163" s="3"/>
      <c r="F163" s="3"/>
      <c r="G163" s="3"/>
      <c r="H163" s="3"/>
      <c r="I163" s="2"/>
      <c r="J163" s="2"/>
      <c r="K163" s="2"/>
      <c r="L163" s="2"/>
      <c r="M163" s="2"/>
      <c r="N163" s="2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</row>
    <row r="164" customFormat="false" ht="14.25" hidden="false" customHeight="false" outlineLevel="0" collapsed="false">
      <c r="A164" s="3"/>
      <c r="B164" s="3"/>
      <c r="C164" s="3"/>
      <c r="D164" s="3"/>
      <c r="E164" s="3"/>
      <c r="F164" s="3"/>
      <c r="G164" s="3"/>
      <c r="H164" s="3"/>
      <c r="I164" s="2"/>
      <c r="J164" s="2"/>
      <c r="K164" s="2"/>
      <c r="L164" s="2"/>
      <c r="M164" s="2"/>
      <c r="N164" s="2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</row>
    <row r="165" customFormat="false" ht="15" hidden="false" customHeight="false" outlineLevel="0" collapsed="false">
      <c r="A165" s="3"/>
      <c r="B165" s="3"/>
      <c r="C165" s="3"/>
      <c r="D165" s="3"/>
      <c r="E165" s="3"/>
      <c r="F165" s="3"/>
      <c r="G165" s="3"/>
      <c r="H165" s="3"/>
      <c r="I165" s="2"/>
      <c r="J165" s="2"/>
      <c r="K165" s="2"/>
      <c r="L165" s="2"/>
      <c r="M165" s="2"/>
      <c r="N165" s="2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</row>
    <row r="166" customFormat="false" ht="15" hidden="false" customHeight="false" outlineLevel="0" collapsed="false">
      <c r="A166" s="210" t="str">
        <f aca="false">A14</f>
        <v/>
      </c>
      <c r="B166" s="3"/>
      <c r="C166" s="3"/>
      <c r="D166" s="3"/>
      <c r="E166" s="3"/>
      <c r="F166" s="3"/>
      <c r="G166" s="3"/>
      <c r="H166" s="3"/>
      <c r="I166" s="2"/>
      <c r="J166" s="2"/>
      <c r="K166" s="2"/>
      <c r="L166" s="2"/>
      <c r="M166" s="2"/>
      <c r="N166" s="2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</row>
    <row r="167" customFormat="false" ht="14.25" hidden="false" customHeight="false" outlineLevel="0" collapsed="false">
      <c r="A167" s="3"/>
      <c r="B167" s="3"/>
      <c r="C167" s="3"/>
      <c r="D167" s="3"/>
      <c r="E167" s="3"/>
      <c r="F167" s="3"/>
      <c r="G167" s="3"/>
      <c r="H167" s="3"/>
      <c r="I167" s="2"/>
      <c r="J167" s="2"/>
      <c r="K167" s="2"/>
      <c r="L167" s="2"/>
      <c r="M167" s="2"/>
      <c r="N167" s="2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</row>
    <row r="168" customFormat="false" ht="14.25" hidden="false" customHeight="false" outlineLevel="0" collapsed="false">
      <c r="A168" s="3"/>
      <c r="B168" s="3"/>
      <c r="C168" s="3"/>
      <c r="D168" s="3"/>
      <c r="E168" s="3"/>
      <c r="F168" s="3"/>
      <c r="G168" s="3"/>
      <c r="H168" s="3"/>
      <c r="I168" s="2"/>
      <c r="J168" s="2"/>
      <c r="K168" s="2"/>
      <c r="L168" s="2"/>
      <c r="M168" s="2"/>
      <c r="N168" s="2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</row>
    <row r="169" customFormat="false" ht="14.25" hidden="false" customHeight="false" outlineLevel="0" collapsed="false">
      <c r="A169" s="3"/>
      <c r="B169" s="3"/>
      <c r="C169" s="3"/>
      <c r="D169" s="3"/>
      <c r="E169" s="3"/>
      <c r="F169" s="3"/>
      <c r="G169" s="3"/>
      <c r="H169" s="3"/>
      <c r="I169" s="2"/>
      <c r="J169" s="2"/>
      <c r="K169" s="2"/>
      <c r="L169" s="2"/>
      <c r="M169" s="2"/>
      <c r="N169" s="2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</row>
    <row r="170" customFormat="false" ht="14.25" hidden="false" customHeight="false" outlineLevel="0" collapsed="false">
      <c r="A170" s="3"/>
      <c r="B170" s="3"/>
      <c r="C170" s="3"/>
      <c r="D170" s="3"/>
      <c r="E170" s="3"/>
      <c r="F170" s="3"/>
      <c r="G170" s="3"/>
      <c r="H170" s="3"/>
      <c r="I170" s="2"/>
      <c r="J170" s="2"/>
      <c r="K170" s="2"/>
      <c r="L170" s="2"/>
      <c r="M170" s="2"/>
      <c r="N170" s="2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</row>
    <row r="171" customFormat="false" ht="14.25" hidden="false" customHeight="false" outlineLevel="0" collapsed="false">
      <c r="A171" s="3"/>
      <c r="B171" s="3"/>
      <c r="C171" s="3"/>
      <c r="D171" s="3"/>
      <c r="E171" s="3"/>
      <c r="F171" s="3"/>
      <c r="G171" s="3"/>
      <c r="H171" s="3"/>
      <c r="I171" s="2"/>
      <c r="J171" s="2"/>
      <c r="K171" s="2"/>
      <c r="L171" s="2"/>
      <c r="M171" s="2"/>
      <c r="N171" s="2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</row>
    <row r="172" customFormat="false" ht="14.25" hidden="false" customHeight="false" outlineLevel="0" collapsed="false">
      <c r="A172" s="3"/>
      <c r="B172" s="3"/>
      <c r="C172" s="3"/>
      <c r="D172" s="3"/>
      <c r="E172" s="3"/>
      <c r="F172" s="3"/>
      <c r="G172" s="3"/>
      <c r="H172" s="3"/>
      <c r="I172" s="2"/>
      <c r="J172" s="2"/>
      <c r="K172" s="2"/>
      <c r="L172" s="2"/>
      <c r="M172" s="2"/>
      <c r="N172" s="2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</row>
    <row r="173" customFormat="false" ht="14.25" hidden="false" customHeight="false" outlineLevel="0" collapsed="false">
      <c r="A173" s="3"/>
      <c r="B173" s="3"/>
      <c r="C173" s="3"/>
      <c r="D173" s="3"/>
      <c r="E173" s="3"/>
      <c r="F173" s="3"/>
      <c r="G173" s="3"/>
      <c r="H173" s="3"/>
      <c r="I173" s="2"/>
      <c r="J173" s="2"/>
      <c r="K173" s="2"/>
      <c r="L173" s="2"/>
      <c r="M173" s="2"/>
      <c r="N173" s="2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</row>
    <row r="174" customFormat="false" ht="14.25" hidden="false" customHeight="false" outlineLevel="0" collapsed="false">
      <c r="A174" s="3"/>
      <c r="B174" s="3"/>
      <c r="C174" s="3"/>
      <c r="D174" s="3"/>
      <c r="E174" s="3"/>
      <c r="F174" s="3"/>
      <c r="G174" s="3"/>
      <c r="H174" s="3"/>
      <c r="I174" s="2"/>
      <c r="J174" s="2"/>
      <c r="K174" s="2"/>
      <c r="L174" s="2"/>
      <c r="M174" s="2"/>
      <c r="N174" s="2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</row>
    <row r="175" customFormat="false" ht="14.25" hidden="false" customHeight="false" outlineLevel="0" collapsed="false">
      <c r="A175" s="3"/>
      <c r="B175" s="3"/>
      <c r="C175" s="3"/>
      <c r="D175" s="3"/>
      <c r="E175" s="3"/>
      <c r="F175" s="3"/>
      <c r="G175" s="3"/>
      <c r="H175" s="3"/>
      <c r="I175" s="2"/>
      <c r="J175" s="2"/>
      <c r="K175" s="2"/>
      <c r="L175" s="2"/>
      <c r="M175" s="2"/>
      <c r="N175" s="2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</row>
    <row r="176" customFormat="false" ht="14.25" hidden="false" customHeight="false" outlineLevel="0" collapsed="false">
      <c r="A176" s="3"/>
      <c r="B176" s="3"/>
      <c r="C176" s="3"/>
      <c r="D176" s="3"/>
      <c r="E176" s="3"/>
      <c r="F176" s="3"/>
      <c r="G176" s="3"/>
      <c r="H176" s="3"/>
      <c r="I176" s="2"/>
      <c r="J176" s="2"/>
      <c r="K176" s="2"/>
      <c r="L176" s="2"/>
      <c r="M176" s="2"/>
      <c r="N176" s="2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</row>
    <row r="177" customFormat="false" ht="14.25" hidden="false" customHeight="false" outlineLevel="0" collapsed="false">
      <c r="A177" s="3"/>
      <c r="B177" s="3"/>
      <c r="C177" s="3"/>
      <c r="D177" s="3"/>
      <c r="E177" s="3"/>
      <c r="F177" s="3"/>
      <c r="G177" s="3"/>
      <c r="H177" s="3"/>
      <c r="I177" s="2"/>
      <c r="J177" s="2"/>
      <c r="K177" s="2"/>
      <c r="L177" s="2"/>
      <c r="M177" s="2"/>
      <c r="N177" s="2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</row>
    <row r="178" customFormat="false" ht="14.25" hidden="false" customHeight="false" outlineLevel="0" collapsed="false">
      <c r="A178" s="3"/>
      <c r="B178" s="3"/>
      <c r="C178" s="3"/>
      <c r="D178" s="3"/>
      <c r="E178" s="3"/>
      <c r="F178" s="3"/>
      <c r="G178" s="3"/>
      <c r="H178" s="3"/>
      <c r="I178" s="2"/>
      <c r="J178" s="2"/>
      <c r="K178" s="2"/>
      <c r="L178" s="2"/>
      <c r="M178" s="2"/>
      <c r="N178" s="2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</row>
    <row r="179" customFormat="false" ht="14.25" hidden="false" customHeight="false" outlineLevel="0" collapsed="false">
      <c r="A179" s="3"/>
      <c r="B179" s="3"/>
      <c r="C179" s="3"/>
      <c r="D179" s="3"/>
      <c r="E179" s="3"/>
      <c r="F179" s="3"/>
      <c r="G179" s="3"/>
      <c r="H179" s="3"/>
      <c r="I179" s="2"/>
      <c r="J179" s="2"/>
      <c r="K179" s="2"/>
      <c r="L179" s="2"/>
      <c r="M179" s="2"/>
      <c r="N179" s="2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</row>
    <row r="180" customFormat="false" ht="14.25" hidden="false" customHeight="false" outlineLevel="0" collapsed="false">
      <c r="A180" s="3"/>
      <c r="B180" s="3"/>
      <c r="C180" s="3"/>
      <c r="D180" s="3"/>
      <c r="E180" s="3"/>
      <c r="F180" s="3"/>
      <c r="G180" s="3"/>
      <c r="H180" s="3"/>
      <c r="I180" s="2"/>
      <c r="J180" s="2"/>
      <c r="K180" s="2"/>
      <c r="L180" s="2"/>
      <c r="M180" s="2"/>
      <c r="N180" s="2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</row>
    <row r="181" customFormat="false" ht="14.25" hidden="false" customHeight="false" outlineLevel="0" collapsed="false">
      <c r="A181" s="3"/>
      <c r="B181" s="3"/>
      <c r="C181" s="3"/>
      <c r="D181" s="3"/>
      <c r="E181" s="3"/>
      <c r="F181" s="3"/>
      <c r="G181" s="3"/>
      <c r="H181" s="3"/>
      <c r="I181" s="2"/>
      <c r="J181" s="2"/>
      <c r="K181" s="2"/>
      <c r="L181" s="2"/>
      <c r="M181" s="2"/>
      <c r="N181" s="2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</row>
    <row r="182" customFormat="false" ht="14.25" hidden="false" customHeight="false" outlineLevel="0" collapsed="false">
      <c r="A182" s="3"/>
      <c r="B182" s="3"/>
      <c r="C182" s="3"/>
      <c r="D182" s="3"/>
      <c r="E182" s="3"/>
      <c r="F182" s="3"/>
      <c r="G182" s="3"/>
      <c r="H182" s="3"/>
      <c r="I182" s="2"/>
      <c r="J182" s="2"/>
      <c r="K182" s="2"/>
      <c r="L182" s="2"/>
      <c r="M182" s="2"/>
      <c r="N182" s="2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</row>
    <row r="183" customFormat="false" ht="15" hidden="false" customHeight="false" outlineLevel="0" collapsed="false">
      <c r="A183" s="3"/>
      <c r="B183" s="3"/>
      <c r="C183" s="3"/>
      <c r="D183" s="3"/>
      <c r="E183" s="3"/>
      <c r="F183" s="3"/>
      <c r="G183" s="3"/>
      <c r="H183" s="3"/>
      <c r="I183" s="2"/>
      <c r="J183" s="2"/>
      <c r="K183" s="2"/>
      <c r="L183" s="2"/>
      <c r="M183" s="2"/>
      <c r="N183" s="2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</row>
    <row r="184" customFormat="false" ht="15" hidden="false" customHeight="false" outlineLevel="0" collapsed="false">
      <c r="A184" s="210" t="str">
        <f aca="false">A15</f>
        <v/>
      </c>
      <c r="B184" s="3"/>
      <c r="C184" s="3"/>
      <c r="D184" s="3"/>
      <c r="E184" s="3"/>
      <c r="F184" s="3"/>
      <c r="G184" s="3"/>
      <c r="H184" s="3"/>
      <c r="I184" s="2"/>
      <c r="J184" s="2"/>
      <c r="K184" s="2"/>
      <c r="L184" s="2"/>
      <c r="M184" s="2"/>
      <c r="N184" s="2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</row>
    <row r="185" customFormat="false" ht="14.25" hidden="false" customHeight="false" outlineLevel="0" collapsed="false">
      <c r="A185" s="3"/>
      <c r="B185" s="3"/>
      <c r="C185" s="3"/>
      <c r="D185" s="3"/>
      <c r="E185" s="3"/>
      <c r="F185" s="3"/>
      <c r="G185" s="3"/>
      <c r="H185" s="3"/>
      <c r="I185" s="2"/>
      <c r="J185" s="2"/>
      <c r="K185" s="2"/>
      <c r="L185" s="2"/>
      <c r="M185" s="2"/>
      <c r="N185" s="2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</row>
    <row r="186" customFormat="false" ht="14.25" hidden="false" customHeight="false" outlineLevel="0" collapsed="false">
      <c r="A186" s="3"/>
      <c r="B186" s="3"/>
      <c r="C186" s="3"/>
      <c r="D186" s="3"/>
      <c r="E186" s="3"/>
      <c r="F186" s="3"/>
      <c r="G186" s="3"/>
      <c r="H186" s="3"/>
      <c r="I186" s="2"/>
      <c r="J186" s="2"/>
      <c r="K186" s="2"/>
      <c r="L186" s="2"/>
      <c r="M186" s="2"/>
      <c r="N186" s="2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</row>
    <row r="187" customFormat="false" ht="14.25" hidden="false" customHeight="false" outlineLevel="0" collapsed="false">
      <c r="A187" s="3"/>
      <c r="B187" s="3"/>
      <c r="C187" s="3"/>
      <c r="D187" s="3"/>
      <c r="E187" s="3"/>
      <c r="F187" s="3"/>
      <c r="G187" s="3"/>
      <c r="H187" s="3"/>
      <c r="I187" s="2"/>
      <c r="J187" s="2"/>
      <c r="K187" s="2"/>
      <c r="L187" s="2"/>
      <c r="M187" s="2"/>
      <c r="N187" s="2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</row>
    <row r="188" customFormat="false" ht="14.25" hidden="false" customHeight="false" outlineLevel="0" collapsed="false">
      <c r="A188" s="3"/>
      <c r="B188" s="3"/>
      <c r="C188" s="3"/>
      <c r="D188" s="3"/>
      <c r="E188" s="3"/>
      <c r="F188" s="3"/>
      <c r="G188" s="3"/>
      <c r="H188" s="3"/>
      <c r="I188" s="2"/>
      <c r="J188" s="2"/>
      <c r="K188" s="2"/>
      <c r="L188" s="2"/>
      <c r="M188" s="2"/>
      <c r="N188" s="2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</row>
    <row r="189" customFormat="false" ht="14.25" hidden="false" customHeight="false" outlineLevel="0" collapsed="false">
      <c r="A189" s="3"/>
      <c r="B189" s="3"/>
      <c r="C189" s="3"/>
      <c r="D189" s="3"/>
      <c r="E189" s="3"/>
      <c r="F189" s="3"/>
      <c r="G189" s="3"/>
      <c r="H189" s="3"/>
      <c r="I189" s="2"/>
      <c r="J189" s="2"/>
      <c r="K189" s="2"/>
      <c r="L189" s="2"/>
      <c r="M189" s="2"/>
      <c r="N189" s="2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</row>
    <row r="190" customFormat="false" ht="14.25" hidden="false" customHeight="false" outlineLevel="0" collapsed="false">
      <c r="A190" s="3"/>
      <c r="B190" s="3"/>
      <c r="C190" s="3"/>
      <c r="D190" s="3"/>
      <c r="E190" s="3"/>
      <c r="F190" s="3"/>
      <c r="G190" s="3"/>
      <c r="H190" s="3"/>
      <c r="I190" s="2"/>
      <c r="J190" s="2"/>
      <c r="K190" s="2"/>
      <c r="L190" s="2"/>
      <c r="M190" s="2"/>
      <c r="N190" s="2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</row>
    <row r="191" customFormat="false" ht="14.25" hidden="false" customHeight="false" outlineLevel="0" collapsed="false">
      <c r="A191" s="3"/>
      <c r="B191" s="3"/>
      <c r="C191" s="3"/>
      <c r="D191" s="3"/>
      <c r="E191" s="3"/>
      <c r="F191" s="3"/>
      <c r="G191" s="3"/>
      <c r="H191" s="3"/>
      <c r="I191" s="2"/>
      <c r="J191" s="2"/>
      <c r="K191" s="2"/>
      <c r="L191" s="2"/>
      <c r="M191" s="2"/>
      <c r="N191" s="2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</row>
    <row r="192" customFormat="false" ht="14.25" hidden="false" customHeight="false" outlineLevel="0" collapsed="false">
      <c r="A192" s="3"/>
      <c r="B192" s="3"/>
      <c r="C192" s="3"/>
      <c r="D192" s="3"/>
      <c r="E192" s="3"/>
      <c r="F192" s="3"/>
      <c r="G192" s="3"/>
      <c r="H192" s="3"/>
      <c r="I192" s="2"/>
      <c r="J192" s="2"/>
      <c r="K192" s="2"/>
      <c r="L192" s="2"/>
      <c r="M192" s="2"/>
      <c r="N192" s="2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</row>
    <row r="193" customFormat="false" ht="14.25" hidden="false" customHeight="false" outlineLevel="0" collapsed="false">
      <c r="A193" s="3"/>
      <c r="B193" s="3"/>
      <c r="C193" s="3"/>
      <c r="D193" s="3"/>
      <c r="E193" s="3"/>
      <c r="F193" s="3"/>
      <c r="G193" s="3"/>
      <c r="H193" s="3"/>
      <c r="I193" s="2"/>
      <c r="J193" s="2"/>
      <c r="K193" s="2"/>
      <c r="L193" s="2"/>
      <c r="M193" s="2"/>
      <c r="N193" s="2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</row>
    <row r="194" customFormat="false" ht="14.25" hidden="false" customHeight="false" outlineLevel="0" collapsed="false">
      <c r="A194" s="3"/>
      <c r="B194" s="3"/>
      <c r="C194" s="3"/>
      <c r="D194" s="3"/>
      <c r="E194" s="3"/>
      <c r="F194" s="3"/>
      <c r="G194" s="3"/>
      <c r="H194" s="3"/>
      <c r="I194" s="2"/>
      <c r="J194" s="2"/>
      <c r="K194" s="2"/>
      <c r="L194" s="2"/>
      <c r="M194" s="2"/>
      <c r="N194" s="2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</row>
    <row r="195" customFormat="false" ht="14.25" hidden="false" customHeight="false" outlineLevel="0" collapsed="false">
      <c r="A195" s="3"/>
      <c r="B195" s="3"/>
      <c r="C195" s="3"/>
      <c r="D195" s="3"/>
      <c r="E195" s="3"/>
      <c r="F195" s="3"/>
      <c r="G195" s="3"/>
      <c r="H195" s="3"/>
      <c r="I195" s="2"/>
      <c r="J195" s="2"/>
      <c r="K195" s="2"/>
      <c r="L195" s="2"/>
      <c r="M195" s="2"/>
      <c r="N195" s="2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</row>
    <row r="196" customFormat="false" ht="14.25" hidden="false" customHeight="false" outlineLevel="0" collapsed="false">
      <c r="A196" s="3"/>
      <c r="B196" s="3"/>
      <c r="C196" s="3"/>
      <c r="D196" s="3"/>
      <c r="E196" s="3"/>
      <c r="F196" s="3"/>
      <c r="G196" s="3"/>
      <c r="H196" s="3"/>
      <c r="I196" s="2"/>
      <c r="J196" s="2"/>
      <c r="K196" s="2"/>
      <c r="L196" s="2"/>
      <c r="M196" s="2"/>
      <c r="N196" s="2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</row>
    <row r="197" customFormat="false" ht="14.25" hidden="false" customHeight="false" outlineLevel="0" collapsed="false">
      <c r="A197" s="3"/>
      <c r="B197" s="3"/>
      <c r="C197" s="3"/>
      <c r="D197" s="3"/>
      <c r="E197" s="3"/>
      <c r="F197" s="3"/>
      <c r="G197" s="3"/>
      <c r="H197" s="3"/>
      <c r="I197" s="2"/>
      <c r="J197" s="2"/>
      <c r="K197" s="2"/>
      <c r="L197" s="2"/>
      <c r="M197" s="2"/>
      <c r="N197" s="2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</row>
    <row r="198" customFormat="false" ht="14.25" hidden="false" customHeight="false" outlineLevel="0" collapsed="false">
      <c r="A198" s="3"/>
      <c r="B198" s="3"/>
      <c r="C198" s="3"/>
      <c r="D198" s="3"/>
      <c r="E198" s="3"/>
      <c r="F198" s="3"/>
      <c r="G198" s="3"/>
      <c r="H198" s="3"/>
      <c r="I198" s="2"/>
      <c r="J198" s="2"/>
      <c r="K198" s="2"/>
      <c r="L198" s="2"/>
      <c r="M198" s="2"/>
      <c r="N198" s="2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</row>
    <row r="199" customFormat="false" ht="14.25" hidden="false" customHeight="false" outlineLevel="0" collapsed="false">
      <c r="A199" s="3"/>
      <c r="B199" s="3"/>
      <c r="C199" s="3"/>
      <c r="D199" s="3"/>
      <c r="E199" s="3"/>
      <c r="F199" s="3"/>
      <c r="G199" s="3"/>
      <c r="H199" s="3"/>
      <c r="I199" s="2"/>
      <c r="J199" s="2"/>
      <c r="K199" s="2"/>
      <c r="L199" s="2"/>
      <c r="M199" s="2"/>
      <c r="N199" s="2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</row>
    <row r="200" customFormat="false" ht="14.25" hidden="false" customHeight="false" outlineLevel="0" collapsed="false">
      <c r="A200" s="3"/>
      <c r="B200" s="3"/>
      <c r="C200" s="3"/>
      <c r="D200" s="3"/>
      <c r="E200" s="3"/>
      <c r="F200" s="3"/>
      <c r="G200" s="3"/>
      <c r="H200" s="3"/>
      <c r="I200" s="2"/>
      <c r="J200" s="2"/>
      <c r="K200" s="2"/>
      <c r="L200" s="2"/>
      <c r="M200" s="2"/>
      <c r="N200" s="2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</row>
    <row r="201" customFormat="false" ht="14.25" hidden="false" customHeight="false" outlineLevel="0" collapsed="false">
      <c r="A201" s="3"/>
      <c r="B201" s="3"/>
      <c r="C201" s="3"/>
      <c r="D201" s="3"/>
      <c r="E201" s="3"/>
      <c r="F201" s="3"/>
      <c r="G201" s="3"/>
      <c r="H201" s="3"/>
      <c r="I201" s="2"/>
      <c r="J201" s="2"/>
      <c r="K201" s="2"/>
      <c r="L201" s="2"/>
      <c r="M201" s="2"/>
      <c r="N201" s="2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</row>
    <row r="202" customFormat="false" ht="14.25" hidden="false" customHeight="false" outlineLevel="0" collapsed="false">
      <c r="A202" s="3"/>
      <c r="B202" s="3"/>
      <c r="C202" s="3"/>
      <c r="D202" s="3"/>
      <c r="E202" s="3"/>
      <c r="F202" s="3"/>
      <c r="G202" s="3"/>
      <c r="H202" s="3"/>
      <c r="I202" s="2"/>
      <c r="J202" s="2"/>
      <c r="K202" s="2"/>
      <c r="L202" s="2"/>
      <c r="M202" s="2"/>
      <c r="N202" s="2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</row>
    <row r="203" customFormat="false" ht="14.25" hidden="false" customHeight="fals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2"/>
      <c r="N203" s="2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</row>
    <row r="204" customFormat="false" ht="14.25" hidden="false" customHeight="fals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</row>
    <row r="205" customFormat="false" ht="14.25" hidden="false" customHeight="fals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</row>
    <row r="206" customFormat="false" ht="14.25" hidden="false" customHeight="fals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</row>
    <row r="207" customFormat="false" ht="14.25" hidden="false" customHeight="fals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</row>
    <row r="208" customFormat="false" ht="14.25" hidden="false" customHeight="fals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</row>
    <row r="209" customFormat="false" ht="14.25" hidden="false" customHeight="fals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</row>
    <row r="210" customFormat="false" ht="14.25" hidden="false" customHeight="fals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</row>
    <row r="211" customFormat="false" ht="14.25" hidden="false" customHeight="fals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</row>
    <row r="212" customFormat="false" ht="14.25" hidden="false" customHeight="fals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</row>
    <row r="213" customFormat="false" ht="14.25" hidden="false" customHeight="fals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</row>
    <row r="214" customFormat="false" ht="14.25" hidden="false" customHeight="fals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</row>
    <row r="215" customFormat="false" ht="14.25" hidden="false" customHeight="fals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</row>
    <row r="216" customFormat="false" ht="14.25" hidden="false" customHeight="fals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</row>
    <row r="217" customFormat="false" ht="14.25" hidden="false" customHeight="fals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</row>
    <row r="218" customFormat="false" ht="14.25" hidden="false" customHeight="fals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</row>
    <row r="219" customFormat="false" ht="14.25" hidden="false" customHeight="fals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</row>
    <row r="220" customFormat="false" ht="14.25" hidden="false" customHeight="fals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</row>
    <row r="221" customFormat="false" ht="14.25" hidden="false" customHeight="fals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</row>
    <row r="222" customFormat="false" ht="14.25" hidden="false" customHeight="fals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</row>
    <row r="223" customFormat="false" ht="14.25" hidden="false" customHeight="fals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</row>
    <row r="224" customFormat="false" ht="14.25" hidden="false" customHeight="fals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</row>
    <row r="225" customFormat="false" ht="14.25" hidden="false" customHeight="fals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</row>
    <row r="226" customFormat="false" ht="14.25" hidden="false" customHeight="fals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</row>
    <row r="227" customFormat="false" ht="14.25" hidden="false" customHeight="fals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</row>
    <row r="228" customFormat="false" ht="14.25" hidden="false" customHeight="fals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</row>
    <row r="229" customFormat="false" ht="14.25" hidden="false" customHeight="fals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</row>
    <row r="230" customFormat="false" ht="14.25" hidden="false" customHeight="fals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</row>
    <row r="231" customFormat="false" ht="14.25" hidden="false" customHeight="fals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</row>
    <row r="232" customFormat="false" ht="14.25" hidden="false" customHeight="fals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</row>
    <row r="233" customFormat="false" ht="14.25" hidden="false" customHeight="fals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</row>
    <row r="234" customFormat="false" ht="14.25" hidden="false" customHeight="fals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</row>
    <row r="235" customFormat="false" ht="14.25" hidden="false" customHeight="fals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</row>
    <row r="236" customFormat="false" ht="14.25" hidden="false" customHeight="fals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</row>
    <row r="237" customFormat="false" ht="14.25" hidden="false" customHeight="fals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</row>
    <row r="238" customFormat="false" ht="14.25" hidden="false" customHeight="fals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</row>
    <row r="239" customFormat="false" ht="14.25" hidden="false" customHeight="fals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</row>
    <row r="240" customFormat="false" ht="14.25" hidden="false" customHeight="fals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</row>
    <row r="241" customFormat="false" ht="14.25" hidden="false" customHeight="fals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</row>
    <row r="242" customFormat="false" ht="14.25" hidden="false" customHeight="fals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</row>
    <row r="243" customFormat="false" ht="14.25" hidden="false" customHeight="fals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</row>
    <row r="244" customFormat="false" ht="14.25" hidden="false" customHeight="fals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</row>
    <row r="245" customFormat="false" ht="14.25" hidden="false" customHeight="fals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</row>
    <row r="246" customFormat="false" ht="14.25" hidden="false" customHeight="fals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</row>
    <row r="247" customFormat="false" ht="14.25" hidden="false" customHeight="fals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</row>
    <row r="248" customFormat="false" ht="14.25" hidden="false" customHeight="fals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</row>
    <row r="249" customFormat="false" ht="14.25" hidden="false" customHeight="fals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</row>
    <row r="250" customFormat="false" ht="14.25" hidden="false" customHeight="fals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</row>
    <row r="251" customFormat="false" ht="14.25" hidden="false" customHeight="fals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</row>
    <row r="252" customFormat="false" ht="14.25" hidden="false" customHeight="fals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</row>
    <row r="253" customFormat="false" ht="14.25" hidden="false" customHeight="fals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</row>
    <row r="254" customFormat="false" ht="14.25" hidden="false" customHeight="fals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</row>
    <row r="255" customFormat="false" ht="14.25" hidden="false" customHeight="fals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</row>
    <row r="256" customFormat="false" ht="14.25" hidden="false" customHeight="fals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</row>
    <row r="257" customFormat="false" ht="14.25" hidden="false" customHeight="fals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</row>
    <row r="258" customFormat="false" ht="14.25" hidden="false" customHeight="fals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</row>
    <row r="259" customFormat="false" ht="14.25" hidden="false" customHeight="fals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</row>
    <row r="260" customFormat="false" ht="14.25" hidden="false" customHeight="fals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</row>
    <row r="261" customFormat="false" ht="14.25" hidden="false" customHeight="fals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</row>
    <row r="262" customFormat="false" ht="14.25" hidden="false" customHeight="fals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</row>
    <row r="263" customFormat="false" ht="14.25" hidden="false" customHeight="fals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</row>
    <row r="264" customFormat="false" ht="14.25" hidden="false" customHeight="fals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</row>
    <row r="265" customFormat="false" ht="14.25" hidden="false" customHeight="fals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</row>
    <row r="266" customFormat="false" ht="14.25" hidden="false" customHeight="fals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</row>
    <row r="267" customFormat="false" ht="14.25" hidden="false" customHeight="fals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</row>
    <row r="268" customFormat="false" ht="14.25" hidden="false" customHeight="fals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</row>
    <row r="269" customFormat="false" ht="14.25" hidden="false" customHeight="fals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</row>
    <row r="270" customFormat="false" ht="14.25" hidden="false" customHeight="fals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</row>
    <row r="271" customFormat="false" ht="14.25" hidden="false" customHeight="fals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</row>
    <row r="272" customFormat="false" ht="14.25" hidden="false" customHeight="fals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</row>
    <row r="273" customFormat="false" ht="14.25" hidden="false" customHeight="fals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</row>
    <row r="274" customFormat="false" ht="14.25" hidden="false" customHeight="fals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</row>
    <row r="275" customFormat="false" ht="14.25" hidden="false" customHeight="fals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</row>
    <row r="276" customFormat="false" ht="14.25" hidden="false" customHeight="fals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</row>
    <row r="277" customFormat="false" ht="14.25" hidden="false" customHeight="fals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</row>
    <row r="278" customFormat="false" ht="14.25" hidden="false" customHeight="fals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</row>
    <row r="279" customFormat="false" ht="14.25" hidden="false" customHeight="fals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</row>
    <row r="280" customFormat="false" ht="14.25" hidden="false" customHeight="fals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</row>
    <row r="281" customFormat="false" ht="14.25" hidden="false" customHeight="fals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</row>
    <row r="282" customFormat="false" ht="14.25" hidden="false" customHeight="fals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</row>
    <row r="283" customFormat="false" ht="14.25" hidden="false" customHeight="fals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</row>
    <row r="284" customFormat="false" ht="14.25" hidden="false" customHeight="fals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</row>
    <row r="285" customFormat="false" ht="14.25" hidden="false" customHeight="fals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</row>
    <row r="286" customFormat="false" ht="14.25" hidden="false" customHeight="fals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</row>
    <row r="287" customFormat="false" ht="14.25" hidden="false" customHeight="fals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</row>
    <row r="288" customFormat="false" ht="14.25" hidden="false" customHeight="fals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</row>
    <row r="289" customFormat="false" ht="14.25" hidden="false" customHeight="fals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</row>
    <row r="290" customFormat="false" ht="14.25" hidden="false" customHeight="fals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</row>
    <row r="291" customFormat="false" ht="14.25" hidden="false" customHeight="fals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</row>
    <row r="292" customFormat="false" ht="14.25" hidden="false" customHeight="fals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</row>
    <row r="293" customFormat="false" ht="14.25" hidden="false" customHeight="fals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</row>
    <row r="294" customFormat="false" ht="14.25" hidden="false" customHeight="fals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</row>
    <row r="295" customFormat="false" ht="14.25" hidden="false" customHeight="fals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</row>
    <row r="296" customFormat="false" ht="14.25" hidden="false" customHeight="fals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</row>
    <row r="297" customFormat="false" ht="14.25" hidden="false" customHeight="fals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</row>
    <row r="298" customFormat="false" ht="14.25" hidden="false" customHeight="fals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</row>
    <row r="299" customFormat="false" ht="14.25" hidden="false" customHeight="fals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</row>
    <row r="300" customFormat="false" ht="14.25" hidden="false" customHeight="fals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</row>
    <row r="301" customFormat="false" ht="14.25" hidden="false" customHeight="fals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</row>
    <row r="302" customFormat="false" ht="14.25" hidden="false" customHeight="fals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</row>
    <row r="303" customFormat="false" ht="14.25" hidden="false" customHeight="fals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</row>
    <row r="304" customFormat="false" ht="14.25" hidden="false" customHeight="fals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</row>
    <row r="305" customFormat="false" ht="14.25" hidden="false" customHeight="fals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</row>
    <row r="306" customFormat="false" ht="14.25" hidden="false" customHeight="fals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</row>
    <row r="307" customFormat="false" ht="14.25" hidden="false" customHeight="fals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</row>
    <row r="308" customFormat="false" ht="14.25" hidden="false" customHeight="fals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</row>
    <row r="309" customFormat="false" ht="14.25" hidden="false" customHeight="fals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</row>
    <row r="310" customFormat="false" ht="14.25" hidden="false" customHeight="fals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</row>
    <row r="311" customFormat="false" ht="14.25" hidden="false" customHeight="fals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</row>
    <row r="312" customFormat="false" ht="14.25" hidden="false" customHeight="fals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</row>
    <row r="313" customFormat="false" ht="14.25" hidden="false" customHeight="fals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</row>
    <row r="314" customFormat="false" ht="14.25" hidden="false" customHeight="fals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</row>
    <row r="315" customFormat="false" ht="14.25" hidden="false" customHeight="fals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</row>
    <row r="316" customFormat="false" ht="14.25" hidden="false" customHeight="fals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</row>
    <row r="317" customFormat="false" ht="14.25" hidden="false" customHeight="fals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</row>
    <row r="318" customFormat="false" ht="14.25" hidden="false" customHeight="fals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</row>
    <row r="319" customFormat="false" ht="14.25" hidden="false" customHeight="fals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</row>
    <row r="320" customFormat="false" ht="14.25" hidden="false" customHeight="fals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</row>
    <row r="321" customFormat="false" ht="14.25" hidden="false" customHeight="fals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</row>
    <row r="322" customFormat="false" ht="14.25" hidden="false" customHeight="fals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</row>
    <row r="323" customFormat="false" ht="14.25" hidden="false" customHeight="fals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</row>
    <row r="324" customFormat="false" ht="14.25" hidden="false" customHeight="fals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</row>
    <row r="325" customFormat="false" ht="14.25" hidden="false" customHeight="fals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</row>
    <row r="326" customFormat="false" ht="14.25" hidden="false" customHeight="fals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</row>
    <row r="327" customFormat="false" ht="14.25" hidden="false" customHeight="fals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</row>
    <row r="328" customFormat="false" ht="14.25" hidden="false" customHeight="fals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</row>
    <row r="329" customFormat="false" ht="14.25" hidden="false" customHeight="fals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</row>
    <row r="330" customFormat="false" ht="14.25" hidden="false" customHeight="fals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</row>
    <row r="331" customFormat="false" ht="14.25" hidden="false" customHeight="fals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</row>
    <row r="332" customFormat="false" ht="14.25" hidden="false" customHeight="fals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</row>
    <row r="333" customFormat="false" ht="14.25" hidden="false" customHeight="fals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</row>
    <row r="334" customFormat="false" ht="14.25" hidden="false" customHeight="fals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</row>
    <row r="335" customFormat="false" ht="14.25" hidden="false" customHeight="fals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</row>
    <row r="336" customFormat="false" ht="14.25" hidden="false" customHeight="fals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</row>
    <row r="337" customFormat="false" ht="14.25" hidden="false" customHeight="fals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</row>
    <row r="338" customFormat="false" ht="14.25" hidden="false" customHeight="fals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</row>
    <row r="339" customFormat="false" ht="14.25" hidden="false" customHeight="fals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</row>
    <row r="340" customFormat="false" ht="14.25" hidden="false" customHeight="fals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</row>
    <row r="341" customFormat="false" ht="14.25" hidden="false" customHeight="fals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</row>
    <row r="342" customFormat="false" ht="14.25" hidden="false" customHeight="fals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</row>
    <row r="343" customFormat="false" ht="14.25" hidden="false" customHeight="fals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</row>
    <row r="344" customFormat="false" ht="14.25" hidden="false" customHeight="fals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</row>
    <row r="345" customFormat="false" ht="14.25" hidden="false" customHeight="fals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</row>
    <row r="346" customFormat="false" ht="14.25" hidden="false" customHeight="fals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</row>
    <row r="347" customFormat="false" ht="14.25" hidden="false" customHeight="fals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</row>
    <row r="348" customFormat="false" ht="14.25" hidden="false" customHeight="fals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</row>
    <row r="349" customFormat="false" ht="14.25" hidden="false" customHeight="fals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</row>
    <row r="350" customFormat="false" ht="14.25" hidden="false" customHeight="fals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</row>
    <row r="351" customFormat="false" ht="14.25" hidden="false" customHeight="fals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</row>
    <row r="352" customFormat="false" ht="14.25" hidden="false" customHeight="fals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</row>
    <row r="353" customFormat="false" ht="14.25" hidden="false" customHeight="fals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</row>
    <row r="354" customFormat="false" ht="14.25" hidden="false" customHeight="fals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</row>
    <row r="355" customFormat="false" ht="14.25" hidden="false" customHeight="fals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</row>
    <row r="356" customFormat="false" ht="14.25" hidden="false" customHeight="fals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</row>
    <row r="357" s="76" customFormat="true" ht="14.25" hidden="false" customHeight="false" outlineLevel="0" collapsed="false"/>
  </sheetData>
  <sheetProtection algorithmName="SHA-512" hashValue="aPMwQ8vYmIuiSlcExF7tYfgXSanJRyNplX2HtzBxsAHbc5/KEBOZsLGVnHGPTI7PQnDxnL+vkBakNM/7HKhcDQ==" saltValue="HUv0XO9EorxAiOJYnqL+wA==" spinCount="100000" sheet="true" objects="true" scenarios="true"/>
  <mergeCells count="2">
    <mergeCell ref="A2:L2"/>
    <mergeCell ref="F17:L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L552"/>
  <sheetViews>
    <sheetView showFormulas="false" showGridLines="true" showRowColHeaders="true" showZeros="true" rightToLeft="false" tabSelected="false" showOutlineSymbols="true" defaultGridColor="true" view="normal" topLeftCell="D1" colorId="64" zoomScale="80" zoomScaleNormal="80" zoomScalePageLayoutView="100" workbookViewId="0">
      <selection pane="topLeft" activeCell="P12" activeCellId="0" sqref="P12"/>
    </sheetView>
  </sheetViews>
  <sheetFormatPr defaultColWidth="11.4609375" defaultRowHeight="14.25" zeroHeight="false" outlineLevelRow="0" outlineLevelCol="0"/>
  <cols>
    <col collapsed="false" customWidth="false" hidden="false" outlineLevel="0" max="1" min="1" style="76" width="11.45"/>
    <col collapsed="false" customWidth="true" hidden="false" outlineLevel="0" max="2" min="2" style="76" width="30.89"/>
    <col collapsed="false" customWidth="true" hidden="false" outlineLevel="0" max="3" min="3" style="76" width="18.11"/>
    <col collapsed="false" customWidth="false" hidden="false" outlineLevel="0" max="5" min="4" style="76" width="11.45"/>
    <col collapsed="false" customWidth="true" hidden="false" outlineLevel="0" max="6" min="6" style="76" width="14.01"/>
    <col collapsed="false" customWidth="true" hidden="false" outlineLevel="0" max="7" min="7" style="76" width="17.56"/>
    <col collapsed="false" customWidth="true" hidden="false" outlineLevel="0" max="8" min="8" style="76" width="21.66"/>
    <col collapsed="false" customWidth="true" hidden="false" outlineLevel="0" max="9" min="9" style="76" width="36.99"/>
    <col collapsed="false" customWidth="false" hidden="false" outlineLevel="0" max="10" min="10" style="76" width="11.45"/>
    <col collapsed="false" customWidth="true" hidden="false" outlineLevel="0" max="11" min="11" style="76" width="8.89"/>
    <col collapsed="false" customWidth="false" hidden="false" outlineLevel="0" max="12" min="12" style="76" width="11.45"/>
    <col collapsed="false" customWidth="true" hidden="false" outlineLevel="0" max="13" min="13" style="76" width="20.99"/>
    <col collapsed="false" customWidth="false" hidden="false" outlineLevel="0" max="16" min="14" style="76" width="11.45"/>
    <col collapsed="false" customWidth="true" hidden="false" outlineLevel="0" max="17" min="17" style="76" width="8"/>
    <col collapsed="false" customWidth="false" hidden="false" outlineLevel="0" max="18" min="18" style="76" width="11.45"/>
    <col collapsed="false" customWidth="true" hidden="false" outlineLevel="0" max="19" min="19" style="76" width="31.01"/>
    <col collapsed="false" customWidth="true" hidden="false" outlineLevel="0" max="20" min="20" style="76" width="18.11"/>
    <col collapsed="false" customWidth="true" hidden="false" outlineLevel="0" max="21" min="21" style="76" width="16.44"/>
    <col collapsed="false" customWidth="true" hidden="false" outlineLevel="0" max="22" min="22" style="76" width="17.89"/>
    <col collapsed="false" customWidth="false" hidden="false" outlineLevel="0" max="1024" min="23" style="76" width="11.45"/>
  </cols>
  <sheetData>
    <row r="1" customFormat="false" ht="15" hidden="false" customHeight="false" outlineLevel="0" collapsed="false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customFormat="false" ht="26.25" hidden="false" customHeight="false" outlineLevel="0" collapsed="false">
      <c r="A2" s="3"/>
      <c r="B2" s="78" t="s">
        <v>291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customFormat="false" ht="14.25" hidden="false" customHeight="false" outlineLevel="0" collapsed="false">
      <c r="A3" s="3"/>
      <c r="B3" s="3"/>
      <c r="C3" s="3"/>
      <c r="D3" s="3"/>
      <c r="E3" s="3"/>
      <c r="F3" s="3"/>
      <c r="G3" s="3"/>
      <c r="H3" s="2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customFormat="false" ht="14.25" hidden="false" customHeight="false" outlineLevel="0" collapsed="false">
      <c r="A4" s="3"/>
      <c r="B4" s="3"/>
      <c r="C4" s="3"/>
      <c r="D4" s="3"/>
      <c r="E4" s="3"/>
      <c r="G4" s="3"/>
      <c r="H4" s="4" t="s">
        <v>292</v>
      </c>
      <c r="I4" s="4"/>
      <c r="K4" s="32" t="s">
        <v>293</v>
      </c>
      <c r="L4" s="32"/>
      <c r="M4" s="212" t="n">
        <v>0.045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customFormat="false" ht="14.25" hidden="false" customHeight="false" outlineLevel="0" collapsed="false">
      <c r="A5" s="3"/>
      <c r="B5" s="3"/>
      <c r="C5" s="3"/>
      <c r="D5" s="3"/>
      <c r="E5" s="3"/>
      <c r="G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customFormat="false" ht="15" hidden="false" customHeight="false" outlineLevel="0" collapsed="false">
      <c r="A6" s="3"/>
      <c r="B6" s="3"/>
      <c r="C6" s="3"/>
      <c r="D6" s="3"/>
      <c r="E6" s="3"/>
      <c r="F6" s="2"/>
      <c r="G6" s="3"/>
      <c r="H6" s="213"/>
      <c r="I6" s="213"/>
      <c r="J6" s="21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customFormat="false" ht="27.75" hidden="false" customHeight="true" outlineLevel="0" collapsed="false">
      <c r="A7" s="214"/>
      <c r="B7" s="215"/>
      <c r="C7" s="215"/>
      <c r="D7" s="215"/>
      <c r="E7" s="216"/>
      <c r="F7" s="216" t="s">
        <v>4</v>
      </c>
      <c r="G7" s="217"/>
      <c r="H7" s="215"/>
      <c r="I7" s="215"/>
      <c r="J7" s="218"/>
      <c r="K7" s="219"/>
      <c r="L7" s="220"/>
      <c r="M7" s="220"/>
      <c r="N7" s="221" t="s">
        <v>59</v>
      </c>
      <c r="O7" s="221"/>
      <c r="P7" s="222"/>
      <c r="Q7" s="223"/>
      <c r="R7" s="224" t="s">
        <v>294</v>
      </c>
      <c r="S7" s="224"/>
      <c r="T7" s="224"/>
      <c r="U7" s="224"/>
      <c r="V7" s="22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customFormat="false" ht="14.25" hidden="false" customHeight="false" outlineLevel="0" collapsed="false">
      <c r="A8" s="2"/>
      <c r="C8" s="2"/>
      <c r="D8" s="2"/>
      <c r="E8" s="2"/>
      <c r="F8" s="2"/>
      <c r="G8" s="2"/>
      <c r="H8" s="3"/>
      <c r="I8" s="3"/>
      <c r="J8" s="225"/>
      <c r="K8" s="226"/>
      <c r="L8" s="2"/>
      <c r="M8" s="2"/>
      <c r="N8" s="2"/>
      <c r="O8" s="2"/>
      <c r="P8" s="2"/>
      <c r="Q8" s="227"/>
      <c r="R8" s="2"/>
      <c r="S8" s="2"/>
      <c r="T8" s="2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customFormat="false" ht="14.25" hidden="false" customHeight="false" outlineLevel="0" collapsed="false">
      <c r="A9" s="46" t="s">
        <v>295</v>
      </c>
      <c r="C9" s="2"/>
      <c r="D9" s="2"/>
      <c r="E9" s="2"/>
      <c r="F9" s="228"/>
      <c r="G9" s="46" t="s">
        <v>296</v>
      </c>
      <c r="J9" s="225"/>
      <c r="K9" s="226"/>
      <c r="O9" s="2"/>
      <c r="P9" s="2"/>
      <c r="Q9" s="227"/>
      <c r="R9" s="2"/>
      <c r="S9" s="3"/>
      <c r="T9" s="32" t="s">
        <v>297</v>
      </c>
      <c r="U9" s="229" t="s">
        <v>298</v>
      </c>
      <c r="V9" s="32" t="s">
        <v>299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customFormat="false" ht="14.25" hidden="false" customHeight="false" outlineLevel="0" collapsed="false">
      <c r="A10" s="46" t="s">
        <v>300</v>
      </c>
      <c r="C10" s="2"/>
      <c r="D10" s="2"/>
      <c r="E10" s="2"/>
      <c r="F10" s="228"/>
      <c r="G10" s="46" t="s">
        <v>301</v>
      </c>
      <c r="J10" s="225"/>
      <c r="K10" s="226"/>
      <c r="O10" s="2"/>
      <c r="P10" s="2"/>
      <c r="Q10" s="227"/>
      <c r="R10" s="2"/>
      <c r="S10" s="32" t="str">
        <f aca="false">B14</f>
        <v>Cèdre de l'Atlas</v>
      </c>
      <c r="T10" s="230" t="n">
        <f aca="false"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-738.357114012351</v>
      </c>
      <c r="U10" s="231" t="n">
        <f aca="false">'Données projet'!D9</f>
        <v>0.6175</v>
      </c>
      <c r="V10" s="230" t="n">
        <f aca="false">U10*T10</f>
        <v>-455.935517902627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customFormat="false" ht="14.25" hidden="false" customHeight="false" outlineLevel="0" collapsed="false">
      <c r="A11" s="46" t="s">
        <v>302</v>
      </c>
      <c r="B11" s="2"/>
      <c r="C11" s="2"/>
      <c r="D11" s="2"/>
      <c r="E11" s="2"/>
      <c r="F11" s="228"/>
      <c r="G11" s="46" t="s">
        <v>303</v>
      </c>
      <c r="J11" s="225"/>
      <c r="K11" s="226"/>
      <c r="M11" s="3"/>
      <c r="N11" s="3"/>
      <c r="O11" s="2"/>
      <c r="P11" s="2"/>
      <c r="Q11" s="227"/>
      <c r="R11" s="2"/>
      <c r="S11" s="32" t="str">
        <f aca="false">B45</f>
        <v>Douglas</v>
      </c>
      <c r="T11" s="232" t="n">
        <f aca="false"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2669.51498034086</v>
      </c>
      <c r="U11" s="231" t="n">
        <f aca="false">'Données projet'!D10</f>
        <v>2.375</v>
      </c>
      <c r="V11" s="230" t="n">
        <f aca="false">U11*T11</f>
        <v>6340.09807830954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  <row r="12" customFormat="false" ht="14.25" hidden="false" customHeight="false" outlineLevel="0" collapsed="false">
      <c r="B12" s="2"/>
      <c r="C12" s="2"/>
      <c r="D12" s="2"/>
      <c r="E12" s="2"/>
      <c r="F12" s="228"/>
      <c r="J12" s="225"/>
      <c r="K12" s="226"/>
      <c r="L12" s="47"/>
      <c r="M12" s="2"/>
      <c r="N12" s="2"/>
      <c r="O12" s="2"/>
      <c r="P12" s="2"/>
      <c r="Q12" s="227"/>
      <c r="R12" s="2"/>
      <c r="S12" s="32" t="str">
        <f aca="false">B76</f>
        <v>Chêne rouge d'Amérique</v>
      </c>
      <c r="T12" s="232" t="n">
        <f aca="false"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63.0097413429081</v>
      </c>
      <c r="U12" s="231" t="n">
        <f aca="false">'Données projet'!D11</f>
        <v>0.6175</v>
      </c>
      <c r="V12" s="230" t="n">
        <f aca="false">U12*T12</f>
        <v>38.9085152792458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</row>
    <row r="13" customFormat="false" ht="14.25" hidden="false" customHeight="false" outlineLevel="0" collapsed="false">
      <c r="B13" s="2"/>
      <c r="C13" s="2"/>
      <c r="D13" s="2"/>
      <c r="E13" s="2"/>
      <c r="F13" s="228"/>
      <c r="J13" s="2"/>
      <c r="K13" s="226"/>
      <c r="L13" s="46" t="s">
        <v>304</v>
      </c>
      <c r="M13" s="2"/>
      <c r="N13" s="2"/>
      <c r="O13" s="2"/>
      <c r="P13" s="2"/>
      <c r="Q13" s="227"/>
      <c r="R13" s="2"/>
      <c r="S13" s="32" t="str">
        <f aca="false">B107</f>
        <v>Mélèze d'Europe</v>
      </c>
      <c r="T13" s="232" t="n">
        <f aca="false"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62.5855587132533</v>
      </c>
      <c r="U13" s="231" t="n">
        <f aca="false">'Données projet'!D12</f>
        <v>0.19</v>
      </c>
      <c r="V13" s="230" t="n">
        <f aca="false">U13*T13</f>
        <v>11.8912561555181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</row>
    <row r="14" customFormat="false" ht="14.25" hidden="false" customHeight="false" outlineLevel="0" collapsed="false">
      <c r="A14" s="52" t="s">
        <v>15</v>
      </c>
      <c r="B14" s="233" t="str">
        <f aca="false">IF('Données projet'!$B$9="","",'Données projet'!$B$9)</f>
        <v>Cèdre de l'Atlas</v>
      </c>
      <c r="C14" s="3"/>
      <c r="D14" s="3"/>
      <c r="E14" s="3"/>
      <c r="F14" s="228"/>
      <c r="G14" s="2"/>
      <c r="H14" s="32" t="s">
        <v>78</v>
      </c>
      <c r="I14" s="32" t="s">
        <v>305</v>
      </c>
      <c r="J14" s="234"/>
      <c r="K14" s="235"/>
      <c r="L14" s="47"/>
      <c r="M14" s="2"/>
      <c r="N14" s="2"/>
      <c r="O14" s="3"/>
      <c r="P14" s="3"/>
      <c r="Q14" s="236"/>
      <c r="R14" s="3"/>
      <c r="S14" s="32" t="str">
        <f aca="false">B138</f>
        <v>Mélèze hybride</v>
      </c>
      <c r="T14" s="232" t="n">
        <f aca="false"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1341.40825818939</v>
      </c>
      <c r="U14" s="231" t="n">
        <f aca="false">'Données projet'!D13</f>
        <v>0.19</v>
      </c>
      <c r="V14" s="230" t="n">
        <f aca="false">U14*T14</f>
        <v>254.867569055984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</row>
    <row r="15" customFormat="false" ht="15" hidden="false" customHeight="true" outlineLevel="0" collapsed="false">
      <c r="A15" s="3"/>
      <c r="B15" s="3"/>
      <c r="C15" s="3"/>
      <c r="D15" s="3"/>
      <c r="E15" s="3"/>
      <c r="F15" s="228"/>
      <c r="G15" s="237" t="s">
        <v>306</v>
      </c>
      <c r="H15" s="238"/>
      <c r="I15" s="239"/>
      <c r="J15" s="47"/>
      <c r="K15" s="226"/>
      <c r="L15" s="47"/>
      <c r="M15" s="2"/>
      <c r="N15" s="2"/>
      <c r="O15" s="2"/>
      <c r="P15" s="2"/>
      <c r="Q15" s="227"/>
      <c r="R15" s="2"/>
      <c r="S15" s="32" t="str">
        <f aca="false">B169</f>
        <v>Pin maritime</v>
      </c>
      <c r="T15" s="232" t="n">
        <f aca="false"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31" t="n">
        <f aca="false">'Données projet'!D14</f>
        <v>0.76</v>
      </c>
      <c r="V15" s="230" t="n">
        <f aca="false">U15*T15</f>
        <v>0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</row>
    <row r="16" customFormat="false" ht="15" hidden="false" customHeight="true" outlineLevel="0" collapsed="false">
      <c r="A16" s="32" t="s">
        <v>50</v>
      </c>
      <c r="B16" s="57" t="s">
        <v>307</v>
      </c>
      <c r="C16" s="57" t="s">
        <v>308</v>
      </c>
      <c r="D16" s="32" t="s">
        <v>309</v>
      </c>
      <c r="E16" s="32" t="s">
        <v>310</v>
      </c>
      <c r="F16" s="228"/>
      <c r="G16" s="237"/>
      <c r="H16" s="238"/>
      <c r="I16" s="239"/>
      <c r="J16" s="47"/>
      <c r="K16" s="226"/>
      <c r="L16" s="32" t="s">
        <v>311</v>
      </c>
      <c r="M16" s="32"/>
      <c r="N16" s="240"/>
      <c r="O16" s="2"/>
      <c r="P16" s="2"/>
      <c r="Q16" s="227"/>
      <c r="R16" s="2"/>
      <c r="S16" s="32" t="str">
        <f aca="false">B200</f>
        <v/>
      </c>
      <c r="T16" s="232" t="n">
        <f aca="false"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31" t="n">
        <f aca="false">'Données projet'!D15</f>
        <v>0</v>
      </c>
      <c r="V16" s="230" t="n">
        <f aca="false">U16*T16</f>
        <v>0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</row>
    <row r="17" customFormat="false" ht="14.25" hidden="false" customHeight="false" outlineLevel="0" collapsed="false">
      <c r="A17" s="62" t="n">
        <v>0</v>
      </c>
      <c r="B17" s="241" t="s">
        <v>194</v>
      </c>
      <c r="C17" s="242" t="s">
        <v>194</v>
      </c>
      <c r="D17" s="243" t="s">
        <v>194</v>
      </c>
      <c r="E17" s="242" t="n">
        <f aca="false">1300*(1.52+0.45)</f>
        <v>2561</v>
      </c>
      <c r="F17" s="228"/>
      <c r="G17" s="237"/>
      <c r="J17" s="47"/>
      <c r="K17" s="226"/>
      <c r="L17" s="55" t="s">
        <v>312</v>
      </c>
      <c r="M17" s="55"/>
      <c r="N17" s="244" t="n">
        <f aca="false">VLOOKUP(N16,Calculateur!$A$2:$H$153,3,0)/VLOOKUP('Scénario référence'!$G$15,Paramètres!A1:I89,3,0)/VLOOKUP('Scénario référence'!$G$15,Paramètres!A1:I89,5,0)</f>
        <v>0</v>
      </c>
      <c r="O17" s="2"/>
      <c r="P17" s="2"/>
      <c r="Q17" s="227"/>
      <c r="R17" s="2"/>
      <c r="S17" s="32" t="str">
        <f aca="false">B231</f>
        <v/>
      </c>
      <c r="T17" s="232" t="n">
        <f aca="false"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31" t="n">
        <f aca="false">'Données projet'!D16</f>
        <v>0</v>
      </c>
      <c r="V17" s="230" t="n">
        <f aca="false">U17*T17</f>
        <v>0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</row>
    <row r="18" customFormat="false" ht="14.25" hidden="false" customHeight="false" outlineLevel="0" collapsed="false">
      <c r="A18" s="62" t="n">
        <v>1</v>
      </c>
      <c r="B18" s="241" t="s">
        <v>194</v>
      </c>
      <c r="C18" s="242" t="s">
        <v>194</v>
      </c>
      <c r="D18" s="243" t="s">
        <v>194</v>
      </c>
      <c r="E18" s="242"/>
      <c r="F18" s="228"/>
      <c r="G18" s="237"/>
      <c r="J18" s="47"/>
      <c r="K18" s="226"/>
      <c r="L18" s="55" t="s">
        <v>308</v>
      </c>
      <c r="M18" s="55"/>
      <c r="N18" s="245"/>
      <c r="O18" s="2"/>
      <c r="P18" s="2"/>
      <c r="Q18" s="227"/>
      <c r="R18" s="2"/>
      <c r="S18" s="32" t="str">
        <f aca="false">B262</f>
        <v/>
      </c>
      <c r="T18" s="232" t="n">
        <f aca="false"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31" t="n">
        <f aca="false">'Données projet'!D17</f>
        <v>0</v>
      </c>
      <c r="V18" s="230" t="n">
        <f aca="false">U18*T18</f>
        <v>0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</row>
    <row r="19" customFormat="false" ht="17.25" hidden="false" customHeight="true" outlineLevel="0" collapsed="false">
      <c r="A19" s="62" t="n">
        <v>2</v>
      </c>
      <c r="B19" s="241" t="s">
        <v>194</v>
      </c>
      <c r="C19" s="242" t="s">
        <v>194</v>
      </c>
      <c r="D19" s="243" t="s">
        <v>194</v>
      </c>
      <c r="E19" s="242"/>
      <c r="F19" s="228"/>
      <c r="G19" s="237"/>
      <c r="H19" s="246" t="s">
        <v>78</v>
      </c>
      <c r="I19" s="246" t="s">
        <v>313</v>
      </c>
      <c r="J19" s="46"/>
      <c r="K19" s="235"/>
      <c r="L19" s="32" t="s">
        <v>314</v>
      </c>
      <c r="M19" s="32"/>
      <c r="N19" s="247" t="n">
        <f aca="false">N17*N18</f>
        <v>0</v>
      </c>
      <c r="O19" s="2"/>
      <c r="P19" s="3"/>
      <c r="Q19" s="236"/>
      <c r="R19" s="3"/>
      <c r="S19" s="32" t="str">
        <f aca="false">B293</f>
        <v/>
      </c>
      <c r="T19" s="232" t="n">
        <f aca="false"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31" t="n">
        <f aca="false">'Données projet'!D18</f>
        <v>0</v>
      </c>
      <c r="V19" s="230" t="n">
        <f aca="false">U19*T19</f>
        <v>0</v>
      </c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</row>
    <row r="20" customFormat="false" ht="14.25" hidden="false" customHeight="false" outlineLevel="0" collapsed="false">
      <c r="A20" s="62" t="n">
        <v>3</v>
      </c>
      <c r="B20" s="241" t="s">
        <v>194</v>
      </c>
      <c r="C20" s="242" t="s">
        <v>194</v>
      </c>
      <c r="D20" s="243" t="s">
        <v>194</v>
      </c>
      <c r="E20" s="242"/>
      <c r="F20" s="228"/>
      <c r="G20" s="237"/>
      <c r="H20" s="238" t="n">
        <v>0</v>
      </c>
      <c r="I20" s="239" t="n">
        <f aca="false">(1482+2548.68+150+6510+1012+720+600+800+760+2400)/4.76</f>
        <v>3567.78991596639</v>
      </c>
      <c r="J20" s="3"/>
      <c r="K20" s="235"/>
      <c r="O20" s="2"/>
      <c r="P20" s="3"/>
      <c r="Q20" s="236"/>
      <c r="R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</row>
    <row r="21" customFormat="false" ht="14.25" hidden="false" customHeight="false" outlineLevel="0" collapsed="false">
      <c r="A21" s="62" t="n">
        <v>4</v>
      </c>
      <c r="B21" s="241" t="s">
        <v>194</v>
      </c>
      <c r="C21" s="242" t="s">
        <v>194</v>
      </c>
      <c r="D21" s="243" t="s">
        <v>194</v>
      </c>
      <c r="E21" s="242"/>
      <c r="F21" s="228"/>
      <c r="H21" s="238" t="n">
        <v>1</v>
      </c>
      <c r="I21" s="239" t="n">
        <v>725</v>
      </c>
      <c r="K21" s="235"/>
      <c r="O21" s="2"/>
      <c r="P21" s="3"/>
      <c r="Q21" s="236"/>
      <c r="R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</row>
    <row r="22" customFormat="false" ht="15.75" hidden="false" customHeight="true" outlineLevel="0" collapsed="false">
      <c r="A22" s="62" t="n">
        <v>5</v>
      </c>
      <c r="B22" s="241" t="s">
        <v>194</v>
      </c>
      <c r="C22" s="242" t="s">
        <v>194</v>
      </c>
      <c r="D22" s="243" t="s">
        <v>194</v>
      </c>
      <c r="E22" s="242"/>
      <c r="F22" s="228"/>
      <c r="H22" s="238" t="n">
        <v>2</v>
      </c>
      <c r="I22" s="239" t="n">
        <v>875</v>
      </c>
      <c r="K22" s="235"/>
      <c r="O22" s="2"/>
      <c r="P22" s="3"/>
      <c r="Q22" s="236"/>
      <c r="R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</row>
    <row r="23" customFormat="false" ht="15.75" hidden="false" customHeight="true" outlineLevel="0" collapsed="false">
      <c r="A23" s="248" t="n">
        <f aca="false">'Données projet'!A36</f>
        <v>20</v>
      </c>
      <c r="B23" s="249" t="n">
        <f aca="false">'Données projet'!D36</f>
        <v>39.5</v>
      </c>
      <c r="C23" s="242" t="n">
        <v>2</v>
      </c>
      <c r="D23" s="243" t="n">
        <f aca="false">B23*C23</f>
        <v>79</v>
      </c>
      <c r="E23" s="242"/>
      <c r="F23" s="228"/>
      <c r="H23" s="238" t="n">
        <v>3</v>
      </c>
      <c r="I23" s="239" t="n">
        <v>1000</v>
      </c>
      <c r="K23" s="226"/>
      <c r="L23" s="250" t="s">
        <v>315</v>
      </c>
      <c r="M23" s="250"/>
      <c r="N23" s="250"/>
      <c r="O23" s="2"/>
      <c r="P23" s="2"/>
      <c r="Q23" s="227"/>
      <c r="R23" s="2"/>
      <c r="S23" s="32" t="s">
        <v>316</v>
      </c>
      <c r="T23" s="251" t="n">
        <f aca="false"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-22021.0382244884</v>
      </c>
      <c r="U23" s="251"/>
      <c r="V23" s="251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customFormat="false" ht="15.75" hidden="false" customHeight="true" outlineLevel="0" collapsed="false">
      <c r="A24" s="248" t="n">
        <f aca="false">'Données projet'!A37</f>
        <v>30</v>
      </c>
      <c r="B24" s="249" t="n">
        <f aca="false">'Données projet'!D37</f>
        <v>67</v>
      </c>
      <c r="C24" s="242" t="n">
        <v>4</v>
      </c>
      <c r="D24" s="243" t="n">
        <f aca="false">B24*C24</f>
        <v>268</v>
      </c>
      <c r="E24" s="242"/>
      <c r="F24" s="252"/>
      <c r="H24" s="238"/>
      <c r="I24" s="239"/>
      <c r="K24" s="226"/>
      <c r="O24" s="2"/>
      <c r="P24" s="2"/>
      <c r="Q24" s="227"/>
      <c r="R24" s="2"/>
      <c r="S24" s="32" t="s">
        <v>317</v>
      </c>
      <c r="T24" s="253" t="n">
        <f aca="false">'Scénario référence'!$B$8*$M$30*'Données projet'!$C$5+('Scénario référence'!B9+'Scénario référence'!B10+'Scénario référence'!F8+'Scénario référence'!F9)*$N$19/(1+M4)^N16*'Données projet'!$C$5</f>
        <v>9368.68613322306</v>
      </c>
      <c r="U24" s="253"/>
      <c r="V24" s="25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customFormat="false" ht="15.75" hidden="false" customHeight="true" outlineLevel="0" collapsed="false">
      <c r="A25" s="248" t="n">
        <f aca="false">'Données projet'!A38</f>
        <v>40</v>
      </c>
      <c r="B25" s="249" t="n">
        <f aca="false">'Données projet'!D38</f>
        <v>70</v>
      </c>
      <c r="C25" s="242" t="n">
        <v>27</v>
      </c>
      <c r="D25" s="243" t="n">
        <f aca="false">B25*C25</f>
        <v>1890</v>
      </c>
      <c r="E25" s="242"/>
      <c r="F25" s="252"/>
      <c r="H25" s="238"/>
      <c r="I25" s="239"/>
      <c r="K25" s="226"/>
      <c r="L25" s="165" t="s">
        <v>318</v>
      </c>
      <c r="M25" s="165"/>
      <c r="N25" s="165"/>
      <c r="O25" s="165"/>
      <c r="P25" s="245" t="n">
        <v>100</v>
      </c>
      <c r="Q25" s="227"/>
      <c r="R25" s="2"/>
      <c r="S25" s="55" t="s">
        <v>319</v>
      </c>
      <c r="T25" s="254" t="n">
        <f aca="false">T23-T24</f>
        <v>-31389.7243577115</v>
      </c>
      <c r="U25" s="254"/>
      <c r="V25" s="254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</row>
    <row r="26" customFormat="false" ht="15.75" hidden="false" customHeight="true" outlineLevel="0" collapsed="false">
      <c r="A26" s="248" t="n">
        <f aca="false">'Données projet'!A39</f>
        <v>50</v>
      </c>
      <c r="B26" s="249" t="n">
        <f aca="false">'Données projet'!D39</f>
        <v>75</v>
      </c>
      <c r="C26" s="242" t="n">
        <v>27</v>
      </c>
      <c r="D26" s="243" t="n">
        <f aca="false">B26*C26</f>
        <v>2025</v>
      </c>
      <c r="E26" s="242"/>
      <c r="F26" s="252"/>
      <c r="G26" s="54"/>
      <c r="H26" s="238"/>
      <c r="I26" s="239"/>
      <c r="K26" s="226"/>
      <c r="L26" s="255" t="s">
        <v>320</v>
      </c>
      <c r="M26" s="255"/>
      <c r="N26" s="255"/>
      <c r="O26" s="255"/>
      <c r="P26" s="255"/>
      <c r="Q26" s="227"/>
      <c r="R26" s="2"/>
      <c r="S26" s="55" t="s">
        <v>321</v>
      </c>
      <c r="T26" s="256" t="str">
        <f aca="false">IF(T25&lt;0,"Votre projet est additionnel","Votre projet n'est pas additionnel")</f>
        <v>Votre projet est additionnel</v>
      </c>
      <c r="U26" s="256"/>
      <c r="V26" s="25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</row>
    <row r="27" customFormat="false" ht="15.75" hidden="false" customHeight="true" outlineLevel="0" collapsed="false">
      <c r="A27" s="248" t="n">
        <f aca="false">'Données projet'!A40</f>
        <v>60</v>
      </c>
      <c r="B27" s="249" t="n">
        <f aca="false">'Données projet'!D40</f>
        <v>80</v>
      </c>
      <c r="C27" s="242" t="n">
        <v>26.7</v>
      </c>
      <c r="D27" s="243" t="n">
        <f aca="false">B27*C27</f>
        <v>2136</v>
      </c>
      <c r="E27" s="242"/>
      <c r="F27" s="252"/>
      <c r="G27" s="54"/>
      <c r="H27" s="238"/>
      <c r="I27" s="239"/>
      <c r="K27" s="226"/>
      <c r="L27" s="255"/>
      <c r="M27" s="255"/>
      <c r="N27" s="255"/>
      <c r="O27" s="255"/>
      <c r="P27" s="255"/>
      <c r="Q27" s="227"/>
      <c r="R27" s="2"/>
      <c r="S27" s="257" t="s">
        <v>322</v>
      </c>
      <c r="T27" s="257"/>
      <c r="U27" s="257"/>
      <c r="V27" s="257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</row>
    <row r="28" customFormat="false" ht="15.75" hidden="false" customHeight="true" outlineLevel="0" collapsed="false">
      <c r="A28" s="248" t="n">
        <f aca="false">'Données projet'!A41</f>
        <v>70</v>
      </c>
      <c r="B28" s="249" t="n">
        <f aca="false">'Données projet'!D41</f>
        <v>87</v>
      </c>
      <c r="C28" s="242" t="n">
        <v>46</v>
      </c>
      <c r="D28" s="243" t="n">
        <f aca="false">B28*C28</f>
        <v>4002</v>
      </c>
      <c r="E28" s="242"/>
      <c r="F28" s="252"/>
      <c r="G28" s="16"/>
      <c r="H28" s="238"/>
      <c r="I28" s="239"/>
      <c r="K28" s="226"/>
      <c r="Q28" s="227"/>
      <c r="R28" s="2"/>
      <c r="S28" s="2"/>
      <c r="T28" s="2"/>
      <c r="U28" s="2"/>
      <c r="V28" s="2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</row>
    <row r="29" customFormat="false" ht="14.25" hidden="false" customHeight="false" outlineLevel="0" collapsed="false">
      <c r="A29" s="248" t="n">
        <f aca="false">'Données projet'!A42</f>
        <v>80</v>
      </c>
      <c r="B29" s="249" t="n">
        <f aca="false">'Données projet'!D42</f>
        <v>93</v>
      </c>
      <c r="C29" s="242" t="n">
        <v>46</v>
      </c>
      <c r="D29" s="243" t="n">
        <f aca="false">B29*C29</f>
        <v>4278</v>
      </c>
      <c r="E29" s="242"/>
      <c r="F29" s="252"/>
      <c r="G29" s="258"/>
      <c r="H29" s="238"/>
      <c r="I29" s="239"/>
      <c r="K29" s="226"/>
      <c r="O29" s="2"/>
      <c r="P29" s="2"/>
      <c r="Q29" s="227"/>
      <c r="R29" s="2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customFormat="false" ht="14.25" hidden="false" customHeight="false" outlineLevel="0" collapsed="false">
      <c r="A30" s="248" t="n">
        <f aca="false">'Données projet'!A43</f>
        <v>90</v>
      </c>
      <c r="B30" s="249" t="n">
        <f aca="false">'Données projet'!D43</f>
        <v>98</v>
      </c>
      <c r="C30" s="242" t="n">
        <v>46</v>
      </c>
      <c r="D30" s="243" t="n">
        <f aca="false">B30*C30</f>
        <v>4508</v>
      </c>
      <c r="E30" s="242"/>
      <c r="F30" s="252"/>
      <c r="G30" s="258"/>
      <c r="H30" s="238"/>
      <c r="I30" s="239"/>
      <c r="K30" s="259"/>
      <c r="L30" s="32" t="s">
        <v>323</v>
      </c>
      <c r="M30" s="260" t="n">
        <f aca="true">SUM(OFFSET($P$33,0,0,MIN('Données projet'!$E$9:$E$18)+1,1))</f>
        <v>1972.35497541538</v>
      </c>
      <c r="O30" s="3"/>
      <c r="P30" s="3"/>
      <c r="Q30" s="236"/>
      <c r="R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</row>
    <row r="31" customFormat="false" ht="14.25" hidden="false" customHeight="false" outlineLevel="0" collapsed="false">
      <c r="A31" s="248" t="n">
        <f aca="false">'Données projet'!A44</f>
        <v>100</v>
      </c>
      <c r="B31" s="249" t="n">
        <f aca="false">'Données projet'!D44</f>
        <v>675.5</v>
      </c>
      <c r="C31" s="242" t="n">
        <v>75</v>
      </c>
      <c r="D31" s="243" t="n">
        <f aca="false">B31*C31</f>
        <v>50662.5</v>
      </c>
      <c r="E31" s="242"/>
      <c r="F31" s="252"/>
      <c r="G31" s="258"/>
      <c r="H31" s="238"/>
      <c r="I31" s="239"/>
      <c r="K31" s="235"/>
      <c r="Q31" s="227"/>
      <c r="R31" s="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</row>
    <row r="32" customFormat="false" ht="15" hidden="false" customHeight="true" outlineLevel="0" collapsed="false">
      <c r="A32" s="248" t="n">
        <f aca="false">'Données projet'!A45</f>
        <v>0</v>
      </c>
      <c r="B32" s="249" t="n">
        <f aca="false">'Données projet'!D45</f>
        <v>0</v>
      </c>
      <c r="C32" s="242"/>
      <c r="D32" s="243" t="n">
        <f aca="false">B32*C32</f>
        <v>0</v>
      </c>
      <c r="E32" s="242"/>
      <c r="F32" s="252"/>
      <c r="G32" s="258"/>
      <c r="H32" s="238"/>
      <c r="I32" s="239"/>
      <c r="K32" s="235"/>
      <c r="N32" s="3"/>
      <c r="O32" s="55" t="s">
        <v>78</v>
      </c>
      <c r="P32" s="55" t="s">
        <v>309</v>
      </c>
      <c r="Q32" s="227"/>
      <c r="R32" s="2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</row>
    <row r="33" customFormat="false" ht="14.25" hidden="false" customHeight="false" outlineLevel="0" collapsed="false">
      <c r="A33" s="248" t="n">
        <f aca="false">'Données projet'!A46</f>
        <v>0</v>
      </c>
      <c r="B33" s="249" t="n">
        <f aca="false">'Données projet'!D46</f>
        <v>0</v>
      </c>
      <c r="C33" s="242"/>
      <c r="D33" s="243" t="n">
        <f aca="false">B33*C33</f>
        <v>0</v>
      </c>
      <c r="E33" s="242"/>
      <c r="F33" s="252"/>
      <c r="G33" s="258"/>
      <c r="H33" s="238"/>
      <c r="I33" s="239"/>
      <c r="K33" s="235"/>
      <c r="L33" s="3"/>
      <c r="M33" s="3"/>
      <c r="N33" s="3"/>
      <c r="O33" s="261" t="n">
        <v>0</v>
      </c>
      <c r="P33" s="262" t="n">
        <f aca="false">$P$25/(1+$M$4)^O33</f>
        <v>100</v>
      </c>
      <c r="Q33" s="227"/>
      <c r="R33" s="2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4" customFormat="false" ht="14.25" hidden="false" customHeight="false" outlineLevel="0" collapsed="false">
      <c r="A34" s="248" t="n">
        <f aca="false">'Données projet'!A47</f>
        <v>0</v>
      </c>
      <c r="B34" s="249" t="n">
        <f aca="false">'Données projet'!D47</f>
        <v>0</v>
      </c>
      <c r="C34" s="242"/>
      <c r="D34" s="243" t="n">
        <f aca="false">B34*C34</f>
        <v>0</v>
      </c>
      <c r="E34" s="242"/>
      <c r="F34" s="252"/>
      <c r="G34" s="258"/>
      <c r="H34" s="238"/>
      <c r="I34" s="239"/>
      <c r="K34" s="235"/>
      <c r="L34" s="80"/>
      <c r="M34" s="80"/>
      <c r="N34" s="263"/>
      <c r="O34" s="261" t="n">
        <f aca="false">IF(O33+1&lt;=MIN('Données projet'!$E$9:$E$18),O33+1,"STOP")</f>
        <v>1</v>
      </c>
      <c r="P34" s="262" t="n">
        <f aca="false">$P$25/(1+$M$4)^O34</f>
        <v>95.6937799043062</v>
      </c>
      <c r="Q34" s="227"/>
      <c r="R34" s="2"/>
      <c r="S34" s="2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</row>
    <row r="35" customFormat="false" ht="14.25" hidden="false" customHeight="false" outlineLevel="0" collapsed="false">
      <c r="A35" s="248" t="n">
        <f aca="false">'Données projet'!A48</f>
        <v>0</v>
      </c>
      <c r="B35" s="249" t="n">
        <f aca="false">'Données projet'!D48</f>
        <v>0</v>
      </c>
      <c r="C35" s="242"/>
      <c r="D35" s="243" t="n">
        <f aca="false">B35*C35</f>
        <v>0</v>
      </c>
      <c r="E35" s="242"/>
      <c r="F35" s="252"/>
      <c r="G35" s="258"/>
      <c r="H35" s="238"/>
      <c r="I35" s="239"/>
      <c r="K35" s="235"/>
      <c r="L35" s="80"/>
      <c r="M35" s="80"/>
      <c r="N35" s="263"/>
      <c r="O35" s="261" t="n">
        <f aca="false">IF(O34+1&lt;=MIN('Données projet'!$E$9:$E$18),O34+1,"STOP")</f>
        <v>2</v>
      </c>
      <c r="P35" s="262" t="n">
        <f aca="false">$P$25/(1+$M$4)^O35</f>
        <v>91.572995123738</v>
      </c>
      <c r="Q35" s="227"/>
      <c r="R35" s="2"/>
      <c r="S35" s="2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customFormat="false" ht="14.25" hidden="false" customHeight="false" outlineLevel="0" collapsed="false">
      <c r="A36" s="248" t="n">
        <f aca="false">'Données projet'!A49</f>
        <v>0</v>
      </c>
      <c r="B36" s="249" t="n">
        <f aca="false">'Données projet'!D49</f>
        <v>0</v>
      </c>
      <c r="C36" s="242"/>
      <c r="D36" s="243" t="n">
        <f aca="false">B36*C36</f>
        <v>0</v>
      </c>
      <c r="E36" s="242"/>
      <c r="F36" s="252"/>
      <c r="G36" s="258"/>
      <c r="H36" s="238"/>
      <c r="I36" s="239"/>
      <c r="K36" s="235"/>
      <c r="L36" s="2"/>
      <c r="M36" s="2"/>
      <c r="N36" s="2"/>
      <c r="O36" s="261" t="n">
        <f aca="false">IF(O35+1&lt;=MIN('Données projet'!$E$9:$E$18),O35+1,"STOP")</f>
        <v>3</v>
      </c>
      <c r="P36" s="262" t="n">
        <f aca="false">$P$25/(1+$M$4)^O36</f>
        <v>87.6296604054909</v>
      </c>
      <c r="Q36" s="227"/>
      <c r="R36" s="2"/>
      <c r="S36" s="2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customFormat="false" ht="14.25" hidden="false" customHeight="false" outlineLevel="0" collapsed="false">
      <c r="A37" s="248" t="n">
        <f aca="false">'Données projet'!A50</f>
        <v>0</v>
      </c>
      <c r="B37" s="249" t="n">
        <f aca="false">'Données projet'!D50</f>
        <v>0</v>
      </c>
      <c r="C37" s="242"/>
      <c r="D37" s="243" t="n">
        <f aca="false">B37*C37</f>
        <v>0</v>
      </c>
      <c r="E37" s="242"/>
      <c r="F37" s="252"/>
      <c r="G37" s="258"/>
      <c r="H37" s="238"/>
      <c r="I37" s="239"/>
      <c r="K37" s="235"/>
      <c r="L37" s="2"/>
      <c r="M37" s="2"/>
      <c r="N37" s="2"/>
      <c r="O37" s="261" t="n">
        <f aca="false">IF(O36+1&lt;=MIN('Données projet'!$E$9:$E$18),O36+1,"STOP")</f>
        <v>4</v>
      </c>
      <c r="P37" s="262" t="n">
        <f aca="false">$P$25/(1+$M$4)^O37</f>
        <v>83.8561343593215</v>
      </c>
      <c r="Q37" s="227"/>
      <c r="R37" s="2"/>
      <c r="S37" s="2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customFormat="false" ht="14.25" hidden="false" customHeight="false" outlineLevel="0" collapsed="false">
      <c r="A38" s="248" t="n">
        <f aca="false">'Données projet'!A51</f>
        <v>0</v>
      </c>
      <c r="B38" s="249" t="n">
        <f aca="false">'Données projet'!D51</f>
        <v>0</v>
      </c>
      <c r="C38" s="242"/>
      <c r="D38" s="243" t="n">
        <f aca="false">B38*C38</f>
        <v>0</v>
      </c>
      <c r="E38" s="242"/>
      <c r="F38" s="252"/>
      <c r="G38" s="258"/>
      <c r="H38" s="238"/>
      <c r="I38" s="239"/>
      <c r="K38" s="235"/>
      <c r="L38" s="2"/>
      <c r="M38" s="2"/>
      <c r="N38" s="2"/>
      <c r="O38" s="261" t="n">
        <f aca="false">IF(O37+1&lt;=MIN('Données projet'!$E$9:$E$18),O37+1,"STOP")</f>
        <v>5</v>
      </c>
      <c r="P38" s="262" t="n">
        <f aca="false">$P$25/(1+$M$4)^O38</f>
        <v>80.2451046500684</v>
      </c>
      <c r="Q38" s="227"/>
      <c r="R38" s="2"/>
      <c r="S38" s="2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customFormat="false" ht="14.25" hidden="false" customHeight="false" outlineLevel="0" collapsed="false">
      <c r="A39" s="248" t="n">
        <f aca="false">'Données projet'!A52</f>
        <v>0</v>
      </c>
      <c r="B39" s="249" t="n">
        <f aca="false">'Données projet'!D52</f>
        <v>0</v>
      </c>
      <c r="C39" s="242"/>
      <c r="D39" s="243" t="n">
        <f aca="false">B39*C39</f>
        <v>0</v>
      </c>
      <c r="E39" s="242"/>
      <c r="F39" s="252"/>
      <c r="G39" s="258"/>
      <c r="H39" s="238"/>
      <c r="I39" s="239"/>
      <c r="K39" s="226"/>
      <c r="L39" s="2"/>
      <c r="M39" s="2"/>
      <c r="N39" s="2"/>
      <c r="O39" s="261" t="n">
        <f aca="false">IF(O38+1&lt;=MIN('Données projet'!$E$9:$E$18),O38+1,"STOP")</f>
        <v>6</v>
      </c>
      <c r="P39" s="262" t="n">
        <f aca="false">$P$25/(1+$M$4)^O39</f>
        <v>76.7895738278167</v>
      </c>
      <c r="Q39" s="227"/>
      <c r="R39" s="2"/>
      <c r="S39" s="2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customFormat="false" ht="14.25" hidden="false" customHeight="false" outlineLevel="0" collapsed="false">
      <c r="A40" s="248" t="n">
        <f aca="false">'Données projet'!A53</f>
        <v>0</v>
      </c>
      <c r="B40" s="249" t="n">
        <f aca="false">'Données projet'!D53</f>
        <v>0</v>
      </c>
      <c r="C40" s="242"/>
      <c r="D40" s="243" t="n">
        <f aca="false">B40*C40</f>
        <v>0</v>
      </c>
      <c r="E40" s="242"/>
      <c r="F40" s="252"/>
      <c r="G40" s="258"/>
      <c r="H40" s="238"/>
      <c r="I40" s="239"/>
      <c r="K40" s="226"/>
      <c r="L40" s="2"/>
      <c r="M40" s="2"/>
      <c r="N40" s="2"/>
      <c r="O40" s="261" t="n">
        <f aca="false">IF(O39+1&lt;=MIN('Données projet'!$E$9:$E$18),O39+1,"STOP")</f>
        <v>7</v>
      </c>
      <c r="P40" s="262" t="n">
        <f aca="false">$P$25/(1+$M$4)^O40</f>
        <v>73.4828457682456</v>
      </c>
      <c r="Q40" s="227"/>
      <c r="R40" s="2"/>
      <c r="S40" s="2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customFormat="false" ht="14.25" hidden="false" customHeight="false" outlineLevel="0" collapsed="false">
      <c r="A41" s="248" t="n">
        <f aca="false">'Données projet'!A54</f>
        <v>0</v>
      </c>
      <c r="B41" s="249" t="n">
        <f aca="false">'Données projet'!D54</f>
        <v>0</v>
      </c>
      <c r="C41" s="242"/>
      <c r="D41" s="243" t="n">
        <f aca="false">B41*C41</f>
        <v>0</v>
      </c>
      <c r="E41" s="242"/>
      <c r="F41" s="252"/>
      <c r="G41" s="258"/>
      <c r="H41" s="238"/>
      <c r="I41" s="239"/>
      <c r="K41" s="226"/>
      <c r="L41" s="2"/>
      <c r="M41" s="2"/>
      <c r="N41" s="2"/>
      <c r="O41" s="261" t="n">
        <f aca="false">IF(O40+1&lt;=MIN('Données projet'!$E$9:$E$18),O40+1,"STOP")</f>
        <v>8</v>
      </c>
      <c r="P41" s="262" t="n">
        <f aca="false">$P$25/(1+$M$4)^O41</f>
        <v>70.3185126968858</v>
      </c>
      <c r="Q41" s="227"/>
      <c r="R41" s="2"/>
      <c r="S41" s="2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customFormat="false" ht="14.25" hidden="false" customHeight="false" outlineLevel="0" collapsed="false">
      <c r="A42" s="248" t="n">
        <f aca="false">'Données projet'!A55</f>
        <v>0</v>
      </c>
      <c r="B42" s="249" t="n">
        <f aca="false">'Données projet'!D55</f>
        <v>0</v>
      </c>
      <c r="C42" s="242"/>
      <c r="D42" s="243" t="n">
        <f aca="false">B42*C42</f>
        <v>0</v>
      </c>
      <c r="E42" s="242"/>
      <c r="F42" s="252"/>
      <c r="G42" s="258"/>
      <c r="H42" s="238"/>
      <c r="I42" s="239"/>
      <c r="K42" s="226"/>
      <c r="L42" s="2"/>
      <c r="M42" s="2"/>
      <c r="N42" s="2"/>
      <c r="O42" s="261" t="n">
        <f aca="false">IF(O41+1&lt;=MIN('Données projet'!$E$9:$E$18),O41+1,"STOP")</f>
        <v>9</v>
      </c>
      <c r="P42" s="262" t="n">
        <f aca="false">$P$25/(1+$M$4)^O42</f>
        <v>67.2904427721395</v>
      </c>
      <c r="Q42" s="227"/>
      <c r="R42" s="2"/>
      <c r="S42" s="2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customFormat="false" ht="14.25" hidden="false" customHeight="false" outlineLevel="0" collapsed="false">
      <c r="A43" s="264"/>
      <c r="B43" s="264"/>
      <c r="C43" s="264"/>
      <c r="D43" s="265"/>
      <c r="E43" s="265"/>
      <c r="F43" s="266"/>
      <c r="G43" s="258"/>
      <c r="H43" s="238"/>
      <c r="I43" s="239"/>
      <c r="K43" s="226"/>
      <c r="L43" s="2"/>
      <c r="M43" s="2"/>
      <c r="N43" s="2"/>
      <c r="O43" s="261" t="n">
        <f aca="false">IF(O42+1&lt;=MIN('Données projet'!$E$9:$E$18),O42+1,"STOP")</f>
        <v>10</v>
      </c>
      <c r="P43" s="262" t="n">
        <f aca="false">$P$25/(1+$M$4)^O43</f>
        <v>64.3927682030043</v>
      </c>
      <c r="Q43" s="236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customFormat="false" ht="14.25" hidden="false" customHeight="false" outlineLevel="0" collapsed="false">
      <c r="A44" s="3"/>
      <c r="B44" s="3"/>
      <c r="C44" s="3"/>
      <c r="D44" s="3"/>
      <c r="E44" s="3"/>
      <c r="F44" s="228"/>
      <c r="G44" s="258"/>
      <c r="H44" s="238"/>
      <c r="I44" s="239"/>
      <c r="K44" s="226"/>
      <c r="L44" s="2"/>
      <c r="M44" s="2"/>
      <c r="N44" s="2"/>
      <c r="O44" s="261" t="n">
        <f aca="false">IF(O43+1&lt;=MIN('Données projet'!$E$9:$E$18),O43+1,"STOP")</f>
        <v>11</v>
      </c>
      <c r="P44" s="262" t="n">
        <f aca="false">$P$25/(1+$M$4)^O44</f>
        <v>61.619873878473</v>
      </c>
      <c r="Q44" s="236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customFormat="false" ht="14.25" hidden="false" customHeight="false" outlineLevel="0" collapsed="false">
      <c r="A45" s="52" t="s">
        <v>18</v>
      </c>
      <c r="B45" s="233" t="str">
        <f aca="false">IF('Données projet'!$B$10="","",'Données projet'!$B$10)</f>
        <v>Douglas</v>
      </c>
      <c r="C45" s="3"/>
      <c r="D45" s="3"/>
      <c r="E45" s="3"/>
      <c r="F45" s="228"/>
      <c r="G45" s="258"/>
      <c r="H45" s="238"/>
      <c r="I45" s="239"/>
      <c r="J45" s="2"/>
      <c r="K45" s="226"/>
      <c r="L45" s="2"/>
      <c r="M45" s="2"/>
      <c r="N45" s="2"/>
      <c r="O45" s="261" t="n">
        <f aca="false">IF(O44+1&lt;=MIN('Données projet'!$E$9:$E$18),O44+1,"STOP")</f>
        <v>12</v>
      </c>
      <c r="P45" s="262" t="n">
        <f aca="false">$P$25/(1+$M$4)^O45</f>
        <v>58.9663864865771</v>
      </c>
      <c r="Q45" s="236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customFormat="false" ht="14.25" hidden="false" customHeight="false" outlineLevel="0" collapsed="false">
      <c r="A46" s="3"/>
      <c r="B46" s="3"/>
      <c r="C46" s="3"/>
      <c r="D46" s="3"/>
      <c r="E46" s="3"/>
      <c r="F46" s="228"/>
      <c r="G46" s="258"/>
      <c r="H46" s="238"/>
      <c r="I46" s="239"/>
      <c r="J46" s="2"/>
      <c r="K46" s="226"/>
      <c r="L46" s="267"/>
      <c r="M46" s="267"/>
      <c r="N46" s="267"/>
      <c r="O46" s="261" t="n">
        <f aca="false">IF(O45+1&lt;=MIN('Données projet'!$E$9:$E$18),O45+1,"STOP")</f>
        <v>13</v>
      </c>
      <c r="P46" s="268" t="n">
        <f aca="false">$P$25/(1+$M$4)^O46</f>
        <v>56.4271641019876</v>
      </c>
      <c r="Q46" s="236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customFormat="false" ht="19.5" hidden="false" customHeight="true" outlineLevel="0" collapsed="false">
      <c r="A47" s="32" t="s">
        <v>50</v>
      </c>
      <c r="B47" s="57" t="s">
        <v>307</v>
      </c>
      <c r="C47" s="57" t="s">
        <v>308</v>
      </c>
      <c r="D47" s="32" t="s">
        <v>309</v>
      </c>
      <c r="E47" s="32" t="s">
        <v>310</v>
      </c>
      <c r="F47" s="269"/>
      <c r="G47" s="258"/>
      <c r="H47" s="238"/>
      <c r="I47" s="239"/>
      <c r="J47" s="2"/>
      <c r="K47" s="226"/>
      <c r="L47" s="3"/>
      <c r="M47" s="3"/>
      <c r="N47" s="3"/>
      <c r="O47" s="261" t="n">
        <f aca="false">IF(O46+1&lt;=MIN('Données projet'!$E$9:$E$18),O46+1,"STOP")</f>
        <v>14</v>
      </c>
      <c r="P47" s="262" t="n">
        <f aca="false">$P$25/(1+$M$4)^O47</f>
        <v>53.9972862219977</v>
      </c>
      <c r="Q47" s="236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</row>
    <row r="48" customFormat="false" ht="14.25" hidden="false" customHeight="false" outlineLevel="0" collapsed="false">
      <c r="A48" s="62" t="n">
        <v>0</v>
      </c>
      <c r="B48" s="241" t="s">
        <v>194</v>
      </c>
      <c r="C48" s="242" t="s">
        <v>194</v>
      </c>
      <c r="D48" s="243" t="s">
        <v>194</v>
      </c>
      <c r="E48" s="242" t="n">
        <f aca="false">1300*(0.61+0.45)</f>
        <v>1378</v>
      </c>
      <c r="F48" s="269"/>
      <c r="G48" s="258"/>
      <c r="H48" s="238"/>
      <c r="I48" s="239"/>
      <c r="J48" s="2"/>
      <c r="K48" s="226"/>
      <c r="L48" s="3"/>
      <c r="M48" s="3"/>
      <c r="N48" s="3"/>
      <c r="O48" s="261" t="n">
        <f aca="false">IF(O47+1&lt;=MIN('Données projet'!$E$9:$E$18),O47+1,"STOP")</f>
        <v>15</v>
      </c>
      <c r="P48" s="262" t="n">
        <f aca="false">$P$25/(1+$M$4)^O48</f>
        <v>51.6720442315768</v>
      </c>
      <c r="Q48" s="236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</row>
    <row r="49" s="272" customFormat="true" ht="17.25" hidden="false" customHeight="true" outlineLevel="0" collapsed="false">
      <c r="A49" s="62" t="n">
        <v>1</v>
      </c>
      <c r="B49" s="241" t="s">
        <v>194</v>
      </c>
      <c r="C49" s="242" t="s">
        <v>194</v>
      </c>
      <c r="D49" s="243" t="s">
        <v>194</v>
      </c>
      <c r="E49" s="242"/>
      <c r="F49" s="269"/>
      <c r="G49" s="267"/>
      <c r="H49" s="238"/>
      <c r="I49" s="239"/>
      <c r="J49" s="267"/>
      <c r="K49" s="270"/>
      <c r="L49" s="3"/>
      <c r="M49" s="3"/>
      <c r="N49" s="3"/>
      <c r="O49" s="261" t="n">
        <f aca="false">IF(O48+1&lt;=MIN('Données projet'!$E$9:$E$18),O48+1,"STOP")</f>
        <v>16</v>
      </c>
      <c r="P49" s="262" t="n">
        <f aca="false">$P$25/(1+$M$4)^O49</f>
        <v>49.4469322790208</v>
      </c>
      <c r="Q49" s="271"/>
      <c r="R49" s="264"/>
      <c r="S49" s="264"/>
      <c r="T49" s="264"/>
      <c r="U49" s="264"/>
      <c r="V49" s="264"/>
      <c r="W49" s="264"/>
      <c r="X49" s="264"/>
      <c r="Y49" s="264"/>
      <c r="Z49" s="264"/>
      <c r="AA49" s="264"/>
      <c r="AB49" s="264"/>
      <c r="AC49" s="264"/>
      <c r="AD49" s="264"/>
      <c r="AE49" s="264"/>
      <c r="AF49" s="264"/>
      <c r="AG49" s="264"/>
      <c r="AH49" s="264"/>
      <c r="AI49" s="264"/>
      <c r="AJ49" s="264"/>
      <c r="AK49" s="264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</row>
    <row r="50" customFormat="false" ht="14.25" hidden="false" customHeight="false" outlineLevel="0" collapsed="false">
      <c r="A50" s="62" t="n">
        <v>2</v>
      </c>
      <c r="B50" s="241" t="s">
        <v>194</v>
      </c>
      <c r="C50" s="242" t="s">
        <v>194</v>
      </c>
      <c r="D50" s="243" t="s">
        <v>194</v>
      </c>
      <c r="E50" s="242"/>
      <c r="F50" s="269"/>
      <c r="G50" s="2"/>
      <c r="H50" s="238"/>
      <c r="I50" s="239"/>
      <c r="J50" s="2"/>
      <c r="K50" s="235"/>
      <c r="L50" s="3"/>
      <c r="M50" s="3"/>
      <c r="N50" s="3"/>
      <c r="O50" s="261" t="n">
        <f aca="false">IF(O49+1&lt;=MIN('Données projet'!$E$9:$E$18),O49+1,"STOP")</f>
        <v>17</v>
      </c>
      <c r="P50" s="262" t="n">
        <f aca="false">$P$25/(1+$M$4)^O50</f>
        <v>47.3176385445175</v>
      </c>
      <c r="Q50" s="236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</row>
    <row r="51" customFormat="false" ht="14.25" hidden="false" customHeight="false" outlineLevel="0" collapsed="false">
      <c r="A51" s="62" t="n">
        <v>3</v>
      </c>
      <c r="B51" s="241" t="s">
        <v>194</v>
      </c>
      <c r="C51" s="242" t="s">
        <v>194</v>
      </c>
      <c r="D51" s="243" t="s">
        <v>194</v>
      </c>
      <c r="E51" s="242"/>
      <c r="F51" s="269"/>
      <c r="G51" s="2"/>
      <c r="H51" s="238"/>
      <c r="I51" s="239"/>
      <c r="J51" s="2"/>
      <c r="K51" s="235"/>
      <c r="L51" s="3"/>
      <c r="M51" s="3"/>
      <c r="N51" s="3"/>
      <c r="O51" s="261" t="n">
        <f aca="false">IF(O50+1&lt;=MIN('Données projet'!$E$9:$E$18),O50+1,"STOP")</f>
        <v>18</v>
      </c>
      <c r="P51" s="262" t="n">
        <f aca="false">$P$25/(1+$M$4)^O51</f>
        <v>45.2800368847058</v>
      </c>
      <c r="Q51" s="236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</row>
    <row r="52" customFormat="false" ht="14.25" hidden="false" customHeight="false" outlineLevel="0" collapsed="false">
      <c r="A52" s="62" t="n">
        <v>4</v>
      </c>
      <c r="B52" s="241" t="s">
        <v>194</v>
      </c>
      <c r="C52" s="242" t="s">
        <v>194</v>
      </c>
      <c r="D52" s="243" t="s">
        <v>194</v>
      </c>
      <c r="E52" s="242"/>
      <c r="F52" s="269"/>
      <c r="G52" s="2"/>
      <c r="H52" s="238"/>
      <c r="I52" s="239"/>
      <c r="J52" s="2"/>
      <c r="K52" s="235"/>
      <c r="L52" s="3"/>
      <c r="M52" s="3"/>
      <c r="N52" s="3"/>
      <c r="O52" s="261" t="n">
        <f aca="false">IF(O51+1&lt;=MIN('Données projet'!$E$9:$E$18),O51+1,"STOP")</f>
        <v>19</v>
      </c>
      <c r="P52" s="262" t="n">
        <f aca="false">$P$25/(1+$M$4)^O52</f>
        <v>43.330178837039</v>
      </c>
      <c r="Q52" s="236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</row>
    <row r="53" customFormat="false" ht="15" hidden="false" customHeight="true" outlineLevel="0" collapsed="false">
      <c r="A53" s="62" t="n">
        <v>5</v>
      </c>
      <c r="B53" s="241" t="s">
        <v>194</v>
      </c>
      <c r="C53" s="242" t="s">
        <v>194</v>
      </c>
      <c r="D53" s="243" t="s">
        <v>194</v>
      </c>
      <c r="E53" s="242"/>
      <c r="F53" s="269"/>
      <c r="G53" s="16"/>
      <c r="H53" s="238"/>
      <c r="I53" s="239"/>
      <c r="J53" s="2"/>
      <c r="K53" s="235"/>
      <c r="L53" s="3"/>
      <c r="M53" s="3"/>
      <c r="N53" s="3"/>
      <c r="O53" s="261" t="n">
        <f aca="false">IF(O52+1&lt;=MIN('Données projet'!$E$9:$E$18),O52+1,"STOP")</f>
        <v>20</v>
      </c>
      <c r="P53" s="262" t="n">
        <f aca="false">$P$25/(1+$M$4)^O53</f>
        <v>41.4642859684584</v>
      </c>
      <c r="Q53" s="236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</row>
    <row r="54" customFormat="false" ht="15" hidden="false" customHeight="true" outlineLevel="0" collapsed="false">
      <c r="A54" s="248" t="n">
        <f aca="false">'Données projet'!A62</f>
        <v>23</v>
      </c>
      <c r="B54" s="249" t="n">
        <f aca="false">'Données projet'!D62</f>
        <v>0</v>
      </c>
      <c r="C54" s="239" t="n">
        <v>1.95</v>
      </c>
      <c r="D54" s="247" t="n">
        <f aca="false">B54*C54</f>
        <v>0</v>
      </c>
      <c r="E54" s="242"/>
      <c r="F54" s="273"/>
      <c r="G54" s="16"/>
      <c r="H54" s="238"/>
      <c r="I54" s="239"/>
      <c r="J54" s="2"/>
      <c r="K54" s="235"/>
      <c r="L54" s="3"/>
      <c r="M54" s="3"/>
      <c r="N54" s="3"/>
      <c r="O54" s="261" t="n">
        <f aca="false">IF(O53+1&lt;=MIN('Données projet'!$E$9:$E$18),O53+1,"STOP")</f>
        <v>21</v>
      </c>
      <c r="P54" s="262" t="n">
        <f aca="false">$P$25/(1+$M$4)^O54</f>
        <v>39.6787425535487</v>
      </c>
      <c r="Q54" s="236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</row>
    <row r="55" customFormat="false" ht="15" hidden="false" customHeight="true" outlineLevel="0" collapsed="false">
      <c r="A55" s="248" t="n">
        <f aca="false">'Données projet'!A63</f>
        <v>25</v>
      </c>
      <c r="B55" s="249" t="n">
        <f aca="false">'Données projet'!D63</f>
        <v>14</v>
      </c>
      <c r="C55" s="239" t="n">
        <v>1.95</v>
      </c>
      <c r="D55" s="247" t="n">
        <f aca="false">B55*C55</f>
        <v>27.3</v>
      </c>
      <c r="E55" s="242"/>
      <c r="F55" s="273"/>
      <c r="G55" s="16"/>
      <c r="H55" s="238"/>
      <c r="I55" s="239"/>
      <c r="J55" s="2"/>
      <c r="K55" s="235"/>
      <c r="L55" s="3"/>
      <c r="M55" s="3"/>
      <c r="N55" s="3"/>
      <c r="O55" s="261" t="n">
        <f aca="false">IF(O54+1&lt;=MIN('Données projet'!$E$9:$E$18),O54+1,"STOP")</f>
        <v>22</v>
      </c>
      <c r="P55" s="262" t="n">
        <f aca="false">$P$25/(1+$M$4)^O55</f>
        <v>37.9700885679892</v>
      </c>
      <c r="Q55" s="236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customFormat="false" ht="15" hidden="false" customHeight="true" outlineLevel="0" collapsed="false">
      <c r="A56" s="248" t="n">
        <f aca="false">'Données projet'!A64</f>
        <v>30</v>
      </c>
      <c r="B56" s="249" t="n">
        <f aca="false">'Données projet'!D64</f>
        <v>42</v>
      </c>
      <c r="C56" s="239" t="n">
        <v>4.48</v>
      </c>
      <c r="D56" s="247" t="n">
        <f aca="false">B56*C56</f>
        <v>188.16</v>
      </c>
      <c r="E56" s="242"/>
      <c r="F56" s="273"/>
      <c r="G56" s="16"/>
      <c r="H56" s="238"/>
      <c r="I56" s="239"/>
      <c r="J56" s="2"/>
      <c r="K56" s="235"/>
      <c r="L56" s="3"/>
      <c r="M56" s="3"/>
      <c r="N56" s="3"/>
      <c r="O56" s="261" t="n">
        <f aca="false">IF(O55+1&lt;=MIN('Données projet'!$E$9:$E$18),O55+1,"STOP")</f>
        <v>23</v>
      </c>
      <c r="P56" s="262" t="n">
        <f aca="false">$P$25/(1+$M$4)^O56</f>
        <v>36.3350129837217</v>
      </c>
      <c r="Q56" s="23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</row>
    <row r="57" customFormat="false" ht="15" hidden="false" customHeight="true" outlineLevel="0" collapsed="false">
      <c r="A57" s="248" t="n">
        <f aca="false">'Données projet'!A65</f>
        <v>35</v>
      </c>
      <c r="B57" s="249" t="n">
        <f aca="false">'Données projet'!D65</f>
        <v>49</v>
      </c>
      <c r="C57" s="239" t="n">
        <v>4.48</v>
      </c>
      <c r="D57" s="247" t="n">
        <f aca="false">B57*C57</f>
        <v>219.52</v>
      </c>
      <c r="E57" s="242"/>
      <c r="F57" s="273"/>
      <c r="G57" s="16"/>
      <c r="H57" s="238"/>
      <c r="I57" s="239"/>
      <c r="J57" s="2"/>
      <c r="K57" s="235"/>
      <c r="L57" s="3"/>
      <c r="M57" s="3"/>
      <c r="N57" s="3"/>
      <c r="O57" s="261" t="n">
        <f aca="false">IF(O56+1&lt;=MIN('Données projet'!$E$9:$E$18),O56+1,"STOP")</f>
        <v>24</v>
      </c>
      <c r="P57" s="262" t="n">
        <f aca="false">$P$25/(1+$M$4)^O57</f>
        <v>34.7703473528438</v>
      </c>
      <c r="Q57" s="23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</row>
    <row r="58" customFormat="false" ht="15" hidden="false" customHeight="true" outlineLevel="0" collapsed="false">
      <c r="A58" s="248" t="n">
        <f aca="false">'Données projet'!A66</f>
        <v>40</v>
      </c>
      <c r="B58" s="249" t="n">
        <f aca="false">'Données projet'!D66</f>
        <v>58</v>
      </c>
      <c r="C58" s="239" t="n">
        <v>32.8</v>
      </c>
      <c r="D58" s="247" t="n">
        <f aca="false">B58*C58</f>
        <v>1902.4</v>
      </c>
      <c r="E58" s="242"/>
      <c r="F58" s="273"/>
      <c r="G58" s="16"/>
      <c r="H58" s="238"/>
      <c r="I58" s="239"/>
      <c r="J58" s="2"/>
      <c r="K58" s="235"/>
      <c r="L58" s="3"/>
      <c r="M58" s="3"/>
      <c r="N58" s="3"/>
      <c r="O58" s="261" t="n">
        <f aca="false">IF(O57+1&lt;=MIN('Données projet'!$E$9:$E$18),O57+1,"STOP")</f>
        <v>25</v>
      </c>
      <c r="P58" s="262" t="n">
        <f aca="false">$P$25/(1+$M$4)^O58</f>
        <v>33.2730596677931</v>
      </c>
      <c r="Q58" s="23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</row>
    <row r="59" customFormat="false" ht="15" hidden="false" customHeight="true" outlineLevel="0" collapsed="false">
      <c r="A59" s="248" t="n">
        <f aca="false">'Données projet'!A67</f>
        <v>45</v>
      </c>
      <c r="B59" s="249" t="n">
        <f aca="false">'Données projet'!D67</f>
        <v>57</v>
      </c>
      <c r="C59" s="239" t="n">
        <v>32.8</v>
      </c>
      <c r="D59" s="247" t="n">
        <f aca="false">B59*C59</f>
        <v>1869.6</v>
      </c>
      <c r="E59" s="242"/>
      <c r="F59" s="273"/>
      <c r="G59" s="16"/>
      <c r="H59" s="238"/>
      <c r="I59" s="239"/>
      <c r="J59" s="2"/>
      <c r="K59" s="235"/>
      <c r="L59" s="3"/>
      <c r="M59" s="3"/>
      <c r="N59" s="3"/>
      <c r="O59" s="261" t="n">
        <f aca="false">IF(O58+1&lt;=MIN('Données projet'!$E$9:$E$18),O58+1,"STOP")</f>
        <v>26</v>
      </c>
      <c r="P59" s="262" t="n">
        <f aca="false">$P$25/(1+$M$4)^O59</f>
        <v>31.8402484859264</v>
      </c>
      <c r="Q59" s="23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</row>
    <row r="60" customFormat="false" ht="14.25" hidden="false" customHeight="false" outlineLevel="0" collapsed="false">
      <c r="A60" s="248" t="n">
        <f aca="false">'Données projet'!A68</f>
        <v>50</v>
      </c>
      <c r="B60" s="249" t="n">
        <f aca="false">'Données projet'!D68</f>
        <v>42</v>
      </c>
      <c r="C60" s="239" t="n">
        <v>32.8</v>
      </c>
      <c r="D60" s="247" t="n">
        <f aca="false">B60*C60</f>
        <v>1377.6</v>
      </c>
      <c r="E60" s="242"/>
      <c r="F60" s="273"/>
      <c r="G60" s="274"/>
      <c r="H60" s="238"/>
      <c r="I60" s="239"/>
      <c r="J60" s="2"/>
      <c r="K60" s="235"/>
      <c r="L60" s="3"/>
      <c r="M60" s="3"/>
      <c r="N60" s="3"/>
      <c r="O60" s="261" t="n">
        <f aca="false">IF(O59+1&lt;=MIN('Données projet'!$E$9:$E$18),O59+1,"STOP")</f>
        <v>27</v>
      </c>
      <c r="P60" s="262" t="n">
        <f aca="false">$P$25/(1+$M$4)^O60</f>
        <v>30.4691373071066</v>
      </c>
      <c r="Q60" s="236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</row>
    <row r="61" customFormat="false" ht="14.25" hidden="false" customHeight="false" outlineLevel="0" collapsed="false">
      <c r="A61" s="248" t="n">
        <f aca="false">'Données projet'!A69</f>
        <v>55</v>
      </c>
      <c r="B61" s="249" t="n">
        <f aca="false">'Données projet'!D69</f>
        <v>37</v>
      </c>
      <c r="C61" s="239" t="n">
        <v>55.11</v>
      </c>
      <c r="D61" s="247" t="n">
        <f aca="false">B61*C61</f>
        <v>2039.07</v>
      </c>
      <c r="E61" s="242"/>
      <c r="F61" s="273"/>
      <c r="G61" s="274"/>
      <c r="H61" s="238"/>
      <c r="I61" s="239"/>
      <c r="J61" s="2"/>
      <c r="K61" s="235"/>
      <c r="L61" s="3"/>
      <c r="M61" s="3"/>
      <c r="N61" s="3"/>
      <c r="O61" s="261" t="n">
        <f aca="false">IF(O60+1&lt;=MIN('Données projet'!$E$9:$E$18),O60+1,"STOP")</f>
        <v>28</v>
      </c>
      <c r="P61" s="262" t="n">
        <f aca="false">$P$25/(1+$M$4)^O61</f>
        <v>29.1570691934034</v>
      </c>
      <c r="Q61" s="236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</row>
    <row r="62" customFormat="false" ht="14.25" hidden="false" customHeight="false" outlineLevel="0" collapsed="false">
      <c r="A62" s="248" t="n">
        <f aca="false">'Données projet'!A70</f>
        <v>60</v>
      </c>
      <c r="B62" s="249" t="n">
        <f aca="false">'Données projet'!D70</f>
        <v>567</v>
      </c>
      <c r="C62" s="239" t="n">
        <v>75</v>
      </c>
      <c r="D62" s="247" t="n">
        <f aca="false">B62*C62</f>
        <v>42525</v>
      </c>
      <c r="E62" s="242"/>
      <c r="F62" s="273"/>
      <c r="G62" s="274"/>
      <c r="H62" s="238"/>
      <c r="I62" s="239"/>
      <c r="J62" s="2"/>
      <c r="K62" s="235"/>
      <c r="L62" s="3"/>
      <c r="M62" s="3"/>
      <c r="N62" s="3"/>
      <c r="O62" s="261" t="n">
        <f aca="false">IF(O61+1&lt;=MIN('Données projet'!$E$9:$E$18),O61+1,"STOP")</f>
        <v>29</v>
      </c>
      <c r="P62" s="262" t="n">
        <f aca="false">$P$25/(1+$M$4)^O62</f>
        <v>27.9015016204818</v>
      </c>
      <c r="Q62" s="236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</row>
    <row r="63" customFormat="false" ht="14.25" hidden="false" customHeight="false" outlineLevel="0" collapsed="false">
      <c r="A63" s="248" t="n">
        <f aca="false">'Données projet'!A71</f>
        <v>0</v>
      </c>
      <c r="B63" s="249" t="n">
        <f aca="false">'Données projet'!D71</f>
        <v>0</v>
      </c>
      <c r="C63" s="239"/>
      <c r="D63" s="247" t="n">
        <f aca="false">B63*C63</f>
        <v>0</v>
      </c>
      <c r="E63" s="242"/>
      <c r="F63" s="273"/>
      <c r="G63" s="274"/>
      <c r="H63" s="238"/>
      <c r="I63" s="239"/>
      <c r="J63" s="2"/>
      <c r="K63" s="235"/>
      <c r="L63" s="3"/>
      <c r="M63" s="3"/>
      <c r="N63" s="3"/>
      <c r="O63" s="261" t="n">
        <f aca="false">IF(O62+1&lt;=MIN('Données projet'!$E$9:$E$18),O62+1,"STOP")</f>
        <v>30</v>
      </c>
      <c r="P63" s="262" t="n">
        <f aca="false">$P$25/(1+$M$4)^O63</f>
        <v>26.7000015507003</v>
      </c>
      <c r="Q63" s="236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</row>
    <row r="64" customFormat="false" ht="14.25" hidden="false" customHeight="false" outlineLevel="0" collapsed="false">
      <c r="A64" s="248" t="n">
        <f aca="false">'Données projet'!A72</f>
        <v>0</v>
      </c>
      <c r="B64" s="249" t="n">
        <f aca="false">'Données projet'!D72</f>
        <v>0</v>
      </c>
      <c r="C64" s="239"/>
      <c r="D64" s="247" t="n">
        <f aca="false">B64*C64</f>
        <v>0</v>
      </c>
      <c r="E64" s="242"/>
      <c r="F64" s="273"/>
      <c r="G64" s="274"/>
      <c r="H64" s="238"/>
      <c r="I64" s="239"/>
      <c r="J64" s="275"/>
      <c r="K64" s="235"/>
      <c r="L64" s="3"/>
      <c r="M64" s="3"/>
      <c r="N64" s="3"/>
      <c r="O64" s="261" t="n">
        <f aca="false">IF(O63+1&lt;=MIN('Données projet'!$E$9:$E$18),O63+1,"STOP")</f>
        <v>31</v>
      </c>
      <c r="P64" s="262" t="n">
        <f aca="false">$P$25/(1+$M$4)^O64</f>
        <v>25.5502407183735</v>
      </c>
      <c r="Q64" s="236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</row>
    <row r="65" customFormat="false" ht="14.25" hidden="false" customHeight="false" outlineLevel="0" collapsed="false">
      <c r="A65" s="248" t="n">
        <f aca="false">'Données projet'!A73</f>
        <v>0</v>
      </c>
      <c r="B65" s="249" t="n">
        <f aca="false">'Données projet'!D73</f>
        <v>0</v>
      </c>
      <c r="C65" s="239"/>
      <c r="D65" s="247" t="n">
        <f aca="false">B65*C65</f>
        <v>0</v>
      </c>
      <c r="E65" s="242"/>
      <c r="F65" s="273"/>
      <c r="G65" s="274"/>
      <c r="H65" s="238"/>
      <c r="I65" s="239"/>
      <c r="J65" s="276"/>
      <c r="K65" s="235"/>
      <c r="L65" s="3"/>
      <c r="M65" s="3"/>
      <c r="N65" s="3"/>
      <c r="O65" s="261" t="n">
        <f aca="false">IF(O64+1&lt;=MIN('Données projet'!$E$9:$E$18),O64+1,"STOP")</f>
        <v>32</v>
      </c>
      <c r="P65" s="262" t="n">
        <f aca="false">$P$25/(1+$M$4)^O65</f>
        <v>24.4499911180607</v>
      </c>
      <c r="Q65" s="236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</row>
    <row r="66" customFormat="false" ht="14.25" hidden="false" customHeight="false" outlineLevel="0" collapsed="false">
      <c r="A66" s="248" t="n">
        <f aca="false">'Données projet'!A74</f>
        <v>0</v>
      </c>
      <c r="B66" s="249" t="n">
        <f aca="false">'Données projet'!D74</f>
        <v>0</v>
      </c>
      <c r="C66" s="239"/>
      <c r="D66" s="247" t="n">
        <f aca="false">B66*C66</f>
        <v>0</v>
      </c>
      <c r="E66" s="242"/>
      <c r="F66" s="273"/>
      <c r="G66" s="274"/>
      <c r="H66" s="238"/>
      <c r="I66" s="239"/>
      <c r="J66" s="276"/>
      <c r="K66" s="235"/>
      <c r="L66" s="3"/>
      <c r="M66" s="3"/>
      <c r="N66" s="3"/>
      <c r="O66" s="261" t="n">
        <f aca="false">IF(O65+1&lt;=MIN('Données projet'!$E$9:$E$18),O65+1,"STOP")</f>
        <v>33</v>
      </c>
      <c r="P66" s="262" t="n">
        <f aca="false">$P$25/(1+$M$4)^O66</f>
        <v>23.3971206871394</v>
      </c>
      <c r="Q66" s="236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</row>
    <row r="67" customFormat="false" ht="14.25" hidden="false" customHeight="false" outlineLevel="0" collapsed="false">
      <c r="A67" s="248" t="n">
        <f aca="false">'Données projet'!A75</f>
        <v>0</v>
      </c>
      <c r="B67" s="249" t="n">
        <f aca="false">'Données projet'!D75</f>
        <v>0</v>
      </c>
      <c r="C67" s="239"/>
      <c r="D67" s="247" t="n">
        <f aca="false">B67*C67</f>
        <v>0</v>
      </c>
      <c r="E67" s="242"/>
      <c r="F67" s="273"/>
      <c r="G67" s="274"/>
      <c r="H67" s="238"/>
      <c r="I67" s="239"/>
      <c r="J67" s="276"/>
      <c r="K67" s="235"/>
      <c r="L67" s="3"/>
      <c r="M67" s="3"/>
      <c r="N67" s="3"/>
      <c r="O67" s="261" t="n">
        <f aca="false">IF(O66+1&lt;=MIN('Données projet'!$E$9:$E$18),O66+1,"STOP")</f>
        <v>34</v>
      </c>
      <c r="P67" s="262" t="n">
        <f aca="false">$P$25/(1+$M$4)^O67</f>
        <v>22.3895891742961</v>
      </c>
      <c r="Q67" s="236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</row>
    <row r="68" customFormat="false" ht="14.25" hidden="false" customHeight="false" outlineLevel="0" collapsed="false">
      <c r="A68" s="248" t="n">
        <f aca="false">'Données projet'!A76</f>
        <v>0</v>
      </c>
      <c r="B68" s="249" t="n">
        <f aca="false">'Données projet'!D76</f>
        <v>0</v>
      </c>
      <c r="C68" s="239"/>
      <c r="D68" s="247" t="n">
        <f aca="false">B68*C68</f>
        <v>0</v>
      </c>
      <c r="E68" s="242"/>
      <c r="F68" s="273"/>
      <c r="G68" s="274"/>
      <c r="H68" s="238"/>
      <c r="I68" s="239"/>
      <c r="J68" s="276"/>
      <c r="K68" s="235"/>
      <c r="L68" s="3"/>
      <c r="M68" s="3"/>
      <c r="N68" s="3"/>
      <c r="O68" s="261" t="n">
        <f aca="false">IF(O67+1&lt;=MIN('Données projet'!$E$9:$E$18),O67+1,"STOP")</f>
        <v>35</v>
      </c>
      <c r="P68" s="262" t="n">
        <f aca="false">$P$25/(1+$M$4)^O68</f>
        <v>21.4254441859293</v>
      </c>
      <c r="Q68" s="236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</row>
    <row r="69" customFormat="false" ht="14.25" hidden="false" customHeight="false" outlineLevel="0" collapsed="false">
      <c r="A69" s="248" t="n">
        <f aca="false">'Données projet'!A77</f>
        <v>0</v>
      </c>
      <c r="B69" s="249" t="n">
        <f aca="false">'Données projet'!D77</f>
        <v>0</v>
      </c>
      <c r="C69" s="239"/>
      <c r="D69" s="247" t="n">
        <f aca="false">B69*C69</f>
        <v>0</v>
      </c>
      <c r="E69" s="242"/>
      <c r="F69" s="273"/>
      <c r="G69" s="274"/>
      <c r="H69" s="238"/>
      <c r="I69" s="239"/>
      <c r="J69" s="276"/>
      <c r="K69" s="235"/>
      <c r="L69" s="3"/>
      <c r="M69" s="3"/>
      <c r="N69" s="3"/>
      <c r="O69" s="261" t="n">
        <f aca="false">IF(O68+1&lt;=MIN('Données projet'!$E$9:$E$18),O68+1,"STOP")</f>
        <v>36</v>
      </c>
      <c r="P69" s="262" t="n">
        <f aca="false">$P$25/(1+$M$4)^O69</f>
        <v>20.5028174028032</v>
      </c>
      <c r="Q69" s="23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</row>
    <row r="70" customFormat="false" ht="14.25" hidden="false" customHeight="false" outlineLevel="0" collapsed="false">
      <c r="A70" s="248" t="n">
        <f aca="false">'Données projet'!A78</f>
        <v>0</v>
      </c>
      <c r="B70" s="249" t="n">
        <f aca="false">'Données projet'!D78</f>
        <v>0</v>
      </c>
      <c r="C70" s="239"/>
      <c r="D70" s="247" t="n">
        <f aca="false">B70*C70</f>
        <v>0</v>
      </c>
      <c r="E70" s="242"/>
      <c r="F70" s="273"/>
      <c r="G70" s="274"/>
      <c r="H70" s="238"/>
      <c r="I70" s="239"/>
      <c r="J70" s="276"/>
      <c r="K70" s="235"/>
      <c r="L70" s="3"/>
      <c r="M70" s="3"/>
      <c r="N70" s="3"/>
      <c r="O70" s="261" t="n">
        <f aca="false">IF(O69+1&lt;=MIN('Données projet'!$E$9:$E$18),O69+1,"STOP")</f>
        <v>37</v>
      </c>
      <c r="P70" s="262" t="n">
        <f aca="false">$P$25/(1+$M$4)^O70</f>
        <v>19.6199209596203</v>
      </c>
      <c r="Q70" s="23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</row>
    <row r="71" customFormat="false" ht="14.25" hidden="false" customHeight="false" outlineLevel="0" collapsed="false">
      <c r="A71" s="248" t="n">
        <f aca="false">'Données projet'!A79</f>
        <v>0</v>
      </c>
      <c r="B71" s="249" t="n">
        <f aca="false">'Données projet'!D79</f>
        <v>0</v>
      </c>
      <c r="C71" s="239"/>
      <c r="D71" s="247" t="n">
        <f aca="false">B71*C71</f>
        <v>0</v>
      </c>
      <c r="E71" s="242"/>
      <c r="F71" s="273"/>
      <c r="G71" s="274"/>
      <c r="H71" s="238"/>
      <c r="I71" s="239"/>
      <c r="J71" s="276"/>
      <c r="K71" s="235"/>
      <c r="L71" s="3"/>
      <c r="M71" s="3"/>
      <c r="N71" s="3"/>
      <c r="O71" s="261" t="n">
        <f aca="false">IF(O70+1&lt;=MIN('Données projet'!$E$9:$E$18),O70+1,"STOP")</f>
        <v>38</v>
      </c>
      <c r="P71" s="262" t="n">
        <f aca="false">$P$25/(1+$M$4)^O71</f>
        <v>18.7750439804979</v>
      </c>
      <c r="Q71" s="23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</row>
    <row r="72" customFormat="false" ht="14.25" hidden="false" customHeight="false" outlineLevel="0" collapsed="false">
      <c r="A72" s="248" t="n">
        <f aca="false">'Données projet'!A80</f>
        <v>0</v>
      </c>
      <c r="B72" s="249" t="n">
        <f aca="false">'Données projet'!D80</f>
        <v>0</v>
      </c>
      <c r="C72" s="239"/>
      <c r="D72" s="247" t="n">
        <f aca="false">B72*C72</f>
        <v>0</v>
      </c>
      <c r="E72" s="242"/>
      <c r="F72" s="273"/>
      <c r="G72" s="274"/>
      <c r="H72" s="238"/>
      <c r="I72" s="239"/>
      <c r="J72" s="3"/>
      <c r="K72" s="235"/>
      <c r="L72" s="3"/>
      <c r="M72" s="3"/>
      <c r="N72" s="3"/>
      <c r="O72" s="261" t="n">
        <f aca="false">IF(O71+1&lt;=MIN('Données projet'!$E$9:$E$18),O71+1,"STOP")</f>
        <v>39</v>
      </c>
      <c r="P72" s="262" t="n">
        <f aca="false">$P$25/(1+$M$4)^O72</f>
        <v>17.9665492636343</v>
      </c>
      <c r="Q72" s="236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</row>
    <row r="73" customFormat="false" ht="14.25" hidden="false" customHeight="false" outlineLevel="0" collapsed="false">
      <c r="A73" s="248" t="n">
        <f aca="false">'Données projet'!A81</f>
        <v>0</v>
      </c>
      <c r="B73" s="249" t="n">
        <f aca="false">'Données projet'!D81</f>
        <v>0</v>
      </c>
      <c r="C73" s="239"/>
      <c r="D73" s="247" t="n">
        <f aca="false">B73*C73</f>
        <v>0</v>
      </c>
      <c r="E73" s="242"/>
      <c r="F73" s="273"/>
      <c r="G73" s="274"/>
      <c r="H73" s="238"/>
      <c r="I73" s="239"/>
      <c r="J73" s="3"/>
      <c r="K73" s="235"/>
      <c r="L73" s="3"/>
      <c r="M73" s="3"/>
      <c r="N73" s="3"/>
      <c r="O73" s="261" t="n">
        <f aca="false">IF(O72+1&lt;=MIN('Données projet'!$E$9:$E$18),O72+1,"STOP")</f>
        <v>40</v>
      </c>
      <c r="P73" s="262" t="n">
        <f aca="false">$P$25/(1+$M$4)^O73</f>
        <v>17.192870108741</v>
      </c>
      <c r="Q73" s="236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</row>
    <row r="74" customFormat="false" ht="14.25" hidden="false" customHeight="false" outlineLevel="0" collapsed="false">
      <c r="A74" s="3"/>
      <c r="B74" s="3"/>
      <c r="C74" s="3"/>
      <c r="D74" s="3"/>
      <c r="E74" s="3"/>
      <c r="F74" s="228"/>
      <c r="G74" s="274"/>
      <c r="H74" s="238"/>
      <c r="I74" s="239"/>
      <c r="J74" s="3"/>
      <c r="K74" s="235"/>
      <c r="L74" s="3"/>
      <c r="M74" s="3"/>
      <c r="N74" s="3"/>
      <c r="O74" s="261" t="n">
        <f aca="false">IF(O73+1&lt;=MIN('Données projet'!$E$9:$E$18),O73+1,"STOP")</f>
        <v>41</v>
      </c>
      <c r="P74" s="262" t="n">
        <f aca="false">$P$25/(1+$M$4)^O74</f>
        <v>16.4525072810918</v>
      </c>
      <c r="Q74" s="236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</row>
    <row r="75" customFormat="false" ht="14.25" hidden="false" customHeight="false" outlineLevel="0" collapsed="false">
      <c r="A75" s="3"/>
      <c r="B75" s="3"/>
      <c r="C75" s="3"/>
      <c r="D75" s="3"/>
      <c r="E75" s="3"/>
      <c r="F75" s="228"/>
      <c r="G75" s="274"/>
      <c r="H75" s="238"/>
      <c r="I75" s="239"/>
      <c r="J75" s="3"/>
      <c r="K75" s="235"/>
      <c r="L75" s="3"/>
      <c r="M75" s="3"/>
      <c r="N75" s="3"/>
      <c r="O75" s="261" t="n">
        <f aca="false">IF(O74+1&lt;=MIN('Données projet'!$E$9:$E$18),O74+1,"STOP")</f>
        <v>42</v>
      </c>
      <c r="P75" s="262" t="n">
        <f aca="false">$P$25/(1+$M$4)^O75</f>
        <v>15.744026106308</v>
      </c>
      <c r="Q75" s="236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</row>
    <row r="76" customFormat="false" ht="14.25" hidden="false" customHeight="false" outlineLevel="0" collapsed="false">
      <c r="A76" s="52" t="s">
        <v>20</v>
      </c>
      <c r="B76" s="233" t="str">
        <f aca="false">IF('Données projet'!B11="","",'Données projet'!B11)</f>
        <v>Chêne rouge d'Amérique</v>
      </c>
      <c r="C76" s="3"/>
      <c r="D76" s="3"/>
      <c r="E76" s="3"/>
      <c r="F76" s="228"/>
      <c r="G76" s="274"/>
      <c r="H76" s="238"/>
      <c r="I76" s="239"/>
      <c r="J76" s="3"/>
      <c r="K76" s="235"/>
      <c r="L76" s="3"/>
      <c r="M76" s="3"/>
      <c r="N76" s="3"/>
      <c r="O76" s="261" t="str">
        <f aca="false">IF(O75+1&lt;=MIN('Données projet'!$E$9:$E$18),O75+1,"STOP")</f>
        <v>STOP</v>
      </c>
      <c r="P76" s="262" t="e">
        <f aca="false">$P$25/(1+$M$4)^O76</f>
        <v>#VALUE!</v>
      </c>
      <c r="Q76" s="236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</row>
    <row r="77" customFormat="false" ht="14.25" hidden="false" customHeight="false" outlineLevel="0" collapsed="false">
      <c r="A77" s="3"/>
      <c r="B77" s="3"/>
      <c r="C77" s="3"/>
      <c r="D77" s="3"/>
      <c r="E77" s="3"/>
      <c r="F77" s="228"/>
      <c r="G77" s="274"/>
      <c r="H77" s="238"/>
      <c r="I77" s="239"/>
      <c r="J77" s="3"/>
      <c r="K77" s="235"/>
      <c r="L77" s="3"/>
      <c r="M77" s="3"/>
      <c r="N77" s="3"/>
      <c r="O77" s="261" t="e">
        <f aca="false">IF(O76+1&lt;=MIN('Données projet'!$E$9:$E$18),O76+1,"STOP")</f>
        <v>#VALUE!</v>
      </c>
      <c r="P77" s="262" t="e">
        <f aca="false">$P$25/(1+$M$4)^O77</f>
        <v>#VALUE!</v>
      </c>
      <c r="Q77" s="236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</row>
    <row r="78" customFormat="false" ht="14.25" hidden="false" customHeight="false" outlineLevel="0" collapsed="false">
      <c r="A78" s="32" t="s">
        <v>50</v>
      </c>
      <c r="B78" s="57" t="s">
        <v>307</v>
      </c>
      <c r="C78" s="57" t="s">
        <v>308</v>
      </c>
      <c r="D78" s="32" t="s">
        <v>309</v>
      </c>
      <c r="E78" s="32" t="s">
        <v>310</v>
      </c>
      <c r="F78" s="269"/>
      <c r="G78" s="274"/>
      <c r="H78" s="238"/>
      <c r="I78" s="239"/>
      <c r="J78" s="3"/>
      <c r="K78" s="235"/>
      <c r="L78" s="3"/>
      <c r="M78" s="3"/>
      <c r="N78" s="3"/>
      <c r="O78" s="261" t="e">
        <f aca="false">IF(O77+1&lt;=MIN('Données projet'!$E$9:$E$18),O77+1,"STOP")</f>
        <v>#VALUE!</v>
      </c>
      <c r="P78" s="262" t="e">
        <f aca="false">$P$25/(1+$M$4)^O78</f>
        <v>#VALUE!</v>
      </c>
      <c r="Q78" s="236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</row>
    <row r="79" customFormat="false" ht="14.25" hidden="false" customHeight="false" outlineLevel="0" collapsed="false">
      <c r="A79" s="62" t="n">
        <v>0</v>
      </c>
      <c r="B79" s="241" t="s">
        <v>194</v>
      </c>
      <c r="C79" s="242" t="s">
        <v>194</v>
      </c>
      <c r="D79" s="243" t="s">
        <v>194</v>
      </c>
      <c r="E79" s="242" t="n">
        <f aca="false">1300*(1.15+0.45)</f>
        <v>2080</v>
      </c>
      <c r="F79" s="269"/>
      <c r="G79" s="274"/>
      <c r="H79" s="238"/>
      <c r="I79" s="239"/>
      <c r="J79" s="3"/>
      <c r="K79" s="235"/>
      <c r="L79" s="3"/>
      <c r="M79" s="3"/>
      <c r="N79" s="3"/>
      <c r="O79" s="261" t="e">
        <f aca="false">IF(O78+1&lt;=MIN('Données projet'!$E$9:$E$18),O78+1,"STOP")</f>
        <v>#VALUE!</v>
      </c>
      <c r="P79" s="262" t="e">
        <f aca="false">$P$25/(1+$M$4)^O79</f>
        <v>#VALUE!</v>
      </c>
      <c r="Q79" s="236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</row>
    <row r="80" customFormat="false" ht="14.25" hidden="false" customHeight="false" outlineLevel="0" collapsed="false">
      <c r="A80" s="62" t="n">
        <v>1</v>
      </c>
      <c r="B80" s="241" t="s">
        <v>194</v>
      </c>
      <c r="C80" s="242" t="s">
        <v>194</v>
      </c>
      <c r="D80" s="243" t="s">
        <v>194</v>
      </c>
      <c r="E80" s="242"/>
      <c r="F80" s="269"/>
      <c r="G80" s="2"/>
      <c r="H80" s="238"/>
      <c r="I80" s="239"/>
      <c r="J80" s="3"/>
      <c r="K80" s="235"/>
      <c r="L80" s="3"/>
      <c r="M80" s="3"/>
      <c r="N80" s="3"/>
      <c r="O80" s="261" t="e">
        <f aca="false">IF(O79+1&lt;=MIN('Données projet'!$E$9:$E$18),O79+1,"STOP")</f>
        <v>#VALUE!</v>
      </c>
      <c r="P80" s="262" t="e">
        <f aca="false">$P$25/(1+$M$4)^O80</f>
        <v>#VALUE!</v>
      </c>
      <c r="Q80" s="236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</row>
    <row r="81" customFormat="false" ht="14.25" hidden="false" customHeight="false" outlineLevel="0" collapsed="false">
      <c r="A81" s="62" t="n">
        <v>2</v>
      </c>
      <c r="B81" s="241" t="s">
        <v>194</v>
      </c>
      <c r="C81" s="242" t="s">
        <v>194</v>
      </c>
      <c r="D81" s="243" t="s">
        <v>194</v>
      </c>
      <c r="E81" s="242"/>
      <c r="F81" s="269"/>
      <c r="G81" s="2"/>
      <c r="H81" s="238"/>
      <c r="I81" s="239"/>
      <c r="J81" s="3"/>
      <c r="K81" s="235"/>
      <c r="L81" s="3"/>
      <c r="M81" s="3"/>
      <c r="N81" s="3"/>
      <c r="O81" s="261" t="e">
        <f aca="false">IF(O80+1&lt;=MIN('Données projet'!$E$9:$E$18),O80+1,"STOP")</f>
        <v>#VALUE!</v>
      </c>
      <c r="P81" s="262" t="e">
        <f aca="false">$P$25/(1+$M$4)^O81</f>
        <v>#VALUE!</v>
      </c>
      <c r="Q81" s="236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</row>
    <row r="82" customFormat="false" ht="14.25" hidden="false" customHeight="false" outlineLevel="0" collapsed="false">
      <c r="A82" s="62" t="n">
        <v>3</v>
      </c>
      <c r="B82" s="241" t="s">
        <v>194</v>
      </c>
      <c r="C82" s="242" t="s">
        <v>194</v>
      </c>
      <c r="D82" s="243" t="s">
        <v>194</v>
      </c>
      <c r="E82" s="242"/>
      <c r="F82" s="269"/>
      <c r="G82" s="2"/>
      <c r="H82" s="238"/>
      <c r="I82" s="239"/>
      <c r="J82" s="3"/>
      <c r="K82" s="235"/>
      <c r="L82" s="3"/>
      <c r="M82" s="3"/>
      <c r="N82" s="3"/>
      <c r="O82" s="261" t="e">
        <f aca="false">IF(O81+1&lt;=MIN('Données projet'!$E$9:$E$18),O81+1,"STOP")</f>
        <v>#VALUE!</v>
      </c>
      <c r="P82" s="262" t="e">
        <f aca="false">$P$25/(1+$M$4)^O82</f>
        <v>#VALUE!</v>
      </c>
      <c r="Q82" s="236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</row>
    <row r="83" customFormat="false" ht="14.25" hidden="false" customHeight="false" outlineLevel="0" collapsed="false">
      <c r="A83" s="62" t="n">
        <v>4</v>
      </c>
      <c r="B83" s="241" t="s">
        <v>194</v>
      </c>
      <c r="C83" s="242" t="s">
        <v>194</v>
      </c>
      <c r="D83" s="243" t="s">
        <v>194</v>
      </c>
      <c r="E83" s="242"/>
      <c r="F83" s="269"/>
      <c r="G83" s="2"/>
      <c r="H83" s="238"/>
      <c r="I83" s="239"/>
      <c r="J83" s="3"/>
      <c r="K83" s="235"/>
      <c r="L83" s="3"/>
      <c r="M83" s="3"/>
      <c r="N83" s="3"/>
      <c r="O83" s="261" t="e">
        <f aca="false">IF(O82+1&lt;=MIN('Données projet'!$E$9:$E$18),O82+1,"STOP")</f>
        <v>#VALUE!</v>
      </c>
      <c r="P83" s="262" t="e">
        <f aca="false">$P$25/(1+$M$4)^O83</f>
        <v>#VALUE!</v>
      </c>
      <c r="Q83" s="236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</row>
    <row r="84" customFormat="false" ht="16.5" hidden="false" customHeight="true" outlineLevel="0" collapsed="false">
      <c r="A84" s="62" t="n">
        <v>5</v>
      </c>
      <c r="B84" s="241" t="s">
        <v>194</v>
      </c>
      <c r="C84" s="242" t="s">
        <v>194</v>
      </c>
      <c r="D84" s="243" t="s">
        <v>194</v>
      </c>
      <c r="E84" s="242"/>
      <c r="F84" s="269"/>
      <c r="G84" s="16"/>
      <c r="H84" s="238"/>
      <c r="I84" s="239"/>
      <c r="J84" s="3"/>
      <c r="K84" s="235"/>
      <c r="L84" s="3"/>
      <c r="M84" s="3"/>
      <c r="N84" s="3"/>
      <c r="O84" s="261" t="e">
        <f aca="false">IF(O83+1&lt;=MIN('Données projet'!$E$9:$E$18),O83+1,"STOP")</f>
        <v>#VALUE!</v>
      </c>
      <c r="P84" s="262" t="e">
        <f aca="false">$P$25/(1+$M$4)^O84</f>
        <v>#VALUE!</v>
      </c>
      <c r="Q84" s="236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customFormat="false" ht="16.5" hidden="false" customHeight="true" outlineLevel="0" collapsed="false">
      <c r="A85" s="248" t="n">
        <f aca="false">'Données projet'!A88</f>
        <v>15</v>
      </c>
      <c r="B85" s="249" t="n">
        <f aca="false">'Données projet'!D88</f>
        <v>21</v>
      </c>
      <c r="C85" s="239" t="n">
        <v>2</v>
      </c>
      <c r="D85" s="247" t="n">
        <f aca="false">B85*C85</f>
        <v>42</v>
      </c>
      <c r="E85" s="242"/>
      <c r="F85" s="273"/>
      <c r="G85" s="16"/>
      <c r="H85" s="238"/>
      <c r="I85" s="239"/>
      <c r="J85" s="3"/>
      <c r="K85" s="235"/>
      <c r="L85" s="3"/>
      <c r="M85" s="3"/>
      <c r="N85" s="3"/>
      <c r="O85" s="261" t="e">
        <f aca="false">IF(O84+1&lt;=MIN('Données projet'!$E$9:$E$18),O84+1,"STOP")</f>
        <v>#VALUE!</v>
      </c>
      <c r="P85" s="262" t="e">
        <f aca="false">$P$25/(1+$M$4)^O85</f>
        <v>#VALUE!</v>
      </c>
      <c r="Q85" s="236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customFormat="false" ht="16.5" hidden="false" customHeight="true" outlineLevel="0" collapsed="false">
      <c r="A86" s="248" t="n">
        <f aca="false">'Données projet'!A89</f>
        <v>20</v>
      </c>
      <c r="B86" s="249" t="n">
        <f aca="false">'Données projet'!D89</f>
        <v>43</v>
      </c>
      <c r="C86" s="239" t="n">
        <v>2</v>
      </c>
      <c r="D86" s="247" t="n">
        <f aca="false">B86*C86</f>
        <v>86</v>
      </c>
      <c r="E86" s="242"/>
      <c r="F86" s="273"/>
      <c r="G86" s="16"/>
      <c r="H86" s="238"/>
      <c r="I86" s="239"/>
      <c r="J86" s="3"/>
      <c r="K86" s="235"/>
      <c r="L86" s="3"/>
      <c r="M86" s="3"/>
      <c r="N86" s="3"/>
      <c r="O86" s="261" t="e">
        <f aca="false">IF(O85+1&lt;=MIN('Données projet'!$E$9:$E$18),O85+1,"STOP")</f>
        <v>#VALUE!</v>
      </c>
      <c r="P86" s="262" t="e">
        <f aca="false">$P$25/(1+$M$4)^O86</f>
        <v>#VALUE!</v>
      </c>
      <c r="Q86" s="236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</row>
    <row r="87" customFormat="false" ht="16.5" hidden="false" customHeight="true" outlineLevel="0" collapsed="false">
      <c r="A87" s="248" t="n">
        <f aca="false">'Données projet'!A90</f>
        <v>25</v>
      </c>
      <c r="B87" s="249" t="n">
        <f aca="false">'Données projet'!D90</f>
        <v>44</v>
      </c>
      <c r="C87" s="239" t="n">
        <v>10</v>
      </c>
      <c r="D87" s="247" t="n">
        <f aca="false">B87*C87</f>
        <v>440</v>
      </c>
      <c r="E87" s="242"/>
      <c r="F87" s="273"/>
      <c r="G87" s="16"/>
      <c r="H87" s="238"/>
      <c r="I87" s="239"/>
      <c r="J87" s="3"/>
      <c r="K87" s="235"/>
      <c r="L87" s="3"/>
      <c r="M87" s="3"/>
      <c r="N87" s="3"/>
      <c r="O87" s="261" t="e">
        <f aca="false">IF(O86+1&lt;=MIN('Données projet'!$E$9:$E$18),O86+1,"STOP")</f>
        <v>#VALUE!</v>
      </c>
      <c r="P87" s="262" t="e">
        <f aca="false">$P$25/(1+$M$4)^O87</f>
        <v>#VALUE!</v>
      </c>
      <c r="Q87" s="236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</row>
    <row r="88" customFormat="false" ht="16.5" hidden="false" customHeight="true" outlineLevel="0" collapsed="false">
      <c r="A88" s="248" t="n">
        <f aca="false">'Données projet'!A91</f>
        <v>30</v>
      </c>
      <c r="B88" s="249" t="n">
        <f aca="false">'Données projet'!D91</f>
        <v>44</v>
      </c>
      <c r="C88" s="239" t="n">
        <v>10</v>
      </c>
      <c r="D88" s="247" t="n">
        <f aca="false">B88*C88</f>
        <v>440</v>
      </c>
      <c r="E88" s="242"/>
      <c r="F88" s="273"/>
      <c r="G88" s="16"/>
      <c r="H88" s="238"/>
      <c r="I88" s="239"/>
      <c r="J88" s="3"/>
      <c r="K88" s="235"/>
      <c r="L88" s="3"/>
      <c r="M88" s="3"/>
      <c r="N88" s="3"/>
      <c r="O88" s="261" t="e">
        <f aca="false">IF(O87+1&lt;=MIN('Données projet'!$E$9:$E$18),O87+1,"STOP")</f>
        <v>#VALUE!</v>
      </c>
      <c r="P88" s="262" t="e">
        <f aca="false">$P$25/(1+$M$4)^O88</f>
        <v>#VALUE!</v>
      </c>
      <c r="Q88" s="236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</row>
    <row r="89" customFormat="false" ht="16.5" hidden="false" customHeight="true" outlineLevel="0" collapsed="false">
      <c r="A89" s="248" t="n">
        <f aca="false">'Données projet'!A92</f>
        <v>35</v>
      </c>
      <c r="B89" s="249" t="n">
        <f aca="false">'Données projet'!D92</f>
        <v>42</v>
      </c>
      <c r="C89" s="239" t="n">
        <v>25</v>
      </c>
      <c r="D89" s="247" t="n">
        <f aca="false">B89*C89</f>
        <v>1050</v>
      </c>
      <c r="E89" s="242"/>
      <c r="F89" s="273"/>
      <c r="G89" s="16"/>
      <c r="H89" s="238"/>
      <c r="I89" s="239"/>
      <c r="J89" s="3"/>
      <c r="K89" s="235"/>
      <c r="L89" s="3"/>
      <c r="M89" s="3"/>
      <c r="N89" s="3"/>
      <c r="O89" s="261" t="e">
        <f aca="false">IF(O88+1&lt;=MIN('Données projet'!$E$9:$E$18),O88+1,"STOP")</f>
        <v>#VALUE!</v>
      </c>
      <c r="P89" s="262" t="e">
        <f aca="false">$P$25/(1+$M$4)^O89</f>
        <v>#VALUE!</v>
      </c>
      <c r="Q89" s="236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</row>
    <row r="90" customFormat="false" ht="16.5" hidden="false" customHeight="true" outlineLevel="0" collapsed="false">
      <c r="A90" s="248" t="n">
        <f aca="false">'Données projet'!A93</f>
        <v>40</v>
      </c>
      <c r="B90" s="249" t="n">
        <f aca="false">'Données projet'!D93</f>
        <v>39</v>
      </c>
      <c r="C90" s="239" t="n">
        <v>25</v>
      </c>
      <c r="D90" s="247" t="n">
        <f aca="false">B90*C90</f>
        <v>975</v>
      </c>
      <c r="E90" s="242"/>
      <c r="F90" s="273"/>
      <c r="G90" s="16"/>
      <c r="H90" s="238"/>
      <c r="I90" s="239"/>
      <c r="J90" s="3"/>
      <c r="K90" s="235"/>
      <c r="L90" s="3"/>
      <c r="M90" s="3"/>
      <c r="N90" s="3"/>
      <c r="O90" s="261" t="e">
        <f aca="false">IF(O89+1&lt;=MIN('Données projet'!$E$9:$E$18),O89+1,"STOP")</f>
        <v>#VALUE!</v>
      </c>
      <c r="P90" s="262" t="e">
        <f aca="false">$P$25/(1+$M$4)^O90</f>
        <v>#VALUE!</v>
      </c>
      <c r="Q90" s="236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</row>
    <row r="91" customFormat="false" ht="14.25" hidden="false" customHeight="false" outlineLevel="0" collapsed="false">
      <c r="A91" s="248" t="n">
        <f aca="false">'Données projet'!A94</f>
        <v>45</v>
      </c>
      <c r="B91" s="249" t="n">
        <f aca="false">'Données projet'!D94</f>
        <v>36</v>
      </c>
      <c r="C91" s="239" t="n">
        <v>30</v>
      </c>
      <c r="D91" s="247" t="n">
        <f aca="false">B91*C91</f>
        <v>1080</v>
      </c>
      <c r="E91" s="242"/>
      <c r="F91" s="273"/>
      <c r="G91" s="274"/>
      <c r="H91" s="238"/>
      <c r="I91" s="239"/>
      <c r="J91" s="3"/>
      <c r="K91" s="235"/>
      <c r="L91" s="3"/>
      <c r="M91" s="3"/>
      <c r="N91" s="3"/>
      <c r="O91" s="261" t="e">
        <f aca="false">IF(O90+1&lt;=MIN('Données projet'!$E$9:$E$18),O90+1,"STOP")</f>
        <v>#VALUE!</v>
      </c>
      <c r="P91" s="262" t="e">
        <f aca="false">$P$25/(1+$M$4)^O91</f>
        <v>#VALUE!</v>
      </c>
      <c r="Q91" s="236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</row>
    <row r="92" customFormat="false" ht="14.25" hidden="false" customHeight="false" outlineLevel="0" collapsed="false">
      <c r="A92" s="248" t="n">
        <f aca="false">'Données projet'!A95</f>
        <v>50</v>
      </c>
      <c r="B92" s="249" t="n">
        <f aca="false">'Données projet'!D95</f>
        <v>33</v>
      </c>
      <c r="C92" s="239" t="n">
        <v>30</v>
      </c>
      <c r="D92" s="247" t="n">
        <f aca="false">B92*C92</f>
        <v>990</v>
      </c>
      <c r="E92" s="242"/>
      <c r="F92" s="273"/>
      <c r="G92" s="274"/>
      <c r="H92" s="238"/>
      <c r="I92" s="239"/>
      <c r="J92" s="3"/>
      <c r="K92" s="235"/>
      <c r="L92" s="3"/>
      <c r="M92" s="3"/>
      <c r="N92" s="3"/>
      <c r="O92" s="261" t="e">
        <f aca="false">IF(O91+1&lt;=MIN('Données projet'!$E$9:$E$18),O91+1,"STOP")</f>
        <v>#VALUE!</v>
      </c>
      <c r="P92" s="262" t="e">
        <f aca="false">$P$25/(1+$M$4)^O92</f>
        <v>#VALUE!</v>
      </c>
      <c r="Q92" s="236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</row>
    <row r="93" customFormat="false" ht="14.25" hidden="false" customHeight="false" outlineLevel="0" collapsed="false">
      <c r="A93" s="248" t="n">
        <f aca="false">'Données projet'!A96</f>
        <v>55</v>
      </c>
      <c r="B93" s="249" t="n">
        <f aca="false">'Données projet'!D96</f>
        <v>29</v>
      </c>
      <c r="C93" s="239" t="n">
        <v>40</v>
      </c>
      <c r="D93" s="247" t="n">
        <f aca="false">B93*C93</f>
        <v>1160</v>
      </c>
      <c r="E93" s="242"/>
      <c r="F93" s="273"/>
      <c r="G93" s="274"/>
      <c r="H93" s="238"/>
      <c r="I93" s="239"/>
      <c r="J93" s="3"/>
      <c r="K93" s="235"/>
      <c r="L93" s="3"/>
      <c r="M93" s="3"/>
      <c r="N93" s="3"/>
      <c r="O93" s="261" t="e">
        <f aca="false">IF(O92+1&lt;=MIN('Données projet'!$E$9:$E$18),O92+1,"STOP")</f>
        <v>#VALUE!</v>
      </c>
      <c r="P93" s="262" t="e">
        <f aca="false">$P$25/(1+$M$4)^O93</f>
        <v>#VALUE!</v>
      </c>
      <c r="Q93" s="236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</row>
    <row r="94" customFormat="false" ht="14.25" hidden="false" customHeight="false" outlineLevel="0" collapsed="false">
      <c r="A94" s="248" t="n">
        <f aca="false">'Données projet'!A97</f>
        <v>60</v>
      </c>
      <c r="B94" s="249" t="n">
        <f aca="false">'Données projet'!D97</f>
        <v>26</v>
      </c>
      <c r="C94" s="239" t="n">
        <v>40</v>
      </c>
      <c r="D94" s="247" t="n">
        <f aca="false">B94*C94</f>
        <v>1040</v>
      </c>
      <c r="E94" s="242"/>
      <c r="F94" s="273"/>
      <c r="G94" s="274"/>
      <c r="H94" s="238"/>
      <c r="I94" s="239"/>
      <c r="J94" s="3"/>
      <c r="K94" s="235"/>
      <c r="L94" s="3"/>
      <c r="M94" s="3"/>
      <c r="N94" s="3"/>
      <c r="O94" s="261" t="e">
        <f aca="false">IF(O93+1&lt;=MIN('Données projet'!$E$9:$E$18),O93+1,"STOP")</f>
        <v>#VALUE!</v>
      </c>
      <c r="P94" s="262" t="e">
        <f aca="false">$P$25/(1+$M$4)^O94</f>
        <v>#VALUE!</v>
      </c>
      <c r="Q94" s="236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</row>
    <row r="95" customFormat="false" ht="14.25" hidden="false" customHeight="false" outlineLevel="0" collapsed="false">
      <c r="A95" s="248" t="n">
        <f aca="false">'Données projet'!A98</f>
        <v>65</v>
      </c>
      <c r="B95" s="249" t="n">
        <f aca="false">'Données projet'!D98</f>
        <v>23</v>
      </c>
      <c r="C95" s="239" t="n">
        <v>60</v>
      </c>
      <c r="D95" s="247" t="n">
        <f aca="false">B95*C95</f>
        <v>1380</v>
      </c>
      <c r="E95" s="242"/>
      <c r="F95" s="273"/>
      <c r="G95" s="274"/>
      <c r="H95" s="238"/>
      <c r="I95" s="239"/>
      <c r="J95" s="3"/>
      <c r="K95" s="235"/>
      <c r="L95" s="3"/>
      <c r="M95" s="3"/>
      <c r="N95" s="3"/>
      <c r="O95" s="261" t="e">
        <f aca="false">IF(O94+1&lt;=MIN('Données projet'!$E$9:$E$18),O94+1,"STOP")</f>
        <v>#VALUE!</v>
      </c>
      <c r="P95" s="262" t="e">
        <f aca="false">$P$25/(1+$M$4)^O95</f>
        <v>#VALUE!</v>
      </c>
      <c r="Q95" s="236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</row>
    <row r="96" customFormat="false" ht="14.25" hidden="false" customHeight="false" outlineLevel="0" collapsed="false">
      <c r="A96" s="248" t="n">
        <f aca="false">'Données projet'!A99</f>
        <v>70</v>
      </c>
      <c r="B96" s="249" t="n">
        <f aca="false">'Données projet'!D99</f>
        <v>249</v>
      </c>
      <c r="C96" s="239" t="n">
        <v>80</v>
      </c>
      <c r="D96" s="247" t="n">
        <f aca="false">B96*C96</f>
        <v>19920</v>
      </c>
      <c r="E96" s="242"/>
      <c r="F96" s="273"/>
      <c r="G96" s="274"/>
      <c r="H96" s="238"/>
      <c r="I96" s="239"/>
      <c r="J96" s="3"/>
      <c r="K96" s="235"/>
      <c r="L96" s="3"/>
      <c r="M96" s="3"/>
      <c r="N96" s="3"/>
      <c r="O96" s="261" t="e">
        <f aca="false">IF(O95+1&lt;=MIN('Données projet'!$E$9:$E$18),O95+1,"STOP")</f>
        <v>#VALUE!</v>
      </c>
      <c r="P96" s="262" t="e">
        <f aca="false">$P$25/(1+$M$4)^O96</f>
        <v>#VALUE!</v>
      </c>
      <c r="Q96" s="236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</row>
    <row r="97" customFormat="false" ht="14.25" hidden="false" customHeight="false" outlineLevel="0" collapsed="false">
      <c r="A97" s="248" t="n">
        <f aca="false">'Données projet'!A100</f>
        <v>0</v>
      </c>
      <c r="B97" s="249" t="n">
        <f aca="false">'Données projet'!D100</f>
        <v>0</v>
      </c>
      <c r="C97" s="239"/>
      <c r="D97" s="247" t="n">
        <f aca="false">B97*C97</f>
        <v>0</v>
      </c>
      <c r="E97" s="242"/>
      <c r="F97" s="273"/>
      <c r="G97" s="274"/>
      <c r="H97" s="238"/>
      <c r="I97" s="239"/>
      <c r="J97" s="3"/>
      <c r="K97" s="235"/>
      <c r="L97" s="3"/>
      <c r="M97" s="3"/>
      <c r="N97" s="3"/>
      <c r="O97" s="261" t="e">
        <f aca="false">IF(O96+1&lt;=MIN('Données projet'!$E$9:$E$18),O96+1,"STOP")</f>
        <v>#VALUE!</v>
      </c>
      <c r="P97" s="262" t="e">
        <f aca="false">$P$25/(1+$M$4)^O97</f>
        <v>#VALUE!</v>
      </c>
      <c r="Q97" s="236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</row>
    <row r="98" customFormat="false" ht="14.25" hidden="false" customHeight="false" outlineLevel="0" collapsed="false">
      <c r="A98" s="248" t="n">
        <f aca="false">'Données projet'!A101</f>
        <v>0</v>
      </c>
      <c r="B98" s="249" t="n">
        <f aca="false">'Données projet'!D101</f>
        <v>0</v>
      </c>
      <c r="C98" s="239"/>
      <c r="D98" s="247" t="n">
        <f aca="false">B98*C98</f>
        <v>0</v>
      </c>
      <c r="E98" s="242"/>
      <c r="F98" s="273"/>
      <c r="G98" s="274"/>
      <c r="H98" s="238"/>
      <c r="I98" s="239"/>
      <c r="J98" s="3"/>
      <c r="K98" s="235"/>
      <c r="L98" s="3"/>
      <c r="M98" s="3"/>
      <c r="N98" s="3"/>
      <c r="O98" s="261" t="e">
        <f aca="false">IF(O97+1&lt;=MIN('Données projet'!$E$9:$E$18),O97+1,"STOP")</f>
        <v>#VALUE!</v>
      </c>
      <c r="P98" s="262" t="e">
        <f aca="false">$P$25/(1+$M$4)^O98</f>
        <v>#VALUE!</v>
      </c>
      <c r="Q98" s="236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</row>
    <row r="99" customFormat="false" ht="14.25" hidden="false" customHeight="false" outlineLevel="0" collapsed="false">
      <c r="A99" s="248" t="n">
        <f aca="false">'Données projet'!A102</f>
        <v>0</v>
      </c>
      <c r="B99" s="249" t="n">
        <f aca="false">'Données projet'!D102</f>
        <v>0</v>
      </c>
      <c r="C99" s="239"/>
      <c r="D99" s="247" t="n">
        <f aca="false">B99*C99</f>
        <v>0</v>
      </c>
      <c r="E99" s="242"/>
      <c r="F99" s="273"/>
      <c r="G99" s="274"/>
      <c r="H99" s="238"/>
      <c r="I99" s="239"/>
      <c r="J99" s="3"/>
      <c r="K99" s="235"/>
      <c r="L99" s="3"/>
      <c r="M99" s="3"/>
      <c r="N99" s="3"/>
      <c r="O99" s="261" t="e">
        <f aca="false">IF(O98+1&lt;=MIN('Données projet'!$E$9:$E$18),O98+1,"STOP")</f>
        <v>#VALUE!</v>
      </c>
      <c r="P99" s="262" t="e">
        <f aca="false">$P$25/(1+$M$4)^O99</f>
        <v>#VALUE!</v>
      </c>
      <c r="Q99" s="236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</row>
    <row r="100" customFormat="false" ht="14.25" hidden="false" customHeight="false" outlineLevel="0" collapsed="false">
      <c r="A100" s="248" t="n">
        <f aca="false">'Données projet'!A103</f>
        <v>0</v>
      </c>
      <c r="B100" s="249" t="n">
        <f aca="false">'Données projet'!D103</f>
        <v>0</v>
      </c>
      <c r="C100" s="239"/>
      <c r="D100" s="247" t="n">
        <f aca="false">B100*C100</f>
        <v>0</v>
      </c>
      <c r="E100" s="242"/>
      <c r="F100" s="273"/>
      <c r="G100" s="274"/>
      <c r="H100" s="238"/>
      <c r="I100" s="239"/>
      <c r="J100" s="3"/>
      <c r="K100" s="235"/>
      <c r="L100" s="3"/>
      <c r="M100" s="3"/>
      <c r="N100" s="3"/>
      <c r="O100" s="261" t="e">
        <f aca="false">IF(O99+1&lt;=MIN('Données projet'!$E$9:$E$18),O99+1,"STOP")</f>
        <v>#VALUE!</v>
      </c>
      <c r="P100" s="262" t="e">
        <f aca="false">$P$25/(1+$M$4)^O100</f>
        <v>#VALUE!</v>
      </c>
      <c r="Q100" s="236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</row>
    <row r="101" customFormat="false" ht="14.25" hidden="false" customHeight="false" outlineLevel="0" collapsed="false">
      <c r="A101" s="248" t="n">
        <f aca="false">'Données projet'!A104</f>
        <v>0</v>
      </c>
      <c r="B101" s="249" t="n">
        <f aca="false">'Données projet'!D104</f>
        <v>0</v>
      </c>
      <c r="C101" s="239"/>
      <c r="D101" s="247" t="n">
        <f aca="false">B101*C101</f>
        <v>0</v>
      </c>
      <c r="E101" s="242"/>
      <c r="F101" s="273"/>
      <c r="G101" s="274"/>
      <c r="H101" s="238"/>
      <c r="I101" s="239"/>
      <c r="J101" s="3"/>
      <c r="K101" s="235"/>
      <c r="L101" s="3"/>
      <c r="M101" s="3"/>
      <c r="N101" s="3"/>
      <c r="O101" s="261" t="e">
        <f aca="false">IF(O100+1&lt;=MIN('Données projet'!$E$9:$E$18),O100+1,"STOP")</f>
        <v>#VALUE!</v>
      </c>
      <c r="P101" s="262" t="e">
        <f aca="false">$P$25/(1+$M$4)^O101</f>
        <v>#VALUE!</v>
      </c>
      <c r="Q101" s="236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</row>
    <row r="102" customFormat="false" ht="14.25" hidden="false" customHeight="false" outlineLevel="0" collapsed="false">
      <c r="A102" s="248" t="n">
        <f aca="false">'Données projet'!A105</f>
        <v>0</v>
      </c>
      <c r="B102" s="249" t="n">
        <f aca="false">'Données projet'!D105</f>
        <v>0</v>
      </c>
      <c r="C102" s="239"/>
      <c r="D102" s="247" t="n">
        <f aca="false">B102*C102</f>
        <v>0</v>
      </c>
      <c r="E102" s="242"/>
      <c r="F102" s="273"/>
      <c r="G102" s="274"/>
      <c r="H102" s="238"/>
      <c r="I102" s="239"/>
      <c r="J102" s="3"/>
      <c r="K102" s="235"/>
      <c r="L102" s="3"/>
      <c r="M102" s="3"/>
      <c r="N102" s="3"/>
      <c r="O102" s="261" t="e">
        <f aca="false">IF(O101+1&lt;=MIN('Données projet'!$E$9:$E$18),O101+1,"STOP")</f>
        <v>#VALUE!</v>
      </c>
      <c r="P102" s="262" t="e">
        <f aca="false">$P$25/(1+$M$4)^O102</f>
        <v>#VALUE!</v>
      </c>
      <c r="Q102" s="236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</row>
    <row r="103" customFormat="false" ht="14.25" hidden="false" customHeight="false" outlineLevel="0" collapsed="false">
      <c r="A103" s="248" t="n">
        <f aca="false">'Données projet'!A106</f>
        <v>0</v>
      </c>
      <c r="B103" s="249" t="n">
        <f aca="false">'Données projet'!D106</f>
        <v>0</v>
      </c>
      <c r="C103" s="239"/>
      <c r="D103" s="247" t="n">
        <f aca="false">B103*C103</f>
        <v>0</v>
      </c>
      <c r="E103" s="242"/>
      <c r="F103" s="273"/>
      <c r="G103" s="274"/>
      <c r="H103" s="238"/>
      <c r="I103" s="239"/>
      <c r="J103" s="3"/>
      <c r="K103" s="235"/>
      <c r="L103" s="3"/>
      <c r="M103" s="3"/>
      <c r="N103" s="3"/>
      <c r="O103" s="261" t="e">
        <f aca="false">IF(O102+1&lt;=MIN('Données projet'!$E$9:$E$18),O102+1,"STOP")</f>
        <v>#VALUE!</v>
      </c>
      <c r="P103" s="262" t="e">
        <f aca="false">$P$25/(1+$M$4)^O103</f>
        <v>#VALUE!</v>
      </c>
      <c r="Q103" s="236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</row>
    <row r="104" customFormat="false" ht="14.25" hidden="false" customHeight="false" outlineLevel="0" collapsed="false">
      <c r="A104" s="248" t="n">
        <f aca="false">'Données projet'!A107</f>
        <v>0</v>
      </c>
      <c r="B104" s="249" t="n">
        <f aca="false">'Données projet'!D107</f>
        <v>0</v>
      </c>
      <c r="C104" s="239"/>
      <c r="D104" s="247" t="n">
        <f aca="false">B104*C104</f>
        <v>0</v>
      </c>
      <c r="E104" s="242"/>
      <c r="F104" s="273"/>
      <c r="G104" s="274"/>
      <c r="H104" s="238"/>
      <c r="I104" s="239"/>
      <c r="J104" s="3"/>
      <c r="K104" s="235"/>
      <c r="L104" s="3"/>
      <c r="M104" s="3"/>
      <c r="N104" s="3"/>
      <c r="O104" s="261" t="e">
        <f aca="false">IF(O103+1&lt;=MIN('Données projet'!$E$9:$E$18),O103+1,"STOP")</f>
        <v>#VALUE!</v>
      </c>
      <c r="P104" s="262" t="e">
        <f aca="false">$P$25/(1+$M$4)^O104</f>
        <v>#VALUE!</v>
      </c>
      <c r="Q104" s="236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</row>
    <row r="105" customFormat="false" ht="14.25" hidden="false" customHeight="false" outlineLevel="0" collapsed="false">
      <c r="A105" s="3"/>
      <c r="B105" s="3"/>
      <c r="C105" s="3"/>
      <c r="D105" s="3"/>
      <c r="E105" s="3"/>
      <c r="F105" s="228"/>
      <c r="G105" s="274"/>
      <c r="H105" s="238"/>
      <c r="I105" s="239"/>
      <c r="J105" s="3"/>
      <c r="K105" s="235"/>
      <c r="L105" s="3"/>
      <c r="M105" s="3"/>
      <c r="N105" s="3"/>
      <c r="O105" s="261" t="e">
        <f aca="false">IF(O104+1&lt;=MIN('Données projet'!$E$9:$E$18),O104+1,"STOP")</f>
        <v>#VALUE!</v>
      </c>
      <c r="P105" s="262" t="e">
        <f aca="false">$P$25/(1+$M$4)^O105</f>
        <v>#VALUE!</v>
      </c>
      <c r="Q105" s="236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</row>
    <row r="106" customFormat="false" ht="14.25" hidden="false" customHeight="false" outlineLevel="0" collapsed="false">
      <c r="A106" s="3"/>
      <c r="B106" s="3"/>
      <c r="C106" s="3"/>
      <c r="D106" s="3"/>
      <c r="E106" s="3"/>
      <c r="F106" s="228"/>
      <c r="G106" s="274"/>
      <c r="H106" s="238"/>
      <c r="I106" s="239"/>
      <c r="J106" s="3"/>
      <c r="K106" s="235"/>
      <c r="L106" s="3"/>
      <c r="M106" s="3"/>
      <c r="N106" s="3"/>
      <c r="O106" s="261" t="e">
        <f aca="false">IF(O105+1&lt;=MIN('Données projet'!$E$9:$E$18),O105+1,"STOP")</f>
        <v>#VALUE!</v>
      </c>
      <c r="P106" s="262" t="e">
        <f aca="false">$P$25/(1+$M$4)^O106</f>
        <v>#VALUE!</v>
      </c>
      <c r="Q106" s="236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</row>
    <row r="107" customFormat="false" ht="14.25" hidden="false" customHeight="false" outlineLevel="0" collapsed="false">
      <c r="A107" s="52" t="s">
        <v>22</v>
      </c>
      <c r="B107" s="233" t="str">
        <f aca="false">IF('Données projet'!B12="","",'Données projet'!B12)</f>
        <v>Mélèze d'Europe</v>
      </c>
      <c r="C107" s="3"/>
      <c r="D107" s="3"/>
      <c r="E107" s="3"/>
      <c r="F107" s="228"/>
      <c r="G107" s="274"/>
      <c r="H107" s="238"/>
      <c r="I107" s="239"/>
      <c r="J107" s="3"/>
      <c r="K107" s="235"/>
      <c r="L107" s="3"/>
      <c r="M107" s="3"/>
      <c r="N107" s="3"/>
      <c r="O107" s="261" t="e">
        <f aca="false">IF(O106+1&lt;=MIN('Données projet'!$E$9:$E$18),O106+1,"STOP")</f>
        <v>#VALUE!</v>
      </c>
      <c r="P107" s="262" t="e">
        <f aca="false">$P$25/(1+$M$4)^O107</f>
        <v>#VALUE!</v>
      </c>
      <c r="Q107" s="236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</row>
    <row r="108" customFormat="false" ht="14.25" hidden="false" customHeight="false" outlineLevel="0" collapsed="false">
      <c r="A108" s="3"/>
      <c r="B108" s="3"/>
      <c r="C108" s="3"/>
      <c r="D108" s="3"/>
      <c r="E108" s="3"/>
      <c r="F108" s="228"/>
      <c r="G108" s="274"/>
      <c r="H108" s="238"/>
      <c r="I108" s="239"/>
      <c r="J108" s="3"/>
      <c r="K108" s="235"/>
      <c r="L108" s="3"/>
      <c r="M108" s="3"/>
      <c r="N108" s="3"/>
      <c r="O108" s="261" t="e">
        <f aca="false">IF(O107+1&lt;=MIN('Données projet'!$E$9:$E$18),O107+1,"STOP")</f>
        <v>#VALUE!</v>
      </c>
      <c r="P108" s="262" t="e">
        <f aca="false">$P$25/(1+$M$4)^O108</f>
        <v>#VALUE!</v>
      </c>
      <c r="Q108" s="236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</row>
    <row r="109" customFormat="false" ht="14.25" hidden="false" customHeight="false" outlineLevel="0" collapsed="false">
      <c r="A109" s="32" t="s">
        <v>50</v>
      </c>
      <c r="B109" s="57" t="s">
        <v>307</v>
      </c>
      <c r="C109" s="57" t="s">
        <v>308</v>
      </c>
      <c r="D109" s="32" t="s">
        <v>309</v>
      </c>
      <c r="E109" s="32" t="s">
        <v>310</v>
      </c>
      <c r="F109" s="269"/>
      <c r="G109" s="274"/>
      <c r="H109" s="238"/>
      <c r="I109" s="239"/>
      <c r="J109" s="3"/>
      <c r="K109" s="235"/>
      <c r="L109" s="3"/>
      <c r="M109" s="3"/>
      <c r="N109" s="3"/>
      <c r="O109" s="261" t="e">
        <f aca="false">IF(O108+1&lt;=MIN('Données projet'!$E$9:$E$18),O108+1,"STOP")</f>
        <v>#VALUE!</v>
      </c>
      <c r="P109" s="262" t="e">
        <f aca="false">$P$25/(1+$M$4)^O109</f>
        <v>#VALUE!</v>
      </c>
      <c r="Q109" s="236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</row>
    <row r="110" customFormat="false" ht="14.25" hidden="false" customHeight="false" outlineLevel="0" collapsed="false">
      <c r="A110" s="62" t="n">
        <v>0</v>
      </c>
      <c r="B110" s="241" t="s">
        <v>194</v>
      </c>
      <c r="C110" s="242" t="s">
        <v>194</v>
      </c>
      <c r="D110" s="243" t="s">
        <v>194</v>
      </c>
      <c r="E110" s="242" t="n">
        <f aca="false">1300*(0.98+0.45)</f>
        <v>1859</v>
      </c>
      <c r="F110" s="269"/>
      <c r="G110" s="274"/>
      <c r="H110" s="238"/>
      <c r="I110" s="239"/>
      <c r="J110" s="3"/>
      <c r="K110" s="235"/>
      <c r="L110" s="3"/>
      <c r="M110" s="3"/>
      <c r="N110" s="3"/>
      <c r="O110" s="261" t="e">
        <f aca="false">IF(O109+1&lt;=MIN('Données projet'!$E$9:$E$18),O109+1,"STOP")</f>
        <v>#VALUE!</v>
      </c>
      <c r="P110" s="262" t="e">
        <f aca="false">$P$25/(1+$M$4)^O110</f>
        <v>#VALUE!</v>
      </c>
      <c r="Q110" s="236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</row>
    <row r="111" customFormat="false" ht="14.25" hidden="false" customHeight="false" outlineLevel="0" collapsed="false">
      <c r="A111" s="62" t="n">
        <v>1</v>
      </c>
      <c r="B111" s="241" t="s">
        <v>194</v>
      </c>
      <c r="C111" s="242" t="s">
        <v>194</v>
      </c>
      <c r="D111" s="243" t="s">
        <v>194</v>
      </c>
      <c r="E111" s="242"/>
      <c r="F111" s="269"/>
      <c r="G111" s="2"/>
      <c r="H111" s="238"/>
      <c r="I111" s="239"/>
      <c r="J111" s="3"/>
      <c r="K111" s="235"/>
      <c r="L111" s="3"/>
      <c r="M111" s="3"/>
      <c r="N111" s="3"/>
      <c r="O111" s="261" t="e">
        <f aca="false">IF(O110+1&lt;=MIN('Données projet'!$E$9:$E$18),O110+1,"STOP")</f>
        <v>#VALUE!</v>
      </c>
      <c r="P111" s="262" t="e">
        <f aca="false">$P$25/(1+$M$4)^O111</f>
        <v>#VALUE!</v>
      </c>
      <c r="Q111" s="236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</row>
    <row r="112" customFormat="false" ht="14.25" hidden="false" customHeight="false" outlineLevel="0" collapsed="false">
      <c r="A112" s="62" t="n">
        <v>2</v>
      </c>
      <c r="B112" s="241" t="s">
        <v>194</v>
      </c>
      <c r="C112" s="242" t="s">
        <v>194</v>
      </c>
      <c r="D112" s="243" t="s">
        <v>194</v>
      </c>
      <c r="E112" s="242"/>
      <c r="F112" s="269"/>
      <c r="G112" s="2"/>
      <c r="H112" s="238"/>
      <c r="I112" s="239"/>
      <c r="J112" s="3"/>
      <c r="K112" s="235"/>
      <c r="L112" s="3"/>
      <c r="M112" s="3"/>
      <c r="N112" s="3"/>
      <c r="O112" s="261" t="e">
        <f aca="false">IF(O111+1&lt;=MIN('Données projet'!$E$9:$E$18),O111+1,"STOP")</f>
        <v>#VALUE!</v>
      </c>
      <c r="P112" s="262" t="e">
        <f aca="false">$P$25/(1+$M$4)^O112</f>
        <v>#VALUE!</v>
      </c>
      <c r="Q112" s="236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</row>
    <row r="113" customFormat="false" ht="14.25" hidden="false" customHeight="false" outlineLevel="0" collapsed="false">
      <c r="A113" s="62" t="n">
        <v>3</v>
      </c>
      <c r="B113" s="241" t="s">
        <v>194</v>
      </c>
      <c r="C113" s="242" t="s">
        <v>194</v>
      </c>
      <c r="D113" s="243" t="s">
        <v>194</v>
      </c>
      <c r="E113" s="242"/>
      <c r="F113" s="269"/>
      <c r="G113" s="2"/>
      <c r="H113" s="238"/>
      <c r="I113" s="239"/>
      <c r="J113" s="3"/>
      <c r="K113" s="235"/>
      <c r="L113" s="3"/>
      <c r="M113" s="3"/>
      <c r="N113" s="3"/>
      <c r="O113" s="261" t="e">
        <f aca="false">IF(O112+1&lt;=MIN('Données projet'!$E$9:$E$18),O112+1,"STOP")</f>
        <v>#VALUE!</v>
      </c>
      <c r="P113" s="262" t="e">
        <f aca="false">$P$25/(1+$M$4)^O113</f>
        <v>#VALUE!</v>
      </c>
      <c r="Q113" s="236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</row>
    <row r="114" customFormat="false" ht="14.25" hidden="false" customHeight="false" outlineLevel="0" collapsed="false">
      <c r="A114" s="62" t="n">
        <v>4</v>
      </c>
      <c r="B114" s="241" t="s">
        <v>194</v>
      </c>
      <c r="C114" s="242" t="s">
        <v>194</v>
      </c>
      <c r="D114" s="243" t="s">
        <v>194</v>
      </c>
      <c r="E114" s="242"/>
      <c r="F114" s="269"/>
      <c r="G114" s="2"/>
      <c r="H114" s="238"/>
      <c r="I114" s="239"/>
      <c r="J114" s="3"/>
      <c r="K114" s="235"/>
      <c r="L114" s="3"/>
      <c r="M114" s="3"/>
      <c r="N114" s="3"/>
      <c r="O114" s="261" t="e">
        <f aca="false">IF(O113+1&lt;=MIN('Données projet'!$E$9:$E$18),O113+1,"STOP")</f>
        <v>#VALUE!</v>
      </c>
      <c r="P114" s="262" t="e">
        <f aca="false">$P$25/(1+$M$4)^O114</f>
        <v>#VALUE!</v>
      </c>
      <c r="Q114" s="236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</row>
    <row r="115" customFormat="false" ht="16.5" hidden="false" customHeight="true" outlineLevel="0" collapsed="false">
      <c r="A115" s="62" t="n">
        <v>5</v>
      </c>
      <c r="B115" s="241" t="s">
        <v>194</v>
      </c>
      <c r="C115" s="242" t="s">
        <v>194</v>
      </c>
      <c r="D115" s="243" t="s">
        <v>194</v>
      </c>
      <c r="E115" s="242"/>
      <c r="F115" s="269"/>
      <c r="G115" s="16"/>
      <c r="H115" s="238"/>
      <c r="I115" s="239"/>
      <c r="J115" s="3"/>
      <c r="K115" s="235"/>
      <c r="L115" s="3"/>
      <c r="M115" s="3"/>
      <c r="N115" s="3"/>
      <c r="O115" s="261" t="e">
        <f aca="false">IF(O114+1&lt;=MIN('Données projet'!$E$9:$E$18),O114+1,"STOP")</f>
        <v>#VALUE!</v>
      </c>
      <c r="P115" s="262" t="e">
        <f aca="false">$P$25/(1+$M$4)^O115</f>
        <v>#VALUE!</v>
      </c>
      <c r="Q115" s="236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</row>
    <row r="116" customFormat="false" ht="16.5" hidden="false" customHeight="true" outlineLevel="0" collapsed="false">
      <c r="A116" s="248" t="n">
        <f aca="false">'Données projet'!A114</f>
        <v>18</v>
      </c>
      <c r="B116" s="249" t="n">
        <f aca="false">'Données projet'!D114</f>
        <v>20</v>
      </c>
      <c r="C116" s="239" t="n">
        <v>2</v>
      </c>
      <c r="D116" s="247" t="n">
        <f aca="false">B116*C116</f>
        <v>40</v>
      </c>
      <c r="E116" s="242"/>
      <c r="F116" s="273"/>
      <c r="G116" s="16"/>
      <c r="H116" s="238"/>
      <c r="I116" s="239"/>
      <c r="J116" s="3"/>
      <c r="K116" s="235"/>
      <c r="L116" s="3"/>
      <c r="M116" s="3"/>
      <c r="N116" s="3"/>
      <c r="O116" s="261" t="e">
        <f aca="false">IF(O115+1&lt;=MIN('Données projet'!$E$9:$E$18),O115+1,"STOP")</f>
        <v>#VALUE!</v>
      </c>
      <c r="P116" s="262" t="e">
        <f aca="false">$P$25/(1+$M$4)^O116</f>
        <v>#VALUE!</v>
      </c>
      <c r="Q116" s="236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</row>
    <row r="117" customFormat="false" ht="16.5" hidden="false" customHeight="true" outlineLevel="0" collapsed="false">
      <c r="A117" s="248" t="n">
        <f aca="false">'Données projet'!A115</f>
        <v>21</v>
      </c>
      <c r="B117" s="249" t="n">
        <f aca="false">'Données projet'!D115</f>
        <v>26</v>
      </c>
      <c r="C117" s="239" t="n">
        <v>2</v>
      </c>
      <c r="D117" s="247" t="n">
        <f aca="false">B117*C117</f>
        <v>52</v>
      </c>
      <c r="E117" s="242"/>
      <c r="F117" s="273"/>
      <c r="G117" s="16"/>
      <c r="H117" s="238"/>
      <c r="I117" s="239"/>
      <c r="J117" s="3"/>
      <c r="K117" s="235"/>
      <c r="L117" s="3"/>
      <c r="M117" s="3"/>
      <c r="N117" s="3"/>
      <c r="O117" s="261" t="e">
        <f aca="false">IF(O116+1&lt;=MIN('Données projet'!$E$9:$E$18),O116+1,"STOP")</f>
        <v>#VALUE!</v>
      </c>
      <c r="P117" s="262" t="e">
        <f aca="false">$P$25/(1+$M$4)^O117</f>
        <v>#VALUE!</v>
      </c>
      <c r="Q117" s="236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</row>
    <row r="118" customFormat="false" ht="16.5" hidden="false" customHeight="true" outlineLevel="0" collapsed="false">
      <c r="A118" s="248" t="n">
        <f aca="false">'Données projet'!A116</f>
        <v>24</v>
      </c>
      <c r="B118" s="249" t="n">
        <f aca="false">'Données projet'!D116</f>
        <v>29</v>
      </c>
      <c r="C118" s="239" t="n">
        <v>2</v>
      </c>
      <c r="D118" s="247" t="n">
        <f aca="false">B118*C118</f>
        <v>58</v>
      </c>
      <c r="E118" s="242"/>
      <c r="F118" s="273"/>
      <c r="G118" s="16"/>
      <c r="H118" s="238"/>
      <c r="I118" s="239"/>
      <c r="J118" s="3"/>
      <c r="K118" s="235"/>
      <c r="L118" s="3"/>
      <c r="M118" s="3"/>
      <c r="N118" s="3"/>
      <c r="O118" s="261" t="e">
        <f aca="false">IF(O117+1&lt;=MIN('Données projet'!$E$9:$E$18),O117+1,"STOP")</f>
        <v>#VALUE!</v>
      </c>
      <c r="P118" s="262" t="e">
        <f aca="false">$P$25/(1+$M$4)^O118</f>
        <v>#VALUE!</v>
      </c>
      <c r="Q118" s="236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</row>
    <row r="119" customFormat="false" ht="16.5" hidden="false" customHeight="true" outlineLevel="0" collapsed="false">
      <c r="A119" s="248" t="n">
        <f aca="false">'Données projet'!A117</f>
        <v>30</v>
      </c>
      <c r="B119" s="249" t="n">
        <f aca="false">'Données projet'!D117</f>
        <v>53</v>
      </c>
      <c r="C119" s="239" t="n">
        <v>4.48</v>
      </c>
      <c r="D119" s="247" t="n">
        <f aca="false">B119*C119</f>
        <v>237.44</v>
      </c>
      <c r="E119" s="242"/>
      <c r="F119" s="273"/>
      <c r="G119" s="16"/>
      <c r="H119" s="238"/>
      <c r="I119" s="239"/>
      <c r="J119" s="3"/>
      <c r="K119" s="235"/>
      <c r="L119" s="3"/>
      <c r="M119" s="3"/>
      <c r="N119" s="3"/>
      <c r="O119" s="261" t="e">
        <f aca="false">IF(O118+1&lt;=MIN('Données projet'!$E$9:$E$18),O118+1,"STOP")</f>
        <v>#VALUE!</v>
      </c>
      <c r="P119" s="262" t="e">
        <f aca="false">$P$25/(1+$M$4)^O119</f>
        <v>#VALUE!</v>
      </c>
      <c r="Q119" s="236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</row>
    <row r="120" customFormat="false" ht="16.5" hidden="false" customHeight="true" outlineLevel="0" collapsed="false">
      <c r="A120" s="248" t="n">
        <f aca="false">'Données projet'!A118</f>
        <v>36</v>
      </c>
      <c r="B120" s="249" t="n">
        <f aca="false">'Données projet'!D118</f>
        <v>62</v>
      </c>
      <c r="C120" s="239" t="n">
        <v>15</v>
      </c>
      <c r="D120" s="247" t="n">
        <f aca="false">B120*C120</f>
        <v>930</v>
      </c>
      <c r="E120" s="242"/>
      <c r="F120" s="273"/>
      <c r="G120" s="16"/>
      <c r="H120" s="238"/>
      <c r="I120" s="239"/>
      <c r="J120" s="3"/>
      <c r="K120" s="235"/>
      <c r="L120" s="3"/>
      <c r="M120" s="3"/>
      <c r="N120" s="3"/>
      <c r="O120" s="261" t="e">
        <f aca="false">IF(O119+1&lt;=MIN('Données projet'!$E$9:$E$18),O119+1,"STOP")</f>
        <v>#VALUE!</v>
      </c>
      <c r="P120" s="262" t="e">
        <f aca="false">$P$25/(1+$M$4)^O120</f>
        <v>#VALUE!</v>
      </c>
      <c r="Q120" s="236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</row>
    <row r="121" customFormat="false" ht="16.5" hidden="false" customHeight="true" outlineLevel="0" collapsed="false">
      <c r="A121" s="248" t="n">
        <f aca="false">'Données projet'!A119</f>
        <v>42</v>
      </c>
      <c r="B121" s="249" t="n">
        <f aca="false">'Données projet'!D119</f>
        <v>67</v>
      </c>
      <c r="C121" s="239" t="n">
        <v>26.7</v>
      </c>
      <c r="D121" s="247" t="n">
        <f aca="false">B121*C121</f>
        <v>1788.9</v>
      </c>
      <c r="E121" s="242"/>
      <c r="F121" s="273"/>
      <c r="G121" s="16"/>
      <c r="H121" s="238"/>
      <c r="I121" s="239"/>
      <c r="J121" s="3"/>
      <c r="K121" s="235"/>
      <c r="L121" s="3"/>
      <c r="M121" s="3"/>
      <c r="N121" s="3"/>
      <c r="O121" s="261" t="e">
        <f aca="false">IF(O120+1&lt;=MIN('Données projet'!$E$9:$E$18),O120+1,"STOP")</f>
        <v>#VALUE!</v>
      </c>
      <c r="P121" s="262" t="e">
        <f aca="false">$P$25/(1+$M$4)^O121</f>
        <v>#VALUE!</v>
      </c>
      <c r="Q121" s="236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</row>
    <row r="122" customFormat="false" ht="14.25" hidden="false" customHeight="false" outlineLevel="0" collapsed="false">
      <c r="A122" s="248" t="n">
        <f aca="false">'Données projet'!A120</f>
        <v>48</v>
      </c>
      <c r="B122" s="249" t="n">
        <f aca="false">'Données projet'!D120</f>
        <v>65</v>
      </c>
      <c r="C122" s="239" t="n">
        <v>42</v>
      </c>
      <c r="D122" s="247" t="n">
        <f aca="false">B122*C122</f>
        <v>2730</v>
      </c>
      <c r="E122" s="242"/>
      <c r="F122" s="273"/>
      <c r="G122" s="274"/>
      <c r="H122" s="238"/>
      <c r="I122" s="239"/>
      <c r="J122" s="3"/>
      <c r="K122" s="235"/>
      <c r="L122" s="3"/>
      <c r="M122" s="3"/>
      <c r="N122" s="3"/>
      <c r="O122" s="261" t="e">
        <f aca="false">IF(O121+1&lt;=MIN('Données projet'!$E$9:$E$18),O121+1,"STOP")</f>
        <v>#VALUE!</v>
      </c>
      <c r="P122" s="262" t="e">
        <f aca="false">$P$25/(1+$M$4)^O122</f>
        <v>#VALUE!</v>
      </c>
      <c r="Q122" s="236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</row>
    <row r="123" customFormat="false" ht="14.25" hidden="false" customHeight="false" outlineLevel="0" collapsed="false">
      <c r="A123" s="248" t="n">
        <f aca="false">'Données projet'!A121</f>
        <v>60</v>
      </c>
      <c r="B123" s="249" t="n">
        <f aca="false">'Données projet'!D121</f>
        <v>304</v>
      </c>
      <c r="C123" s="239" t="n">
        <v>46</v>
      </c>
      <c r="D123" s="247" t="n">
        <f aca="false">B123*C123</f>
        <v>13984</v>
      </c>
      <c r="E123" s="242"/>
      <c r="F123" s="273"/>
      <c r="G123" s="274"/>
      <c r="H123" s="238"/>
      <c r="I123" s="239"/>
      <c r="J123" s="3"/>
      <c r="K123" s="235"/>
      <c r="L123" s="3"/>
      <c r="M123" s="3"/>
      <c r="N123" s="3"/>
      <c r="O123" s="261" t="e">
        <f aca="false">IF(O122+1&lt;=MIN('Données projet'!$E$9:$E$18),O122+1,"STOP")</f>
        <v>#VALUE!</v>
      </c>
      <c r="P123" s="262" t="e">
        <f aca="false">$P$25/(1+$M$4)^O123</f>
        <v>#VALUE!</v>
      </c>
      <c r="Q123" s="236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</row>
    <row r="124" customFormat="false" ht="14.25" hidden="false" customHeight="false" outlineLevel="0" collapsed="false">
      <c r="A124" s="248" t="n">
        <f aca="false">'Données projet'!A122</f>
        <v>0</v>
      </c>
      <c r="B124" s="249" t="n">
        <f aca="false">'Données projet'!D122</f>
        <v>0</v>
      </c>
      <c r="C124" s="239"/>
      <c r="D124" s="247" t="n">
        <f aca="false">B124*C124</f>
        <v>0</v>
      </c>
      <c r="E124" s="242"/>
      <c r="F124" s="273"/>
      <c r="G124" s="274"/>
      <c r="H124" s="238"/>
      <c r="I124" s="239"/>
      <c r="J124" s="3"/>
      <c r="K124" s="235"/>
      <c r="L124" s="3"/>
      <c r="M124" s="3"/>
      <c r="N124" s="3"/>
      <c r="O124" s="261" t="e">
        <f aca="false">IF(O123+1&lt;=MIN('Données projet'!$E$9:$E$18),O123+1,"STOP")</f>
        <v>#VALUE!</v>
      </c>
      <c r="P124" s="262" t="e">
        <f aca="false">$P$25/(1+$M$4)^O124</f>
        <v>#VALUE!</v>
      </c>
      <c r="Q124" s="236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</row>
    <row r="125" customFormat="false" ht="14.25" hidden="false" customHeight="false" outlineLevel="0" collapsed="false">
      <c r="A125" s="248" t="n">
        <f aca="false">'Données projet'!A123</f>
        <v>0</v>
      </c>
      <c r="B125" s="249" t="n">
        <f aca="false">'Données projet'!D123</f>
        <v>0</v>
      </c>
      <c r="C125" s="239"/>
      <c r="D125" s="247" t="n">
        <f aca="false">B125*C125</f>
        <v>0</v>
      </c>
      <c r="E125" s="242"/>
      <c r="F125" s="273"/>
      <c r="G125" s="274"/>
      <c r="H125" s="238"/>
      <c r="I125" s="239"/>
      <c r="J125" s="3"/>
      <c r="K125" s="235"/>
      <c r="L125" s="3"/>
      <c r="M125" s="3"/>
      <c r="N125" s="3"/>
      <c r="O125" s="261" t="e">
        <f aca="false">IF(O124+1&lt;=MIN('Données projet'!$E$9:$E$18),O124+1,"STOP")</f>
        <v>#VALUE!</v>
      </c>
      <c r="P125" s="262" t="e">
        <f aca="false">$P$25/(1+$M$4)^O125</f>
        <v>#VALUE!</v>
      </c>
      <c r="Q125" s="236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</row>
    <row r="126" customFormat="false" ht="14.25" hidden="false" customHeight="false" outlineLevel="0" collapsed="false">
      <c r="A126" s="248" t="n">
        <f aca="false">'Données projet'!A124</f>
        <v>0</v>
      </c>
      <c r="B126" s="249" t="n">
        <f aca="false">'Données projet'!D124</f>
        <v>0</v>
      </c>
      <c r="C126" s="239"/>
      <c r="D126" s="247" t="n">
        <f aca="false">B126*C126</f>
        <v>0</v>
      </c>
      <c r="E126" s="242"/>
      <c r="F126" s="273"/>
      <c r="G126" s="274"/>
      <c r="H126" s="238"/>
      <c r="I126" s="239"/>
      <c r="J126" s="3"/>
      <c r="K126" s="235"/>
      <c r="L126" s="3"/>
      <c r="M126" s="3"/>
      <c r="N126" s="3"/>
      <c r="O126" s="261" t="e">
        <f aca="false">IF(O125+1&lt;=MIN('Données projet'!$E$9:$E$18),O125+1,"STOP")</f>
        <v>#VALUE!</v>
      </c>
      <c r="P126" s="262" t="e">
        <f aca="false">$P$25/(1+$M$4)^O126</f>
        <v>#VALUE!</v>
      </c>
      <c r="Q126" s="236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</row>
    <row r="127" customFormat="false" ht="14.25" hidden="false" customHeight="false" outlineLevel="0" collapsed="false">
      <c r="A127" s="248" t="n">
        <f aca="false">'Données projet'!A125</f>
        <v>0</v>
      </c>
      <c r="B127" s="249" t="n">
        <f aca="false">'Données projet'!D125</f>
        <v>0</v>
      </c>
      <c r="C127" s="239"/>
      <c r="D127" s="247" t="n">
        <f aca="false">B127*C127</f>
        <v>0</v>
      </c>
      <c r="E127" s="242"/>
      <c r="F127" s="273"/>
      <c r="G127" s="274"/>
      <c r="H127" s="238"/>
      <c r="I127" s="239"/>
      <c r="J127" s="3"/>
      <c r="K127" s="235"/>
      <c r="L127" s="3"/>
      <c r="M127" s="3"/>
      <c r="N127" s="3"/>
      <c r="O127" s="261" t="e">
        <f aca="false">IF(O126+1&lt;=MIN('Données projet'!$E$9:$E$18),O126+1,"STOP")</f>
        <v>#VALUE!</v>
      </c>
      <c r="P127" s="262" t="e">
        <f aca="false">$P$25/(1+$M$4)^O127</f>
        <v>#VALUE!</v>
      </c>
      <c r="Q127" s="236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</row>
    <row r="128" customFormat="false" ht="14.25" hidden="false" customHeight="false" outlineLevel="0" collapsed="false">
      <c r="A128" s="248" t="n">
        <f aca="false">'Données projet'!A126</f>
        <v>0</v>
      </c>
      <c r="B128" s="249" t="n">
        <f aca="false">'Données projet'!D126</f>
        <v>0</v>
      </c>
      <c r="C128" s="239"/>
      <c r="D128" s="247" t="n">
        <f aca="false">B128*C128</f>
        <v>0</v>
      </c>
      <c r="E128" s="242"/>
      <c r="F128" s="273"/>
      <c r="G128" s="274"/>
      <c r="H128" s="238"/>
      <c r="I128" s="239"/>
      <c r="J128" s="3"/>
      <c r="K128" s="235"/>
      <c r="L128" s="3"/>
      <c r="M128" s="3"/>
      <c r="N128" s="3"/>
      <c r="O128" s="261" t="e">
        <f aca="false">IF(O127+1&lt;=MIN('Données projet'!$E$9:$E$18),O127+1,"STOP")</f>
        <v>#VALUE!</v>
      </c>
      <c r="P128" s="262" t="e">
        <f aca="false">$P$25/(1+$M$4)^O128</f>
        <v>#VALUE!</v>
      </c>
      <c r="Q128" s="236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</row>
    <row r="129" customFormat="false" ht="14.25" hidden="false" customHeight="false" outlineLevel="0" collapsed="false">
      <c r="A129" s="248" t="n">
        <f aca="false">'Données projet'!A127</f>
        <v>0</v>
      </c>
      <c r="B129" s="249" t="n">
        <f aca="false">'Données projet'!D127</f>
        <v>0</v>
      </c>
      <c r="C129" s="239"/>
      <c r="D129" s="247" t="n">
        <f aca="false">B129*C129</f>
        <v>0</v>
      </c>
      <c r="E129" s="242"/>
      <c r="F129" s="273"/>
      <c r="G129" s="274"/>
      <c r="H129" s="238"/>
      <c r="I129" s="239"/>
      <c r="J129" s="3"/>
      <c r="K129" s="235"/>
      <c r="L129" s="3"/>
      <c r="M129" s="3"/>
      <c r="N129" s="3"/>
      <c r="O129" s="261" t="e">
        <f aca="false">IF(O128+1&lt;=MIN('Données projet'!$E$9:$E$18),O128+1,"STOP")</f>
        <v>#VALUE!</v>
      </c>
      <c r="P129" s="262" t="e">
        <f aca="false">$P$25/(1+$M$4)^O129</f>
        <v>#VALUE!</v>
      </c>
      <c r="Q129" s="236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</row>
    <row r="130" customFormat="false" ht="14.25" hidden="false" customHeight="false" outlineLevel="0" collapsed="false">
      <c r="A130" s="248" t="n">
        <f aca="false">'Données projet'!A128</f>
        <v>0</v>
      </c>
      <c r="B130" s="249" t="n">
        <f aca="false">'Données projet'!D128</f>
        <v>0</v>
      </c>
      <c r="C130" s="239"/>
      <c r="D130" s="247" t="n">
        <f aca="false">B130*C130</f>
        <v>0</v>
      </c>
      <c r="E130" s="242"/>
      <c r="F130" s="273"/>
      <c r="G130" s="274"/>
      <c r="H130" s="238"/>
      <c r="I130" s="239"/>
      <c r="J130" s="3"/>
      <c r="K130" s="235"/>
      <c r="L130" s="3"/>
      <c r="M130" s="3"/>
      <c r="N130" s="3"/>
      <c r="O130" s="261" t="e">
        <f aca="false">IF(O129+1&lt;=MIN('Données projet'!$E$9:$E$18),O129+1,"STOP")</f>
        <v>#VALUE!</v>
      </c>
      <c r="P130" s="262" t="e">
        <f aca="false">$P$25/(1+$M$4)^O130</f>
        <v>#VALUE!</v>
      </c>
      <c r="Q130" s="236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</row>
    <row r="131" customFormat="false" ht="14.25" hidden="false" customHeight="false" outlineLevel="0" collapsed="false">
      <c r="A131" s="248" t="n">
        <f aca="false">'Données projet'!A129</f>
        <v>0</v>
      </c>
      <c r="B131" s="249" t="n">
        <f aca="false">'Données projet'!D129</f>
        <v>0</v>
      </c>
      <c r="C131" s="239"/>
      <c r="D131" s="247" t="n">
        <f aca="false">B131*C131</f>
        <v>0</v>
      </c>
      <c r="E131" s="242"/>
      <c r="F131" s="273"/>
      <c r="G131" s="274"/>
      <c r="H131" s="238"/>
      <c r="I131" s="239"/>
      <c r="J131" s="3"/>
      <c r="K131" s="235"/>
      <c r="L131" s="3"/>
      <c r="M131" s="3"/>
      <c r="N131" s="3"/>
      <c r="O131" s="261" t="e">
        <f aca="false">IF(O130+1&lt;=MIN('Données projet'!$E$9:$E$18),O130+1,"STOP")</f>
        <v>#VALUE!</v>
      </c>
      <c r="P131" s="262" t="e">
        <f aca="false">$P$25/(1+$M$4)^O131</f>
        <v>#VALUE!</v>
      </c>
      <c r="Q131" s="236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</row>
    <row r="132" customFormat="false" ht="14.25" hidden="false" customHeight="false" outlineLevel="0" collapsed="false">
      <c r="A132" s="248" t="n">
        <f aca="false">'Données projet'!A130</f>
        <v>0</v>
      </c>
      <c r="B132" s="249" t="n">
        <f aca="false">'Données projet'!D130</f>
        <v>0</v>
      </c>
      <c r="C132" s="239"/>
      <c r="D132" s="247" t="n">
        <f aca="false">B132*C132</f>
        <v>0</v>
      </c>
      <c r="E132" s="242"/>
      <c r="F132" s="273"/>
      <c r="G132" s="274"/>
      <c r="H132" s="238"/>
      <c r="I132" s="239"/>
      <c r="J132" s="3"/>
      <c r="K132" s="235"/>
      <c r="L132" s="3"/>
      <c r="M132" s="3"/>
      <c r="N132" s="3"/>
      <c r="O132" s="261" t="e">
        <f aca="false">IF(O131+1&lt;=MIN('Données projet'!$E$9:$E$18),O131+1,"STOP")</f>
        <v>#VALUE!</v>
      </c>
      <c r="P132" s="262" t="e">
        <f aca="false">$P$25/(1+$M$4)^O132</f>
        <v>#VALUE!</v>
      </c>
      <c r="Q132" s="236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</row>
    <row r="133" customFormat="false" ht="14.25" hidden="false" customHeight="false" outlineLevel="0" collapsed="false">
      <c r="A133" s="248" t="n">
        <f aca="false">'Données projet'!A131</f>
        <v>0</v>
      </c>
      <c r="B133" s="249" t="n">
        <f aca="false">'Données projet'!D131</f>
        <v>0</v>
      </c>
      <c r="C133" s="239"/>
      <c r="D133" s="247" t="n">
        <f aca="false">B133*C133</f>
        <v>0</v>
      </c>
      <c r="E133" s="242"/>
      <c r="F133" s="273"/>
      <c r="G133" s="274"/>
      <c r="H133" s="238"/>
      <c r="I133" s="239"/>
      <c r="J133" s="3"/>
      <c r="K133" s="235"/>
      <c r="Q133" s="236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</row>
    <row r="134" customFormat="false" ht="14.25" hidden="false" customHeight="false" outlineLevel="0" collapsed="false">
      <c r="A134" s="248" t="n">
        <f aca="false">'Données projet'!A132</f>
        <v>0</v>
      </c>
      <c r="B134" s="249" t="n">
        <f aca="false">'Données projet'!D132</f>
        <v>0</v>
      </c>
      <c r="C134" s="239"/>
      <c r="D134" s="247" t="n">
        <f aca="false">B134*C134</f>
        <v>0</v>
      </c>
      <c r="E134" s="242"/>
      <c r="F134" s="273"/>
      <c r="G134" s="274"/>
      <c r="H134" s="238"/>
      <c r="I134" s="239"/>
      <c r="J134" s="3"/>
      <c r="K134" s="235"/>
      <c r="Q134" s="236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</row>
    <row r="135" customFormat="false" ht="14.25" hidden="false" customHeight="false" outlineLevel="0" collapsed="false">
      <c r="A135" s="248" t="n">
        <f aca="false">'Données projet'!A133</f>
        <v>0</v>
      </c>
      <c r="B135" s="249" t="n">
        <f aca="false">'Données projet'!D133</f>
        <v>0</v>
      </c>
      <c r="C135" s="239"/>
      <c r="D135" s="247" t="n">
        <f aca="false">B135*C135</f>
        <v>0</v>
      </c>
      <c r="E135" s="242"/>
      <c r="F135" s="273"/>
      <c r="G135" s="274"/>
      <c r="H135" s="238"/>
      <c r="I135" s="239"/>
      <c r="J135" s="3"/>
      <c r="K135" s="235"/>
      <c r="Q135" s="236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</row>
    <row r="136" customFormat="false" ht="14.25" hidden="false" customHeight="false" outlineLevel="0" collapsed="false">
      <c r="A136" s="3"/>
      <c r="B136" s="3"/>
      <c r="C136" s="3"/>
      <c r="D136" s="3"/>
      <c r="E136" s="3"/>
      <c r="F136" s="228"/>
      <c r="G136" s="274"/>
      <c r="H136" s="238"/>
      <c r="I136" s="239"/>
      <c r="J136" s="3"/>
      <c r="K136" s="235"/>
      <c r="L136" s="3"/>
      <c r="M136" s="3"/>
      <c r="N136" s="3"/>
      <c r="Q136" s="236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</row>
    <row r="137" customFormat="false" ht="14.25" hidden="false" customHeight="false" outlineLevel="0" collapsed="false">
      <c r="A137" s="3"/>
      <c r="B137" s="3"/>
      <c r="C137" s="3"/>
      <c r="D137" s="3"/>
      <c r="E137" s="3"/>
      <c r="F137" s="228"/>
      <c r="G137" s="274"/>
      <c r="H137" s="238"/>
      <c r="I137" s="239"/>
      <c r="J137" s="3"/>
      <c r="K137" s="235"/>
      <c r="L137" s="3"/>
      <c r="M137" s="3"/>
      <c r="N137" s="3"/>
      <c r="Q137" s="236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</row>
    <row r="138" customFormat="false" ht="14.25" hidden="false" customHeight="false" outlineLevel="0" collapsed="false">
      <c r="A138" s="52" t="s">
        <v>24</v>
      </c>
      <c r="B138" s="233" t="str">
        <f aca="false">IF('Données projet'!B13="","",'Données projet'!B13)</f>
        <v>Mélèze hybride</v>
      </c>
      <c r="C138" s="3"/>
      <c r="D138" s="3"/>
      <c r="E138" s="3"/>
      <c r="F138" s="228"/>
      <c r="G138" s="274"/>
      <c r="H138" s="238"/>
      <c r="I138" s="239"/>
      <c r="J138" s="3"/>
      <c r="K138" s="235"/>
      <c r="L138" s="3"/>
      <c r="M138" s="3"/>
      <c r="N138" s="3"/>
      <c r="Q138" s="236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</row>
    <row r="139" customFormat="false" ht="14.25" hidden="false" customHeight="false" outlineLevel="0" collapsed="false">
      <c r="A139" s="3"/>
      <c r="B139" s="3"/>
      <c r="C139" s="3"/>
      <c r="D139" s="3"/>
      <c r="E139" s="3"/>
      <c r="F139" s="228"/>
      <c r="G139" s="274"/>
      <c r="H139" s="238"/>
      <c r="I139" s="239"/>
      <c r="J139" s="3"/>
      <c r="K139" s="235"/>
      <c r="L139" s="3"/>
      <c r="M139" s="3"/>
      <c r="N139" s="3"/>
      <c r="Q139" s="236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</row>
    <row r="140" customFormat="false" ht="14.25" hidden="false" customHeight="false" outlineLevel="0" collapsed="false">
      <c r="A140" s="32" t="s">
        <v>50</v>
      </c>
      <c r="B140" s="57" t="s">
        <v>307</v>
      </c>
      <c r="C140" s="57" t="s">
        <v>308</v>
      </c>
      <c r="D140" s="32" t="s">
        <v>309</v>
      </c>
      <c r="E140" s="32" t="s">
        <v>310</v>
      </c>
      <c r="F140" s="269"/>
      <c r="G140" s="274"/>
      <c r="H140" s="238"/>
      <c r="I140" s="239"/>
      <c r="J140" s="3"/>
      <c r="K140" s="235"/>
      <c r="L140" s="3"/>
      <c r="M140" s="3"/>
      <c r="N140" s="3"/>
      <c r="Q140" s="236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</row>
    <row r="141" customFormat="false" ht="14.25" hidden="false" customHeight="false" outlineLevel="0" collapsed="false">
      <c r="A141" s="62" t="n">
        <v>0</v>
      </c>
      <c r="B141" s="241" t="s">
        <v>194</v>
      </c>
      <c r="C141" s="242" t="s">
        <v>194</v>
      </c>
      <c r="D141" s="243" t="s">
        <v>194</v>
      </c>
      <c r="E141" s="242" t="n">
        <f aca="false">1300*(1.18+0.45)</f>
        <v>2119</v>
      </c>
      <c r="F141" s="269"/>
      <c r="G141" s="274"/>
      <c r="H141" s="238"/>
      <c r="I141" s="239"/>
      <c r="J141" s="3"/>
      <c r="K141" s="235"/>
      <c r="L141" s="3"/>
      <c r="M141" s="3"/>
      <c r="N141" s="3"/>
      <c r="Q141" s="236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</row>
    <row r="142" customFormat="false" ht="14.25" hidden="false" customHeight="false" outlineLevel="0" collapsed="false">
      <c r="A142" s="62" t="n">
        <v>1</v>
      </c>
      <c r="B142" s="241" t="s">
        <v>194</v>
      </c>
      <c r="C142" s="242" t="s">
        <v>194</v>
      </c>
      <c r="D142" s="243" t="s">
        <v>194</v>
      </c>
      <c r="E142" s="242"/>
      <c r="F142" s="269"/>
      <c r="G142" s="2"/>
      <c r="H142" s="238"/>
      <c r="I142" s="239"/>
      <c r="J142" s="3"/>
      <c r="K142" s="235"/>
      <c r="L142" s="3"/>
      <c r="M142" s="3"/>
      <c r="N142" s="3"/>
      <c r="Q142" s="236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</row>
    <row r="143" customFormat="false" ht="14.25" hidden="false" customHeight="false" outlineLevel="0" collapsed="false">
      <c r="A143" s="62" t="n">
        <v>2</v>
      </c>
      <c r="B143" s="241" t="s">
        <v>194</v>
      </c>
      <c r="C143" s="242" t="s">
        <v>194</v>
      </c>
      <c r="D143" s="243" t="s">
        <v>194</v>
      </c>
      <c r="E143" s="242"/>
      <c r="F143" s="269"/>
      <c r="G143" s="2"/>
      <c r="H143" s="238"/>
      <c r="I143" s="239"/>
      <c r="J143" s="3"/>
      <c r="K143" s="235"/>
      <c r="L143" s="3"/>
      <c r="M143" s="3"/>
      <c r="N143" s="3"/>
      <c r="Q143" s="236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</row>
    <row r="144" customFormat="false" ht="14.25" hidden="false" customHeight="false" outlineLevel="0" collapsed="false">
      <c r="A144" s="62" t="n">
        <v>3</v>
      </c>
      <c r="B144" s="241" t="s">
        <v>194</v>
      </c>
      <c r="C144" s="242" t="s">
        <v>194</v>
      </c>
      <c r="D144" s="243" t="s">
        <v>194</v>
      </c>
      <c r="E144" s="242"/>
      <c r="F144" s="269"/>
      <c r="G144" s="2"/>
      <c r="H144" s="238"/>
      <c r="I144" s="239"/>
      <c r="J144" s="3"/>
      <c r="K144" s="235"/>
      <c r="L144" s="3"/>
      <c r="M144" s="3"/>
      <c r="N144" s="3"/>
      <c r="Q144" s="236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</row>
    <row r="145" customFormat="false" ht="14.25" hidden="false" customHeight="false" outlineLevel="0" collapsed="false">
      <c r="A145" s="62" t="n">
        <v>4</v>
      </c>
      <c r="B145" s="241" t="s">
        <v>194</v>
      </c>
      <c r="C145" s="242" t="s">
        <v>194</v>
      </c>
      <c r="D145" s="243" t="s">
        <v>194</v>
      </c>
      <c r="E145" s="242"/>
      <c r="F145" s="269"/>
      <c r="G145" s="2"/>
      <c r="H145" s="238"/>
      <c r="I145" s="239"/>
      <c r="J145" s="3"/>
      <c r="K145" s="235"/>
      <c r="L145" s="3"/>
      <c r="M145" s="3"/>
      <c r="N145" s="3"/>
      <c r="Q145" s="236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</row>
    <row r="146" customFormat="false" ht="15.75" hidden="false" customHeight="true" outlineLevel="0" collapsed="false">
      <c r="A146" s="62" t="n">
        <v>5</v>
      </c>
      <c r="B146" s="241" t="s">
        <v>194</v>
      </c>
      <c r="C146" s="242" t="s">
        <v>194</v>
      </c>
      <c r="D146" s="243" t="s">
        <v>194</v>
      </c>
      <c r="E146" s="242"/>
      <c r="F146" s="269"/>
      <c r="G146" s="16"/>
      <c r="H146" s="238"/>
      <c r="I146" s="239"/>
      <c r="J146" s="3"/>
      <c r="K146" s="235"/>
      <c r="L146" s="3"/>
      <c r="M146" s="3"/>
      <c r="N146" s="3"/>
      <c r="Q146" s="236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</row>
    <row r="147" customFormat="false" ht="15.75" hidden="false" customHeight="true" outlineLevel="0" collapsed="false">
      <c r="A147" s="43" t="n">
        <f aca="false">'Données projet'!A140</f>
        <v>12</v>
      </c>
      <c r="B147" s="244" t="n">
        <f aca="false">'Données projet'!D140</f>
        <v>21</v>
      </c>
      <c r="C147" s="239" t="n">
        <v>2</v>
      </c>
      <c r="D147" s="243" t="n">
        <f aca="false">B147*C147</f>
        <v>42</v>
      </c>
      <c r="E147" s="242"/>
      <c r="F147" s="252"/>
      <c r="G147" s="16"/>
      <c r="H147" s="238"/>
      <c r="I147" s="239"/>
      <c r="J147" s="3"/>
      <c r="K147" s="235"/>
      <c r="L147" s="3"/>
      <c r="M147" s="3"/>
      <c r="N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</row>
    <row r="148" customFormat="false" ht="15.75" hidden="false" customHeight="true" outlineLevel="0" collapsed="false">
      <c r="A148" s="43" t="n">
        <f aca="false">'Données projet'!A141</f>
        <v>15</v>
      </c>
      <c r="B148" s="244" t="n">
        <f aca="false">'Données projet'!D141</f>
        <v>47</v>
      </c>
      <c r="C148" s="239" t="n">
        <v>2</v>
      </c>
      <c r="D148" s="243" t="n">
        <f aca="false">B148*C148</f>
        <v>94</v>
      </c>
      <c r="E148" s="242"/>
      <c r="F148" s="252"/>
      <c r="G148" s="16"/>
      <c r="H148" s="238"/>
      <c r="I148" s="239"/>
      <c r="J148" s="3"/>
      <c r="K148" s="235"/>
      <c r="L148" s="3"/>
      <c r="M148" s="3"/>
      <c r="N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</row>
    <row r="149" customFormat="false" ht="15.75" hidden="false" customHeight="true" outlineLevel="0" collapsed="false">
      <c r="A149" s="43" t="n">
        <f aca="false">'Données projet'!A142</f>
        <v>18</v>
      </c>
      <c r="B149" s="244" t="n">
        <f aca="false">'Données projet'!D142</f>
        <v>61</v>
      </c>
      <c r="C149" s="239" t="n">
        <v>2</v>
      </c>
      <c r="D149" s="243" t="n">
        <f aca="false">B149*C149</f>
        <v>122</v>
      </c>
      <c r="E149" s="242"/>
      <c r="F149" s="252"/>
      <c r="G149" s="16"/>
      <c r="H149" s="238"/>
      <c r="I149" s="239"/>
      <c r="J149" s="3"/>
      <c r="K149" s="235"/>
      <c r="L149" s="3"/>
      <c r="M149" s="3"/>
      <c r="N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</row>
    <row r="150" customFormat="false" ht="15.75" hidden="false" customHeight="true" outlineLevel="0" collapsed="false">
      <c r="A150" s="43" t="n">
        <f aca="false">'Données projet'!A143</f>
        <v>24</v>
      </c>
      <c r="B150" s="244" t="n">
        <f aca="false">'Données projet'!D143</f>
        <v>84</v>
      </c>
      <c r="C150" s="239" t="n">
        <v>4.48</v>
      </c>
      <c r="D150" s="243" t="n">
        <f aca="false">B150*C150</f>
        <v>376.32</v>
      </c>
      <c r="E150" s="242"/>
      <c r="F150" s="252"/>
      <c r="G150" s="16"/>
      <c r="H150" s="238"/>
      <c r="I150" s="239"/>
      <c r="J150" s="3"/>
      <c r="K150" s="235"/>
      <c r="L150" s="3"/>
      <c r="M150" s="3"/>
      <c r="N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</row>
    <row r="151" customFormat="false" ht="15.75" hidden="false" customHeight="true" outlineLevel="0" collapsed="false">
      <c r="A151" s="43" t="n">
        <f aca="false">'Données projet'!A144</f>
        <v>30</v>
      </c>
      <c r="B151" s="244" t="n">
        <f aca="false">'Données projet'!D144</f>
        <v>76</v>
      </c>
      <c r="C151" s="239" t="n">
        <v>26.7</v>
      </c>
      <c r="D151" s="243" t="n">
        <f aca="false">B151*C151</f>
        <v>2029.2</v>
      </c>
      <c r="E151" s="242"/>
      <c r="F151" s="252"/>
      <c r="G151" s="16"/>
      <c r="H151" s="238"/>
      <c r="I151" s="239"/>
      <c r="J151" s="3"/>
      <c r="K151" s="235"/>
      <c r="L151" s="3"/>
      <c r="M151" s="3"/>
      <c r="N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</row>
    <row r="152" customFormat="false" ht="15.75" hidden="false" customHeight="true" outlineLevel="0" collapsed="false">
      <c r="A152" s="43" t="n">
        <f aca="false">'Données projet'!A145</f>
        <v>36</v>
      </c>
      <c r="B152" s="244" t="n">
        <f aca="false">'Données projet'!D145</f>
        <v>75</v>
      </c>
      <c r="C152" s="239" t="n">
        <v>42</v>
      </c>
      <c r="D152" s="243" t="n">
        <f aca="false">B152*C152</f>
        <v>3150</v>
      </c>
      <c r="E152" s="242"/>
      <c r="F152" s="252"/>
      <c r="G152" s="16"/>
      <c r="H152" s="238"/>
      <c r="I152" s="239"/>
      <c r="J152" s="3"/>
      <c r="K152" s="235"/>
      <c r="L152" s="3"/>
      <c r="M152" s="3"/>
      <c r="N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</row>
    <row r="153" customFormat="false" ht="14.25" hidden="false" customHeight="false" outlineLevel="0" collapsed="false">
      <c r="A153" s="43" t="n">
        <f aca="false">'Données projet'!A146</f>
        <v>42</v>
      </c>
      <c r="B153" s="244" t="n">
        <f aca="false">'Données projet'!D146</f>
        <v>278</v>
      </c>
      <c r="C153" s="239" t="n">
        <v>46</v>
      </c>
      <c r="D153" s="243" t="n">
        <f aca="false">B153*C153</f>
        <v>12788</v>
      </c>
      <c r="E153" s="242"/>
      <c r="F153" s="252"/>
      <c r="G153" s="258"/>
      <c r="H153" s="238"/>
      <c r="I153" s="239"/>
      <c r="J153" s="3"/>
      <c r="K153" s="235"/>
      <c r="L153" s="3"/>
      <c r="M153" s="3"/>
      <c r="N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</row>
    <row r="154" customFormat="false" ht="14.25" hidden="false" customHeight="false" outlineLevel="0" collapsed="false">
      <c r="A154" s="43" t="n">
        <f aca="false">'Données projet'!A147</f>
        <v>0</v>
      </c>
      <c r="B154" s="244" t="n">
        <f aca="false">'Données projet'!D147</f>
        <v>0</v>
      </c>
      <c r="C154" s="239"/>
      <c r="D154" s="243" t="n">
        <f aca="false">B154*C154</f>
        <v>0</v>
      </c>
      <c r="E154" s="242"/>
      <c r="F154" s="252"/>
      <c r="G154" s="258"/>
      <c r="H154" s="238"/>
      <c r="I154" s="239"/>
      <c r="J154" s="3"/>
      <c r="K154" s="235"/>
      <c r="L154" s="3"/>
      <c r="M154" s="3"/>
      <c r="N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</row>
    <row r="155" customFormat="false" ht="14.25" hidden="false" customHeight="false" outlineLevel="0" collapsed="false">
      <c r="A155" s="43" t="n">
        <f aca="false">'Données projet'!A148</f>
        <v>0</v>
      </c>
      <c r="B155" s="244" t="n">
        <f aca="false">'Données projet'!D148</f>
        <v>0</v>
      </c>
      <c r="C155" s="239"/>
      <c r="D155" s="243" t="n">
        <f aca="false">B155*C155</f>
        <v>0</v>
      </c>
      <c r="E155" s="242"/>
      <c r="F155" s="252"/>
      <c r="G155" s="258"/>
      <c r="H155" s="238"/>
      <c r="I155" s="239"/>
      <c r="J155" s="3"/>
      <c r="K155" s="235"/>
      <c r="L155" s="3"/>
      <c r="M155" s="3"/>
      <c r="N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</row>
    <row r="156" customFormat="false" ht="14.25" hidden="false" customHeight="false" outlineLevel="0" collapsed="false">
      <c r="A156" s="43" t="n">
        <f aca="false">'Données projet'!A149</f>
        <v>0</v>
      </c>
      <c r="B156" s="244" t="n">
        <f aca="false">'Données projet'!D149</f>
        <v>0</v>
      </c>
      <c r="C156" s="239"/>
      <c r="D156" s="243" t="n">
        <f aca="false">B156*C156</f>
        <v>0</v>
      </c>
      <c r="E156" s="242"/>
      <c r="F156" s="252"/>
      <c r="G156" s="258"/>
      <c r="H156" s="238"/>
      <c r="I156" s="239"/>
      <c r="J156" s="3"/>
      <c r="K156" s="235"/>
      <c r="L156" s="3"/>
      <c r="M156" s="3"/>
      <c r="N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</row>
    <row r="157" customFormat="false" ht="14.25" hidden="false" customHeight="false" outlineLevel="0" collapsed="false">
      <c r="A157" s="43" t="n">
        <f aca="false">'Données projet'!A150</f>
        <v>0</v>
      </c>
      <c r="B157" s="244" t="n">
        <f aca="false">'Données projet'!D150</f>
        <v>0</v>
      </c>
      <c r="C157" s="239"/>
      <c r="D157" s="243" t="n">
        <f aca="false">B157*C157</f>
        <v>0</v>
      </c>
      <c r="E157" s="242"/>
      <c r="F157" s="252"/>
      <c r="G157" s="258"/>
      <c r="H157" s="238"/>
      <c r="I157" s="239"/>
      <c r="J157" s="3"/>
      <c r="K157" s="235"/>
      <c r="L157" s="3"/>
      <c r="M157" s="3"/>
      <c r="N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</row>
    <row r="158" customFormat="false" ht="14.25" hidden="false" customHeight="false" outlineLevel="0" collapsed="false">
      <c r="A158" s="43" t="n">
        <f aca="false">'Données projet'!A151</f>
        <v>0</v>
      </c>
      <c r="B158" s="244" t="n">
        <f aca="false">'Données projet'!D151</f>
        <v>0</v>
      </c>
      <c r="C158" s="239"/>
      <c r="D158" s="243" t="n">
        <f aca="false">B158*C158</f>
        <v>0</v>
      </c>
      <c r="E158" s="242"/>
      <c r="F158" s="252"/>
      <c r="G158" s="258"/>
      <c r="H158" s="238"/>
      <c r="I158" s="239"/>
      <c r="J158" s="3"/>
      <c r="K158" s="235"/>
      <c r="L158" s="3"/>
      <c r="M158" s="3"/>
      <c r="N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</row>
    <row r="159" customFormat="false" ht="14.25" hidden="false" customHeight="false" outlineLevel="0" collapsed="false">
      <c r="A159" s="43" t="n">
        <f aca="false">'Données projet'!A152</f>
        <v>0</v>
      </c>
      <c r="B159" s="244" t="n">
        <f aca="false">'Données projet'!D152</f>
        <v>0</v>
      </c>
      <c r="C159" s="239"/>
      <c r="D159" s="243" t="n">
        <f aca="false">B159*C159</f>
        <v>0</v>
      </c>
      <c r="E159" s="242"/>
      <c r="F159" s="252"/>
      <c r="G159" s="258"/>
      <c r="H159" s="238"/>
      <c r="I159" s="239"/>
      <c r="J159" s="3"/>
      <c r="K159" s="235"/>
      <c r="L159" s="3"/>
      <c r="M159" s="3"/>
      <c r="N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</row>
    <row r="160" customFormat="false" ht="14.25" hidden="false" customHeight="false" outlineLevel="0" collapsed="false">
      <c r="A160" s="43" t="n">
        <f aca="false">'Données projet'!A153</f>
        <v>0</v>
      </c>
      <c r="B160" s="244" t="n">
        <f aca="false">'Données projet'!D153</f>
        <v>0</v>
      </c>
      <c r="C160" s="239"/>
      <c r="D160" s="243" t="n">
        <f aca="false">B160*C160</f>
        <v>0</v>
      </c>
      <c r="E160" s="242"/>
      <c r="F160" s="252"/>
      <c r="G160" s="258"/>
      <c r="H160" s="238"/>
      <c r="I160" s="239"/>
      <c r="J160" s="3"/>
      <c r="K160" s="235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</row>
    <row r="161" customFormat="false" ht="14.25" hidden="false" customHeight="false" outlineLevel="0" collapsed="false">
      <c r="A161" s="43" t="n">
        <f aca="false">'Données projet'!A154</f>
        <v>0</v>
      </c>
      <c r="B161" s="244" t="n">
        <f aca="false">'Données projet'!D154</f>
        <v>0</v>
      </c>
      <c r="C161" s="239"/>
      <c r="D161" s="243" t="n">
        <f aca="false">B161*C161</f>
        <v>0</v>
      </c>
      <c r="E161" s="242"/>
      <c r="F161" s="252"/>
      <c r="G161" s="258"/>
      <c r="H161" s="238"/>
      <c r="I161" s="239"/>
      <c r="J161" s="3"/>
      <c r="K161" s="235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</row>
    <row r="162" customFormat="false" ht="14.25" hidden="false" customHeight="false" outlineLevel="0" collapsed="false">
      <c r="A162" s="43" t="n">
        <f aca="false">'Données projet'!A155</f>
        <v>0</v>
      </c>
      <c r="B162" s="244" t="n">
        <f aca="false">'Données projet'!D155</f>
        <v>0</v>
      </c>
      <c r="C162" s="239"/>
      <c r="D162" s="243" t="n">
        <f aca="false">B162*C162</f>
        <v>0</v>
      </c>
      <c r="E162" s="242"/>
      <c r="F162" s="252"/>
      <c r="G162" s="258"/>
      <c r="H162" s="238"/>
      <c r="I162" s="239"/>
      <c r="J162" s="3"/>
      <c r="K162" s="235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</row>
    <row r="163" customFormat="false" ht="14.25" hidden="false" customHeight="false" outlineLevel="0" collapsed="false">
      <c r="A163" s="43" t="n">
        <f aca="false">'Données projet'!A156</f>
        <v>0</v>
      </c>
      <c r="B163" s="244" t="n">
        <f aca="false">'Données projet'!D156</f>
        <v>0</v>
      </c>
      <c r="C163" s="239"/>
      <c r="D163" s="243" t="n">
        <f aca="false">B163*C163</f>
        <v>0</v>
      </c>
      <c r="E163" s="242"/>
      <c r="F163" s="252"/>
      <c r="G163" s="258"/>
      <c r="H163" s="238"/>
      <c r="I163" s="239"/>
      <c r="J163" s="3"/>
      <c r="K163" s="235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</row>
    <row r="164" customFormat="false" ht="14.25" hidden="false" customHeight="false" outlineLevel="0" collapsed="false">
      <c r="A164" s="43" t="n">
        <f aca="false">'Données projet'!A157</f>
        <v>0</v>
      </c>
      <c r="B164" s="244" t="n">
        <f aca="false">'Données projet'!D157</f>
        <v>0</v>
      </c>
      <c r="C164" s="239"/>
      <c r="D164" s="243" t="n">
        <f aca="false">B164*C164</f>
        <v>0</v>
      </c>
      <c r="E164" s="242"/>
      <c r="F164" s="252"/>
      <c r="G164" s="258"/>
      <c r="H164" s="238"/>
      <c r="I164" s="239"/>
      <c r="J164" s="3"/>
      <c r="K164" s="235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</row>
    <row r="165" customFormat="false" ht="14.25" hidden="false" customHeight="false" outlineLevel="0" collapsed="false">
      <c r="A165" s="43" t="n">
        <f aca="false">'Données projet'!A158</f>
        <v>0</v>
      </c>
      <c r="B165" s="244" t="n">
        <f aca="false">'Données projet'!D158</f>
        <v>0</v>
      </c>
      <c r="C165" s="239"/>
      <c r="D165" s="243" t="n">
        <f aca="false">B165*C165</f>
        <v>0</v>
      </c>
      <c r="E165" s="242"/>
      <c r="F165" s="252"/>
      <c r="G165" s="258"/>
      <c r="H165" s="238"/>
      <c r="I165" s="239"/>
      <c r="J165" s="3"/>
      <c r="K165" s="235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</row>
    <row r="166" customFormat="false" ht="14.25" hidden="false" customHeight="false" outlineLevel="0" collapsed="false">
      <c r="A166" s="43" t="n">
        <f aca="false">'Données projet'!A159</f>
        <v>0</v>
      </c>
      <c r="B166" s="244" t="n">
        <f aca="false">'Données projet'!D159</f>
        <v>0</v>
      </c>
      <c r="C166" s="239"/>
      <c r="D166" s="243" t="n">
        <f aca="false">B166*C166</f>
        <v>0</v>
      </c>
      <c r="E166" s="242"/>
      <c r="F166" s="252"/>
      <c r="G166" s="258"/>
      <c r="H166" s="238"/>
      <c r="I166" s="239"/>
      <c r="J166" s="3"/>
      <c r="K166" s="235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</row>
    <row r="167" customFormat="false" ht="14.25" hidden="false" customHeight="false" outlineLevel="0" collapsed="false">
      <c r="A167" s="3"/>
      <c r="B167" s="3"/>
      <c r="C167" s="3"/>
      <c r="D167" s="3"/>
      <c r="E167" s="3"/>
      <c r="F167" s="228"/>
      <c r="G167" s="258"/>
      <c r="H167" s="238"/>
      <c r="I167" s="239"/>
      <c r="J167" s="3"/>
      <c r="K167" s="235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</row>
    <row r="168" customFormat="false" ht="14.25" hidden="false" customHeight="false" outlineLevel="0" collapsed="false">
      <c r="A168" s="3"/>
      <c r="B168" s="3"/>
      <c r="C168" s="3"/>
      <c r="D168" s="3"/>
      <c r="E168" s="3"/>
      <c r="F168" s="228"/>
      <c r="G168" s="258"/>
      <c r="H168" s="238"/>
      <c r="I168" s="239"/>
      <c r="J168" s="3"/>
      <c r="K168" s="235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</row>
    <row r="169" customFormat="false" ht="14.25" hidden="false" customHeight="false" outlineLevel="0" collapsed="false">
      <c r="A169" s="52" t="s">
        <v>26</v>
      </c>
      <c r="B169" s="233" t="str">
        <f aca="false">IF('Données projet'!B14="","",'Données projet'!B14)</f>
        <v>Pin maritime</v>
      </c>
      <c r="C169" s="3"/>
      <c r="D169" s="3"/>
      <c r="E169" s="3"/>
      <c r="F169" s="228"/>
      <c r="G169" s="258"/>
      <c r="H169" s="238"/>
      <c r="I169" s="239"/>
      <c r="J169" s="3"/>
      <c r="K169" s="23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</row>
    <row r="170" customFormat="false" ht="14.25" hidden="false" customHeight="false" outlineLevel="0" collapsed="false">
      <c r="A170" s="3"/>
      <c r="B170" s="3"/>
      <c r="C170" s="3"/>
      <c r="D170" s="3"/>
      <c r="E170" s="3"/>
      <c r="F170" s="228"/>
      <c r="G170" s="258"/>
      <c r="H170" s="238"/>
      <c r="I170" s="239"/>
      <c r="J170" s="3"/>
      <c r="K170" s="23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</row>
    <row r="171" customFormat="false" ht="14.25" hidden="false" customHeight="false" outlineLevel="0" collapsed="false">
      <c r="A171" s="32" t="s">
        <v>50</v>
      </c>
      <c r="B171" s="57" t="s">
        <v>307</v>
      </c>
      <c r="C171" s="57" t="s">
        <v>308</v>
      </c>
      <c r="D171" s="32" t="s">
        <v>309</v>
      </c>
      <c r="E171" s="32" t="s">
        <v>310</v>
      </c>
      <c r="F171" s="269"/>
      <c r="G171" s="258"/>
      <c r="H171" s="238"/>
      <c r="I171" s="239"/>
      <c r="J171" s="3"/>
      <c r="K171" s="235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</row>
    <row r="172" customFormat="false" ht="14.25" hidden="false" customHeight="false" outlineLevel="0" collapsed="false">
      <c r="A172" s="62" t="n">
        <v>0</v>
      </c>
      <c r="B172" s="241" t="s">
        <v>194</v>
      </c>
      <c r="C172" s="242" t="s">
        <v>194</v>
      </c>
      <c r="D172" s="243" t="s">
        <v>194</v>
      </c>
      <c r="E172" s="242"/>
      <c r="F172" s="269"/>
      <c r="G172" s="258"/>
      <c r="H172" s="238"/>
      <c r="I172" s="239"/>
      <c r="J172" s="3"/>
      <c r="K172" s="235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</row>
    <row r="173" customFormat="false" ht="14.25" hidden="false" customHeight="false" outlineLevel="0" collapsed="false">
      <c r="A173" s="62" t="n">
        <v>1</v>
      </c>
      <c r="B173" s="241" t="s">
        <v>194</v>
      </c>
      <c r="C173" s="242" t="s">
        <v>194</v>
      </c>
      <c r="D173" s="243" t="s">
        <v>194</v>
      </c>
      <c r="E173" s="242"/>
      <c r="F173" s="269"/>
      <c r="G173" s="2"/>
      <c r="H173" s="238"/>
      <c r="I173" s="239"/>
      <c r="J173" s="3"/>
      <c r="K173" s="235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</row>
    <row r="174" customFormat="false" ht="14.25" hidden="false" customHeight="false" outlineLevel="0" collapsed="false">
      <c r="A174" s="62" t="n">
        <v>2</v>
      </c>
      <c r="B174" s="241" t="s">
        <v>194</v>
      </c>
      <c r="C174" s="242" t="s">
        <v>194</v>
      </c>
      <c r="D174" s="243" t="s">
        <v>194</v>
      </c>
      <c r="E174" s="242"/>
      <c r="F174" s="269"/>
      <c r="G174" s="2"/>
      <c r="H174" s="238"/>
      <c r="I174" s="239"/>
      <c r="J174" s="3"/>
      <c r="K174" s="235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</row>
    <row r="175" customFormat="false" ht="14.25" hidden="false" customHeight="false" outlineLevel="0" collapsed="false">
      <c r="A175" s="62" t="n">
        <v>3</v>
      </c>
      <c r="B175" s="241" t="s">
        <v>194</v>
      </c>
      <c r="C175" s="242" t="s">
        <v>194</v>
      </c>
      <c r="D175" s="243" t="s">
        <v>194</v>
      </c>
      <c r="E175" s="242"/>
      <c r="F175" s="269"/>
      <c r="G175" s="2"/>
      <c r="H175" s="238"/>
      <c r="I175" s="239"/>
      <c r="J175" s="3"/>
      <c r="K175" s="235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</row>
    <row r="176" customFormat="false" ht="14.25" hidden="false" customHeight="false" outlineLevel="0" collapsed="false">
      <c r="A176" s="62" t="n">
        <v>4</v>
      </c>
      <c r="B176" s="241" t="s">
        <v>194</v>
      </c>
      <c r="C176" s="242" t="s">
        <v>194</v>
      </c>
      <c r="D176" s="243" t="s">
        <v>194</v>
      </c>
      <c r="E176" s="242"/>
      <c r="F176" s="269"/>
      <c r="G176" s="2"/>
      <c r="H176" s="238"/>
      <c r="I176" s="239"/>
      <c r="J176" s="3"/>
      <c r="K176" s="235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</row>
    <row r="177" customFormat="false" ht="15" hidden="false" customHeight="true" outlineLevel="0" collapsed="false">
      <c r="A177" s="62" t="n">
        <v>5</v>
      </c>
      <c r="B177" s="241" t="s">
        <v>194</v>
      </c>
      <c r="C177" s="242" t="s">
        <v>194</v>
      </c>
      <c r="D177" s="243" t="s">
        <v>194</v>
      </c>
      <c r="E177" s="242"/>
      <c r="F177" s="269"/>
      <c r="G177" s="16"/>
      <c r="H177" s="238"/>
      <c r="I177" s="239"/>
      <c r="J177" s="3"/>
      <c r="K177" s="235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</row>
    <row r="178" customFormat="false" ht="14.25" hidden="false" customHeight="false" outlineLevel="0" collapsed="false">
      <c r="A178" s="248" t="n">
        <f aca="false">'Données projet'!A166</f>
        <v>12</v>
      </c>
      <c r="B178" s="249" t="n">
        <f aca="false">'Données projet'!D166</f>
        <v>0</v>
      </c>
      <c r="C178" s="242"/>
      <c r="D178" s="247" t="n">
        <f aca="false">B178*C178</f>
        <v>0</v>
      </c>
      <c r="E178" s="242"/>
      <c r="F178" s="273"/>
      <c r="G178" s="16"/>
      <c r="H178" s="238"/>
      <c r="I178" s="239"/>
      <c r="J178" s="3"/>
      <c r="K178" s="235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</row>
    <row r="179" customFormat="false" ht="14.25" hidden="false" customHeight="false" outlineLevel="0" collapsed="false">
      <c r="A179" s="248" t="n">
        <f aca="false">'Données projet'!A167</f>
        <v>16</v>
      </c>
      <c r="B179" s="249" t="n">
        <f aca="false">'Données projet'!D167</f>
        <v>15</v>
      </c>
      <c r="C179" s="242"/>
      <c r="D179" s="247" t="n">
        <f aca="false">B179*C179</f>
        <v>0</v>
      </c>
      <c r="E179" s="242"/>
      <c r="F179" s="273"/>
      <c r="G179" s="16"/>
      <c r="H179" s="238"/>
      <c r="I179" s="239"/>
      <c r="J179" s="3"/>
      <c r="K179" s="235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</row>
    <row r="180" customFormat="false" ht="14.25" hidden="false" customHeight="false" outlineLevel="0" collapsed="false">
      <c r="A180" s="248" t="n">
        <f aca="false">'Données projet'!A168</f>
        <v>20</v>
      </c>
      <c r="B180" s="249" t="n">
        <f aca="false">'Données projet'!D168</f>
        <v>22</v>
      </c>
      <c r="C180" s="242"/>
      <c r="D180" s="247" t="n">
        <f aca="false">B180*C180</f>
        <v>0</v>
      </c>
      <c r="E180" s="242"/>
      <c r="F180" s="273"/>
      <c r="G180" s="16"/>
      <c r="H180" s="238"/>
      <c r="I180" s="239"/>
      <c r="J180" s="3"/>
      <c r="K180" s="235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</row>
    <row r="181" customFormat="false" ht="14.25" hidden="false" customHeight="false" outlineLevel="0" collapsed="false">
      <c r="A181" s="248" t="n">
        <f aca="false">'Données projet'!A169</f>
        <v>24</v>
      </c>
      <c r="B181" s="249" t="n">
        <f aca="false">'Données projet'!D169</f>
        <v>31</v>
      </c>
      <c r="C181" s="242"/>
      <c r="D181" s="247" t="n">
        <f aca="false">B181*C181</f>
        <v>0</v>
      </c>
      <c r="E181" s="242"/>
      <c r="F181" s="273"/>
      <c r="G181" s="16"/>
      <c r="H181" s="238"/>
      <c r="I181" s="239"/>
      <c r="J181" s="3"/>
      <c r="K181" s="235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</row>
    <row r="182" customFormat="false" ht="14.25" hidden="false" customHeight="false" outlineLevel="0" collapsed="false">
      <c r="A182" s="248" t="n">
        <f aca="false">'Données projet'!A170</f>
        <v>28</v>
      </c>
      <c r="B182" s="249" t="n">
        <f aca="false">'Données projet'!D170</f>
        <v>35</v>
      </c>
      <c r="C182" s="242"/>
      <c r="D182" s="247" t="n">
        <f aca="false">B182*C182</f>
        <v>0</v>
      </c>
      <c r="E182" s="242"/>
      <c r="F182" s="273"/>
      <c r="G182" s="16"/>
      <c r="H182" s="238"/>
      <c r="I182" s="239"/>
      <c r="J182" s="3"/>
      <c r="K182" s="235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</row>
    <row r="183" customFormat="false" ht="14.25" hidden="false" customHeight="false" outlineLevel="0" collapsed="false">
      <c r="A183" s="248" t="n">
        <f aca="false">'Données projet'!A171</f>
        <v>34</v>
      </c>
      <c r="B183" s="249" t="n">
        <f aca="false">'Données projet'!D171</f>
        <v>46</v>
      </c>
      <c r="C183" s="242"/>
      <c r="D183" s="247" t="n">
        <f aca="false">B183*C183</f>
        <v>0</v>
      </c>
      <c r="E183" s="242"/>
      <c r="F183" s="273"/>
      <c r="G183" s="16"/>
      <c r="H183" s="238"/>
      <c r="I183" s="239"/>
      <c r="J183" s="3"/>
      <c r="K183" s="235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</row>
    <row r="184" customFormat="false" ht="14.25" hidden="false" customHeight="false" outlineLevel="0" collapsed="false">
      <c r="A184" s="248" t="n">
        <f aca="false">'Données projet'!A172</f>
        <v>40</v>
      </c>
      <c r="B184" s="249" t="n">
        <f aca="false">'Données projet'!D172</f>
        <v>41</v>
      </c>
      <c r="C184" s="242"/>
      <c r="D184" s="247" t="n">
        <f aca="false">B184*C184</f>
        <v>0</v>
      </c>
      <c r="E184" s="242"/>
      <c r="F184" s="273"/>
      <c r="G184" s="274"/>
      <c r="H184" s="238"/>
      <c r="I184" s="239"/>
      <c r="J184" s="3"/>
      <c r="K184" s="235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</row>
    <row r="185" customFormat="false" ht="14.25" hidden="false" customHeight="false" outlineLevel="0" collapsed="false">
      <c r="A185" s="248" t="n">
        <f aca="false">'Données projet'!A173</f>
        <v>46</v>
      </c>
      <c r="B185" s="249" t="n">
        <f aca="false">'Données projet'!D173</f>
        <v>29</v>
      </c>
      <c r="C185" s="242"/>
      <c r="D185" s="247" t="n">
        <f aca="false">B185*C185</f>
        <v>0</v>
      </c>
      <c r="E185" s="242"/>
      <c r="F185" s="273"/>
      <c r="G185" s="274"/>
      <c r="H185" s="238"/>
      <c r="I185" s="239"/>
      <c r="J185" s="3"/>
      <c r="K185" s="235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</row>
    <row r="186" customFormat="false" ht="14.25" hidden="false" customHeight="false" outlineLevel="0" collapsed="false">
      <c r="A186" s="248" t="n">
        <f aca="false">'Données projet'!A174</f>
        <v>54</v>
      </c>
      <c r="B186" s="249" t="n">
        <f aca="false">'Données projet'!D174</f>
        <v>16</v>
      </c>
      <c r="C186" s="242"/>
      <c r="D186" s="247" t="n">
        <f aca="false">B186*C186</f>
        <v>0</v>
      </c>
      <c r="E186" s="242"/>
      <c r="F186" s="273"/>
      <c r="G186" s="274"/>
      <c r="H186" s="238"/>
      <c r="I186" s="239"/>
      <c r="J186" s="3"/>
      <c r="K186" s="235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</row>
    <row r="187" customFormat="false" ht="14.25" hidden="false" customHeight="false" outlineLevel="0" collapsed="false">
      <c r="A187" s="248" t="n">
        <f aca="false">'Données projet'!A175</f>
        <v>62</v>
      </c>
      <c r="B187" s="249" t="n">
        <f aca="false">'Données projet'!D175</f>
        <v>316</v>
      </c>
      <c r="C187" s="242"/>
      <c r="D187" s="247" t="n">
        <f aca="false">B187*C187</f>
        <v>0</v>
      </c>
      <c r="E187" s="242"/>
      <c r="F187" s="273"/>
      <c r="G187" s="274"/>
      <c r="H187" s="238"/>
      <c r="I187" s="239"/>
      <c r="J187" s="3"/>
      <c r="K187" s="235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</row>
    <row r="188" customFormat="false" ht="14.25" hidden="false" customHeight="false" outlineLevel="0" collapsed="false">
      <c r="A188" s="248" t="n">
        <f aca="false">'Données projet'!A176</f>
        <v>0</v>
      </c>
      <c r="B188" s="249" t="n">
        <f aca="false">'Données projet'!D176</f>
        <v>0</v>
      </c>
      <c r="C188" s="242"/>
      <c r="D188" s="247" t="n">
        <f aca="false">B188*C188</f>
        <v>0</v>
      </c>
      <c r="E188" s="242"/>
      <c r="F188" s="273"/>
      <c r="G188" s="274"/>
      <c r="H188" s="238"/>
      <c r="I188" s="239"/>
      <c r="J188" s="3"/>
      <c r="K188" s="235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</row>
    <row r="189" customFormat="false" ht="14.25" hidden="false" customHeight="false" outlineLevel="0" collapsed="false">
      <c r="A189" s="248" t="n">
        <f aca="false">'Données projet'!A177</f>
        <v>0</v>
      </c>
      <c r="B189" s="249" t="n">
        <f aca="false">'Données projet'!D177</f>
        <v>0</v>
      </c>
      <c r="C189" s="242"/>
      <c r="D189" s="247" t="n">
        <f aca="false">B189*C189</f>
        <v>0</v>
      </c>
      <c r="E189" s="242"/>
      <c r="F189" s="273"/>
      <c r="G189" s="274"/>
      <c r="H189" s="238"/>
      <c r="I189" s="239"/>
      <c r="J189" s="3"/>
      <c r="K189" s="235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</row>
    <row r="190" customFormat="false" ht="14.25" hidden="false" customHeight="false" outlineLevel="0" collapsed="false">
      <c r="A190" s="248" t="n">
        <f aca="false">'Données projet'!A178</f>
        <v>0</v>
      </c>
      <c r="B190" s="249" t="n">
        <f aca="false">'Données projet'!D178</f>
        <v>0</v>
      </c>
      <c r="C190" s="242"/>
      <c r="D190" s="247" t="n">
        <f aca="false">B190*C190</f>
        <v>0</v>
      </c>
      <c r="E190" s="242"/>
      <c r="F190" s="273"/>
      <c r="G190" s="274"/>
      <c r="H190" s="238"/>
      <c r="I190" s="239"/>
      <c r="J190" s="3"/>
      <c r="K190" s="235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</row>
    <row r="191" customFormat="false" ht="14.25" hidden="false" customHeight="false" outlineLevel="0" collapsed="false">
      <c r="A191" s="248" t="n">
        <f aca="false">'Données projet'!A179</f>
        <v>0</v>
      </c>
      <c r="B191" s="249" t="n">
        <f aca="false">'Données projet'!D179</f>
        <v>0</v>
      </c>
      <c r="C191" s="242"/>
      <c r="D191" s="247" t="n">
        <f aca="false">B191*C191</f>
        <v>0</v>
      </c>
      <c r="E191" s="242"/>
      <c r="F191" s="273"/>
      <c r="G191" s="274"/>
      <c r="H191" s="238"/>
      <c r="I191" s="239"/>
      <c r="J191" s="3"/>
      <c r="K191" s="235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</row>
    <row r="192" customFormat="false" ht="14.25" hidden="false" customHeight="false" outlineLevel="0" collapsed="false">
      <c r="A192" s="248" t="n">
        <f aca="false">'Données projet'!A180</f>
        <v>0</v>
      </c>
      <c r="B192" s="249" t="n">
        <f aca="false">'Données projet'!D180</f>
        <v>0</v>
      </c>
      <c r="C192" s="242"/>
      <c r="D192" s="247" t="n">
        <f aca="false">B192*C192</f>
        <v>0</v>
      </c>
      <c r="E192" s="242"/>
      <c r="F192" s="273"/>
      <c r="G192" s="274"/>
      <c r="H192" s="238"/>
      <c r="I192" s="239"/>
      <c r="J192" s="3"/>
      <c r="K192" s="235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</row>
    <row r="193" customFormat="false" ht="14.25" hidden="false" customHeight="false" outlineLevel="0" collapsed="false">
      <c r="A193" s="248" t="n">
        <f aca="false">'Données projet'!A181</f>
        <v>0</v>
      </c>
      <c r="B193" s="249" t="n">
        <f aca="false">'Données projet'!D181</f>
        <v>0</v>
      </c>
      <c r="C193" s="242"/>
      <c r="D193" s="247" t="n">
        <f aca="false">B193*C193</f>
        <v>0</v>
      </c>
      <c r="E193" s="242"/>
      <c r="F193" s="273"/>
      <c r="G193" s="274"/>
      <c r="H193" s="238"/>
      <c r="I193" s="239"/>
      <c r="J193" s="3"/>
      <c r="K193" s="235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</row>
    <row r="194" customFormat="false" ht="14.25" hidden="false" customHeight="false" outlineLevel="0" collapsed="false">
      <c r="A194" s="248" t="n">
        <f aca="false">'Données projet'!A182</f>
        <v>0</v>
      </c>
      <c r="B194" s="249" t="n">
        <f aca="false">'Données projet'!D182</f>
        <v>0</v>
      </c>
      <c r="C194" s="242"/>
      <c r="D194" s="247" t="n">
        <f aca="false">B194*C194</f>
        <v>0</v>
      </c>
      <c r="E194" s="242"/>
      <c r="F194" s="273"/>
      <c r="G194" s="274"/>
      <c r="H194" s="238"/>
      <c r="I194" s="239"/>
      <c r="J194" s="3"/>
      <c r="K194" s="235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</row>
    <row r="195" customFormat="false" ht="14.25" hidden="false" customHeight="false" outlineLevel="0" collapsed="false">
      <c r="A195" s="248" t="n">
        <f aca="false">'Données projet'!A183</f>
        <v>0</v>
      </c>
      <c r="B195" s="249" t="n">
        <f aca="false">'Données projet'!D183</f>
        <v>0</v>
      </c>
      <c r="C195" s="242"/>
      <c r="D195" s="247" t="n">
        <f aca="false">B195*C195</f>
        <v>0</v>
      </c>
      <c r="E195" s="242"/>
      <c r="F195" s="273"/>
      <c r="G195" s="274"/>
      <c r="H195" s="238"/>
      <c r="I195" s="239"/>
      <c r="J195" s="3"/>
      <c r="K195" s="235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</row>
    <row r="196" customFormat="false" ht="14.25" hidden="false" customHeight="false" outlineLevel="0" collapsed="false">
      <c r="A196" s="248" t="n">
        <f aca="false">'Données projet'!A184</f>
        <v>0</v>
      </c>
      <c r="B196" s="249" t="n">
        <f aca="false">'Données projet'!D184</f>
        <v>0</v>
      </c>
      <c r="C196" s="242"/>
      <c r="D196" s="247" t="n">
        <f aca="false">B196*C196</f>
        <v>0</v>
      </c>
      <c r="E196" s="242"/>
      <c r="F196" s="273"/>
      <c r="G196" s="274"/>
      <c r="H196" s="238"/>
      <c r="I196" s="239"/>
      <c r="J196" s="3"/>
      <c r="K196" s="235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</row>
    <row r="197" customFormat="false" ht="14.25" hidden="false" customHeight="false" outlineLevel="0" collapsed="false">
      <c r="A197" s="248" t="n">
        <f aca="false">'Données projet'!A185</f>
        <v>0</v>
      </c>
      <c r="B197" s="249" t="n">
        <f aca="false">'Données projet'!D185</f>
        <v>0</v>
      </c>
      <c r="C197" s="242"/>
      <c r="D197" s="247" t="n">
        <f aca="false">B197*C197</f>
        <v>0</v>
      </c>
      <c r="E197" s="242"/>
      <c r="F197" s="273"/>
      <c r="G197" s="274"/>
      <c r="H197" s="238"/>
      <c r="I197" s="239"/>
      <c r="J197" s="3"/>
      <c r="K197" s="235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</row>
    <row r="198" customFormat="false" ht="14.25" hidden="false" customHeight="false" outlineLevel="0" collapsed="false">
      <c r="A198" s="3"/>
      <c r="B198" s="3"/>
      <c r="C198" s="3"/>
      <c r="D198" s="3"/>
      <c r="E198" s="3"/>
      <c r="F198" s="228"/>
      <c r="G198" s="274"/>
      <c r="H198" s="238"/>
      <c r="I198" s="239"/>
      <c r="J198" s="3"/>
      <c r="K198" s="235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</row>
    <row r="199" customFormat="false" ht="14.25" hidden="false" customHeight="false" outlineLevel="0" collapsed="false">
      <c r="A199" s="3"/>
      <c r="B199" s="3"/>
      <c r="C199" s="3"/>
      <c r="D199" s="3"/>
      <c r="E199" s="3"/>
      <c r="F199" s="228"/>
      <c r="G199" s="274"/>
      <c r="H199" s="238"/>
      <c r="I199" s="239"/>
      <c r="J199" s="3"/>
      <c r="K199" s="235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</row>
    <row r="200" customFormat="false" ht="14.25" hidden="false" customHeight="false" outlineLevel="0" collapsed="false">
      <c r="A200" s="52" t="s">
        <v>28</v>
      </c>
      <c r="B200" s="233" t="str">
        <f aca="false">IF('Données projet'!$B$15="","",'Données projet'!$B$15)</f>
        <v/>
      </c>
      <c r="C200" s="3"/>
      <c r="D200" s="3"/>
      <c r="E200" s="3"/>
      <c r="F200" s="228"/>
      <c r="G200" s="274"/>
      <c r="H200" s="238"/>
      <c r="I200" s="239"/>
      <c r="J200" s="3"/>
      <c r="K200" s="235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</row>
    <row r="201" customFormat="false" ht="14.25" hidden="false" customHeight="false" outlineLevel="0" collapsed="false">
      <c r="A201" s="52"/>
      <c r="B201" s="3"/>
      <c r="C201" s="3"/>
      <c r="D201" s="3"/>
      <c r="E201" s="3"/>
      <c r="F201" s="228"/>
      <c r="G201" s="274"/>
      <c r="H201" s="238"/>
      <c r="I201" s="239"/>
      <c r="J201" s="3"/>
      <c r="K201" s="235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</row>
    <row r="202" customFormat="false" ht="14.25" hidden="false" customHeight="false" outlineLevel="0" collapsed="false">
      <c r="A202" s="32" t="s">
        <v>50</v>
      </c>
      <c r="B202" s="57" t="s">
        <v>307</v>
      </c>
      <c r="C202" s="57" t="s">
        <v>308</v>
      </c>
      <c r="D202" s="32" t="s">
        <v>309</v>
      </c>
      <c r="E202" s="32" t="s">
        <v>310</v>
      </c>
      <c r="F202" s="269"/>
      <c r="G202" s="274"/>
      <c r="H202" s="238"/>
      <c r="I202" s="239"/>
      <c r="J202" s="3"/>
      <c r="K202" s="235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</row>
    <row r="203" customFormat="false" ht="14.25" hidden="false" customHeight="false" outlineLevel="0" collapsed="false">
      <c r="A203" s="62" t="n">
        <v>0</v>
      </c>
      <c r="B203" s="241" t="s">
        <v>194</v>
      </c>
      <c r="C203" s="242" t="s">
        <v>194</v>
      </c>
      <c r="D203" s="243" t="s">
        <v>194</v>
      </c>
      <c r="E203" s="242"/>
      <c r="F203" s="269"/>
      <c r="G203" s="274"/>
      <c r="H203" s="238"/>
      <c r="I203" s="239"/>
      <c r="J203" s="3"/>
      <c r="K203" s="235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</row>
    <row r="204" customFormat="false" ht="14.25" hidden="false" customHeight="false" outlineLevel="0" collapsed="false">
      <c r="A204" s="62" t="n">
        <v>1</v>
      </c>
      <c r="B204" s="241" t="s">
        <v>194</v>
      </c>
      <c r="C204" s="242" t="s">
        <v>194</v>
      </c>
      <c r="D204" s="243" t="s">
        <v>194</v>
      </c>
      <c r="E204" s="242"/>
      <c r="F204" s="269"/>
      <c r="G204" s="2"/>
      <c r="H204" s="238"/>
      <c r="I204" s="239"/>
      <c r="J204" s="3"/>
      <c r="K204" s="235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</row>
    <row r="205" customFormat="false" ht="14.25" hidden="false" customHeight="false" outlineLevel="0" collapsed="false">
      <c r="A205" s="62" t="n">
        <v>2</v>
      </c>
      <c r="B205" s="241" t="s">
        <v>194</v>
      </c>
      <c r="C205" s="242" t="s">
        <v>194</v>
      </c>
      <c r="D205" s="243" t="s">
        <v>194</v>
      </c>
      <c r="E205" s="242"/>
      <c r="F205" s="269"/>
      <c r="G205" s="2"/>
      <c r="H205" s="238"/>
      <c r="I205" s="239"/>
      <c r="J205" s="3"/>
      <c r="K205" s="235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</row>
    <row r="206" customFormat="false" ht="14.25" hidden="false" customHeight="false" outlineLevel="0" collapsed="false">
      <c r="A206" s="62" t="n">
        <v>3</v>
      </c>
      <c r="B206" s="241" t="s">
        <v>194</v>
      </c>
      <c r="C206" s="242" t="s">
        <v>194</v>
      </c>
      <c r="D206" s="243" t="s">
        <v>194</v>
      </c>
      <c r="E206" s="242"/>
      <c r="F206" s="269"/>
      <c r="G206" s="2"/>
      <c r="H206" s="238"/>
      <c r="I206" s="239"/>
      <c r="J206" s="3"/>
      <c r="K206" s="235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</row>
    <row r="207" customFormat="false" ht="14.25" hidden="false" customHeight="false" outlineLevel="0" collapsed="false">
      <c r="A207" s="62" t="n">
        <v>4</v>
      </c>
      <c r="B207" s="241" t="s">
        <v>194</v>
      </c>
      <c r="C207" s="242" t="s">
        <v>194</v>
      </c>
      <c r="D207" s="243" t="s">
        <v>194</v>
      </c>
      <c r="E207" s="242"/>
      <c r="F207" s="269"/>
      <c r="G207" s="2"/>
      <c r="H207" s="238"/>
      <c r="I207" s="239"/>
      <c r="J207" s="3"/>
      <c r="K207" s="235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</row>
    <row r="208" customFormat="false" ht="14.25" hidden="false" customHeight="false" outlineLevel="0" collapsed="false">
      <c r="A208" s="62" t="n">
        <v>5</v>
      </c>
      <c r="B208" s="241" t="s">
        <v>194</v>
      </c>
      <c r="C208" s="242" t="s">
        <v>194</v>
      </c>
      <c r="D208" s="243" t="s">
        <v>194</v>
      </c>
      <c r="E208" s="242"/>
      <c r="F208" s="269"/>
      <c r="G208" s="16"/>
      <c r="H208" s="238"/>
      <c r="I208" s="239"/>
      <c r="J208" s="3"/>
      <c r="K208" s="235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</row>
    <row r="209" customFormat="false" ht="14.25" hidden="false" customHeight="false" outlineLevel="0" collapsed="false">
      <c r="A209" s="248" t="n">
        <f aca="false">'Données projet'!A192</f>
        <v>0</v>
      </c>
      <c r="B209" s="249" t="n">
        <f aca="false">'Données projet'!D192</f>
        <v>0</v>
      </c>
      <c r="C209" s="242"/>
      <c r="D209" s="247" t="n">
        <f aca="false">B209*C209</f>
        <v>0</v>
      </c>
      <c r="E209" s="242"/>
      <c r="F209" s="273"/>
      <c r="G209" s="16"/>
      <c r="H209" s="238"/>
      <c r="I209" s="239"/>
      <c r="J209" s="3"/>
      <c r="K209" s="235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</row>
    <row r="210" customFormat="false" ht="14.25" hidden="false" customHeight="false" outlineLevel="0" collapsed="false">
      <c r="A210" s="248" t="n">
        <f aca="false">'Données projet'!A193</f>
        <v>0</v>
      </c>
      <c r="B210" s="249" t="n">
        <f aca="false">'Données projet'!D193</f>
        <v>0</v>
      </c>
      <c r="C210" s="242"/>
      <c r="D210" s="247" t="n">
        <f aca="false">B210*C210</f>
        <v>0</v>
      </c>
      <c r="E210" s="242"/>
      <c r="F210" s="273"/>
      <c r="G210" s="16"/>
      <c r="H210" s="238"/>
      <c r="I210" s="239"/>
      <c r="J210" s="3"/>
      <c r="K210" s="235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</row>
    <row r="211" customFormat="false" ht="14.25" hidden="false" customHeight="false" outlineLevel="0" collapsed="false">
      <c r="A211" s="248" t="n">
        <f aca="false">'Données projet'!A194</f>
        <v>0</v>
      </c>
      <c r="B211" s="249" t="n">
        <f aca="false">'Données projet'!D194</f>
        <v>0</v>
      </c>
      <c r="C211" s="242"/>
      <c r="D211" s="247" t="n">
        <f aca="false">B211*C211</f>
        <v>0</v>
      </c>
      <c r="E211" s="242"/>
      <c r="F211" s="273"/>
      <c r="G211" s="16"/>
      <c r="H211" s="238"/>
      <c r="I211" s="239"/>
      <c r="J211" s="3"/>
      <c r="K211" s="235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</row>
    <row r="212" customFormat="false" ht="14.25" hidden="false" customHeight="false" outlineLevel="0" collapsed="false">
      <c r="A212" s="248" t="n">
        <f aca="false">'Données projet'!A195</f>
        <v>0</v>
      </c>
      <c r="B212" s="249" t="n">
        <f aca="false">'Données projet'!D195</f>
        <v>0</v>
      </c>
      <c r="C212" s="242"/>
      <c r="D212" s="247" t="n">
        <f aca="false">B212*C212</f>
        <v>0</v>
      </c>
      <c r="E212" s="242"/>
      <c r="F212" s="273"/>
      <c r="G212" s="16"/>
      <c r="H212" s="238"/>
      <c r="I212" s="239"/>
      <c r="J212" s="3"/>
      <c r="K212" s="235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</row>
    <row r="213" customFormat="false" ht="14.25" hidden="false" customHeight="false" outlineLevel="0" collapsed="false">
      <c r="A213" s="248" t="n">
        <f aca="false">'Données projet'!A196</f>
        <v>0</v>
      </c>
      <c r="B213" s="249" t="n">
        <f aca="false">'Données projet'!D196</f>
        <v>0</v>
      </c>
      <c r="C213" s="242"/>
      <c r="D213" s="247" t="n">
        <f aca="false">B213*C213</f>
        <v>0</v>
      </c>
      <c r="E213" s="242"/>
      <c r="F213" s="273"/>
      <c r="G213" s="16"/>
      <c r="H213" s="238"/>
      <c r="I213" s="239"/>
      <c r="J213" s="3"/>
      <c r="K213" s="235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</row>
    <row r="214" customFormat="false" ht="14.25" hidden="false" customHeight="false" outlineLevel="0" collapsed="false">
      <c r="A214" s="248" t="n">
        <f aca="false">'Données projet'!A197</f>
        <v>0</v>
      </c>
      <c r="B214" s="249" t="n">
        <f aca="false">'Données projet'!D197</f>
        <v>0</v>
      </c>
      <c r="C214" s="242"/>
      <c r="D214" s="247" t="n">
        <f aca="false">B214*C214</f>
        <v>0</v>
      </c>
      <c r="E214" s="242"/>
      <c r="F214" s="273"/>
      <c r="G214" s="16"/>
      <c r="H214" s="238"/>
      <c r="I214" s="239"/>
      <c r="J214" s="3"/>
      <c r="K214" s="235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</row>
    <row r="215" customFormat="false" ht="14.25" hidden="false" customHeight="false" outlineLevel="0" collapsed="false">
      <c r="A215" s="248" t="n">
        <f aca="false">'Données projet'!A198</f>
        <v>0</v>
      </c>
      <c r="B215" s="249" t="n">
        <f aca="false">'Données projet'!D198</f>
        <v>0</v>
      </c>
      <c r="C215" s="242"/>
      <c r="D215" s="247" t="n">
        <f aca="false">B215*C215</f>
        <v>0</v>
      </c>
      <c r="E215" s="242"/>
      <c r="F215" s="273"/>
      <c r="G215" s="274"/>
      <c r="H215" s="238"/>
      <c r="I215" s="239"/>
      <c r="J215" s="3"/>
      <c r="K215" s="235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</row>
    <row r="216" customFormat="false" ht="14.25" hidden="false" customHeight="false" outlineLevel="0" collapsed="false">
      <c r="A216" s="248" t="n">
        <f aca="false">'Données projet'!A199</f>
        <v>0</v>
      </c>
      <c r="B216" s="249" t="n">
        <f aca="false">'Données projet'!D199</f>
        <v>0</v>
      </c>
      <c r="C216" s="242"/>
      <c r="D216" s="247" t="n">
        <f aca="false">B216*C216</f>
        <v>0</v>
      </c>
      <c r="E216" s="242"/>
      <c r="F216" s="273"/>
      <c r="G216" s="274"/>
      <c r="H216" s="238"/>
      <c r="I216" s="239"/>
      <c r="J216" s="3"/>
      <c r="K216" s="235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</row>
    <row r="217" customFormat="false" ht="14.25" hidden="false" customHeight="false" outlineLevel="0" collapsed="false">
      <c r="A217" s="248" t="n">
        <f aca="false">'Données projet'!A200</f>
        <v>0</v>
      </c>
      <c r="B217" s="249" t="n">
        <f aca="false">'Données projet'!D200</f>
        <v>0</v>
      </c>
      <c r="C217" s="242"/>
      <c r="D217" s="247" t="n">
        <f aca="false">B217*C217</f>
        <v>0</v>
      </c>
      <c r="E217" s="242"/>
      <c r="F217" s="273"/>
      <c r="G217" s="274"/>
      <c r="H217" s="238"/>
      <c r="I217" s="239"/>
      <c r="J217" s="3"/>
      <c r="K217" s="235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</row>
    <row r="218" customFormat="false" ht="14.25" hidden="false" customHeight="false" outlineLevel="0" collapsed="false">
      <c r="A218" s="248" t="n">
        <f aca="false">'Données projet'!A201</f>
        <v>0</v>
      </c>
      <c r="B218" s="249" t="n">
        <f aca="false">'Données projet'!D201</f>
        <v>0</v>
      </c>
      <c r="C218" s="242"/>
      <c r="D218" s="247" t="n">
        <f aca="false">B218*C218</f>
        <v>0</v>
      </c>
      <c r="E218" s="242"/>
      <c r="F218" s="273"/>
      <c r="G218" s="274"/>
      <c r="H218" s="238"/>
      <c r="I218" s="239"/>
      <c r="J218" s="3"/>
      <c r="K218" s="23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</row>
    <row r="219" customFormat="false" ht="14.25" hidden="false" customHeight="false" outlineLevel="0" collapsed="false">
      <c r="A219" s="248" t="n">
        <f aca="false">'Données projet'!A202</f>
        <v>0</v>
      </c>
      <c r="B219" s="249" t="n">
        <f aca="false">'Données projet'!D202</f>
        <v>0</v>
      </c>
      <c r="C219" s="242"/>
      <c r="D219" s="247" t="n">
        <f aca="false">B219*C219</f>
        <v>0</v>
      </c>
      <c r="E219" s="242"/>
      <c r="F219" s="273"/>
      <c r="G219" s="274"/>
      <c r="H219" s="238"/>
      <c r="I219" s="239"/>
      <c r="J219" s="3"/>
      <c r="K219" s="23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</row>
    <row r="220" customFormat="false" ht="14.25" hidden="false" customHeight="false" outlineLevel="0" collapsed="false">
      <c r="A220" s="248" t="n">
        <f aca="false">'Données projet'!A203</f>
        <v>0</v>
      </c>
      <c r="B220" s="249" t="n">
        <f aca="false">'Données projet'!D203</f>
        <v>0</v>
      </c>
      <c r="C220" s="242"/>
      <c r="D220" s="247" t="n">
        <f aca="false">B220*C220</f>
        <v>0</v>
      </c>
      <c r="E220" s="242"/>
      <c r="F220" s="273"/>
      <c r="G220" s="274"/>
      <c r="H220" s="3"/>
      <c r="I220" s="3"/>
      <c r="J220" s="3"/>
      <c r="K220" s="23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</row>
    <row r="221" customFormat="false" ht="14.25" hidden="false" customHeight="false" outlineLevel="0" collapsed="false">
      <c r="A221" s="248" t="n">
        <f aca="false">'Données projet'!A204</f>
        <v>0</v>
      </c>
      <c r="B221" s="249" t="n">
        <f aca="false">'Données projet'!D204</f>
        <v>0</v>
      </c>
      <c r="C221" s="242"/>
      <c r="D221" s="247" t="n">
        <f aca="false">B221*C221</f>
        <v>0</v>
      </c>
      <c r="E221" s="242"/>
      <c r="F221" s="273"/>
      <c r="G221" s="274"/>
      <c r="H221" s="3"/>
      <c r="I221" s="3"/>
      <c r="J221" s="3"/>
      <c r="K221" s="23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</row>
    <row r="222" customFormat="false" ht="14.25" hidden="false" customHeight="false" outlineLevel="0" collapsed="false">
      <c r="A222" s="248" t="n">
        <f aca="false">'Données projet'!A205</f>
        <v>0</v>
      </c>
      <c r="B222" s="249" t="n">
        <f aca="false">'Données projet'!D205</f>
        <v>0</v>
      </c>
      <c r="C222" s="242"/>
      <c r="D222" s="247" t="n">
        <f aca="false">B222*C222</f>
        <v>0</v>
      </c>
      <c r="E222" s="242"/>
      <c r="F222" s="273"/>
      <c r="G222" s="274"/>
      <c r="H222" s="3"/>
      <c r="I222" s="3"/>
      <c r="J222" s="3"/>
      <c r="K222" s="235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</row>
    <row r="223" customFormat="false" ht="14.25" hidden="false" customHeight="false" outlineLevel="0" collapsed="false">
      <c r="A223" s="248" t="n">
        <f aca="false">'Données projet'!A206</f>
        <v>0</v>
      </c>
      <c r="B223" s="249" t="n">
        <f aca="false">'Données projet'!D206</f>
        <v>0</v>
      </c>
      <c r="C223" s="242"/>
      <c r="D223" s="247" t="n">
        <f aca="false">B223*C223</f>
        <v>0</v>
      </c>
      <c r="E223" s="242"/>
      <c r="F223" s="273"/>
      <c r="G223" s="274"/>
      <c r="H223" s="3"/>
      <c r="I223" s="3"/>
      <c r="J223" s="3"/>
      <c r="K223" s="235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</row>
    <row r="224" customFormat="false" ht="14.25" hidden="false" customHeight="false" outlineLevel="0" collapsed="false">
      <c r="A224" s="248" t="n">
        <f aca="false">'Données projet'!A207</f>
        <v>0</v>
      </c>
      <c r="B224" s="249" t="n">
        <f aca="false">'Données projet'!D207</f>
        <v>0</v>
      </c>
      <c r="C224" s="242"/>
      <c r="D224" s="247" t="n">
        <f aca="false">B224*C224</f>
        <v>0</v>
      </c>
      <c r="E224" s="242"/>
      <c r="F224" s="273"/>
      <c r="G224" s="274"/>
      <c r="H224" s="3"/>
      <c r="I224" s="3"/>
      <c r="J224" s="3"/>
      <c r="K224" s="235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</row>
    <row r="225" customFormat="false" ht="14.25" hidden="false" customHeight="false" outlineLevel="0" collapsed="false">
      <c r="A225" s="248" t="n">
        <f aca="false">'Données projet'!A208</f>
        <v>0</v>
      </c>
      <c r="B225" s="249" t="n">
        <f aca="false">'Données projet'!D208</f>
        <v>0</v>
      </c>
      <c r="C225" s="242"/>
      <c r="D225" s="247" t="n">
        <f aca="false">B225*C225</f>
        <v>0</v>
      </c>
      <c r="E225" s="242"/>
      <c r="F225" s="273"/>
      <c r="G225" s="274"/>
      <c r="H225" s="3"/>
      <c r="I225" s="3"/>
      <c r="J225" s="3"/>
      <c r="K225" s="235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</row>
    <row r="226" customFormat="false" ht="14.25" hidden="false" customHeight="false" outlineLevel="0" collapsed="false">
      <c r="A226" s="248" t="n">
        <f aca="false">'Données projet'!A209</f>
        <v>0</v>
      </c>
      <c r="B226" s="249" t="n">
        <f aca="false">'Données projet'!D209</f>
        <v>0</v>
      </c>
      <c r="C226" s="242"/>
      <c r="D226" s="247" t="n">
        <f aca="false">B226*C226</f>
        <v>0</v>
      </c>
      <c r="E226" s="242"/>
      <c r="F226" s="273"/>
      <c r="G226" s="274"/>
      <c r="H226" s="3"/>
      <c r="I226" s="3"/>
      <c r="J226" s="3"/>
      <c r="K226" s="235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</row>
    <row r="227" customFormat="false" ht="14.25" hidden="false" customHeight="false" outlineLevel="0" collapsed="false">
      <c r="A227" s="248" t="n">
        <f aca="false">'Données projet'!A210</f>
        <v>0</v>
      </c>
      <c r="B227" s="249" t="n">
        <f aca="false">'Données projet'!D210</f>
        <v>0</v>
      </c>
      <c r="C227" s="242"/>
      <c r="D227" s="247" t="n">
        <f aca="false">B227*C227</f>
        <v>0</v>
      </c>
      <c r="E227" s="242"/>
      <c r="F227" s="273"/>
      <c r="G227" s="274"/>
      <c r="H227" s="3"/>
      <c r="I227" s="3"/>
      <c r="J227" s="3"/>
      <c r="K227" s="235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</row>
    <row r="228" customFormat="false" ht="14.25" hidden="false" customHeight="false" outlineLevel="0" collapsed="false">
      <c r="A228" s="248" t="n">
        <f aca="false">'Données projet'!A211</f>
        <v>0</v>
      </c>
      <c r="B228" s="249" t="n">
        <f aca="false">'Données projet'!D211</f>
        <v>0</v>
      </c>
      <c r="C228" s="242"/>
      <c r="D228" s="247" t="n">
        <f aca="false">B228*C228</f>
        <v>0</v>
      </c>
      <c r="E228" s="242"/>
      <c r="F228" s="273"/>
      <c r="G228" s="274"/>
      <c r="H228" s="3"/>
      <c r="I228" s="3"/>
      <c r="J228" s="3"/>
      <c r="K228" s="235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</row>
    <row r="229" customFormat="false" ht="14.25" hidden="false" customHeight="false" outlineLevel="0" collapsed="false">
      <c r="A229" s="3"/>
      <c r="B229" s="3"/>
      <c r="C229" s="3"/>
      <c r="D229" s="3"/>
      <c r="E229" s="3"/>
      <c r="F229" s="228"/>
      <c r="G229" s="274"/>
      <c r="H229" s="3"/>
      <c r="I229" s="3"/>
      <c r="J229" s="3"/>
      <c r="K229" s="235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</row>
    <row r="230" customFormat="false" ht="14.25" hidden="false" customHeight="false" outlineLevel="0" collapsed="false">
      <c r="A230" s="3"/>
      <c r="B230" s="3"/>
      <c r="C230" s="3"/>
      <c r="D230" s="3"/>
      <c r="E230" s="3"/>
      <c r="F230" s="228"/>
      <c r="G230" s="274"/>
      <c r="H230" s="3"/>
      <c r="I230" s="3"/>
      <c r="J230" s="3"/>
      <c r="K230" s="23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</row>
    <row r="231" customFormat="false" ht="14.25" hidden="false" customHeight="false" outlineLevel="0" collapsed="false">
      <c r="A231" s="52" t="s">
        <v>29</v>
      </c>
      <c r="B231" s="233" t="str">
        <f aca="false">IF('Données projet'!$B$16="","",'Données projet'!$B$16)</f>
        <v/>
      </c>
      <c r="C231" s="3"/>
      <c r="D231" s="3"/>
      <c r="E231" s="3"/>
      <c r="F231" s="228"/>
      <c r="G231" s="274"/>
      <c r="H231" s="3"/>
      <c r="I231" s="3"/>
      <c r="J231" s="3"/>
      <c r="K231" s="23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</row>
    <row r="232" customFormat="false" ht="14.25" hidden="false" customHeight="false" outlineLevel="0" collapsed="false">
      <c r="A232" s="52"/>
      <c r="B232" s="3"/>
      <c r="C232" s="3"/>
      <c r="D232" s="3"/>
      <c r="E232" s="3"/>
      <c r="F232" s="228"/>
      <c r="G232" s="274"/>
      <c r="H232" s="3"/>
      <c r="I232" s="3"/>
      <c r="J232" s="3"/>
      <c r="K232" s="23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</row>
    <row r="233" customFormat="false" ht="14.25" hidden="false" customHeight="false" outlineLevel="0" collapsed="false">
      <c r="A233" s="32" t="s">
        <v>50</v>
      </c>
      <c r="B233" s="57" t="s">
        <v>307</v>
      </c>
      <c r="C233" s="57" t="s">
        <v>308</v>
      </c>
      <c r="D233" s="32" t="s">
        <v>309</v>
      </c>
      <c r="E233" s="32" t="s">
        <v>310</v>
      </c>
      <c r="F233" s="269"/>
      <c r="G233" s="274"/>
      <c r="H233" s="3"/>
      <c r="I233" s="3"/>
      <c r="J233" s="3"/>
      <c r="K233" s="23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</row>
    <row r="234" customFormat="false" ht="14.25" hidden="false" customHeight="false" outlineLevel="0" collapsed="false">
      <c r="A234" s="62" t="n">
        <v>0</v>
      </c>
      <c r="B234" s="241" t="s">
        <v>194</v>
      </c>
      <c r="C234" s="242" t="s">
        <v>194</v>
      </c>
      <c r="D234" s="243" t="s">
        <v>194</v>
      </c>
      <c r="E234" s="242"/>
      <c r="F234" s="269"/>
      <c r="G234" s="274"/>
      <c r="H234" s="3"/>
      <c r="I234" s="3"/>
      <c r="J234" s="3"/>
      <c r="K234" s="235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</row>
    <row r="235" customFormat="false" ht="14.25" hidden="false" customHeight="false" outlineLevel="0" collapsed="false">
      <c r="A235" s="62" t="n">
        <v>1</v>
      </c>
      <c r="B235" s="241" t="s">
        <v>194</v>
      </c>
      <c r="C235" s="242" t="s">
        <v>194</v>
      </c>
      <c r="D235" s="243" t="s">
        <v>194</v>
      </c>
      <c r="E235" s="242"/>
      <c r="F235" s="269"/>
      <c r="G235" s="2"/>
      <c r="H235" s="3"/>
      <c r="I235" s="3"/>
      <c r="J235" s="3"/>
      <c r="K235" s="235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</row>
    <row r="236" customFormat="false" ht="14.25" hidden="false" customHeight="false" outlineLevel="0" collapsed="false">
      <c r="A236" s="62" t="n">
        <v>2</v>
      </c>
      <c r="B236" s="241" t="s">
        <v>194</v>
      </c>
      <c r="C236" s="242" t="s">
        <v>194</v>
      </c>
      <c r="D236" s="243" t="s">
        <v>194</v>
      </c>
      <c r="E236" s="242"/>
      <c r="F236" s="269"/>
      <c r="G236" s="2"/>
      <c r="H236" s="3"/>
      <c r="I236" s="3"/>
      <c r="J236" s="3"/>
      <c r="K236" s="235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</row>
    <row r="237" customFormat="false" ht="14.25" hidden="false" customHeight="false" outlineLevel="0" collapsed="false">
      <c r="A237" s="62" t="n">
        <v>3</v>
      </c>
      <c r="B237" s="241" t="s">
        <v>194</v>
      </c>
      <c r="C237" s="242" t="s">
        <v>194</v>
      </c>
      <c r="D237" s="243" t="s">
        <v>194</v>
      </c>
      <c r="E237" s="242"/>
      <c r="F237" s="269"/>
      <c r="G237" s="2"/>
      <c r="H237" s="3"/>
      <c r="I237" s="3"/>
      <c r="J237" s="3"/>
      <c r="K237" s="235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</row>
    <row r="238" customFormat="false" ht="14.25" hidden="false" customHeight="false" outlineLevel="0" collapsed="false">
      <c r="A238" s="62" t="n">
        <v>4</v>
      </c>
      <c r="B238" s="241" t="s">
        <v>194</v>
      </c>
      <c r="C238" s="242" t="s">
        <v>194</v>
      </c>
      <c r="D238" s="243" t="s">
        <v>194</v>
      </c>
      <c r="E238" s="242"/>
      <c r="F238" s="269"/>
      <c r="G238" s="2"/>
      <c r="H238" s="3"/>
      <c r="I238" s="3"/>
      <c r="J238" s="3"/>
      <c r="K238" s="235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</row>
    <row r="239" customFormat="false" ht="14.25" hidden="false" customHeight="false" outlineLevel="0" collapsed="false">
      <c r="A239" s="62" t="n">
        <v>5</v>
      </c>
      <c r="B239" s="241" t="s">
        <v>194</v>
      </c>
      <c r="C239" s="242" t="s">
        <v>194</v>
      </c>
      <c r="D239" s="243" t="s">
        <v>194</v>
      </c>
      <c r="E239" s="242"/>
      <c r="F239" s="269"/>
      <c r="G239" s="16"/>
      <c r="H239" s="3"/>
      <c r="I239" s="3"/>
      <c r="J239" s="3"/>
      <c r="K239" s="235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</row>
    <row r="240" customFormat="false" ht="14.25" hidden="false" customHeight="false" outlineLevel="0" collapsed="false">
      <c r="A240" s="248" t="n">
        <f aca="false">'Données projet'!A218</f>
        <v>0</v>
      </c>
      <c r="B240" s="249" t="n">
        <f aca="false">'Données projet'!D218</f>
        <v>0</v>
      </c>
      <c r="C240" s="242"/>
      <c r="D240" s="247" t="n">
        <f aca="false">B240*C240</f>
        <v>0</v>
      </c>
      <c r="E240" s="242"/>
      <c r="F240" s="273"/>
      <c r="G240" s="16"/>
      <c r="H240" s="3"/>
      <c r="I240" s="3"/>
      <c r="J240" s="3"/>
      <c r="K240" s="235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</row>
    <row r="241" customFormat="false" ht="14.25" hidden="false" customHeight="false" outlineLevel="0" collapsed="false">
      <c r="A241" s="248" t="n">
        <f aca="false">'Données projet'!A219</f>
        <v>0</v>
      </c>
      <c r="B241" s="249" t="n">
        <f aca="false">'Données projet'!D219</f>
        <v>0</v>
      </c>
      <c r="C241" s="242"/>
      <c r="D241" s="247" t="n">
        <f aca="false">B241*C241</f>
        <v>0</v>
      </c>
      <c r="E241" s="242"/>
      <c r="F241" s="273"/>
      <c r="G241" s="16"/>
      <c r="H241" s="3"/>
      <c r="I241" s="3"/>
      <c r="J241" s="3"/>
      <c r="K241" s="235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</row>
    <row r="242" customFormat="false" ht="14.25" hidden="false" customHeight="false" outlineLevel="0" collapsed="false">
      <c r="A242" s="248" t="n">
        <f aca="false">'Données projet'!A220</f>
        <v>0</v>
      </c>
      <c r="B242" s="249" t="n">
        <f aca="false">'Données projet'!D220</f>
        <v>0</v>
      </c>
      <c r="C242" s="242"/>
      <c r="D242" s="247" t="n">
        <f aca="false">B242*C242</f>
        <v>0</v>
      </c>
      <c r="E242" s="242"/>
      <c r="F242" s="273"/>
      <c r="G242" s="16"/>
      <c r="H242" s="3"/>
      <c r="I242" s="3"/>
      <c r="J242" s="3"/>
      <c r="K242" s="235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</row>
    <row r="243" customFormat="false" ht="14.25" hidden="false" customHeight="false" outlineLevel="0" collapsed="false">
      <c r="A243" s="248" t="n">
        <f aca="false">'Données projet'!A221</f>
        <v>0</v>
      </c>
      <c r="B243" s="249" t="n">
        <f aca="false">'Données projet'!D221</f>
        <v>0</v>
      </c>
      <c r="C243" s="242"/>
      <c r="D243" s="247" t="n">
        <f aca="false">B243*C243</f>
        <v>0</v>
      </c>
      <c r="E243" s="242"/>
      <c r="F243" s="273"/>
      <c r="G243" s="16"/>
      <c r="H243" s="3"/>
      <c r="I243" s="3"/>
      <c r="J243" s="3"/>
      <c r="K243" s="235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</row>
    <row r="244" customFormat="false" ht="14.25" hidden="false" customHeight="false" outlineLevel="0" collapsed="false">
      <c r="A244" s="248" t="n">
        <f aca="false">'Données projet'!A222</f>
        <v>0</v>
      </c>
      <c r="B244" s="249" t="n">
        <f aca="false">'Données projet'!D222</f>
        <v>0</v>
      </c>
      <c r="C244" s="242"/>
      <c r="D244" s="247" t="n">
        <f aca="false">B244*C244</f>
        <v>0</v>
      </c>
      <c r="E244" s="242"/>
      <c r="F244" s="273"/>
      <c r="G244" s="16"/>
      <c r="H244" s="3"/>
      <c r="I244" s="3"/>
      <c r="J244" s="3"/>
      <c r="K244" s="235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</row>
    <row r="245" customFormat="false" ht="14.25" hidden="false" customHeight="false" outlineLevel="0" collapsed="false">
      <c r="A245" s="248" t="n">
        <f aca="false">'Données projet'!A223</f>
        <v>0</v>
      </c>
      <c r="B245" s="249" t="n">
        <f aca="false">'Données projet'!D223</f>
        <v>0</v>
      </c>
      <c r="C245" s="242"/>
      <c r="D245" s="247" t="n">
        <f aca="false">B245*C245</f>
        <v>0</v>
      </c>
      <c r="E245" s="242"/>
      <c r="F245" s="273"/>
      <c r="G245" s="16"/>
      <c r="H245" s="3"/>
      <c r="I245" s="3"/>
      <c r="J245" s="3"/>
      <c r="K245" s="235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</row>
    <row r="246" customFormat="false" ht="14.25" hidden="false" customHeight="false" outlineLevel="0" collapsed="false">
      <c r="A246" s="248" t="n">
        <f aca="false">'Données projet'!A224</f>
        <v>0</v>
      </c>
      <c r="B246" s="249" t="n">
        <f aca="false">'Données projet'!D224</f>
        <v>0</v>
      </c>
      <c r="C246" s="242"/>
      <c r="D246" s="247" t="n">
        <f aca="false">B246*C246</f>
        <v>0</v>
      </c>
      <c r="E246" s="242"/>
      <c r="F246" s="273"/>
      <c r="G246" s="274"/>
      <c r="H246" s="3"/>
      <c r="I246" s="3"/>
      <c r="J246" s="3"/>
      <c r="K246" s="235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</row>
    <row r="247" customFormat="false" ht="14.25" hidden="false" customHeight="false" outlineLevel="0" collapsed="false">
      <c r="A247" s="248" t="n">
        <f aca="false">'Données projet'!A225</f>
        <v>0</v>
      </c>
      <c r="B247" s="249" t="n">
        <f aca="false">'Données projet'!D225</f>
        <v>0</v>
      </c>
      <c r="C247" s="242"/>
      <c r="D247" s="247" t="n">
        <f aca="false">B247*C247</f>
        <v>0</v>
      </c>
      <c r="E247" s="242"/>
      <c r="F247" s="273"/>
      <c r="G247" s="274"/>
      <c r="H247" s="3"/>
      <c r="I247" s="3"/>
      <c r="J247" s="3"/>
      <c r="K247" s="235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</row>
    <row r="248" customFormat="false" ht="14.25" hidden="false" customHeight="false" outlineLevel="0" collapsed="false">
      <c r="A248" s="248" t="n">
        <f aca="false">'Données projet'!A226</f>
        <v>0</v>
      </c>
      <c r="B248" s="249" t="n">
        <f aca="false">'Données projet'!D226</f>
        <v>0</v>
      </c>
      <c r="C248" s="242"/>
      <c r="D248" s="247" t="n">
        <f aca="false">B248*C248</f>
        <v>0</v>
      </c>
      <c r="E248" s="242"/>
      <c r="F248" s="273"/>
      <c r="G248" s="274"/>
      <c r="H248" s="3"/>
      <c r="I248" s="3"/>
      <c r="J248" s="3"/>
      <c r="K248" s="235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</row>
    <row r="249" customFormat="false" ht="14.25" hidden="false" customHeight="false" outlineLevel="0" collapsed="false">
      <c r="A249" s="248" t="n">
        <f aca="false">'Données projet'!A227</f>
        <v>0</v>
      </c>
      <c r="B249" s="249" t="n">
        <f aca="false">'Données projet'!D227</f>
        <v>0</v>
      </c>
      <c r="C249" s="242"/>
      <c r="D249" s="247" t="n">
        <f aca="false">B249*C249</f>
        <v>0</v>
      </c>
      <c r="E249" s="242"/>
      <c r="F249" s="273"/>
      <c r="G249" s="274"/>
      <c r="H249" s="3"/>
      <c r="I249" s="3"/>
      <c r="J249" s="3"/>
      <c r="K249" s="235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</row>
    <row r="250" customFormat="false" ht="14.25" hidden="false" customHeight="false" outlineLevel="0" collapsed="false">
      <c r="A250" s="248" t="n">
        <f aca="false">'Données projet'!A228</f>
        <v>0</v>
      </c>
      <c r="B250" s="249" t="n">
        <f aca="false">'Données projet'!D228</f>
        <v>0</v>
      </c>
      <c r="C250" s="242"/>
      <c r="D250" s="247" t="n">
        <f aca="false">B250*C250</f>
        <v>0</v>
      </c>
      <c r="E250" s="242"/>
      <c r="F250" s="273"/>
      <c r="G250" s="274"/>
      <c r="H250" s="3"/>
      <c r="I250" s="3"/>
      <c r="J250" s="3"/>
      <c r="K250" s="235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</row>
    <row r="251" customFormat="false" ht="14.25" hidden="false" customHeight="false" outlineLevel="0" collapsed="false">
      <c r="A251" s="248" t="n">
        <f aca="false">'Données projet'!A229</f>
        <v>0</v>
      </c>
      <c r="B251" s="249" t="n">
        <f aca="false">'Données projet'!D229</f>
        <v>0</v>
      </c>
      <c r="C251" s="242"/>
      <c r="D251" s="247" t="n">
        <f aca="false">B251*C251</f>
        <v>0</v>
      </c>
      <c r="E251" s="242"/>
      <c r="F251" s="273"/>
      <c r="G251" s="274"/>
      <c r="H251" s="3"/>
      <c r="I251" s="3"/>
      <c r="J251" s="3"/>
      <c r="K251" s="235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</row>
    <row r="252" customFormat="false" ht="14.25" hidden="false" customHeight="false" outlineLevel="0" collapsed="false">
      <c r="A252" s="248" t="n">
        <f aca="false">'Données projet'!A230</f>
        <v>0</v>
      </c>
      <c r="B252" s="249" t="n">
        <f aca="false">'Données projet'!D230</f>
        <v>0</v>
      </c>
      <c r="C252" s="242"/>
      <c r="D252" s="247" t="n">
        <f aca="false">B252*C252</f>
        <v>0</v>
      </c>
      <c r="E252" s="242"/>
      <c r="F252" s="273"/>
      <c r="G252" s="274"/>
      <c r="H252" s="3"/>
      <c r="I252" s="3"/>
      <c r="J252" s="3"/>
      <c r="K252" s="235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</row>
    <row r="253" customFormat="false" ht="14.25" hidden="false" customHeight="false" outlineLevel="0" collapsed="false">
      <c r="A253" s="248" t="n">
        <f aca="false">'Données projet'!A231</f>
        <v>0</v>
      </c>
      <c r="B253" s="249" t="n">
        <f aca="false">'Données projet'!D231</f>
        <v>0</v>
      </c>
      <c r="C253" s="242"/>
      <c r="D253" s="247" t="n">
        <f aca="false">B253*C253</f>
        <v>0</v>
      </c>
      <c r="E253" s="242"/>
      <c r="F253" s="273"/>
      <c r="G253" s="274"/>
      <c r="H253" s="3"/>
      <c r="I253" s="3"/>
      <c r="J253" s="3"/>
      <c r="K253" s="23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</row>
    <row r="254" customFormat="false" ht="14.25" hidden="false" customHeight="false" outlineLevel="0" collapsed="false">
      <c r="A254" s="248" t="n">
        <f aca="false">'Données projet'!A232</f>
        <v>0</v>
      </c>
      <c r="B254" s="249" t="n">
        <f aca="false">'Données projet'!D232</f>
        <v>0</v>
      </c>
      <c r="C254" s="242"/>
      <c r="D254" s="247" t="n">
        <f aca="false">B254*C254</f>
        <v>0</v>
      </c>
      <c r="E254" s="242"/>
      <c r="F254" s="273"/>
      <c r="G254" s="274"/>
      <c r="H254" s="3"/>
      <c r="I254" s="3"/>
      <c r="J254" s="3"/>
      <c r="K254" s="23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</row>
    <row r="255" customFormat="false" ht="14.25" hidden="false" customHeight="false" outlineLevel="0" collapsed="false">
      <c r="A255" s="248" t="n">
        <f aca="false">'Données projet'!A233</f>
        <v>0</v>
      </c>
      <c r="B255" s="249" t="n">
        <f aca="false">'Données projet'!D233</f>
        <v>0</v>
      </c>
      <c r="C255" s="242"/>
      <c r="D255" s="247" t="n">
        <f aca="false">B255*C255</f>
        <v>0</v>
      </c>
      <c r="E255" s="242"/>
      <c r="F255" s="273"/>
      <c r="G255" s="274"/>
      <c r="H255" s="3"/>
      <c r="I255" s="3"/>
      <c r="J255" s="3"/>
      <c r="K255" s="235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</row>
    <row r="256" customFormat="false" ht="14.25" hidden="false" customHeight="false" outlineLevel="0" collapsed="false">
      <c r="A256" s="248" t="n">
        <f aca="false">'Données projet'!A234</f>
        <v>0</v>
      </c>
      <c r="B256" s="249" t="n">
        <f aca="false">'Données projet'!D234</f>
        <v>0</v>
      </c>
      <c r="C256" s="242"/>
      <c r="D256" s="247" t="n">
        <f aca="false">B256*C256</f>
        <v>0</v>
      </c>
      <c r="E256" s="242"/>
      <c r="F256" s="273"/>
      <c r="G256" s="274"/>
      <c r="H256" s="3"/>
      <c r="I256" s="3"/>
      <c r="J256" s="3"/>
      <c r="K256" s="235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</row>
    <row r="257" customFormat="false" ht="14.25" hidden="false" customHeight="false" outlineLevel="0" collapsed="false">
      <c r="A257" s="248" t="n">
        <f aca="false">'Données projet'!A235</f>
        <v>0</v>
      </c>
      <c r="B257" s="249" t="n">
        <f aca="false">'Données projet'!D235</f>
        <v>0</v>
      </c>
      <c r="C257" s="242"/>
      <c r="D257" s="247" t="n">
        <f aca="false">B257*C257</f>
        <v>0</v>
      </c>
      <c r="E257" s="242"/>
      <c r="F257" s="273"/>
      <c r="G257" s="274"/>
      <c r="H257" s="3"/>
      <c r="I257" s="3"/>
      <c r="J257" s="3"/>
      <c r="K257" s="235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</row>
    <row r="258" customFormat="false" ht="14.25" hidden="false" customHeight="false" outlineLevel="0" collapsed="false">
      <c r="A258" s="248" t="n">
        <f aca="false">'Données projet'!A236</f>
        <v>0</v>
      </c>
      <c r="B258" s="249" t="n">
        <f aca="false">'Données projet'!D236</f>
        <v>0</v>
      </c>
      <c r="C258" s="242"/>
      <c r="D258" s="247" t="n">
        <f aca="false">B258*C258</f>
        <v>0</v>
      </c>
      <c r="E258" s="242"/>
      <c r="F258" s="273"/>
      <c r="G258" s="274"/>
      <c r="H258" s="3"/>
      <c r="I258" s="3"/>
      <c r="J258" s="3"/>
      <c r="K258" s="235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</row>
    <row r="259" customFormat="false" ht="14.25" hidden="false" customHeight="false" outlineLevel="0" collapsed="false">
      <c r="A259" s="248" t="n">
        <f aca="false">'Données projet'!A237</f>
        <v>0</v>
      </c>
      <c r="B259" s="249" t="n">
        <f aca="false">'Données projet'!D237</f>
        <v>0</v>
      </c>
      <c r="C259" s="242"/>
      <c r="D259" s="247" t="n">
        <f aca="false">B259*C259</f>
        <v>0</v>
      </c>
      <c r="E259" s="242"/>
      <c r="F259" s="273"/>
      <c r="G259" s="274"/>
      <c r="H259" s="3"/>
      <c r="I259" s="3"/>
      <c r="J259" s="3"/>
      <c r="K259" s="235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</row>
    <row r="260" customFormat="false" ht="14.25" hidden="false" customHeight="false" outlineLevel="0" collapsed="false">
      <c r="A260" s="3"/>
      <c r="B260" s="3"/>
      <c r="C260" s="3"/>
      <c r="D260" s="3"/>
      <c r="E260" s="3"/>
      <c r="F260" s="228"/>
      <c r="G260" s="274"/>
      <c r="H260" s="3"/>
      <c r="I260" s="3"/>
      <c r="J260" s="3"/>
      <c r="K260" s="235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</row>
    <row r="261" customFormat="false" ht="14.25" hidden="false" customHeight="false" outlineLevel="0" collapsed="false">
      <c r="A261" s="3"/>
      <c r="B261" s="3"/>
      <c r="C261" s="3"/>
      <c r="D261" s="3"/>
      <c r="E261" s="3"/>
      <c r="F261" s="228"/>
      <c r="G261" s="274"/>
      <c r="H261" s="3"/>
      <c r="I261" s="3"/>
      <c r="J261" s="3"/>
      <c r="K261" s="235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</row>
    <row r="262" customFormat="false" ht="14.25" hidden="false" customHeight="false" outlineLevel="0" collapsed="false">
      <c r="A262" s="52" t="s">
        <v>30</v>
      </c>
      <c r="B262" s="233" t="str">
        <f aca="false">IF('Données projet'!$B$17="","",'Données projet'!$B$17)</f>
        <v/>
      </c>
      <c r="C262" s="3"/>
      <c r="D262" s="3"/>
      <c r="E262" s="3"/>
      <c r="F262" s="228"/>
      <c r="G262" s="274"/>
      <c r="H262" s="3"/>
      <c r="I262" s="3"/>
      <c r="J262" s="3"/>
      <c r="K262" s="235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</row>
    <row r="263" customFormat="false" ht="14.25" hidden="false" customHeight="false" outlineLevel="0" collapsed="false">
      <c r="A263" s="52"/>
      <c r="B263" s="3"/>
      <c r="C263" s="3"/>
      <c r="D263" s="3"/>
      <c r="E263" s="3"/>
      <c r="F263" s="228"/>
      <c r="G263" s="274"/>
      <c r="H263" s="3"/>
      <c r="I263" s="3"/>
      <c r="J263" s="3"/>
      <c r="K263" s="235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</row>
    <row r="264" customFormat="false" ht="14.25" hidden="false" customHeight="false" outlineLevel="0" collapsed="false">
      <c r="A264" s="32" t="s">
        <v>50</v>
      </c>
      <c r="B264" s="57" t="s">
        <v>307</v>
      </c>
      <c r="C264" s="57" t="s">
        <v>308</v>
      </c>
      <c r="D264" s="32" t="s">
        <v>309</v>
      </c>
      <c r="E264" s="32" t="s">
        <v>310</v>
      </c>
      <c r="F264" s="269"/>
      <c r="G264" s="274"/>
      <c r="H264" s="3"/>
      <c r="I264" s="3"/>
      <c r="J264" s="3"/>
      <c r="K264" s="235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</row>
    <row r="265" customFormat="false" ht="14.25" hidden="false" customHeight="false" outlineLevel="0" collapsed="false">
      <c r="A265" s="62" t="n">
        <v>0</v>
      </c>
      <c r="B265" s="241" t="s">
        <v>194</v>
      </c>
      <c r="C265" s="242" t="s">
        <v>194</v>
      </c>
      <c r="D265" s="243" t="s">
        <v>194</v>
      </c>
      <c r="E265" s="242"/>
      <c r="F265" s="269"/>
      <c r="G265" s="274"/>
      <c r="H265" s="3"/>
      <c r="I265" s="3"/>
      <c r="J265" s="3"/>
      <c r="K265" s="235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</row>
    <row r="266" customFormat="false" ht="14.25" hidden="false" customHeight="false" outlineLevel="0" collapsed="false">
      <c r="A266" s="62" t="n">
        <v>1</v>
      </c>
      <c r="B266" s="241" t="s">
        <v>194</v>
      </c>
      <c r="C266" s="242" t="s">
        <v>194</v>
      </c>
      <c r="D266" s="243" t="s">
        <v>194</v>
      </c>
      <c r="E266" s="242"/>
      <c r="F266" s="269"/>
      <c r="G266" s="2"/>
      <c r="H266" s="3"/>
      <c r="I266" s="3"/>
      <c r="J266" s="3"/>
      <c r="K266" s="235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</row>
    <row r="267" customFormat="false" ht="14.25" hidden="false" customHeight="false" outlineLevel="0" collapsed="false">
      <c r="A267" s="62" t="n">
        <v>2</v>
      </c>
      <c r="B267" s="241" t="s">
        <v>194</v>
      </c>
      <c r="C267" s="242" t="s">
        <v>194</v>
      </c>
      <c r="D267" s="243" t="s">
        <v>194</v>
      </c>
      <c r="E267" s="242"/>
      <c r="F267" s="269"/>
      <c r="G267" s="2"/>
      <c r="H267" s="3"/>
      <c r="I267" s="3"/>
      <c r="J267" s="3"/>
      <c r="K267" s="235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</row>
    <row r="268" customFormat="false" ht="14.25" hidden="false" customHeight="false" outlineLevel="0" collapsed="false">
      <c r="A268" s="62" t="n">
        <v>3</v>
      </c>
      <c r="B268" s="241" t="s">
        <v>194</v>
      </c>
      <c r="C268" s="242" t="s">
        <v>194</v>
      </c>
      <c r="D268" s="243" t="s">
        <v>194</v>
      </c>
      <c r="E268" s="242"/>
      <c r="F268" s="269"/>
      <c r="G268" s="2"/>
      <c r="H268" s="3"/>
      <c r="I268" s="3"/>
      <c r="J268" s="3"/>
      <c r="K268" s="235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</row>
    <row r="269" customFormat="false" ht="14.25" hidden="false" customHeight="false" outlineLevel="0" collapsed="false">
      <c r="A269" s="62" t="n">
        <v>4</v>
      </c>
      <c r="B269" s="241" t="s">
        <v>194</v>
      </c>
      <c r="C269" s="242" t="s">
        <v>194</v>
      </c>
      <c r="D269" s="243" t="s">
        <v>194</v>
      </c>
      <c r="E269" s="242"/>
      <c r="F269" s="269"/>
      <c r="G269" s="2"/>
      <c r="H269" s="3"/>
      <c r="I269" s="3"/>
      <c r="J269" s="3"/>
      <c r="K269" s="235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</row>
    <row r="270" customFormat="false" ht="14.25" hidden="false" customHeight="false" outlineLevel="0" collapsed="false">
      <c r="A270" s="62" t="n">
        <v>5</v>
      </c>
      <c r="B270" s="241" t="s">
        <v>194</v>
      </c>
      <c r="C270" s="242" t="s">
        <v>194</v>
      </c>
      <c r="D270" s="243" t="s">
        <v>194</v>
      </c>
      <c r="E270" s="242"/>
      <c r="F270" s="269"/>
      <c r="G270" s="16"/>
      <c r="H270" s="3"/>
      <c r="I270" s="3"/>
      <c r="J270" s="3"/>
      <c r="K270" s="235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</row>
    <row r="271" customFormat="false" ht="14.25" hidden="false" customHeight="false" outlineLevel="0" collapsed="false">
      <c r="A271" s="248" t="n">
        <f aca="false">'Données projet'!A244</f>
        <v>0</v>
      </c>
      <c r="B271" s="249" t="n">
        <f aca="false">'Données projet'!D244</f>
        <v>0</v>
      </c>
      <c r="C271" s="242"/>
      <c r="D271" s="247" t="n">
        <f aca="false">B271*C271</f>
        <v>0</v>
      </c>
      <c r="E271" s="242"/>
      <c r="F271" s="273"/>
      <c r="G271" s="16"/>
      <c r="H271" s="3"/>
      <c r="I271" s="3"/>
      <c r="J271" s="3"/>
      <c r="K271" s="235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</row>
    <row r="272" customFormat="false" ht="14.25" hidden="false" customHeight="false" outlineLevel="0" collapsed="false">
      <c r="A272" s="248" t="n">
        <f aca="false">'Données projet'!A245</f>
        <v>0</v>
      </c>
      <c r="B272" s="249" t="n">
        <f aca="false">'Données projet'!D245</f>
        <v>0</v>
      </c>
      <c r="C272" s="242"/>
      <c r="D272" s="247" t="n">
        <f aca="false">B272*C272</f>
        <v>0</v>
      </c>
      <c r="E272" s="242"/>
      <c r="F272" s="273"/>
      <c r="G272" s="16"/>
      <c r="H272" s="3"/>
      <c r="I272" s="3"/>
      <c r="J272" s="3"/>
      <c r="K272" s="235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</row>
    <row r="273" customFormat="false" ht="14.25" hidden="false" customHeight="false" outlineLevel="0" collapsed="false">
      <c r="A273" s="248" t="n">
        <f aca="false">'Données projet'!A246</f>
        <v>0</v>
      </c>
      <c r="B273" s="249" t="n">
        <f aca="false">'Données projet'!D246</f>
        <v>0</v>
      </c>
      <c r="C273" s="242"/>
      <c r="D273" s="247" t="n">
        <f aca="false">B273*C273</f>
        <v>0</v>
      </c>
      <c r="E273" s="242"/>
      <c r="F273" s="273"/>
      <c r="G273" s="16"/>
      <c r="H273" s="3"/>
      <c r="I273" s="3"/>
      <c r="J273" s="3"/>
      <c r="K273" s="235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</row>
    <row r="274" customFormat="false" ht="14.25" hidden="false" customHeight="false" outlineLevel="0" collapsed="false">
      <c r="A274" s="248" t="n">
        <f aca="false">'Données projet'!A247</f>
        <v>0</v>
      </c>
      <c r="B274" s="249" t="n">
        <f aca="false">'Données projet'!D247</f>
        <v>0</v>
      </c>
      <c r="C274" s="242"/>
      <c r="D274" s="247" t="n">
        <f aca="false">B274*C274</f>
        <v>0</v>
      </c>
      <c r="E274" s="242"/>
      <c r="F274" s="273"/>
      <c r="G274" s="16"/>
      <c r="H274" s="3"/>
      <c r="I274" s="3"/>
      <c r="J274" s="3"/>
      <c r="K274" s="235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</row>
    <row r="275" customFormat="false" ht="14.25" hidden="false" customHeight="false" outlineLevel="0" collapsed="false">
      <c r="A275" s="248" t="n">
        <f aca="false">'Données projet'!A248</f>
        <v>0</v>
      </c>
      <c r="B275" s="249" t="n">
        <f aca="false">'Données projet'!D248</f>
        <v>0</v>
      </c>
      <c r="C275" s="242"/>
      <c r="D275" s="247" t="n">
        <f aca="false">B275*C275</f>
        <v>0</v>
      </c>
      <c r="E275" s="242"/>
      <c r="F275" s="273"/>
      <c r="G275" s="16"/>
      <c r="H275" s="3"/>
      <c r="I275" s="3"/>
      <c r="J275" s="3"/>
      <c r="K275" s="235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</row>
    <row r="276" customFormat="false" ht="14.25" hidden="false" customHeight="false" outlineLevel="0" collapsed="false">
      <c r="A276" s="248" t="n">
        <f aca="false">'Données projet'!A249</f>
        <v>0</v>
      </c>
      <c r="B276" s="249" t="n">
        <f aca="false">'Données projet'!D249</f>
        <v>0</v>
      </c>
      <c r="C276" s="242"/>
      <c r="D276" s="247" t="n">
        <f aca="false">B276*C276</f>
        <v>0</v>
      </c>
      <c r="E276" s="242"/>
      <c r="F276" s="273"/>
      <c r="G276" s="16"/>
      <c r="H276" s="3"/>
      <c r="I276" s="3"/>
      <c r="J276" s="3"/>
      <c r="K276" s="235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</row>
    <row r="277" customFormat="false" ht="14.25" hidden="false" customHeight="false" outlineLevel="0" collapsed="false">
      <c r="A277" s="248" t="n">
        <f aca="false">'Données projet'!A250</f>
        <v>0</v>
      </c>
      <c r="B277" s="249" t="n">
        <f aca="false">'Données projet'!D250</f>
        <v>0</v>
      </c>
      <c r="C277" s="242"/>
      <c r="D277" s="247" t="n">
        <f aca="false">B277*C277</f>
        <v>0</v>
      </c>
      <c r="E277" s="242"/>
      <c r="F277" s="273"/>
      <c r="G277" s="274"/>
      <c r="H277" s="3"/>
      <c r="I277" s="3"/>
      <c r="J277" s="3"/>
      <c r="K277" s="235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</row>
    <row r="278" customFormat="false" ht="14.25" hidden="false" customHeight="false" outlineLevel="0" collapsed="false">
      <c r="A278" s="248" t="n">
        <f aca="false">'Données projet'!A251</f>
        <v>0</v>
      </c>
      <c r="B278" s="249" t="n">
        <f aca="false">'Données projet'!D251</f>
        <v>0</v>
      </c>
      <c r="C278" s="242"/>
      <c r="D278" s="247" t="n">
        <f aca="false">B278*C278</f>
        <v>0</v>
      </c>
      <c r="E278" s="242"/>
      <c r="F278" s="273"/>
      <c r="G278" s="274"/>
      <c r="H278" s="3"/>
      <c r="I278" s="3"/>
      <c r="J278" s="3"/>
      <c r="K278" s="235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</row>
    <row r="279" customFormat="false" ht="14.25" hidden="false" customHeight="false" outlineLevel="0" collapsed="false">
      <c r="A279" s="248" t="n">
        <f aca="false">'Données projet'!A252</f>
        <v>0</v>
      </c>
      <c r="B279" s="249" t="n">
        <f aca="false">'Données projet'!D252</f>
        <v>0</v>
      </c>
      <c r="C279" s="242"/>
      <c r="D279" s="247" t="n">
        <f aca="false">B279*C279</f>
        <v>0</v>
      </c>
      <c r="E279" s="242"/>
      <c r="F279" s="273"/>
      <c r="G279" s="274"/>
      <c r="H279" s="3"/>
      <c r="I279" s="3"/>
      <c r="J279" s="3"/>
      <c r="K279" s="235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</row>
    <row r="280" customFormat="false" ht="14.25" hidden="false" customHeight="false" outlineLevel="0" collapsed="false">
      <c r="A280" s="248" t="n">
        <f aca="false">'Données projet'!A253</f>
        <v>0</v>
      </c>
      <c r="B280" s="249" t="n">
        <f aca="false">'Données projet'!D253</f>
        <v>0</v>
      </c>
      <c r="C280" s="242"/>
      <c r="D280" s="247" t="n">
        <f aca="false">B280*C280</f>
        <v>0</v>
      </c>
      <c r="E280" s="242"/>
      <c r="F280" s="273"/>
      <c r="G280" s="274"/>
      <c r="H280" s="3"/>
      <c r="I280" s="3"/>
      <c r="J280" s="3"/>
      <c r="K280" s="235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</row>
    <row r="281" customFormat="false" ht="14.25" hidden="false" customHeight="false" outlineLevel="0" collapsed="false">
      <c r="A281" s="248" t="n">
        <f aca="false">'Données projet'!A254</f>
        <v>0</v>
      </c>
      <c r="B281" s="249" t="n">
        <f aca="false">'Données projet'!D254</f>
        <v>0</v>
      </c>
      <c r="C281" s="242"/>
      <c r="D281" s="247" t="n">
        <f aca="false">B281*C281</f>
        <v>0</v>
      </c>
      <c r="E281" s="242"/>
      <c r="F281" s="273"/>
      <c r="G281" s="274"/>
      <c r="H281" s="3"/>
      <c r="I281" s="3"/>
      <c r="J281" s="3"/>
      <c r="K281" s="235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</row>
    <row r="282" customFormat="false" ht="14.25" hidden="false" customHeight="false" outlineLevel="0" collapsed="false">
      <c r="A282" s="248" t="n">
        <f aca="false">'Données projet'!A255</f>
        <v>0</v>
      </c>
      <c r="B282" s="249" t="n">
        <f aca="false">'Données projet'!D255</f>
        <v>0</v>
      </c>
      <c r="C282" s="242"/>
      <c r="D282" s="247" t="n">
        <f aca="false">B282*C282</f>
        <v>0</v>
      </c>
      <c r="E282" s="242"/>
      <c r="F282" s="273"/>
      <c r="G282" s="274"/>
      <c r="H282" s="3"/>
      <c r="I282" s="3"/>
      <c r="J282" s="3"/>
      <c r="K282" s="235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</row>
    <row r="283" customFormat="false" ht="14.25" hidden="false" customHeight="false" outlineLevel="0" collapsed="false">
      <c r="A283" s="248" t="n">
        <f aca="false">'Données projet'!A256</f>
        <v>0</v>
      </c>
      <c r="B283" s="249" t="n">
        <f aca="false">'Données projet'!D256</f>
        <v>0</v>
      </c>
      <c r="C283" s="242"/>
      <c r="D283" s="247" t="n">
        <f aca="false">B283*C283</f>
        <v>0</v>
      </c>
      <c r="E283" s="242"/>
      <c r="F283" s="273"/>
      <c r="G283" s="274"/>
      <c r="H283" s="3"/>
      <c r="I283" s="3"/>
      <c r="J283" s="3"/>
      <c r="K283" s="235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</row>
    <row r="284" customFormat="false" ht="14.25" hidden="false" customHeight="false" outlineLevel="0" collapsed="false">
      <c r="A284" s="248" t="n">
        <f aca="false">'Données projet'!A257</f>
        <v>0</v>
      </c>
      <c r="B284" s="249" t="n">
        <f aca="false">'Données projet'!D257</f>
        <v>0</v>
      </c>
      <c r="C284" s="242"/>
      <c r="D284" s="247" t="n">
        <f aca="false">B284*C284</f>
        <v>0</v>
      </c>
      <c r="E284" s="242"/>
      <c r="F284" s="273"/>
      <c r="G284" s="274"/>
      <c r="H284" s="3"/>
      <c r="I284" s="3"/>
      <c r="J284" s="3"/>
      <c r="K284" s="235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</row>
    <row r="285" customFormat="false" ht="14.25" hidden="false" customHeight="false" outlineLevel="0" collapsed="false">
      <c r="A285" s="248" t="n">
        <f aca="false">'Données projet'!A258</f>
        <v>0</v>
      </c>
      <c r="B285" s="249" t="n">
        <f aca="false">'Données projet'!D258</f>
        <v>0</v>
      </c>
      <c r="C285" s="242"/>
      <c r="D285" s="247" t="n">
        <f aca="false">B285*C285</f>
        <v>0</v>
      </c>
      <c r="E285" s="242"/>
      <c r="F285" s="273"/>
      <c r="G285" s="274"/>
      <c r="H285" s="3"/>
      <c r="I285" s="3"/>
      <c r="J285" s="3"/>
      <c r="K285" s="235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</row>
    <row r="286" customFormat="false" ht="14.25" hidden="false" customHeight="false" outlineLevel="0" collapsed="false">
      <c r="A286" s="248" t="n">
        <f aca="false">'Données projet'!A259</f>
        <v>0</v>
      </c>
      <c r="B286" s="249" t="n">
        <f aca="false">'Données projet'!D259</f>
        <v>0</v>
      </c>
      <c r="C286" s="242"/>
      <c r="D286" s="247" t="n">
        <f aca="false">B286*C286</f>
        <v>0</v>
      </c>
      <c r="E286" s="242"/>
      <c r="F286" s="273"/>
      <c r="G286" s="274"/>
      <c r="H286" s="3"/>
      <c r="I286" s="3"/>
      <c r="J286" s="3"/>
      <c r="K286" s="235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</row>
    <row r="287" customFormat="false" ht="14.25" hidden="false" customHeight="false" outlineLevel="0" collapsed="false">
      <c r="A287" s="248" t="n">
        <f aca="false">'Données projet'!A260</f>
        <v>0</v>
      </c>
      <c r="B287" s="249" t="n">
        <f aca="false">'Données projet'!D260</f>
        <v>0</v>
      </c>
      <c r="C287" s="242"/>
      <c r="D287" s="247" t="n">
        <f aca="false">B287*C287</f>
        <v>0</v>
      </c>
      <c r="E287" s="242"/>
      <c r="F287" s="273"/>
      <c r="G287" s="274"/>
      <c r="H287" s="3"/>
      <c r="I287" s="3"/>
      <c r="J287" s="3"/>
      <c r="K287" s="235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</row>
    <row r="288" customFormat="false" ht="14.25" hidden="false" customHeight="false" outlineLevel="0" collapsed="false">
      <c r="A288" s="248" t="n">
        <f aca="false">'Données projet'!A261</f>
        <v>0</v>
      </c>
      <c r="B288" s="249" t="n">
        <f aca="false">'Données projet'!D261</f>
        <v>0</v>
      </c>
      <c r="C288" s="242"/>
      <c r="D288" s="247" t="n">
        <f aca="false">B288*C288</f>
        <v>0</v>
      </c>
      <c r="E288" s="242"/>
      <c r="F288" s="273"/>
      <c r="G288" s="274"/>
      <c r="H288" s="3"/>
      <c r="I288" s="3"/>
      <c r="J288" s="3"/>
      <c r="K288" s="235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</row>
    <row r="289" customFormat="false" ht="14.25" hidden="false" customHeight="false" outlineLevel="0" collapsed="false">
      <c r="A289" s="248" t="n">
        <f aca="false">'Données projet'!A262</f>
        <v>0</v>
      </c>
      <c r="B289" s="249" t="n">
        <f aca="false">'Données projet'!D262</f>
        <v>0</v>
      </c>
      <c r="C289" s="242"/>
      <c r="D289" s="247" t="n">
        <f aca="false">B289*C289</f>
        <v>0</v>
      </c>
      <c r="E289" s="242"/>
      <c r="F289" s="273"/>
      <c r="G289" s="274"/>
      <c r="H289" s="3"/>
      <c r="I289" s="3"/>
      <c r="J289" s="3"/>
      <c r="K289" s="235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</row>
    <row r="290" customFormat="false" ht="14.25" hidden="false" customHeight="false" outlineLevel="0" collapsed="false">
      <c r="A290" s="248" t="n">
        <f aca="false">'Données projet'!A263</f>
        <v>0</v>
      </c>
      <c r="B290" s="249" t="n">
        <f aca="false">'Données projet'!D263</f>
        <v>0</v>
      </c>
      <c r="C290" s="242"/>
      <c r="D290" s="247" t="n">
        <f aca="false">B290*C290</f>
        <v>0</v>
      </c>
      <c r="E290" s="242"/>
      <c r="F290" s="273"/>
      <c r="G290" s="274"/>
      <c r="H290" s="3"/>
      <c r="I290" s="3"/>
      <c r="J290" s="3"/>
      <c r="K290" s="23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</row>
    <row r="291" customFormat="false" ht="14.25" hidden="false" customHeight="false" outlineLevel="0" collapsed="false">
      <c r="A291" s="3"/>
      <c r="B291" s="3"/>
      <c r="C291" s="3"/>
      <c r="D291" s="3"/>
      <c r="E291" s="3"/>
      <c r="F291" s="228"/>
      <c r="G291" s="274"/>
      <c r="H291" s="3"/>
      <c r="I291" s="3"/>
      <c r="J291" s="3"/>
      <c r="K291" s="23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</row>
    <row r="292" customFormat="false" ht="14.25" hidden="false" customHeight="false" outlineLevel="0" collapsed="false">
      <c r="A292" s="3"/>
      <c r="B292" s="3"/>
      <c r="C292" s="3"/>
      <c r="D292" s="3"/>
      <c r="E292" s="3"/>
      <c r="F292" s="228"/>
      <c r="G292" s="274"/>
      <c r="H292" s="3"/>
      <c r="I292" s="3"/>
      <c r="J292" s="3"/>
      <c r="K292" s="23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</row>
    <row r="293" customFormat="false" ht="14.25" hidden="false" customHeight="false" outlineLevel="0" collapsed="false">
      <c r="A293" s="52" t="s">
        <v>31</v>
      </c>
      <c r="B293" s="233" t="str">
        <f aca="false">IF('Données projet'!$B$18="","",'Données projet'!$B$18)</f>
        <v/>
      </c>
      <c r="C293" s="3"/>
      <c r="D293" s="3"/>
      <c r="E293" s="3"/>
      <c r="F293" s="228"/>
      <c r="G293" s="274"/>
      <c r="H293" s="3"/>
      <c r="I293" s="3"/>
      <c r="J293" s="3"/>
      <c r="K293" s="23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</row>
    <row r="294" customFormat="false" ht="14.25" hidden="false" customHeight="false" outlineLevel="0" collapsed="false">
      <c r="A294" s="52"/>
      <c r="B294" s="3"/>
      <c r="C294" s="3"/>
      <c r="D294" s="3"/>
      <c r="E294" s="3"/>
      <c r="F294" s="228"/>
      <c r="G294" s="274"/>
      <c r="H294" s="3"/>
      <c r="I294" s="3"/>
      <c r="J294" s="3"/>
      <c r="K294" s="23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</row>
    <row r="295" customFormat="false" ht="14.25" hidden="false" customHeight="false" outlineLevel="0" collapsed="false">
      <c r="A295" s="32" t="s">
        <v>50</v>
      </c>
      <c r="B295" s="57" t="s">
        <v>307</v>
      </c>
      <c r="C295" s="57" t="s">
        <v>308</v>
      </c>
      <c r="D295" s="32" t="s">
        <v>309</v>
      </c>
      <c r="E295" s="32" t="s">
        <v>310</v>
      </c>
      <c r="F295" s="269"/>
      <c r="G295" s="274"/>
      <c r="H295" s="3"/>
      <c r="I295" s="3"/>
      <c r="J295" s="3"/>
      <c r="K295" s="23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</row>
    <row r="296" customFormat="false" ht="14.25" hidden="false" customHeight="false" outlineLevel="0" collapsed="false">
      <c r="A296" s="62" t="n">
        <v>0</v>
      </c>
      <c r="B296" s="241" t="s">
        <v>194</v>
      </c>
      <c r="C296" s="242" t="s">
        <v>194</v>
      </c>
      <c r="D296" s="243" t="s">
        <v>194</v>
      </c>
      <c r="E296" s="242"/>
      <c r="F296" s="269"/>
      <c r="G296" s="274"/>
      <c r="H296" s="3"/>
      <c r="I296" s="3"/>
      <c r="J296" s="3"/>
      <c r="K296" s="23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</row>
    <row r="297" customFormat="false" ht="14.25" hidden="false" customHeight="false" outlineLevel="0" collapsed="false">
      <c r="A297" s="62" t="n">
        <v>1</v>
      </c>
      <c r="B297" s="241" t="s">
        <v>194</v>
      </c>
      <c r="C297" s="242" t="s">
        <v>194</v>
      </c>
      <c r="D297" s="243" t="s">
        <v>194</v>
      </c>
      <c r="E297" s="242"/>
      <c r="F297" s="269"/>
      <c r="G297" s="2"/>
      <c r="H297" s="3"/>
      <c r="I297" s="3"/>
      <c r="J297" s="3"/>
      <c r="K297" s="23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</row>
    <row r="298" customFormat="false" ht="14.25" hidden="false" customHeight="false" outlineLevel="0" collapsed="false">
      <c r="A298" s="62" t="n">
        <v>2</v>
      </c>
      <c r="B298" s="241" t="s">
        <v>194</v>
      </c>
      <c r="C298" s="242" t="s">
        <v>194</v>
      </c>
      <c r="D298" s="243" t="s">
        <v>194</v>
      </c>
      <c r="E298" s="242"/>
      <c r="F298" s="269"/>
      <c r="G298" s="2"/>
      <c r="H298" s="3"/>
      <c r="I298" s="3"/>
      <c r="J298" s="3"/>
      <c r="K298" s="23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</row>
    <row r="299" customFormat="false" ht="14.25" hidden="false" customHeight="false" outlineLevel="0" collapsed="false">
      <c r="A299" s="62" t="n">
        <v>3</v>
      </c>
      <c r="B299" s="241" t="s">
        <v>194</v>
      </c>
      <c r="C299" s="242" t="s">
        <v>194</v>
      </c>
      <c r="D299" s="243" t="s">
        <v>194</v>
      </c>
      <c r="E299" s="242"/>
      <c r="F299" s="269"/>
      <c r="G299" s="2"/>
      <c r="H299" s="3"/>
      <c r="I299" s="3"/>
      <c r="J299" s="3"/>
      <c r="K299" s="23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</row>
    <row r="300" customFormat="false" ht="14.25" hidden="false" customHeight="false" outlineLevel="0" collapsed="false">
      <c r="A300" s="62" t="n">
        <v>4</v>
      </c>
      <c r="B300" s="241" t="s">
        <v>194</v>
      </c>
      <c r="C300" s="242" t="s">
        <v>194</v>
      </c>
      <c r="D300" s="243" t="s">
        <v>194</v>
      </c>
      <c r="E300" s="242"/>
      <c r="F300" s="269"/>
      <c r="G300" s="2"/>
      <c r="H300" s="3"/>
      <c r="I300" s="3"/>
      <c r="J300" s="3"/>
      <c r="K300" s="23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</row>
    <row r="301" customFormat="false" ht="14.25" hidden="false" customHeight="false" outlineLevel="0" collapsed="false">
      <c r="A301" s="62" t="n">
        <v>5</v>
      </c>
      <c r="B301" s="241" t="s">
        <v>194</v>
      </c>
      <c r="C301" s="242" t="s">
        <v>194</v>
      </c>
      <c r="D301" s="243" t="s">
        <v>194</v>
      </c>
      <c r="E301" s="242"/>
      <c r="F301" s="269"/>
      <c r="G301" s="16"/>
      <c r="H301" s="3"/>
      <c r="I301" s="3"/>
      <c r="J301" s="3"/>
      <c r="K301" s="23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</row>
    <row r="302" customFormat="false" ht="14.25" hidden="false" customHeight="false" outlineLevel="0" collapsed="false">
      <c r="A302" s="248" t="n">
        <f aca="false">'Données projet'!A270</f>
        <v>0</v>
      </c>
      <c r="B302" s="249" t="n">
        <f aca="false">'Données projet'!D270</f>
        <v>0</v>
      </c>
      <c r="C302" s="239"/>
      <c r="D302" s="243" t="n">
        <f aca="false">B302*C302</f>
        <v>0</v>
      </c>
      <c r="E302" s="242"/>
      <c r="F302" s="252"/>
      <c r="G302" s="16"/>
      <c r="H302" s="3"/>
      <c r="I302" s="3"/>
      <c r="J302" s="3"/>
      <c r="K302" s="235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</row>
    <row r="303" customFormat="false" ht="14.25" hidden="false" customHeight="false" outlineLevel="0" collapsed="false">
      <c r="A303" s="248" t="n">
        <f aca="false">'Données projet'!A271</f>
        <v>0</v>
      </c>
      <c r="B303" s="249" t="n">
        <f aca="false">'Données projet'!D271</f>
        <v>0</v>
      </c>
      <c r="C303" s="239"/>
      <c r="D303" s="243" t="n">
        <f aca="false">B303*C303</f>
        <v>0</v>
      </c>
      <c r="E303" s="242"/>
      <c r="F303" s="252"/>
      <c r="G303" s="16"/>
      <c r="H303" s="3"/>
      <c r="I303" s="3"/>
      <c r="J303" s="3"/>
      <c r="K303" s="23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</row>
    <row r="304" customFormat="false" ht="14.25" hidden="false" customHeight="false" outlineLevel="0" collapsed="false">
      <c r="A304" s="248" t="n">
        <f aca="false">'Données projet'!A272</f>
        <v>0</v>
      </c>
      <c r="B304" s="249" t="n">
        <f aca="false">'Données projet'!D272</f>
        <v>0</v>
      </c>
      <c r="C304" s="239"/>
      <c r="D304" s="243" t="n">
        <f aca="false">B304*C304</f>
        <v>0</v>
      </c>
      <c r="E304" s="242"/>
      <c r="F304" s="252"/>
      <c r="G304" s="16"/>
      <c r="H304" s="3"/>
      <c r="I304" s="3"/>
      <c r="J304" s="3"/>
      <c r="K304" s="23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</row>
    <row r="305" customFormat="false" ht="14.25" hidden="false" customHeight="false" outlineLevel="0" collapsed="false">
      <c r="A305" s="248" t="n">
        <f aca="false">'Données projet'!A273</f>
        <v>0</v>
      </c>
      <c r="B305" s="249" t="n">
        <f aca="false">'Données projet'!D273</f>
        <v>0</v>
      </c>
      <c r="C305" s="239"/>
      <c r="D305" s="243" t="n">
        <f aca="false">B305*C305</f>
        <v>0</v>
      </c>
      <c r="E305" s="242"/>
      <c r="F305" s="252"/>
      <c r="G305" s="16"/>
      <c r="H305" s="3"/>
      <c r="I305" s="3"/>
      <c r="J305" s="3"/>
      <c r="K305" s="23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</row>
    <row r="306" customFormat="false" ht="14.25" hidden="false" customHeight="false" outlineLevel="0" collapsed="false">
      <c r="A306" s="248" t="n">
        <f aca="false">'Données projet'!A274</f>
        <v>0</v>
      </c>
      <c r="B306" s="249" t="n">
        <f aca="false">'Données projet'!D274</f>
        <v>0</v>
      </c>
      <c r="C306" s="239"/>
      <c r="D306" s="243" t="n">
        <f aca="false">B306*C306</f>
        <v>0</v>
      </c>
      <c r="E306" s="242"/>
      <c r="F306" s="252"/>
      <c r="G306" s="16"/>
      <c r="H306" s="3"/>
      <c r="I306" s="3"/>
      <c r="J306" s="3"/>
      <c r="K306" s="235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</row>
    <row r="307" customFormat="false" ht="14.25" hidden="false" customHeight="false" outlineLevel="0" collapsed="false">
      <c r="A307" s="248" t="n">
        <f aca="false">'Données projet'!A275</f>
        <v>0</v>
      </c>
      <c r="B307" s="249" t="n">
        <f aca="false">'Données projet'!D275</f>
        <v>0</v>
      </c>
      <c r="C307" s="239"/>
      <c r="D307" s="243" t="n">
        <f aca="false">B307*C307</f>
        <v>0</v>
      </c>
      <c r="E307" s="242"/>
      <c r="F307" s="252"/>
      <c r="G307" s="16"/>
      <c r="H307" s="3"/>
      <c r="I307" s="3"/>
      <c r="J307" s="3"/>
      <c r="K307" s="235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</row>
    <row r="308" customFormat="false" ht="14.25" hidden="false" customHeight="false" outlineLevel="0" collapsed="false">
      <c r="A308" s="248" t="n">
        <f aca="false">'Données projet'!A276</f>
        <v>0</v>
      </c>
      <c r="B308" s="249" t="n">
        <f aca="false">'Données projet'!D276</f>
        <v>0</v>
      </c>
      <c r="C308" s="239"/>
      <c r="D308" s="243" t="n">
        <f aca="false">B308*C308</f>
        <v>0</v>
      </c>
      <c r="E308" s="242"/>
      <c r="F308" s="252"/>
      <c r="G308" s="258"/>
      <c r="H308" s="3"/>
      <c r="I308" s="3"/>
      <c r="J308" s="3"/>
      <c r="K308" s="235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</row>
    <row r="309" customFormat="false" ht="14.25" hidden="false" customHeight="false" outlineLevel="0" collapsed="false">
      <c r="A309" s="248" t="n">
        <f aca="false">'Données projet'!A277</f>
        <v>0</v>
      </c>
      <c r="B309" s="249" t="n">
        <f aca="false">'Données projet'!D277</f>
        <v>0</v>
      </c>
      <c r="C309" s="239"/>
      <c r="D309" s="243" t="n">
        <f aca="false">B309*C309</f>
        <v>0</v>
      </c>
      <c r="E309" s="242"/>
      <c r="F309" s="252"/>
      <c r="G309" s="258"/>
      <c r="H309" s="3"/>
      <c r="I309" s="3"/>
      <c r="J309" s="3"/>
      <c r="K309" s="235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</row>
    <row r="310" customFormat="false" ht="14.25" hidden="false" customHeight="false" outlineLevel="0" collapsed="false">
      <c r="A310" s="248" t="n">
        <f aca="false">'Données projet'!A278</f>
        <v>0</v>
      </c>
      <c r="B310" s="249" t="n">
        <f aca="false">'Données projet'!D278</f>
        <v>0</v>
      </c>
      <c r="C310" s="239"/>
      <c r="D310" s="243" t="n">
        <f aca="false">B310*C310</f>
        <v>0</v>
      </c>
      <c r="E310" s="242"/>
      <c r="F310" s="252"/>
      <c r="G310" s="258"/>
      <c r="H310" s="3"/>
      <c r="I310" s="3"/>
      <c r="J310" s="3"/>
      <c r="K310" s="235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</row>
    <row r="311" customFormat="false" ht="14.25" hidden="false" customHeight="false" outlineLevel="0" collapsed="false">
      <c r="A311" s="248" t="n">
        <f aca="false">'Données projet'!A279</f>
        <v>0</v>
      </c>
      <c r="B311" s="249" t="n">
        <f aca="false">'Données projet'!D279</f>
        <v>0</v>
      </c>
      <c r="C311" s="239"/>
      <c r="D311" s="243" t="n">
        <f aca="false">B311*C311</f>
        <v>0</v>
      </c>
      <c r="E311" s="242"/>
      <c r="F311" s="252"/>
      <c r="G311" s="258"/>
      <c r="H311" s="3"/>
      <c r="I311" s="3"/>
      <c r="J311" s="3"/>
      <c r="K311" s="235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</row>
    <row r="312" customFormat="false" ht="14.25" hidden="false" customHeight="false" outlineLevel="0" collapsed="false">
      <c r="A312" s="248" t="n">
        <f aca="false">'Données projet'!A280</f>
        <v>0</v>
      </c>
      <c r="B312" s="249" t="n">
        <f aca="false">'Données projet'!D280</f>
        <v>0</v>
      </c>
      <c r="C312" s="239"/>
      <c r="D312" s="243" t="n">
        <f aca="false">B312*C312</f>
        <v>0</v>
      </c>
      <c r="E312" s="242"/>
      <c r="F312" s="252"/>
      <c r="G312" s="258"/>
      <c r="H312" s="3"/>
      <c r="I312" s="3"/>
      <c r="J312" s="3"/>
      <c r="K312" s="235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</row>
    <row r="313" customFormat="false" ht="14.25" hidden="false" customHeight="false" outlineLevel="0" collapsed="false">
      <c r="A313" s="248" t="n">
        <f aca="false">'Données projet'!A281</f>
        <v>0</v>
      </c>
      <c r="B313" s="249" t="n">
        <f aca="false">'Données projet'!D281</f>
        <v>0</v>
      </c>
      <c r="C313" s="239"/>
      <c r="D313" s="243" t="n">
        <f aca="false">B313*C313</f>
        <v>0</v>
      </c>
      <c r="E313" s="242"/>
      <c r="F313" s="252"/>
      <c r="G313" s="258"/>
      <c r="H313" s="3"/>
      <c r="I313" s="3"/>
      <c r="J313" s="3"/>
      <c r="K313" s="235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</row>
    <row r="314" customFormat="false" ht="14.25" hidden="false" customHeight="false" outlineLevel="0" collapsed="false">
      <c r="A314" s="248" t="n">
        <f aca="false">'Données projet'!A282</f>
        <v>0</v>
      </c>
      <c r="B314" s="249" t="n">
        <f aca="false">'Données projet'!D282</f>
        <v>0</v>
      </c>
      <c r="C314" s="239"/>
      <c r="D314" s="243" t="n">
        <f aca="false">B314*C314</f>
        <v>0</v>
      </c>
      <c r="E314" s="242"/>
      <c r="F314" s="252"/>
      <c r="G314" s="258"/>
      <c r="H314" s="3"/>
      <c r="I314" s="3"/>
      <c r="J314" s="3"/>
      <c r="K314" s="235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</row>
    <row r="315" customFormat="false" ht="14.25" hidden="false" customHeight="false" outlineLevel="0" collapsed="false">
      <c r="A315" s="248" t="n">
        <f aca="false">'Données projet'!A283</f>
        <v>0</v>
      </c>
      <c r="B315" s="249" t="n">
        <f aca="false">'Données projet'!D283</f>
        <v>0</v>
      </c>
      <c r="C315" s="239"/>
      <c r="D315" s="243" t="n">
        <f aca="false">B315*C315</f>
        <v>0</v>
      </c>
      <c r="E315" s="242"/>
      <c r="F315" s="252"/>
      <c r="G315" s="258"/>
      <c r="H315" s="3"/>
      <c r="I315" s="3"/>
      <c r="J315" s="3"/>
      <c r="K315" s="235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</row>
    <row r="316" customFormat="false" ht="14.25" hidden="false" customHeight="false" outlineLevel="0" collapsed="false">
      <c r="A316" s="248" t="n">
        <f aca="false">'Données projet'!A284</f>
        <v>0</v>
      </c>
      <c r="B316" s="249" t="n">
        <f aca="false">'Données projet'!D284</f>
        <v>0</v>
      </c>
      <c r="C316" s="239"/>
      <c r="D316" s="243" t="n">
        <f aca="false">B316*C316</f>
        <v>0</v>
      </c>
      <c r="E316" s="242"/>
      <c r="F316" s="252"/>
      <c r="G316" s="258"/>
      <c r="H316" s="3"/>
      <c r="I316" s="3"/>
      <c r="J316" s="3"/>
      <c r="K316" s="235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</row>
    <row r="317" customFormat="false" ht="14.25" hidden="false" customHeight="false" outlineLevel="0" collapsed="false">
      <c r="A317" s="248" t="n">
        <f aca="false">'Données projet'!A285</f>
        <v>0</v>
      </c>
      <c r="B317" s="249" t="n">
        <f aca="false">'Données projet'!D285</f>
        <v>0</v>
      </c>
      <c r="C317" s="239"/>
      <c r="D317" s="243" t="n">
        <f aca="false">B317*C317</f>
        <v>0</v>
      </c>
      <c r="E317" s="242"/>
      <c r="F317" s="252"/>
      <c r="G317" s="258"/>
      <c r="H317" s="3"/>
      <c r="I317" s="3"/>
      <c r="J317" s="3"/>
      <c r="K317" s="235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</row>
    <row r="318" customFormat="false" ht="14.25" hidden="false" customHeight="false" outlineLevel="0" collapsed="false">
      <c r="A318" s="248" t="n">
        <f aca="false">'Données projet'!A286</f>
        <v>0</v>
      </c>
      <c r="B318" s="249" t="n">
        <f aca="false">'Données projet'!D286</f>
        <v>0</v>
      </c>
      <c r="C318" s="239"/>
      <c r="D318" s="243" t="n">
        <f aca="false">B318*C318</f>
        <v>0</v>
      </c>
      <c r="E318" s="242"/>
      <c r="F318" s="252"/>
      <c r="G318" s="258"/>
      <c r="H318" s="3"/>
      <c r="I318" s="3"/>
      <c r="J318" s="3"/>
      <c r="K318" s="235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</row>
    <row r="319" customFormat="false" ht="14.25" hidden="false" customHeight="false" outlineLevel="0" collapsed="false">
      <c r="A319" s="248" t="n">
        <f aca="false">'Données projet'!A287</f>
        <v>0</v>
      </c>
      <c r="B319" s="249" t="n">
        <f aca="false">'Données projet'!D287</f>
        <v>0</v>
      </c>
      <c r="C319" s="239"/>
      <c r="D319" s="243" t="n">
        <f aca="false">B319*C319</f>
        <v>0</v>
      </c>
      <c r="E319" s="242"/>
      <c r="F319" s="252"/>
      <c r="G319" s="258"/>
      <c r="H319" s="3"/>
      <c r="I319" s="3"/>
      <c r="J319" s="3"/>
      <c r="K319" s="235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</row>
    <row r="320" customFormat="false" ht="14.25" hidden="false" customHeight="false" outlineLevel="0" collapsed="false">
      <c r="A320" s="248" t="n">
        <f aca="false">'Données projet'!A288</f>
        <v>0</v>
      </c>
      <c r="B320" s="249" t="n">
        <f aca="false">'Données projet'!D288</f>
        <v>0</v>
      </c>
      <c r="C320" s="239"/>
      <c r="D320" s="243" t="n">
        <f aca="false">B320*C320</f>
        <v>0</v>
      </c>
      <c r="E320" s="242"/>
      <c r="F320" s="252"/>
      <c r="G320" s="258"/>
      <c r="H320" s="3"/>
      <c r="I320" s="3"/>
      <c r="J320" s="3"/>
      <c r="K320" s="235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</row>
    <row r="321" customFormat="false" ht="14.25" hidden="false" customHeight="false" outlineLevel="0" collapsed="false">
      <c r="A321" s="248" t="n">
        <f aca="false">'Données projet'!A289</f>
        <v>0</v>
      </c>
      <c r="B321" s="249" t="n">
        <f aca="false">'Données projet'!D289</f>
        <v>0</v>
      </c>
      <c r="C321" s="277"/>
      <c r="D321" s="243" t="n">
        <f aca="false">B321*C321</f>
        <v>0</v>
      </c>
      <c r="E321" s="242"/>
      <c r="F321" s="252"/>
      <c r="G321" s="258"/>
      <c r="H321" s="3"/>
      <c r="I321" s="3"/>
      <c r="J321" s="3"/>
      <c r="K321" s="235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</row>
    <row r="322" customFormat="false" ht="14.25" hidden="false" customHeight="false" outlineLevel="0" collapsed="false">
      <c r="G322" s="258"/>
      <c r="H322" s="3"/>
      <c r="I322" s="3"/>
      <c r="J322" s="3"/>
      <c r="K322" s="235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</row>
    <row r="323" customFormat="false" ht="14.25" hidden="false" customHeight="false" outlineLevel="0" collapsed="false">
      <c r="G323" s="258"/>
      <c r="H323" s="3"/>
      <c r="I323" s="3"/>
      <c r="J323" s="3"/>
      <c r="K323" s="235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</row>
    <row r="324" customFormat="false" ht="14.25" hidden="false" customHeight="false" outlineLevel="0" collapsed="false">
      <c r="G324" s="258"/>
      <c r="H324" s="3"/>
      <c r="I324" s="3"/>
      <c r="J324" s="3"/>
      <c r="K324" s="235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</row>
    <row r="325" customFormat="false" ht="14.25" hidden="false" customHeight="false" outlineLevel="0" collapsed="false">
      <c r="G325" s="258"/>
      <c r="H325" s="3"/>
      <c r="I325" s="3"/>
      <c r="J325" s="3"/>
      <c r="K325" s="235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</row>
    <row r="326" customFormat="false" ht="14.25" hidden="false" customHeight="false" outlineLevel="0" collapsed="false">
      <c r="G326" s="258"/>
      <c r="H326" s="3"/>
      <c r="I326" s="3"/>
      <c r="J326" s="3"/>
      <c r="K326" s="235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</row>
    <row r="327" customFormat="false" ht="14.25" hidden="false" customHeight="false" outlineLevel="0" collapsed="false">
      <c r="G327" s="258"/>
      <c r="H327" s="3"/>
      <c r="I327" s="3"/>
      <c r="J327" s="3"/>
      <c r="K327" s="235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</row>
    <row r="328" customFormat="false" ht="14.25" hidden="false" customHeight="false" outlineLevel="0" collapsed="false">
      <c r="A328" s="3"/>
      <c r="B328" s="3"/>
      <c r="C328" s="3"/>
      <c r="D328" s="3"/>
      <c r="E328" s="3"/>
      <c r="F328" s="2"/>
      <c r="G328" s="2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</row>
    <row r="329" customFormat="false" ht="14.25" hidden="false" customHeight="false" outlineLevel="0" collapsed="false">
      <c r="A329" s="3"/>
      <c r="B329" s="3"/>
      <c r="C329" s="3"/>
      <c r="D329" s="3"/>
      <c r="E329" s="3"/>
      <c r="F329" s="2"/>
      <c r="G329" s="2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</row>
    <row r="330" customFormat="false" ht="14.25" hidden="false" customHeight="false" outlineLevel="0" collapsed="false">
      <c r="A330" s="3"/>
      <c r="B330" s="3"/>
      <c r="C330" s="3"/>
      <c r="D330" s="3"/>
      <c r="E330" s="3"/>
      <c r="F330" s="2"/>
      <c r="G330" s="2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</row>
    <row r="331" customFormat="false" ht="14.25" hidden="false" customHeight="false" outlineLevel="0" collapsed="false">
      <c r="A331" s="3"/>
      <c r="B331" s="3"/>
      <c r="C331" s="3"/>
      <c r="D331" s="3"/>
      <c r="E331" s="3"/>
      <c r="F331" s="2"/>
      <c r="G331" s="2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</row>
    <row r="332" customFormat="false" ht="14.25" hidden="false" customHeight="false" outlineLevel="0" collapsed="false">
      <c r="A332" s="3"/>
      <c r="B332" s="3"/>
      <c r="C332" s="3"/>
      <c r="D332" s="3"/>
      <c r="E332" s="3"/>
      <c r="F332" s="2"/>
      <c r="G332" s="2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</row>
    <row r="333" customFormat="false" ht="14.25" hidden="false" customHeight="false" outlineLevel="0" collapsed="false">
      <c r="A333" s="3"/>
      <c r="B333" s="3"/>
      <c r="C333" s="3"/>
      <c r="D333" s="3"/>
      <c r="E333" s="3"/>
      <c r="F333" s="2"/>
      <c r="G333" s="2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</row>
    <row r="334" customFormat="false" ht="14.25" hidden="false" customHeight="false" outlineLevel="0" collapsed="false">
      <c r="A334" s="3"/>
      <c r="B334" s="3"/>
      <c r="C334" s="3"/>
      <c r="D334" s="3"/>
      <c r="E334" s="3"/>
      <c r="F334" s="2"/>
      <c r="G334" s="2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</row>
    <row r="335" customFormat="false" ht="14.25" hidden="false" customHeight="false" outlineLevel="0" collapsed="false">
      <c r="A335" s="3"/>
      <c r="B335" s="3"/>
      <c r="C335" s="3"/>
      <c r="D335" s="3"/>
      <c r="E335" s="3"/>
      <c r="F335" s="2"/>
      <c r="G335" s="2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</row>
    <row r="336" customFormat="false" ht="14.25" hidden="false" customHeight="false" outlineLevel="0" collapsed="false">
      <c r="A336" s="3"/>
      <c r="B336" s="3"/>
      <c r="C336" s="3"/>
      <c r="D336" s="3"/>
      <c r="E336" s="3"/>
      <c r="F336" s="2"/>
      <c r="G336" s="2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</row>
    <row r="337" customFormat="false" ht="14.25" hidden="false" customHeight="false" outlineLevel="0" collapsed="false">
      <c r="A337" s="3"/>
      <c r="B337" s="3"/>
      <c r="C337" s="3"/>
      <c r="D337" s="3"/>
      <c r="E337" s="3"/>
      <c r="F337" s="2"/>
      <c r="G337" s="2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</row>
    <row r="338" customFormat="false" ht="14.25" hidden="false" customHeight="false" outlineLevel="0" collapsed="false">
      <c r="A338" s="3"/>
      <c r="B338" s="3"/>
      <c r="C338" s="3"/>
      <c r="D338" s="3"/>
      <c r="E338" s="3"/>
      <c r="F338" s="2"/>
      <c r="G338" s="2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</row>
    <row r="339" customFormat="false" ht="14.25" hidden="false" customHeight="false" outlineLevel="0" collapsed="false">
      <c r="A339" s="3"/>
      <c r="B339" s="3"/>
      <c r="C339" s="3"/>
      <c r="D339" s="3"/>
      <c r="E339" s="3"/>
      <c r="F339" s="2"/>
      <c r="G339" s="2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</row>
    <row r="340" customFormat="false" ht="14.25" hidden="false" customHeight="false" outlineLevel="0" collapsed="false">
      <c r="A340" s="3"/>
      <c r="B340" s="3"/>
      <c r="C340" s="3"/>
      <c r="D340" s="3"/>
      <c r="E340" s="3"/>
      <c r="F340" s="2"/>
      <c r="G340" s="2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</row>
    <row r="341" customFormat="false" ht="14.25" hidden="false" customHeight="false" outlineLevel="0" collapsed="false">
      <c r="A341" s="3"/>
      <c r="B341" s="3"/>
      <c r="C341" s="3"/>
      <c r="D341" s="3"/>
      <c r="E341" s="3"/>
      <c r="F341" s="2"/>
      <c r="G341" s="2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</row>
    <row r="342" customFormat="false" ht="14.25" hidden="false" customHeight="false" outlineLevel="0" collapsed="false">
      <c r="A342" s="3"/>
      <c r="B342" s="3"/>
      <c r="C342" s="3"/>
      <c r="D342" s="3"/>
      <c r="E342" s="3"/>
      <c r="F342" s="2"/>
      <c r="G342" s="2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</row>
    <row r="343" customFormat="false" ht="14.25" hidden="false" customHeight="false" outlineLevel="0" collapsed="false">
      <c r="A343" s="3"/>
      <c r="B343" s="3"/>
      <c r="C343" s="3"/>
      <c r="D343" s="3"/>
      <c r="E343" s="3"/>
      <c r="F343" s="2"/>
      <c r="G343" s="2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</row>
    <row r="344" customFormat="false" ht="14.25" hidden="false" customHeight="false" outlineLevel="0" collapsed="false">
      <c r="A344" s="3"/>
      <c r="B344" s="3"/>
      <c r="C344" s="3"/>
      <c r="D344" s="3"/>
      <c r="E344" s="3"/>
      <c r="F344" s="2"/>
      <c r="G344" s="2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</row>
    <row r="345" customFormat="false" ht="14.25" hidden="false" customHeight="false" outlineLevel="0" collapsed="false">
      <c r="A345" s="3"/>
      <c r="B345" s="3"/>
      <c r="C345" s="3"/>
      <c r="D345" s="3"/>
      <c r="E345" s="3"/>
      <c r="F345" s="2"/>
      <c r="G345" s="2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</row>
    <row r="346" customFormat="false" ht="14.25" hidden="false" customHeight="false" outlineLevel="0" collapsed="false">
      <c r="A346" s="3"/>
      <c r="B346" s="3"/>
      <c r="C346" s="3"/>
      <c r="D346" s="3"/>
      <c r="E346" s="3"/>
      <c r="F346" s="2"/>
      <c r="G346" s="2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</row>
    <row r="347" customFormat="false" ht="14.25" hidden="false" customHeight="false" outlineLevel="0" collapsed="false">
      <c r="A347" s="3"/>
      <c r="B347" s="3"/>
      <c r="C347" s="3"/>
      <c r="D347" s="3"/>
      <c r="E347" s="3"/>
      <c r="F347" s="2"/>
      <c r="G347" s="2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</row>
    <row r="348" customFormat="false" ht="14.25" hidden="false" customHeight="false" outlineLevel="0" collapsed="false">
      <c r="A348" s="3"/>
      <c r="B348" s="3"/>
      <c r="C348" s="3"/>
      <c r="D348" s="3"/>
      <c r="E348" s="3"/>
      <c r="F348" s="2"/>
      <c r="G348" s="2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</row>
    <row r="349" customFormat="false" ht="14.25" hidden="false" customHeight="false" outlineLevel="0" collapsed="false">
      <c r="A349" s="3"/>
      <c r="B349" s="3"/>
      <c r="C349" s="3"/>
      <c r="D349" s="3"/>
      <c r="E349" s="3"/>
      <c r="F349" s="2"/>
      <c r="G349" s="2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</row>
    <row r="350" customFormat="false" ht="14.25" hidden="false" customHeight="false" outlineLevel="0" collapsed="false">
      <c r="A350" s="3"/>
      <c r="B350" s="3"/>
      <c r="C350" s="3"/>
      <c r="D350" s="3"/>
      <c r="E350" s="3"/>
      <c r="F350" s="2"/>
      <c r="G350" s="2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</row>
    <row r="351" customFormat="false" ht="14.25" hidden="false" customHeight="false" outlineLevel="0" collapsed="false">
      <c r="A351" s="3"/>
      <c r="B351" s="3"/>
      <c r="C351" s="3"/>
      <c r="D351" s="3"/>
      <c r="E351" s="3"/>
      <c r="F351" s="2"/>
      <c r="G351" s="2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</row>
    <row r="352" customFormat="false" ht="14.25" hidden="false" customHeight="false" outlineLevel="0" collapsed="false">
      <c r="A352" s="3"/>
      <c r="B352" s="3"/>
      <c r="C352" s="3"/>
      <c r="D352" s="3"/>
      <c r="E352" s="3"/>
      <c r="F352" s="2"/>
      <c r="G352" s="2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</row>
    <row r="353" customFormat="false" ht="14.25" hidden="false" customHeight="false" outlineLevel="0" collapsed="false">
      <c r="A353" s="3"/>
      <c r="B353" s="3"/>
      <c r="C353" s="3"/>
      <c r="D353" s="3"/>
      <c r="E353" s="3"/>
      <c r="F353" s="2"/>
      <c r="G353" s="2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</row>
    <row r="354" customFormat="false" ht="14.25" hidden="false" customHeight="false" outlineLevel="0" collapsed="false">
      <c r="A354" s="3"/>
      <c r="B354" s="3"/>
      <c r="C354" s="3"/>
      <c r="D354" s="3"/>
      <c r="E354" s="3"/>
      <c r="F354" s="2"/>
      <c r="G354" s="2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</row>
    <row r="355" customFormat="false" ht="14.25" hidden="false" customHeight="false" outlineLevel="0" collapsed="false">
      <c r="A355" s="3"/>
      <c r="B355" s="3"/>
      <c r="C355" s="3"/>
      <c r="D355" s="3"/>
      <c r="E355" s="3"/>
      <c r="F355" s="2"/>
      <c r="G355" s="2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</row>
    <row r="356" customFormat="false" ht="14.25" hidden="false" customHeight="false" outlineLevel="0" collapsed="false">
      <c r="A356" s="3"/>
      <c r="B356" s="3"/>
      <c r="C356" s="3"/>
      <c r="D356" s="3"/>
      <c r="E356" s="3"/>
      <c r="F356" s="2"/>
      <c r="G356" s="2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</row>
    <row r="357" customFormat="false" ht="14.25" hidden="false" customHeight="false" outlineLevel="0" collapsed="false">
      <c r="A357" s="3"/>
      <c r="B357" s="3"/>
      <c r="C357" s="3"/>
      <c r="D357" s="3"/>
      <c r="E357" s="3"/>
      <c r="F357" s="2"/>
      <c r="G357" s="2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</row>
    <row r="358" customFormat="false" ht="14.25" hidden="false" customHeight="false" outlineLevel="0" collapsed="false">
      <c r="A358" s="3"/>
      <c r="B358" s="3"/>
      <c r="C358" s="3"/>
      <c r="D358" s="3"/>
      <c r="E358" s="3"/>
      <c r="F358" s="2"/>
      <c r="G358" s="2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</row>
    <row r="359" customFormat="false" ht="14.25" hidden="false" customHeight="false" outlineLevel="0" collapsed="false">
      <c r="A359" s="3"/>
      <c r="B359" s="3"/>
      <c r="C359" s="3"/>
      <c r="D359" s="3"/>
      <c r="E359" s="3"/>
      <c r="F359" s="2"/>
      <c r="G359" s="2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</row>
    <row r="360" customFormat="false" ht="14.25" hidden="false" customHeight="false" outlineLevel="0" collapsed="false">
      <c r="A360" s="3"/>
      <c r="B360" s="3"/>
      <c r="C360" s="3"/>
      <c r="D360" s="3"/>
      <c r="E360" s="3"/>
      <c r="F360" s="2"/>
      <c r="G360" s="2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</row>
    <row r="361" customFormat="false" ht="14.25" hidden="false" customHeight="false" outlineLevel="0" collapsed="false">
      <c r="A361" s="3"/>
      <c r="B361" s="3"/>
      <c r="C361" s="3"/>
      <c r="D361" s="3"/>
      <c r="E361" s="3"/>
      <c r="F361" s="2"/>
      <c r="G361" s="2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</row>
    <row r="362" customFormat="false" ht="14.25" hidden="false" customHeight="false" outlineLevel="0" collapsed="false">
      <c r="A362" s="3"/>
      <c r="B362" s="3"/>
      <c r="C362" s="3"/>
      <c r="D362" s="3"/>
      <c r="E362" s="3"/>
      <c r="F362" s="2"/>
      <c r="G362" s="2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</row>
    <row r="363" customFormat="false" ht="14.25" hidden="false" customHeight="false" outlineLevel="0" collapsed="false">
      <c r="A363" s="3"/>
      <c r="B363" s="3"/>
      <c r="C363" s="3"/>
      <c r="D363" s="3"/>
      <c r="E363" s="3"/>
      <c r="F363" s="2"/>
      <c r="G363" s="2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</row>
    <row r="364" customFormat="false" ht="14.25" hidden="false" customHeight="false" outlineLevel="0" collapsed="false">
      <c r="A364" s="3"/>
      <c r="B364" s="3"/>
      <c r="C364" s="3"/>
      <c r="D364" s="3"/>
      <c r="E364" s="3"/>
      <c r="F364" s="2"/>
      <c r="G364" s="2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</row>
    <row r="365" customFormat="false" ht="14.25" hidden="false" customHeight="false" outlineLevel="0" collapsed="false">
      <c r="A365" s="3"/>
      <c r="B365" s="3"/>
      <c r="C365" s="3"/>
      <c r="D365" s="3"/>
      <c r="E365" s="3"/>
      <c r="F365" s="2"/>
      <c r="G365" s="2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</row>
    <row r="366" customFormat="false" ht="14.25" hidden="false" customHeight="false" outlineLevel="0" collapsed="false">
      <c r="A366" s="3"/>
      <c r="B366" s="3"/>
      <c r="C366" s="3"/>
      <c r="D366" s="3"/>
      <c r="E366" s="3"/>
      <c r="F366" s="2"/>
      <c r="G366" s="2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</row>
    <row r="367" customFormat="false" ht="14.25" hidden="false" customHeight="false" outlineLevel="0" collapsed="false">
      <c r="A367" s="3"/>
      <c r="B367" s="3"/>
      <c r="C367" s="3"/>
      <c r="D367" s="3"/>
      <c r="E367" s="3"/>
      <c r="F367" s="2"/>
      <c r="G367" s="2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</row>
    <row r="368" customFormat="false" ht="14.25" hidden="false" customHeight="false" outlineLevel="0" collapsed="false">
      <c r="A368" s="3"/>
      <c r="B368" s="3"/>
      <c r="C368" s="3"/>
      <c r="D368" s="3"/>
      <c r="E368" s="3"/>
      <c r="F368" s="2"/>
      <c r="G368" s="2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</row>
    <row r="369" customFormat="false" ht="14.25" hidden="false" customHeight="false" outlineLevel="0" collapsed="false">
      <c r="A369" s="3"/>
      <c r="B369" s="3"/>
      <c r="C369" s="3"/>
      <c r="D369" s="3"/>
      <c r="E369" s="3"/>
      <c r="F369" s="2"/>
      <c r="G369" s="2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</row>
    <row r="370" customFormat="false" ht="14.25" hidden="false" customHeight="false" outlineLevel="0" collapsed="false">
      <c r="A370" s="3"/>
      <c r="B370" s="3"/>
      <c r="C370" s="3"/>
      <c r="D370" s="3"/>
      <c r="E370" s="3"/>
      <c r="F370" s="2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</row>
    <row r="371" customFormat="false" ht="14.25" hidden="false" customHeight="false" outlineLevel="0" collapsed="false">
      <c r="A371" s="3"/>
      <c r="B371" s="3"/>
      <c r="C371" s="3"/>
      <c r="D371" s="3"/>
      <c r="E371" s="3"/>
      <c r="F371" s="2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</row>
    <row r="372" customFormat="false" ht="14.25" hidden="false" customHeight="false" outlineLevel="0" collapsed="false">
      <c r="A372" s="3"/>
      <c r="B372" s="3"/>
      <c r="C372" s="3"/>
      <c r="D372" s="3"/>
      <c r="E372" s="3"/>
      <c r="F372" s="2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</row>
    <row r="373" customFormat="false" ht="14.25" hidden="false" customHeight="false" outlineLevel="0" collapsed="false">
      <c r="A373" s="3"/>
      <c r="B373" s="3"/>
      <c r="C373" s="3"/>
      <c r="D373" s="3"/>
      <c r="E373" s="3"/>
      <c r="F373" s="2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</row>
    <row r="374" customFormat="false" ht="14.25" hidden="false" customHeight="false" outlineLevel="0" collapsed="false">
      <c r="A374" s="3"/>
      <c r="B374" s="3"/>
      <c r="C374" s="3"/>
      <c r="D374" s="3"/>
      <c r="E374" s="3"/>
      <c r="F374" s="2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</row>
    <row r="375" customFormat="false" ht="14.25" hidden="false" customHeight="false" outlineLevel="0" collapsed="false">
      <c r="A375" s="3"/>
      <c r="B375" s="3"/>
      <c r="C375" s="3"/>
      <c r="D375" s="3"/>
      <c r="E375" s="3"/>
      <c r="F375" s="2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</row>
    <row r="376" customFormat="false" ht="14.25" hidden="false" customHeight="false" outlineLevel="0" collapsed="false">
      <c r="A376" s="3"/>
      <c r="B376" s="3"/>
      <c r="C376" s="3"/>
      <c r="D376" s="3"/>
      <c r="E376" s="3"/>
      <c r="F376" s="2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</row>
    <row r="377" customFormat="false" ht="14.25" hidden="false" customHeight="false" outlineLevel="0" collapsed="false">
      <c r="A377" s="3"/>
      <c r="B377" s="3"/>
      <c r="C377" s="3"/>
      <c r="D377" s="3"/>
      <c r="E377" s="3"/>
      <c r="F377" s="2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</row>
    <row r="378" customFormat="false" ht="14.25" hidden="false" customHeight="false" outlineLevel="0" collapsed="false">
      <c r="A378" s="3"/>
      <c r="B378" s="3"/>
      <c r="C378" s="3"/>
      <c r="D378" s="3"/>
      <c r="E378" s="3"/>
      <c r="F378" s="2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</row>
    <row r="379" customFormat="false" ht="14.25" hidden="false" customHeight="false" outlineLevel="0" collapsed="false">
      <c r="A379" s="3"/>
      <c r="B379" s="3"/>
      <c r="C379" s="3"/>
      <c r="D379" s="3"/>
      <c r="E379" s="3"/>
      <c r="F379" s="2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</row>
    <row r="380" customFormat="false" ht="14.25" hidden="false" customHeight="false" outlineLevel="0" collapsed="false">
      <c r="A380" s="3"/>
      <c r="B380" s="3"/>
      <c r="C380" s="3"/>
      <c r="D380" s="3"/>
      <c r="E380" s="3"/>
      <c r="F380" s="2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</row>
    <row r="381" customFormat="false" ht="14.25" hidden="false" customHeight="false" outlineLevel="0" collapsed="false">
      <c r="A381" s="3"/>
      <c r="B381" s="3"/>
      <c r="C381" s="3"/>
      <c r="D381" s="3"/>
      <c r="E381" s="3"/>
      <c r="F381" s="2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</row>
    <row r="382" customFormat="false" ht="14.25" hidden="false" customHeight="false" outlineLevel="0" collapsed="false">
      <c r="A382" s="3"/>
      <c r="B382" s="3"/>
      <c r="C382" s="3"/>
      <c r="D382" s="3"/>
      <c r="E382" s="3"/>
      <c r="F382" s="2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</row>
    <row r="383" customFormat="false" ht="14.25" hidden="false" customHeight="false" outlineLevel="0" collapsed="false">
      <c r="A383" s="3"/>
      <c r="B383" s="3"/>
      <c r="C383" s="3"/>
      <c r="D383" s="3"/>
      <c r="E383" s="3"/>
      <c r="F383" s="2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</row>
    <row r="384" customFormat="false" ht="14.25" hidden="false" customHeight="false" outlineLevel="0" collapsed="false">
      <c r="A384" s="3"/>
      <c r="B384" s="3"/>
      <c r="C384" s="3"/>
      <c r="D384" s="3"/>
      <c r="E384" s="3"/>
      <c r="F384" s="2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</row>
    <row r="385" customFormat="false" ht="14.25" hidden="false" customHeight="false" outlineLevel="0" collapsed="false">
      <c r="A385" s="3"/>
      <c r="B385" s="3"/>
      <c r="C385" s="3"/>
      <c r="D385" s="3"/>
      <c r="E385" s="3"/>
      <c r="F385" s="2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</row>
    <row r="386" customFormat="false" ht="14.25" hidden="false" customHeight="false" outlineLevel="0" collapsed="false">
      <c r="A386" s="3"/>
      <c r="B386" s="3"/>
      <c r="C386" s="3"/>
      <c r="D386" s="3"/>
      <c r="E386" s="3"/>
      <c r="F386" s="2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</row>
    <row r="387" customFormat="false" ht="14.25" hidden="false" customHeight="false" outlineLevel="0" collapsed="false">
      <c r="A387" s="3"/>
      <c r="B387" s="3"/>
      <c r="C387" s="3"/>
      <c r="D387" s="3"/>
      <c r="E387" s="3"/>
      <c r="F387" s="2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</row>
    <row r="388" customFormat="false" ht="14.25" hidden="false" customHeight="false" outlineLevel="0" collapsed="false">
      <c r="A388" s="3"/>
      <c r="B388" s="3"/>
      <c r="C388" s="3"/>
      <c r="D388" s="3"/>
      <c r="E388" s="3"/>
      <c r="F388" s="2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</row>
    <row r="389" customFormat="false" ht="14.25" hidden="false" customHeight="false" outlineLevel="0" collapsed="false">
      <c r="A389" s="3"/>
      <c r="B389" s="3"/>
      <c r="C389" s="3"/>
      <c r="D389" s="3"/>
      <c r="E389" s="3"/>
      <c r="F389" s="2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</row>
    <row r="390" customFormat="false" ht="14.25" hidden="false" customHeight="false" outlineLevel="0" collapsed="false">
      <c r="A390" s="3"/>
      <c r="B390" s="3"/>
      <c r="C390" s="3"/>
      <c r="D390" s="3"/>
      <c r="E390" s="3"/>
      <c r="F390" s="2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</row>
    <row r="391" customFormat="false" ht="14.25" hidden="false" customHeight="false" outlineLevel="0" collapsed="false">
      <c r="A391" s="3"/>
      <c r="B391" s="3"/>
      <c r="C391" s="3"/>
      <c r="D391" s="3"/>
      <c r="E391" s="3"/>
      <c r="F391" s="2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</row>
    <row r="392" customFormat="false" ht="14.25" hidden="false" customHeight="false" outlineLevel="0" collapsed="false">
      <c r="A392" s="3"/>
      <c r="B392" s="3"/>
      <c r="C392" s="3"/>
      <c r="D392" s="3"/>
      <c r="E392" s="3"/>
      <c r="F392" s="2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</row>
    <row r="393" customFormat="false" ht="14.25" hidden="false" customHeight="false" outlineLevel="0" collapsed="false">
      <c r="A393" s="3"/>
      <c r="B393" s="3"/>
      <c r="C393" s="3"/>
      <c r="D393" s="3"/>
      <c r="E393" s="3"/>
      <c r="F393" s="2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</row>
    <row r="394" customFormat="false" ht="14.25" hidden="false" customHeight="false" outlineLevel="0" collapsed="false">
      <c r="A394" s="3"/>
      <c r="B394" s="3"/>
      <c r="C394" s="3"/>
      <c r="D394" s="3"/>
      <c r="E394" s="3"/>
      <c r="F394" s="2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</row>
    <row r="395" customFormat="false" ht="14.25" hidden="false" customHeight="false" outlineLevel="0" collapsed="false">
      <c r="A395" s="3"/>
      <c r="B395" s="3"/>
      <c r="C395" s="3"/>
      <c r="D395" s="3"/>
      <c r="E395" s="3"/>
      <c r="F395" s="2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</row>
    <row r="396" customFormat="false" ht="14.25" hidden="false" customHeight="fals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</row>
    <row r="397" customFormat="false" ht="14.25" hidden="false" customHeight="fals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</row>
    <row r="398" customFormat="false" ht="14.25" hidden="false" customHeight="fals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</row>
    <row r="399" customFormat="false" ht="14.25" hidden="false" customHeight="fals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</row>
    <row r="400" customFormat="false" ht="14.25" hidden="false" customHeight="fals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</row>
    <row r="401" customFormat="false" ht="14.25" hidden="false" customHeight="fals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</row>
    <row r="402" customFormat="false" ht="14.25" hidden="false" customHeight="fals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</row>
    <row r="403" customFormat="false" ht="14.25" hidden="false" customHeight="fals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</row>
    <row r="404" customFormat="false" ht="14.25" hidden="false" customHeight="fals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</row>
    <row r="405" customFormat="false" ht="14.25" hidden="false" customHeight="fals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</row>
    <row r="406" customFormat="false" ht="14.25" hidden="false" customHeight="fals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</row>
    <row r="407" customFormat="false" ht="14.25" hidden="false" customHeight="fals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</row>
    <row r="408" customFormat="false" ht="14.25" hidden="false" customHeight="fals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</row>
    <row r="409" customFormat="false" ht="14.25" hidden="false" customHeight="fals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</row>
    <row r="410" customFormat="false" ht="14.25" hidden="false" customHeight="fals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</row>
    <row r="411" customFormat="false" ht="14.25" hidden="false" customHeight="fals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</row>
    <row r="412" customFormat="false" ht="14.25" hidden="false" customHeight="fals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</row>
    <row r="413" customFormat="false" ht="14.25" hidden="false" customHeight="fals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</row>
    <row r="414" customFormat="false" ht="14.25" hidden="false" customHeight="fals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</row>
    <row r="415" customFormat="false" ht="14.25" hidden="false" customHeight="fals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</row>
    <row r="416" customFormat="false" ht="14.25" hidden="false" customHeight="fals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</row>
    <row r="417" customFormat="false" ht="14.25" hidden="false" customHeight="fals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</row>
    <row r="418" customFormat="false" ht="14.25" hidden="false" customHeight="fals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</row>
    <row r="419" customFormat="false" ht="14.25" hidden="false" customHeight="fals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</row>
    <row r="420" customFormat="false" ht="14.25" hidden="false" customHeight="fals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</row>
    <row r="421" customFormat="false" ht="14.25" hidden="false" customHeight="fals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</row>
    <row r="422" customFormat="false" ht="14.25" hidden="false" customHeight="fals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</row>
    <row r="423" customFormat="false" ht="14.25" hidden="false" customHeight="fals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</row>
    <row r="424" customFormat="false" ht="14.25" hidden="false" customHeight="fals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</row>
    <row r="425" customFormat="false" ht="14.25" hidden="false" customHeight="fals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</row>
    <row r="426" customFormat="false" ht="14.25" hidden="false" customHeight="fals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</row>
    <row r="427" customFormat="false" ht="14.25" hidden="false" customHeight="fals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</row>
    <row r="428" customFormat="false" ht="14.25" hidden="false" customHeight="fals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</row>
    <row r="429" customFormat="false" ht="14.25" hidden="false" customHeight="fals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</row>
    <row r="430" customFormat="false" ht="14.25" hidden="false" customHeight="fals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</row>
    <row r="431" customFormat="false" ht="14.25" hidden="false" customHeight="fals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</row>
    <row r="432" customFormat="false" ht="14.25" hidden="false" customHeight="fals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</row>
    <row r="433" customFormat="false" ht="14.25" hidden="false" customHeight="fals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</row>
    <row r="434" customFormat="false" ht="14.25" hidden="false" customHeight="fals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</row>
    <row r="435" customFormat="false" ht="14.25" hidden="false" customHeight="fals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</row>
    <row r="436" customFormat="false" ht="14.25" hidden="false" customHeight="fals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</row>
    <row r="437" customFormat="false" ht="14.25" hidden="false" customHeight="fals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</row>
    <row r="438" customFormat="false" ht="14.25" hidden="false" customHeight="fals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</row>
    <row r="439" customFormat="false" ht="14.25" hidden="false" customHeight="fals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</row>
    <row r="440" customFormat="false" ht="14.25" hidden="false" customHeight="fals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</row>
    <row r="441" customFormat="false" ht="14.25" hidden="false" customHeight="fals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</row>
    <row r="442" customFormat="false" ht="14.25" hidden="false" customHeight="false" outlineLevel="0" collapsed="false"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</row>
    <row r="443" customFormat="false" ht="14.25" hidden="false" customHeight="false" outlineLevel="0" collapsed="false"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</row>
    <row r="444" customFormat="false" ht="14.25" hidden="false" customHeight="false" outlineLevel="0" collapsed="false"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</row>
    <row r="445" customFormat="false" ht="14.25" hidden="false" customHeight="false" outlineLevel="0" collapsed="false"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</row>
    <row r="446" customFormat="false" ht="14.25" hidden="false" customHeight="false" outlineLevel="0" collapsed="false"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</row>
    <row r="447" customFormat="false" ht="14.25" hidden="false" customHeight="false" outlineLevel="0" collapsed="false"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</row>
    <row r="448" customFormat="false" ht="14.25" hidden="false" customHeight="false" outlineLevel="0" collapsed="false"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</row>
    <row r="449" customFormat="false" ht="14.25" hidden="false" customHeight="false" outlineLevel="0" collapsed="false"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</row>
    <row r="450" customFormat="false" ht="14.25" hidden="false" customHeight="false" outlineLevel="0" collapsed="false"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</row>
    <row r="451" customFormat="false" ht="14.25" hidden="false" customHeight="false" outlineLevel="0" collapsed="false"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</row>
    <row r="452" customFormat="false" ht="14.25" hidden="false" customHeight="false" outlineLevel="0" collapsed="false"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</row>
    <row r="453" customFormat="false" ht="14.25" hidden="false" customHeight="false" outlineLevel="0" collapsed="false"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</row>
    <row r="454" customFormat="false" ht="14.25" hidden="false" customHeight="false" outlineLevel="0" collapsed="false"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</row>
    <row r="455" customFormat="false" ht="14.25" hidden="false" customHeight="false" outlineLevel="0" collapsed="false"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</row>
    <row r="456" customFormat="false" ht="14.25" hidden="false" customHeight="false" outlineLevel="0" collapsed="false"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</row>
    <row r="457" customFormat="false" ht="14.25" hidden="false" customHeight="false" outlineLevel="0" collapsed="false"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</row>
    <row r="458" customFormat="false" ht="14.25" hidden="false" customHeight="false" outlineLevel="0" collapsed="false"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</row>
    <row r="459" customFormat="false" ht="14.25" hidden="false" customHeight="false" outlineLevel="0" collapsed="false"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</row>
    <row r="460" customFormat="false" ht="14.25" hidden="false" customHeight="false" outlineLevel="0" collapsed="false"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</row>
    <row r="461" customFormat="false" ht="14.25" hidden="false" customHeight="false" outlineLevel="0" collapsed="false"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</row>
    <row r="462" customFormat="false" ht="14.25" hidden="false" customHeight="false" outlineLevel="0" collapsed="false"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</row>
    <row r="463" customFormat="false" ht="14.25" hidden="false" customHeight="false" outlineLevel="0" collapsed="false"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</row>
    <row r="464" customFormat="false" ht="14.25" hidden="false" customHeight="false" outlineLevel="0" collapsed="false"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</row>
    <row r="465" customFormat="false" ht="14.25" hidden="false" customHeight="false" outlineLevel="0" collapsed="false"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</row>
    <row r="466" customFormat="false" ht="14.25" hidden="false" customHeight="false" outlineLevel="0" collapsed="false"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</row>
    <row r="467" customFormat="false" ht="14.25" hidden="false" customHeight="false" outlineLevel="0" collapsed="false"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</row>
    <row r="468" customFormat="false" ht="14.25" hidden="false" customHeight="false" outlineLevel="0" collapsed="false"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</row>
    <row r="469" customFormat="false" ht="14.25" hidden="false" customHeight="false" outlineLevel="0" collapsed="false"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</row>
    <row r="470" customFormat="false" ht="14.25" hidden="false" customHeight="false" outlineLevel="0" collapsed="false"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</row>
    <row r="471" customFormat="false" ht="14.25" hidden="false" customHeight="false" outlineLevel="0" collapsed="false"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</row>
    <row r="472" customFormat="false" ht="14.25" hidden="false" customHeight="false" outlineLevel="0" collapsed="false"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</row>
    <row r="473" customFormat="false" ht="14.25" hidden="false" customHeight="false" outlineLevel="0" collapsed="false"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</row>
    <row r="474" customFormat="false" ht="14.25" hidden="false" customHeight="false" outlineLevel="0" collapsed="false"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</row>
    <row r="475" customFormat="false" ht="14.25" hidden="false" customHeight="false" outlineLevel="0" collapsed="false"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</row>
    <row r="476" customFormat="false" ht="14.25" hidden="false" customHeight="false" outlineLevel="0" collapsed="false"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</row>
    <row r="477" customFormat="false" ht="14.25" hidden="false" customHeight="false" outlineLevel="0" collapsed="false"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</row>
    <row r="478" customFormat="false" ht="14.25" hidden="false" customHeight="false" outlineLevel="0" collapsed="false"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</row>
    <row r="479" customFormat="false" ht="14.25" hidden="false" customHeight="false" outlineLevel="0" collapsed="false"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</row>
    <row r="480" customFormat="false" ht="14.25" hidden="false" customHeight="false" outlineLevel="0" collapsed="false"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</row>
    <row r="481" customFormat="false" ht="14.25" hidden="false" customHeight="false" outlineLevel="0" collapsed="false"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</row>
    <row r="482" customFormat="false" ht="14.25" hidden="false" customHeight="false" outlineLevel="0" collapsed="false"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</row>
    <row r="483" customFormat="false" ht="14.25" hidden="false" customHeight="false" outlineLevel="0" collapsed="false"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</row>
    <row r="484" customFormat="false" ht="14.25" hidden="false" customHeight="false" outlineLevel="0" collapsed="false"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</row>
    <row r="485" customFormat="false" ht="14.25" hidden="false" customHeight="false" outlineLevel="0" collapsed="false"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</row>
    <row r="486" customFormat="false" ht="14.25" hidden="false" customHeight="false" outlineLevel="0" collapsed="false"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</row>
    <row r="487" customFormat="false" ht="14.25" hidden="false" customHeight="false" outlineLevel="0" collapsed="false"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</row>
    <row r="488" customFormat="false" ht="14.25" hidden="false" customHeight="false" outlineLevel="0" collapsed="false"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</row>
    <row r="489" customFormat="false" ht="14.25" hidden="false" customHeight="false" outlineLevel="0" collapsed="false"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</row>
    <row r="490" customFormat="false" ht="14.25" hidden="false" customHeight="false" outlineLevel="0" collapsed="false"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</row>
    <row r="491" customFormat="false" ht="14.25" hidden="false" customHeight="false" outlineLevel="0" collapsed="false"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</row>
    <row r="492" customFormat="false" ht="14.25" hidden="false" customHeight="false" outlineLevel="0" collapsed="false"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</row>
    <row r="493" customFormat="false" ht="14.25" hidden="false" customHeight="false" outlineLevel="0" collapsed="false"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</row>
    <row r="494" customFormat="false" ht="14.25" hidden="false" customHeight="false" outlineLevel="0" collapsed="false"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</row>
    <row r="495" customFormat="false" ht="14.25" hidden="false" customHeight="false" outlineLevel="0" collapsed="false"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</row>
    <row r="496" customFormat="false" ht="14.25" hidden="false" customHeight="false" outlineLevel="0" collapsed="false"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</row>
    <row r="497" customFormat="false" ht="14.25" hidden="false" customHeight="false" outlineLevel="0" collapsed="false"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</row>
    <row r="498" customFormat="false" ht="14.25" hidden="false" customHeight="false" outlineLevel="0" collapsed="false"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</row>
    <row r="499" customFormat="false" ht="14.25" hidden="false" customHeight="false" outlineLevel="0" collapsed="false"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</row>
    <row r="500" customFormat="false" ht="14.25" hidden="false" customHeight="false" outlineLevel="0" collapsed="false"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</row>
    <row r="501" customFormat="false" ht="14.25" hidden="false" customHeight="false" outlineLevel="0" collapsed="false"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</row>
    <row r="502" customFormat="false" ht="14.25" hidden="false" customHeight="false" outlineLevel="0" collapsed="false"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</row>
    <row r="503" customFormat="false" ht="14.25" hidden="false" customHeight="false" outlineLevel="0" collapsed="false"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</row>
    <row r="504" customFormat="false" ht="14.25" hidden="false" customHeight="false" outlineLevel="0" collapsed="false"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</row>
    <row r="505" customFormat="false" ht="14.25" hidden="false" customHeight="false" outlineLevel="0" collapsed="false"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</row>
    <row r="506" customFormat="false" ht="14.25" hidden="false" customHeight="false" outlineLevel="0" collapsed="false"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</row>
    <row r="507" customFormat="false" ht="14.25" hidden="false" customHeight="false" outlineLevel="0" collapsed="false"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</row>
    <row r="508" customFormat="false" ht="14.25" hidden="false" customHeight="false" outlineLevel="0" collapsed="false"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</row>
    <row r="509" customFormat="false" ht="14.25" hidden="false" customHeight="false" outlineLevel="0" collapsed="false"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</row>
    <row r="510" customFormat="false" ht="14.25" hidden="false" customHeight="false" outlineLevel="0" collapsed="false"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</row>
    <row r="511" customFormat="false" ht="14.25" hidden="false" customHeight="false" outlineLevel="0" collapsed="false"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</row>
    <row r="512" customFormat="false" ht="14.25" hidden="false" customHeight="false" outlineLevel="0" collapsed="false"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</row>
    <row r="513" customFormat="false" ht="14.25" hidden="false" customHeight="false" outlineLevel="0" collapsed="false"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</row>
    <row r="514" customFormat="false" ht="14.25" hidden="false" customHeight="false" outlineLevel="0" collapsed="false"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</row>
    <row r="515" customFormat="false" ht="14.25" hidden="false" customHeight="false" outlineLevel="0" collapsed="false"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</row>
    <row r="516" customFormat="false" ht="14.25" hidden="false" customHeight="false" outlineLevel="0" collapsed="false"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</row>
    <row r="517" customFormat="false" ht="14.25" hidden="false" customHeight="false" outlineLevel="0" collapsed="false"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</row>
    <row r="518" customFormat="false" ht="14.25" hidden="false" customHeight="false" outlineLevel="0" collapsed="false"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</row>
    <row r="519" customFormat="false" ht="14.25" hidden="false" customHeight="false" outlineLevel="0" collapsed="false"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</row>
    <row r="520" customFormat="false" ht="14.25" hidden="false" customHeight="false" outlineLevel="0" collapsed="false"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</row>
    <row r="521" customFormat="false" ht="14.25" hidden="false" customHeight="false" outlineLevel="0" collapsed="false"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</row>
    <row r="522" customFormat="false" ht="14.25" hidden="false" customHeight="false" outlineLevel="0" collapsed="false"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</row>
    <row r="523" customFormat="false" ht="14.25" hidden="false" customHeight="false" outlineLevel="0" collapsed="false"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</row>
    <row r="524" customFormat="false" ht="14.25" hidden="false" customHeight="false" outlineLevel="0" collapsed="false"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</row>
    <row r="525" customFormat="false" ht="14.25" hidden="false" customHeight="false" outlineLevel="0" collapsed="false"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</row>
    <row r="526" customFormat="false" ht="14.25" hidden="false" customHeight="false" outlineLevel="0" collapsed="false"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</row>
    <row r="527" customFormat="false" ht="14.25" hidden="false" customHeight="false" outlineLevel="0" collapsed="false"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</row>
    <row r="528" customFormat="false" ht="14.25" hidden="false" customHeight="false" outlineLevel="0" collapsed="false"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</row>
    <row r="529" customFormat="false" ht="14.25" hidden="false" customHeight="false" outlineLevel="0" collapsed="false"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</row>
    <row r="530" customFormat="false" ht="14.25" hidden="false" customHeight="false" outlineLevel="0" collapsed="false"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</row>
    <row r="531" customFormat="false" ht="14.25" hidden="false" customHeight="false" outlineLevel="0" collapsed="false"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</row>
    <row r="532" customFormat="false" ht="14.25" hidden="false" customHeight="false" outlineLevel="0" collapsed="false"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</row>
    <row r="533" customFormat="false" ht="14.25" hidden="false" customHeight="false" outlineLevel="0" collapsed="false"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</row>
    <row r="534" customFormat="false" ht="14.25" hidden="false" customHeight="false" outlineLevel="0" collapsed="false"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</row>
    <row r="535" customFormat="false" ht="14.25" hidden="false" customHeight="false" outlineLevel="0" collapsed="false"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</row>
    <row r="536" customFormat="false" ht="14.25" hidden="false" customHeight="false" outlineLevel="0" collapsed="false"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</row>
    <row r="537" customFormat="false" ht="14.25" hidden="false" customHeight="false" outlineLevel="0" collapsed="false"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</row>
    <row r="538" customFormat="false" ht="14.25" hidden="false" customHeight="false" outlineLevel="0" collapsed="false"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</row>
    <row r="539" customFormat="false" ht="14.25" hidden="false" customHeight="false" outlineLevel="0" collapsed="false"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</row>
    <row r="540" customFormat="false" ht="14.25" hidden="false" customHeight="false" outlineLevel="0" collapsed="false"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</row>
    <row r="541" customFormat="false" ht="14.25" hidden="false" customHeight="false" outlineLevel="0" collapsed="false"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</row>
    <row r="542" customFormat="false" ht="14.25" hidden="false" customHeight="false" outlineLevel="0" collapsed="false"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</row>
    <row r="543" customFormat="false" ht="14.25" hidden="false" customHeight="false" outlineLevel="0" collapsed="false"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</row>
    <row r="544" customFormat="false" ht="14.25" hidden="false" customHeight="false" outlineLevel="0" collapsed="false"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</row>
    <row r="545" customFormat="false" ht="14.25" hidden="false" customHeight="false" outlineLevel="0" collapsed="false"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</row>
    <row r="546" customFormat="false" ht="14.25" hidden="false" customHeight="false" outlineLevel="0" collapsed="false"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</row>
    <row r="547" customFormat="false" ht="14.25" hidden="false" customHeight="false" outlineLevel="0" collapsed="false"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</row>
    <row r="548" customFormat="false" ht="14.25" hidden="false" customHeight="false" outlineLevel="0" collapsed="false"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</row>
    <row r="549" customFormat="false" ht="14.25" hidden="false" customHeight="false" outlineLevel="0" collapsed="false"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</row>
    <row r="550" customFormat="false" ht="14.25" hidden="false" customHeight="false" outlineLevel="0" collapsed="false"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</row>
    <row r="551" customFormat="false" ht="14.25" hidden="false" customHeight="false" outlineLevel="0" collapsed="false"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</row>
    <row r="552" customFormat="false" ht="14.25" hidden="false" customHeight="false" outlineLevel="0" collapsed="false"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</row>
  </sheetData>
  <sheetProtection algorithmName="SHA-512" hashValue="tZIeotC+Y51GtRVrBtIy5PYEfvdy+BNusgoM5tAM8Tr4x4XXXY83hvIjt/v49LLBrJJye3GGu6G3IkwXlYufwA==" saltValue="M55cR4lf3VyqtsIdSZvMAA==" spinCount="100000" sheet="true" objects="true" scenarios="true"/>
  <mergeCells count="16">
    <mergeCell ref="B2:P2"/>
    <mergeCell ref="H4:I4"/>
    <mergeCell ref="K4:L4"/>
    <mergeCell ref="R7:V7"/>
    <mergeCell ref="G15:G20"/>
    <mergeCell ref="L16:M16"/>
    <mergeCell ref="L17:M17"/>
    <mergeCell ref="L18:M18"/>
    <mergeCell ref="L19:M19"/>
    <mergeCell ref="L23:N23"/>
    <mergeCell ref="T23:V23"/>
    <mergeCell ref="T24:V24"/>
    <mergeCell ref="T25:V25"/>
    <mergeCell ref="L26:P27"/>
    <mergeCell ref="T26:V26"/>
    <mergeCell ref="S27:V2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LibreOffice/7.3.7.2.M8$Windows_X86_64 LibreOffice_project/6d3c621d2a55ad69069ee1e9770686c208fa23a7</Application>
  <AppVersion>15.0000</AppVersion>
  <Company>CNPF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  <dc:description/>
  <dc:language>fr-FR</dc:language>
  <cp:lastModifiedBy>Vianney FALCONNET</cp:lastModifiedBy>
  <dcterms:modified xsi:type="dcterms:W3CDTF">2025-10-16T08:07:37Z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