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3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Forestarn\LACAZE (81) - Monrozies Xavier\Doc déposé 12_03_2025\"/>
    </mc:Choice>
  </mc:AlternateContent>
  <xr:revisionPtr revIDLastSave="0" documentId="13_ncr:1_{3EFDDABD-8801-4322-96D4-5C468A27FF13}" xr6:coauthVersionLast="36" xr6:coauthVersionMax="36" xr10:uidLastSave="{00000000-0000-0000-0000-000000000000}"/>
  <bookViews>
    <workbookView xWindow="0" yWindow="0" windowWidth="28800" windowHeight="11505" tabRatio="866" activeTab="5" xr2:uid="{00000000-000D-0000-FFFF-FFFF00000000}"/>
  </bookViews>
  <sheets>
    <sheet name="Accueil" sheetId="5" r:id="rId1"/>
    <sheet name="Données projet" sheetId="1" r:id="rId2"/>
    <sheet name="Calculateur" sheetId="2" state="hidden" r:id="rId3"/>
    <sheet name="Paramètres" sheetId="3" state="hidden" r:id="rId4"/>
    <sheet name="Scénario référence" sheetId="7" r:id="rId5"/>
    <sheet name="REE" sheetId="4" r:id="rId6"/>
    <sheet name="VAN" sheetId="6" r:id="rId7"/>
    <sheet name="vérification" sheetId="8" state="hidden" r:id="rId8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9" i="8" l="1"/>
  <c r="K9" i="8"/>
  <c r="J9" i="8"/>
  <c r="I9" i="8"/>
  <c r="H9" i="8"/>
  <c r="G9" i="8"/>
  <c r="F9" i="8"/>
  <c r="E9" i="8"/>
  <c r="M7" i="8"/>
  <c r="M6" i="8"/>
  <c r="C3" i="8" l="1"/>
  <c r="L3" i="8"/>
  <c r="K3" i="8"/>
  <c r="J3" i="8"/>
  <c r="I3" i="8"/>
  <c r="H3" i="8"/>
  <c r="G3" i="8"/>
  <c r="F3" i="8"/>
  <c r="E3" i="8"/>
  <c r="D3" i="8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4" i="8" s="1"/>
  <c r="D11" i="1"/>
  <c r="E4" i="8" s="1"/>
  <c r="C4" i="8" l="1"/>
  <c r="I37" i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F4" i="8" s="1"/>
  <c r="D13" i="1"/>
  <c r="G4" i="8" s="1"/>
  <c r="D14" i="1"/>
  <c r="D15" i="1"/>
  <c r="D16" i="1"/>
  <c r="D17" i="1"/>
  <c r="D18" i="1"/>
  <c r="L4" i="8" s="1"/>
  <c r="U18" i="6" l="1"/>
  <c r="V18" i="6" s="1"/>
  <c r="K4" i="8"/>
  <c r="U17" i="6"/>
  <c r="V17" i="6" s="1"/>
  <c r="J4" i="8"/>
  <c r="U16" i="6"/>
  <c r="V16" i="6" s="1"/>
  <c r="I4" i="8"/>
  <c r="U15" i="6"/>
  <c r="V15" i="6" s="1"/>
  <c r="H4" i="8"/>
  <c r="M4" i="8"/>
  <c r="P66" i="6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47" i="2" a="1"/>
  <c r="BC47" i="2" s="1"/>
  <c r="BC82" i="2" a="1"/>
  <c r="BC82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C58" i="2" l="1" a="1"/>
  <c r="BC58" i="2" s="1"/>
  <c r="AH90" i="2" a="1"/>
  <c r="AH90" i="2" s="1"/>
  <c r="AH62" i="2" a="1"/>
  <c r="AH62" i="2" s="1"/>
  <c r="BC126" i="2" a="1"/>
  <c r="BC126" i="2" s="1"/>
  <c r="BC68" i="2" a="1"/>
  <c r="BC68" i="2" s="1"/>
  <c r="BC34" i="2" a="1"/>
  <c r="BC34" i="2" s="1"/>
  <c r="AH19" i="2" a="1"/>
  <c r="AH19" i="2" s="1"/>
  <c r="AH151" i="2" a="1"/>
  <c r="AH151" i="2" s="1"/>
  <c r="AH199" i="2" a="1"/>
  <c r="AH199" i="2" s="1"/>
  <c r="AH166" i="2" a="1"/>
  <c r="AH166" i="2" s="1"/>
  <c r="AH92" i="2" a="1"/>
  <c r="AH92" i="2" s="1"/>
  <c r="AH163" i="2" a="1"/>
  <c r="AH163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D9" i="8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I95" i="2" l="1"/>
  <c r="BI52" i="2"/>
  <c r="BI117" i="2"/>
  <c r="BI47" i="2"/>
  <c r="BI129" i="2"/>
  <c r="BI79" i="2"/>
  <c r="BI116" i="2"/>
  <c r="BI66" i="2"/>
  <c r="BI103" i="2"/>
  <c r="BI166" i="2"/>
  <c r="BI174" i="2"/>
  <c r="BI39" i="2"/>
  <c r="BI107" i="2"/>
  <c r="BI8" i="2"/>
  <c r="BI146" i="2"/>
  <c r="BI161" i="2"/>
  <c r="BI7" i="2"/>
  <c r="BI53" i="2"/>
  <c r="BI26" i="2"/>
  <c r="BI27" i="2"/>
  <c r="BI104" i="2"/>
  <c r="BI151" i="2"/>
  <c r="BI17" i="2"/>
  <c r="BI40" i="2"/>
  <c r="BI134" i="2"/>
  <c r="BI185" i="2"/>
  <c r="BI180" i="2"/>
  <c r="BI168" i="2"/>
  <c r="BI87" i="2"/>
  <c r="BI114" i="2"/>
  <c r="BI75" i="2"/>
  <c r="BI13" i="2"/>
  <c r="BI177" i="2"/>
  <c r="BI65" i="2"/>
  <c r="BI135" i="2"/>
  <c r="BI19" i="2"/>
  <c r="BI70" i="2"/>
  <c r="BI41" i="2"/>
  <c r="BI120" i="2"/>
  <c r="BI31" i="2"/>
  <c r="BI83" i="2"/>
  <c r="BI145" i="2"/>
  <c r="BI51" i="2"/>
  <c r="BI14" i="2"/>
  <c r="BI63" i="2"/>
  <c r="BI186" i="2"/>
  <c r="BI62" i="2"/>
  <c r="BI123" i="2"/>
  <c r="BI3" i="2"/>
  <c r="C8" i="4" s="1"/>
  <c r="E8" i="4" s="1"/>
  <c r="F8" i="4" s="1"/>
  <c r="G8" i="4" s="1"/>
  <c r="L8" i="4" s="1"/>
  <c r="BI37" i="2"/>
  <c r="BI100" i="2"/>
  <c r="BI163" i="2"/>
  <c r="BI60" i="2"/>
  <c r="BI121" i="2"/>
  <c r="BI85" i="2"/>
  <c r="BI24" i="2"/>
  <c r="BI183" i="2"/>
  <c r="BI88" i="2"/>
  <c r="BI156" i="2"/>
  <c r="BI169" i="2"/>
  <c r="BI76" i="2"/>
  <c r="BI6" i="2"/>
  <c r="BI101" i="2"/>
  <c r="BI138" i="2"/>
  <c r="BI201" i="2"/>
  <c r="BI131" i="2"/>
  <c r="BI157" i="2"/>
  <c r="BI20" i="2"/>
  <c r="BI58" i="2"/>
  <c r="BI23" i="2"/>
  <c r="BI126" i="2"/>
  <c r="BI172" i="2"/>
  <c r="BI68" i="2"/>
  <c r="BI109" i="2"/>
  <c r="BI12" i="2"/>
  <c r="BI32" i="2"/>
  <c r="BI55" i="2"/>
  <c r="BI71" i="2"/>
  <c r="BI142" i="2"/>
  <c r="BI44" i="2"/>
  <c r="BI61" i="2"/>
  <c r="BI69" i="2"/>
  <c r="BI90" i="2"/>
  <c r="BI22" i="2"/>
  <c r="BI45" i="2"/>
  <c r="BI132" i="2"/>
  <c r="BI159" i="2"/>
  <c r="BI59" i="2"/>
  <c r="BI48" i="2"/>
  <c r="BI67" i="2"/>
  <c r="BI33" i="2"/>
  <c r="BI182" i="2"/>
  <c r="BI200" i="2"/>
  <c r="BI46" i="2"/>
  <c r="BI141" i="2"/>
  <c r="BI130" i="2"/>
  <c r="BI196" i="2"/>
  <c r="BI113" i="2"/>
  <c r="BI49" i="2"/>
  <c r="BI122" i="2"/>
  <c r="BI34" i="2"/>
  <c r="BI77" i="2"/>
  <c r="BI93" i="2"/>
  <c r="BI140" i="2"/>
  <c r="BI36" i="2"/>
  <c r="BI192" i="2"/>
  <c r="BI38" i="2"/>
  <c r="BI194" i="2"/>
  <c r="BI50" i="2"/>
  <c r="BI158" i="2"/>
  <c r="BI127" i="2"/>
  <c r="BI28" i="2"/>
  <c r="BI184" i="2"/>
  <c r="BI128" i="2"/>
  <c r="BI80" i="2"/>
  <c r="BI119" i="2"/>
  <c r="BI165" i="2"/>
  <c r="BI91" i="2"/>
  <c r="BI154" i="2"/>
  <c r="BI74" i="2"/>
  <c r="BI111" i="2"/>
  <c r="BI115" i="2"/>
  <c r="BI96" i="2"/>
  <c r="BI199" i="2"/>
  <c r="BI136" i="2"/>
  <c r="BI72" i="2"/>
  <c r="BI9" i="2"/>
  <c r="BI82" i="2"/>
  <c r="BI195" i="2"/>
  <c r="BI84" i="2"/>
  <c r="BI108" i="2"/>
  <c r="BI153" i="2"/>
  <c r="BI30" i="2"/>
  <c r="BI16" i="2"/>
  <c r="BI11" i="2"/>
  <c r="BI193" i="2"/>
  <c r="BI118" i="2"/>
  <c r="BI102" i="2"/>
  <c r="BI178" i="2"/>
  <c r="BI170" i="2"/>
  <c r="BI81" i="2"/>
  <c r="BI190" i="2"/>
  <c r="BI147" i="2"/>
  <c r="BI10" i="2"/>
  <c r="BI148" i="2"/>
  <c r="BI149" i="2"/>
  <c r="BI89" i="2"/>
  <c r="BI137" i="2"/>
  <c r="BI164" i="2"/>
  <c r="BI99" i="2"/>
  <c r="BI203" i="2"/>
  <c r="BI94" i="2"/>
  <c r="BI97" i="2"/>
  <c r="BI197" i="2"/>
  <c r="BI110" i="2"/>
  <c r="BI143" i="2"/>
  <c r="BI139" i="2"/>
  <c r="BI42" i="2"/>
  <c r="BI181" i="2"/>
  <c r="BI124" i="2"/>
  <c r="BI105" i="2"/>
  <c r="BI112" i="2"/>
  <c r="BI18" i="2"/>
  <c r="BI35" i="2"/>
  <c r="BI162" i="2"/>
  <c r="BI175" i="2"/>
  <c r="BI21" i="2"/>
  <c r="BI179" i="2"/>
  <c r="BI15" i="2"/>
  <c r="BI29" i="2"/>
  <c r="BI98" i="2"/>
  <c r="BI191" i="2"/>
  <c r="BI25" i="2"/>
  <c r="BI73" i="2"/>
  <c r="BI54" i="2"/>
  <c r="BI4" i="2"/>
  <c r="BI125" i="2"/>
  <c r="BI106" i="2"/>
  <c r="BI152" i="2"/>
  <c r="BI171" i="2"/>
  <c r="BI144" i="2"/>
  <c r="BI160" i="2"/>
  <c r="BI155" i="2"/>
  <c r="BI202" i="2"/>
  <c r="BI56" i="2"/>
  <c r="BI150" i="2"/>
  <c r="BI5" i="2"/>
  <c r="BI64" i="2"/>
  <c r="BI43" i="2"/>
  <c r="BI187" i="2"/>
  <c r="BI198" i="2"/>
  <c r="BI176" i="2"/>
  <c r="BI133" i="2"/>
  <c r="BI92" i="2"/>
  <c r="BI78" i="2"/>
  <c r="BI86" i="2"/>
  <c r="BI188" i="2"/>
  <c r="BI173" i="2"/>
  <c r="BI189" i="2"/>
  <c r="BI57" i="2"/>
  <c r="BI167" i="2"/>
  <c r="BF124" i="2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C9" i="8" s="1"/>
  <c r="F16" i="4"/>
  <c r="M9" i="8" l="1"/>
  <c r="BS161" i="2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<sst xmlns="http://schemas.openxmlformats.org/spreadsheetml/2006/main" count="1180" uniqueCount="332">
  <si>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</si>
  <si>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</si>
  <si>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</si>
  <si>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</si>
  <si>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</si>
  <si>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</si>
  <si>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</si>
  <si>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</si>
  <si>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</si>
  <si>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</si>
  <si>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</si>
  <si>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</si>
  <si>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</si>
  <si>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</si>
  <si>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</si>
  <si>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</si>
  <si>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</si>
  <si>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</si>
  <si>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</si>
  <si>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</si>
  <si>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</si>
  <si>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</si>
  <si>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</si>
  <si>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</si>
  <si>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</si>
  <si>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</si>
  <si>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</si>
  <si>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</si>
  <si>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</si>
  <si>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</si>
  <si>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</si>
  <si>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</si>
  <si>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</si>
  <si>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</si>
  <si>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</si>
  <si>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</si>
  <si>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</si>
  <si>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</si>
  <si>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</si>
  <si>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</si>
  <si>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</si>
  <si>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</si>
  <si>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</si>
  <si>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</si>
  <si>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</si>
  <si>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</si>
  <si>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</si>
  <si>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</si>
  <si>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</si>
  <si>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</si>
  <si>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</si>
  <si>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</si>
  <si>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</si>
  <si>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</si>
  <si>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</si>
  <si>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</si>
  <si>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</si>
  <si>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</si>
  <si>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</si>
  <si>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</si>
  <si>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</si>
  <si>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</si>
  <si>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</si>
  <si>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</si>
  <si>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</si>
  <si>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</si>
  <si>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</si>
  <si>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</si>
  <si>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</si>
  <si>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</si>
  <si>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</si>
  <si>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</si>
  <si>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</si>
  <si>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</si>
  <si>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</si>
  <si>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</si>
  <si>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</si>
  <si>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</si>
  <si>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</si>
  <si>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</si>
  <si>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</si>
  <si>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</si>
  <si>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</si>
  <si>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</si>
  <si>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</si>
  <si>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</si>
  <si>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</si>
  <si>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</si>
  <si>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</si>
  <si>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</si>
  <si>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</si>
  <si>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</si>
  <si>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</si>
  <si>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</si>
  <si>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</si>
  <si>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</si>
  <si>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</si>
  <si>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</si>
  <si>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</si>
  <si>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</si>
  <si>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</si>
  <si>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</si>
  <si>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</si>
  <si>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</si>
  <si>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</si>
  <si>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</si>
  <si>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</si>
  <si>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</si>
  <si>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</si>
  <si>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</si>
  <si>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</si>
  <si>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</si>
  <si>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</si>
  <si>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</si>
  <si>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</si>
  <si>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</si>
  <si>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</si>
  <si>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</si>
  <si>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</si>
  <si>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</si>
  <si>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</si>
  <si>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</si>
  <si>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</si>
  <si>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</si>
  <si>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</si>
  <si>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</si>
  <si>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</si>
  <si>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</si>
  <si>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</si>
  <si>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</si>
  <si>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</si>
  <si>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</si>
  <si>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</si>
  <si>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</si>
  <si>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</si>
  <si>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</si>
  <si>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</si>
  <si>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</si>
  <si>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</si>
  <si>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</si>
  <si>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</si>
  <si>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</si>
  <si>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</si>
  <si>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</si>
  <si>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</si>
  <si>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</si>
  <si>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</si>
  <si>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</si>
  <si>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</si>
  <si>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</si>
  <si>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</si>
  <si>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</si>
  <si>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</si>
  <si>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</si>
  <si>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</si>
  <si>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</si>
  <si>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</si>
  <si>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</si>
  <si>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</si>
  <si>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</si>
  <si>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</si>
  <si>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</si>
  <si>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</si>
  <si>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</si>
  <si>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</si>
  <si>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</si>
  <si>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</si>
  <si>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</si>
  <si>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</si>
  <si>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</si>
  <si>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</si>
  <si>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</si>
  <si>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</si>
  <si>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</si>
  <si>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</si>
  <si>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</si>
  <si>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</si>
  <si>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</si>
  <si>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</si>
  <si>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</si>
  <si>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</si>
  <si>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</si>
  <si>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</si>
  <si>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</si>
  <si>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</si>
  <si>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</si>
  <si>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</si>
  <si>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</si>
  <si>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</si>
  <si>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</si>
  <si>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</si>
  <si>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</si>
  <si>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</si>
  <si>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</si>
  <si>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</si>
  <si>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</si>
  <si>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</si>
  <si>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</si>
  <si>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</si>
  <si>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</si>
  <si>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</si>
  <si>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</si>
  <si>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</si>
  <si>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</si>
  <si>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</si>
  <si>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</si>
  <si>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</si>
  <si>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</si>
  <si>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</si>
  <si>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</si>
  <si>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</si>
  <si>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</si>
  <si>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</si>
  <si>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</si>
  <si>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</si>
  <si>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</si>
  <si>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</si>
  <si>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</si>
  <si>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</si>
  <si>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</si>
  <si>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</si>
  <si>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</si>
  <si>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</si>
  <si>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</si>
  <si>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</si>
  <si>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</si>
  <si>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</si>
  <si>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</si>
  <si>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</si>
  <si>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</si>
  <si>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</si>
  <si>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</si>
  <si>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</si>
  <si>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</si>
  <si>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</si>
  <si>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</si>
  <si>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</si>
  <si>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</si>
  <si>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</si>
  <si>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</si>
  <si>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</si>
  <si>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</si>
  <si>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</si>
  <si>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</si>
  <si>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</si>
  <si>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</si>
  <si>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</si>
  <si>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</si>
  <si>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</si>
  <si>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</si>
  <si>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</si>
  <si>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</si>
  <si>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</si>
  <si>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</si>
  <si>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</si>
  <si>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</si>
  <si>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</si>
  <si>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</si>
  <si>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</si>
  <si>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</si>
  <si>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</si>
  <si>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</si>
  <si>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</si>
  <si>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</si>
  <si>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</si>
  <si>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</si>
  <si>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</si>
  <si>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</si>
  <si>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</si>
  <si>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</si>
  <si>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</si>
  <si>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</si>
  <si>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</si>
  <si>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</si>
  <si>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</si>
  <si>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</si>
  <si>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</si>
  <si>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</si>
  <si>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</si>
  <si>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</si>
  <si>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</si>
  <si>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</si>
  <si>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</si>
  <si>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</si>
  <si>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</si>
  <si>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</si>
  <si>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</si>
  <si>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</si>
  <si>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</si>
  <si>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</si>
  <si>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</si>
  <si>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</si>
  <si>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</si>
  <si>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</si>
  <si>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</si>
  <si>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</si>
  <si>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</si>
  <si>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</si>
  <si>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</si>
  <si>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</si>
  <si>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</si>
  <si>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</si>
  <si>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</si>
  <si>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</si>
  <si>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</si>
  <si>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</si>
  <si>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</si>
  <si>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</si>
  <si>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</si>
  <si>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</si>
  <si>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</si>
  <si>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</si>
  <si>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</si>
  <si>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</si>
  <si>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</si>
  <si>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</si>
  <si>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</si>
  <si>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</si>
  <si>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</si>
  <si>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</si>
  <si>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</si>
  <si>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</si>
  <si>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</si>
  <si>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</si>
  <si>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Répartition de essences</t>
  </si>
  <si>
    <t>Essences prévues</t>
  </si>
  <si>
    <t>Surfaces doc 8</t>
  </si>
  <si>
    <t>Essence planté</t>
  </si>
  <si>
    <t>Total</t>
  </si>
  <si>
    <t>Nombre de plants</t>
  </si>
  <si>
    <t>Densité essence objectif</t>
  </si>
  <si>
    <t>écart REE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</si>
</sst>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\ _€_-;\-* #,##0.00\ _€_-;_-* &quot;-&quot;??\ _€_-;_-@_-"/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  <numFmt numFmtId="169" formatCode="0&quot; plants/ha&quot;"/>
  </numFmts>
  <fonts count="3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sz val="11"/>
      <color rgb="FFFF0000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365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43" fontId="10" fillId="21" borderId="1" xfId="3" applyFont="1" applyFill="1" applyBorder="1" applyAlignment="1">
      <alignment horizontal="center" vertical="center"/>
    </xf>
    <xf numFmtId="0" fontId="10" fillId="21" borderId="1" xfId="0" applyFont="1" applyFill="1" applyBorder="1" applyAlignment="1">
      <alignment horizontal="center" vertical="center"/>
    </xf>
    <xf numFmtId="169" fontId="0" fillId="0" borderId="1" xfId="0" applyNumberFormat="1" applyBorder="1" applyAlignment="1">
      <alignment horizontal="center" vertical="center"/>
    </xf>
    <xf numFmtId="43" fontId="10" fillId="21" borderId="4" xfId="3" applyFont="1" applyFill="1" applyBorder="1" applyAlignment="1">
      <alignment horizontal="center" vertical="center"/>
    </xf>
    <xf numFmtId="0" fontId="10" fillId="21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0" fillId="21" borderId="54" xfId="0" applyFont="1" applyFill="1" applyBorder="1" applyAlignment="1">
      <alignment horizontal="center" vertical="center"/>
    </xf>
    <xf numFmtId="2" fontId="10" fillId="21" borderId="46" xfId="0" applyNumberFormat="1" applyFont="1" applyFill="1" applyBorder="1" applyAlignment="1">
      <alignment horizontal="center" vertical="center"/>
    </xf>
    <xf numFmtId="2" fontId="0" fillId="5" borderId="1" xfId="0" applyNumberFormat="1" applyFill="1" applyBorder="1" applyAlignment="1">
      <alignment horizontal="center" vertical="center"/>
    </xf>
    <xf numFmtId="2" fontId="0" fillId="5" borderId="18" xfId="0" applyNumberFormat="1" applyFill="1" applyBorder="1" applyAlignment="1">
      <alignment horizontal="center" vertical="center"/>
    </xf>
    <xf numFmtId="0" fontId="0" fillId="22" borderId="0" xfId="0" applyFill="1"/>
    <xf numFmtId="2" fontId="0" fillId="22" borderId="0" xfId="0" applyNumberFormat="1" applyFill="1"/>
    <xf numFmtId="2" fontId="11" fillId="5" borderId="55" xfId="0" applyNumberFormat="1" applyFont="1" applyFill="1" applyBorder="1" applyAlignment="1">
      <alignment horizontal="center" vertical="center"/>
    </xf>
    <xf numFmtId="1" fontId="10" fillId="23" borderId="55" xfId="0" applyNumberFormat="1" applyFont="1" applyFill="1" applyBorder="1" applyAlignment="1">
      <alignment horizontal="center" vertical="center"/>
    </xf>
    <xf numFmtId="2" fontId="10" fillId="23" borderId="55" xfId="0" applyNumberFormat="1" applyFont="1" applyFill="1" applyBorder="1" applyAlignment="1">
      <alignment horizontal="center" vertical="center"/>
    </xf>
    <xf numFmtId="0" fontId="10" fillId="21" borderId="56" xfId="0" applyFont="1" applyFill="1" applyBorder="1" applyAlignment="1">
      <alignment horizontal="center" vertical="center"/>
    </xf>
    <xf numFmtId="0" fontId="10" fillId="21" borderId="55" xfId="0" applyFont="1" applyFill="1" applyBorder="1" applyAlignment="1">
      <alignment horizontal="center" vertical="center"/>
    </xf>
    <xf numFmtId="0" fontId="10" fillId="21" borderId="57" xfId="0" applyFont="1" applyFill="1" applyBorder="1" applyAlignment="1">
      <alignment horizontal="center" vertical="center"/>
    </xf>
    <xf numFmtId="43" fontId="32" fillId="5" borderId="1" xfId="3" applyFont="1" applyFill="1" applyBorder="1" applyAlignment="1">
      <alignment horizontal="center" vertical="center"/>
    </xf>
    <xf numFmtId="43" fontId="32" fillId="5" borderId="55" xfId="3" applyFont="1" applyFill="1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22" fillId="0" borderId="42" xfId="0" applyFont="1" applyBorder="1" applyAlignment="1">
      <alignment horizontal="center" vertical="center"/>
    </xf>
    <xf numFmtId="0" fontId="22" fillId="0" borderId="43" xfId="0" applyFont="1" applyBorder="1" applyAlignment="1">
      <alignment horizontal="center" vertical="center"/>
    </xf>
    <xf numFmtId="0" fontId="22" fillId="0" borderId="44" xfId="0" applyFont="1" applyBorder="1" applyAlignment="1">
      <alignment horizontal="center" vertical="center"/>
    </xf>
  </cellXfs>
  <cellStyles count="4">
    <cellStyle name="Lien hypertexte" xfId="2" builtinId="8"/>
    <cellStyle name="Milliers" xfId="3" builtinId="3"/>
    <cellStyle name="Normal" xfId="0" builtinId="0"/>
    <cellStyle name="Pourcentage" xfId="1" builtinId="5"/>
  </cellStyles>
  <dxfs count="1">
    <dxf>
      <font>
        <color theme="4" tint="-0.24994659260841701"/>
      </font>
    </dxf>
  </dxfs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1.4510830455063717</c:v>
                </c:pt>
                <c:pt idx="2">
                  <c:v>1.7184301528794064</c:v>
                </c:pt>
                <c:pt idx="3">
                  <c:v>2.0352204266630141</c:v>
                </c:pt>
                <c:pt idx="4">
                  <c:v>2.4106307115433077</c:v>
                </c:pt>
                <c:pt idx="5">
                  <c:v>2.8555468445814327</c:v>
                </c:pt>
                <c:pt idx="6">
                  <c:v>3.3828829167979486</c:v>
                </c:pt>
                <c:pt idx="7">
                  <c:v>4.0079603500291228</c:v>
                </c:pt>
                <c:pt idx="8">
                  <c:v>4.7489580256884283</c:v>
                </c:pt>
                <c:pt idx="9">
                  <c:v>5.6274468180933814</c:v>
                </c:pt>
                <c:pt idx="10">
                  <c:v>6.6690244004121082</c:v>
                </c:pt>
                <c:pt idx="11">
                  <c:v>7.9040691815723489</c:v>
                </c:pt>
                <c:pt idx="12">
                  <c:v>9.3686357874943393</c:v>
                </c:pt>
                <c:pt idx="13">
                  <c:v>11.105518726618792</c:v>
                </c:pt>
                <c:pt idx="14">
                  <c:v>13.1655159050199</c:v>
                </c:pt>
                <c:pt idx="15">
                  <c:v>15.608929631640637</c:v>
                </c:pt>
                <c:pt idx="16">
                  <c:v>18.507349859263261</c:v>
                </c:pt>
                <c:pt idx="17">
                  <c:v>21.945772855758133</c:v>
                </c:pt>
                <c:pt idx="18">
                  <c:v>26.025118547577296</c:v>
                </c:pt>
                <c:pt idx="19">
                  <c:v>30.865221726339751</c:v>
                </c:pt>
                <c:pt idx="20">
                  <c:v>36.608386520174683</c:v>
                </c:pt>
                <c:pt idx="21">
                  <c:v>43.423610433172257</c:v>
                </c:pt>
                <c:pt idx="22">
                  <c:v>51.511604359231313</c:v>
                </c:pt>
                <c:pt idx="23">
                  <c:v>61.110758888134434</c:v>
                </c:pt>
                <c:pt idx="24">
                  <c:v>72.504235664570714</c:v>
                </c:pt>
                <c:pt idx="25">
                  <c:v>86.028396395165245</c:v>
                </c:pt>
                <c:pt idx="26">
                  <c:v>102.08282234796172</c:v>
                </c:pt>
                <c:pt idx="27">
                  <c:v>121.14222507144363</c:v>
                </c:pt>
                <c:pt idx="28">
                  <c:v>143.77060602594568</c:v>
                </c:pt>
                <c:pt idx="29">
                  <c:v>170.63809059483708</c:v>
                </c:pt>
                <c:pt idx="30">
                  <c:v>202.54094258007748</c:v>
                </c:pt>
                <c:pt idx="31">
                  <c:v>211.08056578687493</c:v>
                </c:pt>
                <c:pt idx="32">
                  <c:v>219.61222399453172</c:v>
                </c:pt>
                <c:pt idx="33">
                  <c:v>228.13627062302362</c:v>
                </c:pt>
                <c:pt idx="34">
                  <c:v>236.65303049357703</c:v>
                </c:pt>
                <c:pt idx="35">
                  <c:v>245.16280311155117</c:v>
                </c:pt>
                <c:pt idx="36">
                  <c:v>253.6658654691397</c:v>
                </c:pt>
                <c:pt idx="37">
                  <c:v>262.16247445220984</c:v>
                </c:pt>
                <c:pt idx="38">
                  <c:v>270.65286891847933</c:v>
                </c:pt>
                <c:pt idx="39">
                  <c:v>279.13727150103415</c:v>
                </c:pt>
                <c:pt idx="40">
                  <c:v>287.6158901809053</c:v>
                </c:pt>
                <c:pt idx="41">
                  <c:v>300.10543474926379</c:v>
                </c:pt>
                <c:pt idx="42">
                  <c:v>312.58340603127607</c:v>
                </c:pt>
                <c:pt idx="43">
                  <c:v>325.0503312444684</c:v>
                </c:pt>
                <c:pt idx="44">
                  <c:v>337.5066938504965</c:v>
                </c:pt>
                <c:pt idx="45">
                  <c:v>349.95293870185941</c:v>
                </c:pt>
                <c:pt idx="46">
                  <c:v>362.38947641790793</c:v>
                </c:pt>
                <c:pt idx="47">
                  <c:v>374.81668712858846</c:v>
                </c:pt>
                <c:pt idx="48">
                  <c:v>387.23492369563292</c:v>
                </c:pt>
                <c:pt idx="49">
                  <c:v>399.6445144988989</c:v>
                </c:pt>
                <c:pt idx="50">
                  <c:v>412.04576585851208</c:v>
                </c:pt>
                <c:pt idx="51">
                  <c:v>424.43896415017292</c:v>
                </c:pt>
                <c:pt idx="52">
                  <c:v>252.71704371333502</c:v>
                </c:pt>
                <c:pt idx="53">
                  <c:v>263.43320731240277</c:v>
                </c:pt>
                <c:pt idx="54">
                  <c:v>276.69288332149023</c:v>
                </c:pt>
                <c:pt idx="55">
                  <c:v>289.93829701815662</c:v>
                </c:pt>
                <c:pt idx="56">
                  <c:v>303.17019189887657</c:v>
                </c:pt>
                <c:pt idx="57">
                  <c:v>316.38924124003137</c:v>
                </c:pt>
                <c:pt idx="58">
                  <c:v>329.59605744901506</c:v>
                </c:pt>
                <c:pt idx="59">
                  <c:v>342.79119983747273</c:v>
                </c:pt>
                <c:pt idx="60">
                  <c:v>355.97518113463758</c:v>
                </c:pt>
                <c:pt idx="61">
                  <c:v>369.14847298502372</c:v>
                </c:pt>
                <c:pt idx="62">
                  <c:v>285.34825454721033</c:v>
                </c:pt>
                <c:pt idx="63">
                  <c:v>294.66892404003437</c:v>
                </c:pt>
                <c:pt idx="64">
                  <c:v>303.98301667131955</c:v>
                </c:pt>
                <c:pt idx="65">
                  <c:v>313.29076251982451</c:v>
                </c:pt>
                <c:pt idx="66">
                  <c:v>322.59237686725618</c:v>
                </c:pt>
                <c:pt idx="67">
                  <c:v>331.8880615584219</c:v>
                </c:pt>
                <c:pt idx="68">
                  <c:v>341.17800620095005</c:v>
                </c:pt>
                <c:pt idx="69">
                  <c:v>350.46238922744288</c:v>
                </c:pt>
                <c:pt idx="70">
                  <c:v>359.74137883914204</c:v>
                </c:pt>
                <c:pt idx="71">
                  <c:v>369.01513384710148</c:v>
                </c:pt>
                <c:pt idx="72">
                  <c:v>378.28380442435167</c:v>
                </c:pt>
                <c:pt idx="73">
                  <c:v>387.54753278046707</c:v>
                </c:pt>
                <c:pt idx="74">
                  <c:v>324.37629966034973</c:v>
                </c:pt>
                <c:pt idx="75">
                  <c:v>334.38302369365579</c:v>
                </c:pt>
                <c:pt idx="76">
                  <c:v>344.38315064550875</c:v>
                </c:pt>
                <c:pt idx="77">
                  <c:v>354.37689918779262</c:v>
                </c:pt>
                <c:pt idx="78">
                  <c:v>364.36447464606204</c:v>
                </c:pt>
                <c:pt idx="79">
                  <c:v>374.34607016552582</c:v>
                </c:pt>
                <c:pt idx="80">
                  <c:v>384.32186774613405</c:v>
                </c:pt>
                <c:pt idx="81">
                  <c:v>394.2920391645489</c:v>
                </c:pt>
                <c:pt idx="82">
                  <c:v>404.25674679796879</c:v>
                </c:pt>
                <c:pt idx="83">
                  <c:v>414.21614436246546</c:v>
                </c:pt>
                <c:pt idx="84">
                  <c:v>424.17037757659051</c:v>
                </c:pt>
                <c:pt idx="85">
                  <c:v>361.12446840006743</c:v>
                </c:pt>
                <c:pt idx="86">
                  <c:v>473.15413884394343</c:v>
                </c:pt>
                <c:pt idx="87">
                  <c:v>384.20822113320304</c:v>
                </c:pt>
                <c:pt idx="88">
                  <c:v>385.57392598327442</c:v>
                </c:pt>
                <c:pt idx="89">
                  <c:v>386.93952572628683</c:v>
                </c:pt>
                <c:pt idx="90">
                  <c:v>388.30502078620412</c:v>
                </c:pt>
                <c:pt idx="91">
                  <c:v>389.67041158376031</c:v>
                </c:pt>
                <c:pt idx="92">
                  <c:v>391.03569853649492</c:v>
                </c:pt>
                <c:pt idx="93">
                  <c:v>392.4008820587888</c:v>
                </c:pt>
                <c:pt idx="94">
                  <c:v>393.76596256189993</c:v>
                </c:pt>
                <c:pt idx="95">
                  <c:v>395.13094045399657</c:v>
                </c:pt>
                <c:pt idx="96">
                  <c:v>396.49581614019235</c:v>
                </c:pt>
                <c:pt idx="97">
                  <c:v>397.86059002257974</c:v>
                </c:pt>
                <c:pt idx="98">
                  <c:v>503.02701768929614</c:v>
                </c:pt>
                <c:pt idx="99">
                  <c:v>417.09428199515764</c:v>
                </c:pt>
                <c:pt idx="100">
                  <c:v>418.54513074953911</c:v>
                </c:pt>
                <c:pt idx="101">
                  <c:v>419.99587111830505</c:v>
                </c:pt>
                <c:pt idx="102">
                  <c:v>421.44650352926868</c:v>
                </c:pt>
                <c:pt idx="103">
                  <c:v>422.89702840705382</c:v>
                </c:pt>
                <c:pt idx="104">
                  <c:v>424.34744617312873</c:v>
                </c:pt>
                <c:pt idx="105">
                  <c:v>425.79775724584124</c:v>
                </c:pt>
                <c:pt idx="106">
                  <c:v>427.24796204045242</c:v>
                </c:pt>
                <c:pt idx="107">
                  <c:v>428.69806096917006</c:v>
                </c:pt>
                <c:pt idx="108">
                  <c:v>430.14805444118139</c:v>
                </c:pt>
                <c:pt idx="109">
                  <c:v>528.49630303527999</c:v>
                </c:pt>
                <c:pt idx="110">
                  <c:v>454.17031803082301</c:v>
                </c:pt>
                <c:pt idx="111">
                  <c:v>461.94457197432047</c:v>
                </c:pt>
                <c:pt idx="112">
                  <c:v>469.71603457400374</c:v>
                </c:pt>
                <c:pt idx="113">
                  <c:v>477.48475854673933</c:v>
                </c:pt>
                <c:pt idx="114">
                  <c:v>485.25079475331069</c:v>
                </c:pt>
                <c:pt idx="115">
                  <c:v>493.01419229307686</c:v>
                </c:pt>
                <c:pt idx="116">
                  <c:v>500.77499859235445</c:v>
                </c:pt>
                <c:pt idx="117">
                  <c:v>508.53325948703565</c:v>
                </c:pt>
                <c:pt idx="118">
                  <c:v>516.28901929990104</c:v>
                </c:pt>
                <c:pt idx="119">
                  <c:v>524.04232091304459</c:v>
                </c:pt>
                <c:pt idx="120">
                  <c:v>531.79320583578794</c:v>
                </c:pt>
                <c:pt idx="121">
                  <c:v>544.98644157199544</c:v>
                </c:pt>
                <c:pt idx="122">
                  <c:v>287.88677558805261</c:v>
                </c:pt>
                <c:pt idx="123">
                  <c:v>296.42847582858366</c:v>
                </c:pt>
                <c:pt idx="124">
                  <c:v>304.9646884541342</c:v>
                </c:pt>
                <c:pt idx="125">
                  <c:v>313.49558886091171</c:v>
                </c:pt>
                <c:pt idx="126">
                  <c:v>322.02134211207596</c:v>
                </c:pt>
                <c:pt idx="127">
                  <c:v>330.54210380994283</c:v>
                </c:pt>
                <c:pt idx="128">
                  <c:v>339.05802087349701</c:v>
                </c:pt>
                <c:pt idx="129">
                  <c:v>347.56923223366266</c:v>
                </c:pt>
                <c:pt idx="130">
                  <c:v>356.07586945687609</c:v>
                </c:pt>
                <c:pt idx="131">
                  <c:v>364.57805730592491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vérification!$C$6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5C9-4A71-BA1D-3592B0F3DB1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5C9-4A71-BA1D-3592B0F3DB1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5C9-4A71-BA1D-3592B0F3DB1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5C9-4A71-BA1D-3592B0F3DB1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5C9-4A71-BA1D-3592B0F3DB1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95C9-4A71-BA1D-3592B0F3DB1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95C9-4A71-BA1D-3592B0F3DB18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F-95C9-4A71-BA1D-3592B0F3DB18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1-95C9-4A71-BA1D-3592B0F3DB1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Ref>
              <c:f>vérification!$D$5:$L$5</c:f>
              <c:numCache>
                <c:formatCode>General</c:formatCode>
                <c:ptCount val="9"/>
              </c:numCache>
            </c:numRef>
          </c:cat>
          <c:val>
            <c:numRef>
              <c:f>vérification!$D$6:$L$6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0-2028-42E2-A353-9C643656EFD9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2.1827412805591249</c:v>
                </c:pt>
                <c:pt idx="2">
                  <c:v>3.072752466359074</c:v>
                </c:pt>
                <c:pt idx="3">
                  <c:v>4.3272468407963478</c:v>
                </c:pt>
                <c:pt idx="4">
                  <c:v>6.0960991203634167</c:v>
                </c:pt>
                <c:pt idx="5">
                  <c:v>8.5910457829428761</c:v>
                </c:pt>
                <c:pt idx="6">
                  <c:v>12.111308120410888</c:v>
                </c:pt>
                <c:pt idx="7">
                  <c:v>17.079862262962827</c:v>
                </c:pt>
                <c:pt idx="8">
                  <c:v>24.094793106242644</c:v>
                </c:pt>
                <c:pt idx="9">
                  <c:v>34.002022945399325</c:v>
                </c:pt>
                <c:pt idx="10">
                  <c:v>47.998335925397946</c:v>
                </c:pt>
                <c:pt idx="11">
                  <c:v>67.777352025416505</c:v>
                </c:pt>
                <c:pt idx="12">
                  <c:v>95.736402105530317</c:v>
                </c:pt>
                <c:pt idx="13">
                  <c:v>135.26977619819337</c:v>
                </c:pt>
                <c:pt idx="14">
                  <c:v>122.99225398355058</c:v>
                </c:pt>
                <c:pt idx="15">
                  <c:v>147.26006612469442</c:v>
                </c:pt>
                <c:pt idx="16">
                  <c:v>171.43215609711328</c:v>
                </c:pt>
                <c:pt idx="17">
                  <c:v>195.52394332084884</c:v>
                </c:pt>
                <c:pt idx="18">
                  <c:v>219.54672196983498</c:v>
                </c:pt>
                <c:pt idx="19">
                  <c:v>190.86670891760676</c:v>
                </c:pt>
                <c:pt idx="20">
                  <c:v>213.86965334974411</c:v>
                </c:pt>
                <c:pt idx="21">
                  <c:v>236.81560804160597</c:v>
                </c:pt>
                <c:pt idx="22">
                  <c:v>259.71087111615634</c:v>
                </c:pt>
                <c:pt idx="23">
                  <c:v>282.56053853494797</c:v>
                </c:pt>
                <c:pt idx="24">
                  <c:v>235.19675671623455</c:v>
                </c:pt>
                <c:pt idx="25">
                  <c:v>254.68019125492972</c:v>
                </c:pt>
                <c:pt idx="26">
                  <c:v>274.129893403339</c:v>
                </c:pt>
                <c:pt idx="27">
                  <c:v>293.54859261186851</c:v>
                </c:pt>
                <c:pt idx="28">
                  <c:v>312.93862766627666</c:v>
                </c:pt>
                <c:pt idx="29">
                  <c:v>332.30202385642195</c:v>
                </c:pt>
                <c:pt idx="30">
                  <c:v>351.64055120002314</c:v>
                </c:pt>
                <c:pt idx="31">
                  <c:v>369.4987981688775</c:v>
                </c:pt>
                <c:pt idx="32">
                  <c:v>387.33822121677053</c:v>
                </c:pt>
                <c:pt idx="33">
                  <c:v>405.15980898705612</c:v>
                </c:pt>
                <c:pt idx="34">
                  <c:v>422.96445608157745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1000125</xdr:colOff>
      <xdr:row>12</xdr:row>
      <xdr:rowOff>42862</xdr:rowOff>
    </xdr:from>
    <xdr:to>
      <xdr:col>9</xdr:col>
      <xdr:colOff>0</xdr:colOff>
      <xdr:row>26</xdr:row>
      <xdr:rowOff>119062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EA82C06F-E780-42D4-83B8-05B594BCD04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312" t="s">
        <v>291</v>
      </c>
      <c r="C12" s="312"/>
      <c r="D12" s="312"/>
      <c r="E12" s="312"/>
      <c r="F12" s="312"/>
      <c r="G12" s="312"/>
      <c r="H12" s="312"/>
      <c r="I12" s="312"/>
      <c r="J12" s="312"/>
      <c r="K12" s="312"/>
      <c r="L12" s="312"/>
      <c r="M12" s="312"/>
    </row>
    <row r="13" spans="2:13" ht="15" customHeight="1" x14ac:dyDescent="0.25">
      <c r="B13" s="312"/>
      <c r="C13" s="312"/>
      <c r="D13" s="312"/>
      <c r="E13" s="312"/>
      <c r="F13" s="312"/>
      <c r="G13" s="312"/>
      <c r="H13" s="312"/>
      <c r="I13" s="312"/>
      <c r="J13" s="312"/>
      <c r="K13" s="312"/>
      <c r="L13" s="312"/>
      <c r="M13" s="312"/>
    </row>
    <row r="14" spans="2:13" ht="15" customHeight="1" x14ac:dyDescent="0.25">
      <c r="B14" s="312"/>
      <c r="C14" s="312"/>
      <c r="D14" s="312"/>
      <c r="E14" s="312"/>
      <c r="F14" s="312"/>
      <c r="G14" s="312"/>
      <c r="H14" s="312"/>
      <c r="I14" s="312"/>
      <c r="J14" s="312"/>
      <c r="K14" s="312"/>
      <c r="L14" s="312"/>
      <c r="M14" s="312"/>
    </row>
    <row r="15" spans="2:13" ht="18.75" customHeight="1" x14ac:dyDescent="0.25">
      <c r="B15" s="312"/>
      <c r="C15" s="312"/>
      <c r="D15" s="312"/>
      <c r="E15" s="312"/>
      <c r="F15" s="312"/>
      <c r="G15" s="312"/>
      <c r="H15" s="312"/>
      <c r="I15" s="312"/>
      <c r="J15" s="312"/>
      <c r="K15" s="312"/>
      <c r="L15" s="312"/>
      <c r="M15" s="312"/>
    </row>
    <row r="16" spans="2:13" ht="18.75" customHeight="1" x14ac:dyDescent="0.25">
      <c r="B16" s="312"/>
      <c r="C16" s="312"/>
      <c r="D16" s="312"/>
      <c r="E16" s="312"/>
      <c r="F16" s="312"/>
      <c r="G16" s="312"/>
      <c r="H16" s="312"/>
      <c r="I16" s="312"/>
      <c r="J16" s="312"/>
      <c r="K16" s="312"/>
      <c r="L16" s="312"/>
      <c r="M16" s="312"/>
    </row>
    <row r="18" spans="2:13" ht="12" customHeight="1" x14ac:dyDescent="0.25">
      <c r="B18" s="312" t="s">
        <v>292</v>
      </c>
      <c r="C18" s="312"/>
      <c r="D18" s="312"/>
      <c r="E18" s="312"/>
      <c r="F18" s="312"/>
      <c r="G18" s="312"/>
      <c r="H18" s="312"/>
      <c r="I18" s="312"/>
      <c r="J18" s="312"/>
      <c r="K18" s="312"/>
      <c r="L18" s="312"/>
      <c r="M18" s="312"/>
    </row>
    <row r="19" spans="2:13" ht="12" customHeight="1" x14ac:dyDescent="0.25">
      <c r="B19" s="312"/>
      <c r="C19" s="312"/>
      <c r="D19" s="312"/>
      <c r="E19" s="312"/>
      <c r="F19" s="312"/>
      <c r="G19" s="312"/>
      <c r="H19" s="312"/>
      <c r="I19" s="312"/>
      <c r="J19" s="312"/>
      <c r="K19" s="312"/>
      <c r="L19" s="312"/>
      <c r="M19" s="312"/>
    </row>
    <row r="20" spans="2:13" ht="12" customHeight="1" x14ac:dyDescent="0.25">
      <c r="B20" s="312"/>
      <c r="C20" s="312"/>
      <c r="D20" s="312"/>
      <c r="E20" s="312"/>
      <c r="F20" s="312"/>
      <c r="G20" s="312"/>
      <c r="H20" s="312"/>
      <c r="I20" s="312"/>
      <c r="J20" s="312"/>
      <c r="K20" s="312"/>
      <c r="L20" s="312"/>
      <c r="M20" s="312"/>
    </row>
    <row r="21" spans="2:13" ht="12" customHeight="1" x14ac:dyDescent="0.25">
      <c r="B21" s="312"/>
      <c r="C21" s="312"/>
      <c r="D21" s="312"/>
      <c r="E21" s="312"/>
      <c r="F21" s="312"/>
      <c r="G21" s="312"/>
      <c r="H21" s="312"/>
      <c r="I21" s="312"/>
      <c r="J21" s="312"/>
      <c r="K21" s="312"/>
      <c r="L21" s="312"/>
      <c r="M21" s="312"/>
    </row>
    <row r="22" spans="2:13" ht="12" customHeight="1" x14ac:dyDescent="0.25">
      <c r="B22" s="312"/>
      <c r="C22" s="312"/>
      <c r="D22" s="312"/>
      <c r="E22" s="312"/>
      <c r="F22" s="312"/>
      <c r="G22" s="312"/>
      <c r="H22" s="312"/>
      <c r="I22" s="312"/>
      <c r="J22" s="312"/>
      <c r="K22" s="312"/>
      <c r="L22" s="312"/>
      <c r="M22" s="312"/>
    </row>
    <row r="23" spans="2:13" ht="12" customHeight="1" x14ac:dyDescent="0.25">
      <c r="B23" s="312"/>
      <c r="C23" s="312"/>
      <c r="D23" s="312"/>
      <c r="E23" s="312"/>
      <c r="F23" s="312"/>
      <c r="G23" s="312"/>
      <c r="H23" s="312"/>
      <c r="I23" s="312"/>
      <c r="J23" s="312"/>
      <c r="K23" s="312"/>
      <c r="L23" s="312"/>
      <c r="M23" s="312"/>
    </row>
    <row r="24" spans="2:13" ht="12" customHeight="1" x14ac:dyDescent="0.25">
      <c r="B24" s="312"/>
      <c r="C24" s="312"/>
      <c r="D24" s="312"/>
      <c r="E24" s="312"/>
      <c r="F24" s="312"/>
      <c r="G24" s="312"/>
      <c r="H24" s="312"/>
      <c r="I24" s="312"/>
      <c r="J24" s="312"/>
      <c r="K24" s="312"/>
      <c r="L24" s="312"/>
      <c r="M24" s="312"/>
    </row>
    <row r="25" spans="2:13" ht="12" customHeight="1" x14ac:dyDescent="0.25">
      <c r="B25" s="312"/>
      <c r="C25" s="312"/>
      <c r="D25" s="312"/>
      <c r="E25" s="312"/>
      <c r="F25" s="312"/>
      <c r="G25" s="312"/>
      <c r="H25" s="312"/>
      <c r="I25" s="312"/>
      <c r="J25" s="312"/>
      <c r="K25" s="312"/>
      <c r="L25" s="312"/>
      <c r="M25" s="312"/>
    </row>
    <row r="26" spans="2:13" ht="12" customHeight="1" x14ac:dyDescent="0.25">
      <c r="B26" s="312"/>
      <c r="C26" s="312"/>
      <c r="D26" s="312"/>
      <c r="E26" s="312"/>
      <c r="F26" s="312"/>
      <c r="G26" s="312"/>
      <c r="H26" s="312"/>
      <c r="I26" s="312"/>
      <c r="J26" s="312"/>
      <c r="K26" s="312"/>
      <c r="L26" s="312"/>
      <c r="M26" s="312"/>
    </row>
    <row r="27" spans="2:13" ht="12" customHeight="1" x14ac:dyDescent="0.25">
      <c r="B27" s="312"/>
      <c r="C27" s="312"/>
      <c r="D27" s="312"/>
      <c r="E27" s="312"/>
      <c r="F27" s="312"/>
      <c r="G27" s="312"/>
      <c r="H27" s="312"/>
      <c r="I27" s="312"/>
      <c r="J27" s="312"/>
      <c r="K27" s="312"/>
      <c r="L27" s="312"/>
      <c r="M27" s="312"/>
    </row>
    <row r="28" spans="2:13" ht="12" customHeight="1" x14ac:dyDescent="0.25">
      <c r="B28" s="312"/>
      <c r="C28" s="312"/>
      <c r="D28" s="312"/>
      <c r="E28" s="312"/>
      <c r="F28" s="312"/>
      <c r="G28" s="312"/>
      <c r="H28" s="312"/>
      <c r="I28" s="312"/>
      <c r="J28" s="312"/>
      <c r="K28" s="312"/>
      <c r="L28" s="312"/>
      <c r="M28" s="312"/>
    </row>
    <row r="29" spans="2:13" ht="12" customHeight="1" x14ac:dyDescent="0.25">
      <c r="B29" s="312"/>
      <c r="C29" s="312"/>
      <c r="D29" s="312"/>
      <c r="E29" s="312"/>
      <c r="F29" s="312"/>
      <c r="G29" s="312"/>
      <c r="H29" s="312"/>
      <c r="I29" s="312"/>
      <c r="J29" s="312"/>
      <c r="K29" s="312"/>
      <c r="L29" s="312"/>
      <c r="M29" s="312"/>
    </row>
    <row r="30" spans="2:13" ht="12" customHeight="1" x14ac:dyDescent="0.25">
      <c r="B30" s="312"/>
      <c r="C30" s="312"/>
      <c r="D30" s="312"/>
      <c r="E30" s="312"/>
      <c r="F30" s="312"/>
      <c r="G30" s="312"/>
      <c r="H30" s="312"/>
      <c r="I30" s="312"/>
      <c r="J30" s="312"/>
      <c r="K30" s="312"/>
      <c r="L30" s="312"/>
      <c r="M30" s="312"/>
    </row>
    <row r="31" spans="2:13" ht="12" customHeight="1" x14ac:dyDescent="0.25">
      <c r="B31" s="312"/>
      <c r="C31" s="312"/>
      <c r="D31" s="312"/>
      <c r="E31" s="312"/>
      <c r="F31" s="312"/>
      <c r="G31" s="312"/>
      <c r="H31" s="312"/>
      <c r="I31" s="312"/>
      <c r="J31" s="312"/>
      <c r="K31" s="312"/>
      <c r="L31" s="312"/>
      <c r="M31" s="31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4" zoomScale="90" zoomScaleNormal="90" workbookViewId="0">
      <selection activeCell="E17" sqref="E17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313" t="s">
        <v>190</v>
      </c>
      <c r="D1" s="313"/>
      <c r="E1" s="31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318" t="s">
        <v>192</v>
      </c>
      <c r="C3" s="319"/>
      <c r="D3" s="319"/>
      <c r="E3" s="319"/>
      <c r="F3" s="32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24" t="s">
        <v>231</v>
      </c>
      <c r="B5" s="324"/>
      <c r="C5" s="26">
        <v>3.2</v>
      </c>
      <c r="D5" s="325" t="s">
        <v>229</v>
      </c>
      <c r="E5" s="32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22" t="s">
        <v>226</v>
      </c>
      <c r="B7" s="32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164</v>
      </c>
      <c r="C9" s="35">
        <v>0.5</v>
      </c>
      <c r="D9" s="36">
        <f t="shared" ref="D9:D18" si="0">C9*$C$5</f>
        <v>1.6</v>
      </c>
      <c r="E9" s="37">
        <v>131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36</v>
      </c>
      <c r="C10" s="35">
        <v>0.5</v>
      </c>
      <c r="D10" s="36">
        <f t="shared" si="0"/>
        <v>1.6</v>
      </c>
      <c r="E10" s="37">
        <v>34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3.2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21" t="s">
        <v>232</v>
      </c>
      <c r="B22" s="32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23" t="s">
        <v>227</v>
      </c>
      <c r="B30" s="32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Cèdre de l'Atlas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314" t="s">
        <v>186</v>
      </c>
      <c r="D34" s="314"/>
      <c r="E34" s="315" t="s">
        <v>187</v>
      </c>
      <c r="F34" s="316"/>
      <c r="G34" s="316"/>
      <c r="H34" s="31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30</v>
      </c>
      <c r="B36" s="63">
        <v>195.28</v>
      </c>
      <c r="C36" s="63">
        <v>1</v>
      </c>
      <c r="D36" s="63">
        <v>0</v>
      </c>
      <c r="E36" s="54"/>
      <c r="F36" s="54"/>
      <c r="G36" s="54"/>
      <c r="H36" s="54"/>
      <c r="I36" s="52">
        <f>IFERROR(B36/A36,"")</f>
        <v>6.5093333333333332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40</v>
      </c>
      <c r="B37" s="63">
        <v>279.76</v>
      </c>
      <c r="C37" s="63">
        <v>2</v>
      </c>
      <c r="D37" s="63">
        <v>0</v>
      </c>
      <c r="E37" s="54"/>
      <c r="F37" s="54"/>
      <c r="G37" s="54"/>
      <c r="H37" s="54"/>
      <c r="I37" s="56">
        <f t="shared" ref="I37:I55" si="1">IF(A37&lt;&gt;0,(B37-(B36-D36))/(A37-A36),"")</f>
        <v>8.4479999999999986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51</v>
      </c>
      <c r="B38" s="63">
        <v>416.76</v>
      </c>
      <c r="C38" s="63">
        <v>3</v>
      </c>
      <c r="D38" s="63">
        <v>182.39</v>
      </c>
      <c r="E38" s="54"/>
      <c r="F38" s="54"/>
      <c r="G38" s="54"/>
      <c r="H38" s="54"/>
      <c r="I38" s="56">
        <f t="shared" si="1"/>
        <v>12.454545454545455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53</v>
      </c>
      <c r="B39" s="63">
        <v>255.68</v>
      </c>
      <c r="C39" s="63">
        <v>4</v>
      </c>
      <c r="D39" s="63">
        <v>0</v>
      </c>
      <c r="E39" s="54"/>
      <c r="F39" s="54"/>
      <c r="G39" s="54"/>
      <c r="H39" s="54"/>
      <c r="I39" s="52">
        <f t="shared" si="1"/>
        <v>10.655000000000001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61</v>
      </c>
      <c r="B40" s="63">
        <v>361.26</v>
      </c>
      <c r="C40" s="63">
        <v>5</v>
      </c>
      <c r="D40" s="63">
        <v>100.16</v>
      </c>
      <c r="E40" s="54"/>
      <c r="F40" s="54"/>
      <c r="G40" s="54"/>
      <c r="H40" s="54"/>
      <c r="I40" s="52">
        <f t="shared" si="1"/>
        <v>13.197499999999998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62</v>
      </c>
      <c r="B41" s="63">
        <v>277.5</v>
      </c>
      <c r="C41" s="63">
        <v>6</v>
      </c>
      <c r="D41" s="63">
        <v>0</v>
      </c>
      <c r="E41" s="54"/>
      <c r="F41" s="54"/>
      <c r="G41" s="54"/>
      <c r="H41" s="54"/>
      <c r="I41" s="56">
        <f t="shared" si="1"/>
        <v>16.399999999999977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73</v>
      </c>
      <c r="B42" s="63">
        <v>379.71</v>
      </c>
      <c r="C42" s="63">
        <v>7</v>
      </c>
      <c r="D42" s="63">
        <v>79.39</v>
      </c>
      <c r="E42" s="54"/>
      <c r="F42" s="54"/>
      <c r="G42" s="54"/>
      <c r="H42" s="54"/>
      <c r="I42" s="56">
        <f t="shared" si="1"/>
        <v>9.2918181818181793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74</v>
      </c>
      <c r="B43" s="63">
        <v>316.45</v>
      </c>
      <c r="C43" s="63">
        <v>8</v>
      </c>
      <c r="D43" s="63">
        <v>0</v>
      </c>
      <c r="E43" s="54"/>
      <c r="F43" s="54"/>
      <c r="G43" s="54"/>
      <c r="H43" s="54"/>
      <c r="I43" s="52">
        <f t="shared" si="1"/>
        <v>16.129999999999995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84</v>
      </c>
      <c r="B44" s="63">
        <v>416.49</v>
      </c>
      <c r="C44" s="63">
        <v>9</v>
      </c>
      <c r="D44" s="63">
        <v>79.099999999999994</v>
      </c>
      <c r="E44" s="54"/>
      <c r="F44" s="54"/>
      <c r="G44" s="54"/>
      <c r="H44" s="54"/>
      <c r="I44" s="52">
        <f t="shared" si="1"/>
        <v>10.004000000000001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>
        <v>85</v>
      </c>
      <c r="B45" s="63">
        <v>353.22</v>
      </c>
      <c r="C45" s="63">
        <v>10</v>
      </c>
      <c r="D45" s="63">
        <v>0</v>
      </c>
      <c r="E45" s="54"/>
      <c r="F45" s="54"/>
      <c r="G45" s="54"/>
      <c r="H45" s="54"/>
      <c r="I45" s="52">
        <f t="shared" si="1"/>
        <v>15.830000000000041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>
        <v>86</v>
      </c>
      <c r="B46" s="63">
        <v>465.79</v>
      </c>
      <c r="C46" s="63">
        <v>11</v>
      </c>
      <c r="D46" s="63">
        <v>90.8</v>
      </c>
      <c r="E46" s="54"/>
      <c r="F46" s="54"/>
      <c r="G46" s="54"/>
      <c r="H46" s="54"/>
      <c r="I46" s="52">
        <f t="shared" si="1"/>
        <v>112.57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>
        <v>97</v>
      </c>
      <c r="B47" s="63">
        <v>390.06</v>
      </c>
      <c r="C47" s="63">
        <v>12</v>
      </c>
      <c r="D47" s="63">
        <v>0</v>
      </c>
      <c r="E47" s="54"/>
      <c r="F47" s="54"/>
      <c r="G47" s="54"/>
      <c r="H47" s="54"/>
      <c r="I47" s="52">
        <f t="shared" si="1"/>
        <v>1.3699999999999994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>
        <v>98</v>
      </c>
      <c r="B48" s="63">
        <v>495.91</v>
      </c>
      <c r="C48" s="63">
        <v>13</v>
      </c>
      <c r="D48" s="63">
        <v>87.99</v>
      </c>
      <c r="E48" s="54"/>
      <c r="F48" s="54"/>
      <c r="G48" s="54"/>
      <c r="H48" s="54"/>
      <c r="I48" s="52">
        <f t="shared" si="1"/>
        <v>105.85000000000002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>
        <v>108</v>
      </c>
      <c r="B49" s="63">
        <v>422.5</v>
      </c>
      <c r="C49" s="63">
        <v>14</v>
      </c>
      <c r="D49" s="63">
        <v>0</v>
      </c>
      <c r="E49" s="54"/>
      <c r="F49" s="54"/>
      <c r="G49" s="54"/>
      <c r="H49" s="54"/>
      <c r="I49" s="52">
        <f t="shared" si="1"/>
        <v>1.4579999999999984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>
        <v>109</v>
      </c>
      <c r="B50" s="53">
        <v>521.62</v>
      </c>
      <c r="C50" s="53">
        <v>15</v>
      </c>
      <c r="D50" s="53">
        <v>88.62</v>
      </c>
      <c r="E50" s="54"/>
      <c r="F50" s="54"/>
      <c r="G50" s="54"/>
      <c r="H50" s="54"/>
      <c r="I50" s="52">
        <f t="shared" si="1"/>
        <v>99.12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>
        <v>110</v>
      </c>
      <c r="B51" s="53">
        <v>446.67</v>
      </c>
      <c r="C51" s="53">
        <v>16</v>
      </c>
      <c r="D51" s="53">
        <v>0</v>
      </c>
      <c r="E51" s="54"/>
      <c r="F51" s="54"/>
      <c r="G51" s="54"/>
      <c r="H51" s="54"/>
      <c r="I51" s="52">
        <f t="shared" si="1"/>
        <v>13.670000000000016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>
        <v>120</v>
      </c>
      <c r="B52" s="53">
        <v>524.95000000000005</v>
      </c>
      <c r="C52" s="53">
        <v>17</v>
      </c>
      <c r="D52" s="53">
        <v>0</v>
      </c>
      <c r="E52" s="54"/>
      <c r="F52" s="54"/>
      <c r="G52" s="54"/>
      <c r="H52" s="54"/>
      <c r="I52" s="52">
        <f t="shared" si="1"/>
        <v>7.828000000000003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>
        <v>121</v>
      </c>
      <c r="B53" s="53">
        <v>538.28</v>
      </c>
      <c r="C53" s="53">
        <v>18</v>
      </c>
      <c r="D53" s="53">
        <v>268.81</v>
      </c>
      <c r="E53" s="54"/>
      <c r="F53" s="54"/>
      <c r="G53" s="54"/>
      <c r="H53" s="54"/>
      <c r="I53" s="52">
        <f t="shared" si="1"/>
        <v>13.329999999999927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>
        <v>122</v>
      </c>
      <c r="B54" s="53">
        <v>280.02999999999997</v>
      </c>
      <c r="C54" s="53">
        <v>19</v>
      </c>
      <c r="D54" s="53">
        <v>0</v>
      </c>
      <c r="E54" s="54"/>
      <c r="F54" s="54"/>
      <c r="G54" s="54"/>
      <c r="H54" s="54"/>
      <c r="I54" s="52">
        <f t="shared" si="1"/>
        <v>10.560000000000002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>
        <v>131</v>
      </c>
      <c r="B55" s="53">
        <v>356.68</v>
      </c>
      <c r="C55" s="53">
        <v>20</v>
      </c>
      <c r="D55" s="53">
        <v>356.68</v>
      </c>
      <c r="E55" s="54"/>
      <c r="F55" s="54"/>
      <c r="G55" s="54"/>
      <c r="H55" s="54"/>
      <c r="I55" s="52">
        <f t="shared" si="1"/>
        <v>8.516666666666671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Pin maritime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314" t="s">
        <v>186</v>
      </c>
      <c r="D60" s="314"/>
      <c r="E60" s="315" t="s">
        <v>187</v>
      </c>
      <c r="F60" s="316"/>
      <c r="G60" s="316"/>
      <c r="H60" s="31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13</v>
      </c>
      <c r="B62" s="63">
        <v>101</v>
      </c>
      <c r="C62" s="63">
        <v>1</v>
      </c>
      <c r="D62" s="63">
        <v>28</v>
      </c>
      <c r="E62" s="54"/>
      <c r="F62" s="54"/>
      <c r="G62" s="54">
        <v>1</v>
      </c>
      <c r="H62" s="54"/>
      <c r="I62" s="56">
        <f>IFERROR(B62/A62,"")</f>
        <v>7.7692307692307692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18</v>
      </c>
      <c r="B63" s="63">
        <v>166</v>
      </c>
      <c r="C63" s="63">
        <v>2</v>
      </c>
      <c r="D63" s="63">
        <v>40</v>
      </c>
      <c r="E63" s="54">
        <v>0.25</v>
      </c>
      <c r="F63" s="54"/>
      <c r="G63" s="54">
        <v>0.75</v>
      </c>
      <c r="H63" s="54"/>
      <c r="I63" s="52">
        <f>IF(A63&lt;&gt;0,(B63-(B62-D62))/(A63-A62),"")</f>
        <v>18.600000000000001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23</v>
      </c>
      <c r="B64" s="63">
        <v>215</v>
      </c>
      <c r="C64" s="63">
        <v>3</v>
      </c>
      <c r="D64" s="63">
        <v>52</v>
      </c>
      <c r="E64" s="54">
        <v>0.5</v>
      </c>
      <c r="F64" s="54"/>
      <c r="G64" s="54">
        <v>0.5</v>
      </c>
      <c r="H64" s="54"/>
      <c r="I64" s="52">
        <f>IF(A64&lt;&gt;0,(B64-(B63-D63))/(A64-A63),"")</f>
        <v>17.8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30</v>
      </c>
      <c r="B65" s="63">
        <v>269</v>
      </c>
      <c r="C65" s="63">
        <v>4</v>
      </c>
      <c r="D65" s="63">
        <v>0</v>
      </c>
      <c r="E65" s="54"/>
      <c r="F65" s="54"/>
      <c r="G65" s="54"/>
      <c r="H65" s="54"/>
      <c r="I65" s="52">
        <f>IF(A65&lt;&gt;0,(B65-(B64-D64))/(A65-A64),"")</f>
        <v>15.142857142857142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34</v>
      </c>
      <c r="B66" s="63">
        <v>325</v>
      </c>
      <c r="C66" s="63">
        <v>5</v>
      </c>
      <c r="D66" s="63">
        <v>325</v>
      </c>
      <c r="E66" s="54">
        <v>0.7</v>
      </c>
      <c r="F66" s="54"/>
      <c r="G66" s="54">
        <v>0.3</v>
      </c>
      <c r="H66" s="54"/>
      <c r="I66" s="52">
        <f t="shared" ref="I66:I81" si="2">IF(A66&lt;&gt;0,(B66-(B65-D65))/(A66-A65),"")</f>
        <v>14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314" t="s">
        <v>186</v>
      </c>
      <c r="D86" s="314"/>
      <c r="E86" s="315" t="s">
        <v>187</v>
      </c>
      <c r="F86" s="316"/>
      <c r="G86" s="316"/>
      <c r="H86" s="31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314" t="s">
        <v>186</v>
      </c>
      <c r="D112" s="314"/>
      <c r="E112" s="315" t="s">
        <v>187</v>
      </c>
      <c r="F112" s="316"/>
      <c r="G112" s="316"/>
      <c r="H112" s="31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314" t="s">
        <v>186</v>
      </c>
      <c r="D138" s="314"/>
      <c r="E138" s="315" t="s">
        <v>187</v>
      </c>
      <c r="F138" s="316"/>
      <c r="G138" s="316"/>
      <c r="H138" s="31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314" t="s">
        <v>186</v>
      </c>
      <c r="D164" s="314"/>
      <c r="E164" s="315" t="s">
        <v>187</v>
      </c>
      <c r="F164" s="316"/>
      <c r="G164" s="316"/>
      <c r="H164" s="31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314" t="s">
        <v>186</v>
      </c>
      <c r="D190" s="314"/>
      <c r="E190" s="315" t="s">
        <v>187</v>
      </c>
      <c r="F190" s="316"/>
      <c r="G190" s="316"/>
      <c r="H190" s="31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314" t="s">
        <v>186</v>
      </c>
      <c r="D216" s="314"/>
      <c r="E216" s="315" t="s">
        <v>187</v>
      </c>
      <c r="F216" s="316"/>
      <c r="G216" s="316"/>
      <c r="H216" s="31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314" t="s">
        <v>186</v>
      </c>
      <c r="D242" s="314"/>
      <c r="E242" s="315" t="s">
        <v>187</v>
      </c>
      <c r="F242" s="316"/>
      <c r="G242" s="316"/>
      <c r="H242" s="31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314" t="s">
        <v>186</v>
      </c>
      <c r="D268" s="314"/>
      <c r="E268" s="315" t="s">
        <v>187</v>
      </c>
      <c r="F268" s="316"/>
      <c r="G268" s="316"/>
      <c r="H268" s="31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30" t="s">
        <v>176</v>
      </c>
      <c r="C1" s="331"/>
      <c r="D1" s="331"/>
      <c r="E1" s="331"/>
      <c r="F1" s="331"/>
      <c r="G1" s="331"/>
      <c r="H1" s="332"/>
      <c r="I1" s="327" t="str">
        <f>IF('Données projet'!$B$9="","",'Données projet'!$B$9)</f>
        <v>Cèdre de l'Atlas</v>
      </c>
      <c r="J1" s="328"/>
      <c r="K1" s="328"/>
      <c r="L1" s="328"/>
      <c r="M1" s="328"/>
      <c r="N1" s="328"/>
      <c r="O1" s="328"/>
      <c r="P1" s="328"/>
      <c r="Q1" s="328"/>
      <c r="R1" s="328"/>
      <c r="S1" s="328"/>
      <c r="T1" s="328"/>
      <c r="U1" s="328"/>
      <c r="V1" s="328"/>
      <c r="W1" s="328"/>
      <c r="X1" s="328"/>
      <c r="Y1" s="328"/>
      <c r="Z1" s="328"/>
      <c r="AA1" s="328"/>
      <c r="AB1" s="328"/>
      <c r="AC1" s="329"/>
      <c r="AD1" s="328" t="str">
        <f>IF('Données projet'!$B$10="","",'Données projet'!$B$10)</f>
        <v>Pin maritime</v>
      </c>
      <c r="AE1" s="328"/>
      <c r="AF1" s="328"/>
      <c r="AG1" s="328"/>
      <c r="AH1" s="328"/>
      <c r="AI1" s="328"/>
      <c r="AJ1" s="328"/>
      <c r="AK1" s="328"/>
      <c r="AL1" s="328"/>
      <c r="AM1" s="328"/>
      <c r="AN1" s="328"/>
      <c r="AO1" s="328"/>
      <c r="AP1" s="328"/>
      <c r="AQ1" s="328"/>
      <c r="AR1" s="328"/>
      <c r="AS1" s="328"/>
      <c r="AT1" s="328"/>
      <c r="AU1" s="328"/>
      <c r="AV1" s="328"/>
      <c r="AW1" s="328"/>
      <c r="AX1" s="329"/>
      <c r="AY1" s="327" t="str">
        <f>IF('Données projet'!$B$11="","",'Données projet'!$B$11)</f>
        <v/>
      </c>
      <c r="AZ1" s="328"/>
      <c r="BA1" s="328"/>
      <c r="BB1" s="328"/>
      <c r="BC1" s="328"/>
      <c r="BD1" s="328"/>
      <c r="BE1" s="328"/>
      <c r="BF1" s="328"/>
      <c r="BG1" s="328"/>
      <c r="BH1" s="328"/>
      <c r="BI1" s="328"/>
      <c r="BJ1" s="328"/>
      <c r="BK1" s="328"/>
      <c r="BL1" s="328"/>
      <c r="BM1" s="328"/>
      <c r="BN1" s="328"/>
      <c r="BO1" s="328"/>
      <c r="BP1" s="328"/>
      <c r="BQ1" s="328"/>
      <c r="BR1" s="328"/>
      <c r="BS1" s="329"/>
      <c r="BT1" s="327" t="str">
        <f>IF('Données projet'!$B$12="","",'Données projet'!$B$12)</f>
        <v/>
      </c>
      <c r="BU1" s="328"/>
      <c r="BV1" s="328"/>
      <c r="BW1" s="328"/>
      <c r="BX1" s="328"/>
      <c r="BY1" s="328"/>
      <c r="BZ1" s="328"/>
      <c r="CA1" s="328"/>
      <c r="CB1" s="328"/>
      <c r="CC1" s="328"/>
      <c r="CD1" s="328"/>
      <c r="CE1" s="328"/>
      <c r="CF1" s="328"/>
      <c r="CG1" s="328"/>
      <c r="CH1" s="328"/>
      <c r="CI1" s="328"/>
      <c r="CJ1" s="328"/>
      <c r="CK1" s="328"/>
      <c r="CL1" s="328"/>
      <c r="CM1" s="328"/>
      <c r="CN1" s="329"/>
      <c r="CO1" s="327" t="str">
        <f>IF('Données projet'!$B$13="","",'Données projet'!$B$13)</f>
        <v/>
      </c>
      <c r="CP1" s="328"/>
      <c r="CQ1" s="328"/>
      <c r="CR1" s="328"/>
      <c r="CS1" s="328"/>
      <c r="CT1" s="328"/>
      <c r="CU1" s="328"/>
      <c r="CV1" s="328"/>
      <c r="CW1" s="328"/>
      <c r="CX1" s="328"/>
      <c r="CY1" s="328"/>
      <c r="CZ1" s="328"/>
      <c r="DA1" s="328"/>
      <c r="DB1" s="328"/>
      <c r="DC1" s="328"/>
      <c r="DD1" s="328"/>
      <c r="DE1" s="328"/>
      <c r="DF1" s="328"/>
      <c r="DG1" s="328"/>
      <c r="DH1" s="328"/>
      <c r="DI1" s="329"/>
      <c r="DJ1" s="327" t="str">
        <f>IF('Données projet'!$B$14="","",'Données projet'!$B$14)</f>
        <v/>
      </c>
      <c r="DK1" s="328"/>
      <c r="DL1" s="328"/>
      <c r="DM1" s="328"/>
      <c r="DN1" s="328"/>
      <c r="DO1" s="328"/>
      <c r="DP1" s="328"/>
      <c r="DQ1" s="328"/>
      <c r="DR1" s="328"/>
      <c r="DS1" s="328"/>
      <c r="DT1" s="328"/>
      <c r="DU1" s="328"/>
      <c r="DV1" s="328"/>
      <c r="DW1" s="328"/>
      <c r="DX1" s="328"/>
      <c r="DY1" s="328"/>
      <c r="DZ1" s="328"/>
      <c r="EA1" s="328"/>
      <c r="EB1" s="328"/>
      <c r="EC1" s="328"/>
      <c r="ED1" s="329"/>
      <c r="EE1" s="327" t="str">
        <f>IF('Données projet'!$B$15="","",'Données projet'!$B$15)</f>
        <v/>
      </c>
      <c r="EF1" s="328"/>
      <c r="EG1" s="328"/>
      <c r="EH1" s="328"/>
      <c r="EI1" s="328"/>
      <c r="EJ1" s="328"/>
      <c r="EK1" s="328"/>
      <c r="EL1" s="328"/>
      <c r="EM1" s="328"/>
      <c r="EN1" s="328"/>
      <c r="EO1" s="328"/>
      <c r="EP1" s="328"/>
      <c r="EQ1" s="328"/>
      <c r="ER1" s="328"/>
      <c r="ES1" s="328"/>
      <c r="ET1" s="328"/>
      <c r="EU1" s="328"/>
      <c r="EV1" s="328"/>
      <c r="EW1" s="328"/>
      <c r="EX1" s="328"/>
      <c r="EY1" s="329"/>
      <c r="EZ1" s="327" t="str">
        <f>IF('Données projet'!$B$16="","",'Données projet'!$B$16)</f>
        <v/>
      </c>
      <c r="FA1" s="328"/>
      <c r="FB1" s="328"/>
      <c r="FC1" s="328"/>
      <c r="FD1" s="328"/>
      <c r="FE1" s="328"/>
      <c r="FF1" s="328"/>
      <c r="FG1" s="328"/>
      <c r="FH1" s="328"/>
      <c r="FI1" s="328"/>
      <c r="FJ1" s="328"/>
      <c r="FK1" s="328"/>
      <c r="FL1" s="328"/>
      <c r="FM1" s="328"/>
      <c r="FN1" s="328"/>
      <c r="FO1" s="328"/>
      <c r="FP1" s="328"/>
      <c r="FQ1" s="328"/>
      <c r="FR1" s="328"/>
      <c r="FS1" s="328"/>
      <c r="FT1" s="329"/>
      <c r="FU1" s="327" t="str">
        <f>IF('Données projet'!$B$17="","",'Données projet'!$B$17)</f>
        <v/>
      </c>
      <c r="FV1" s="328"/>
      <c r="FW1" s="328"/>
      <c r="FX1" s="328"/>
      <c r="FY1" s="328"/>
      <c r="FZ1" s="328"/>
      <c r="GA1" s="328"/>
      <c r="GB1" s="328"/>
      <c r="GC1" s="328"/>
      <c r="GD1" s="328"/>
      <c r="GE1" s="328"/>
      <c r="GF1" s="328"/>
      <c r="GG1" s="328"/>
      <c r="GH1" s="328"/>
      <c r="GI1" s="328"/>
      <c r="GJ1" s="328"/>
      <c r="GK1" s="328"/>
      <c r="GL1" s="328"/>
      <c r="GM1" s="328"/>
      <c r="GN1" s="328"/>
      <c r="GO1" s="329"/>
      <c r="GP1" s="327" t="str">
        <f>IF('Données projet'!$B$18="","",'Données projet'!$B$18)</f>
        <v/>
      </c>
      <c r="GQ1" s="328"/>
      <c r="GR1" s="328"/>
      <c r="GS1" s="328"/>
      <c r="GT1" s="328"/>
      <c r="GU1" s="328"/>
      <c r="GV1" s="328"/>
      <c r="GW1" s="328"/>
      <c r="GX1" s="328"/>
      <c r="GY1" s="328"/>
      <c r="GZ1" s="328"/>
      <c r="HA1" s="328"/>
      <c r="HB1" s="328"/>
      <c r="HC1" s="328"/>
      <c r="HD1" s="328"/>
      <c r="HE1" s="328"/>
      <c r="HF1" s="328"/>
      <c r="HG1" s="328"/>
      <c r="HH1" s="328"/>
      <c r="HI1" s="328"/>
      <c r="HJ1" s="329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219.48219097225825</v>
      </c>
      <c r="T3" s="62">
        <f>IF('Données projet'!E9&gt;30,$R$33-$H$33,LOOKUP('Données projet'!$E$9,$A$3:$A$203,R3:R203)-LOOKUP('Données projet'!$E$9,$A$3:$A$203,$H$3:$H$203))</f>
        <v>168.03826591942982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155.60948448168716</v>
      </c>
      <c r="AO3" s="62">
        <f>IF('Données projet'!E10&gt;30,$AM$33-$H$33,LOOKUP('Données projet'!$E$10,$A$3:$A$203,AM3:AM203)-LOOKUP('Données projet'!$E$10,$A$3:$A$203,$H$3:$H$203))</f>
        <v>317.1378745393755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0.49400000000000005</v>
      </c>
      <c r="D4" s="12">
        <f>IFERROR(EXP(-1.0587+0.8836*LN(C4)+0.284),0)</f>
        <v>0.24713212124918574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5.7210198833270489</v>
      </c>
      <c r="H4" s="70">
        <f t="shared" ref="H4:H67" si="1">(B4+E4+F4)*44/12+(C4+D4)*0.475*44/12</f>
        <v>294.62413844450896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6.5093333333333332</v>
      </c>
      <c r="N4" s="14">
        <f>IF('Données projet'!$A$36&gt;35,N3+M4-V3,IF(A4&lt;'Données projet'!$A$36,$K$205^A4,IF(A4='Données projet'!$A$36,'Données projet'!$B$36,N3+M4-V3)))</f>
        <v>1.1922168590978506</v>
      </c>
      <c r="O4" s="14">
        <f>N4*VLOOKUP('Données projet'!$B$9,Paramètres!$A$1:$I$89,3,0)*VLOOKUP('Données projet'!$B$9,Paramètres!$A$1:$I$89,5,0)</f>
        <v>0.55795749005779405</v>
      </c>
      <c r="P4" s="14">
        <f>EXP(-1.0587+0.8836*LN(O4)+0.284)</f>
        <v>0.27520023941954863</v>
      </c>
      <c r="Q4" s="22">
        <f t="shared" ref="Q4:Q34" si="2">(O4+P4)*0.475*44/12</f>
        <v>1.4510830455063717</v>
      </c>
      <c r="R4" s="62">
        <f t="shared" si="0"/>
        <v>294.78441637883969</v>
      </c>
      <c r="S4" s="62">
        <f ca="1">AVERAGE(OFFSET($R$3,0,0,'Données projet'!$E$9+1,1))-AVERAGE(OFFSET($H$3,0,0,'Données projet'!$E$9+1,1))</f>
        <v>219.48219097225825</v>
      </c>
      <c r="T4" s="62">
        <f>$T$3</f>
        <v>168.03826591942982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7.7692307692307692</v>
      </c>
      <c r="AI4" s="14">
        <f>IF('Données projet'!$A$62&gt;35,AI3+AH4-AQ3,IF(A4&lt;'Données projet'!$A$62,$AF$205^A4,IF(A4='Données projet'!$A$62,'Données projet'!$B$62,AI3+AH4-AQ3)))</f>
        <v>1.4261938757879591</v>
      </c>
      <c r="AJ4" s="14">
        <f>AI4*VLOOKUP('Données projet'!$B$10,Paramètres!$A$1:$I$89,3,0)*VLOOKUP('Données projet'!$B$10,Paramètres!$A$1:$I$89,5,0)</f>
        <v>0.85286393772119951</v>
      </c>
      <c r="AK4" s="14">
        <f>EXP(-1.0587+0.8836*LN(AJ4)+0.284)</f>
        <v>0.40038464441801103</v>
      </c>
      <c r="AL4" s="22">
        <f t="shared" ref="AL4:AL67" si="4">(AJ4+AK4)*0.475*44/12</f>
        <v>2.1827412805591249</v>
      </c>
      <c r="AM4" s="62">
        <f t="shared" ref="AM4:AM67" si="5">AL4+(AD4+AE4)*44/12</f>
        <v>295.51607461389244</v>
      </c>
      <c r="AN4" s="62">
        <f ca="1">AVERAGE(OFFSET($AM$3,0,0,'Données projet'!$E$10+1,1))-AVERAGE(OFFSET($H$3,0,0,'Données projet'!$E$10+1,1))</f>
        <v>155.60948448168716</v>
      </c>
      <c r="AO4" s="62">
        <f>$AO$3</f>
        <v>317.1378745393755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0.9880000000000001</v>
      </c>
      <c r="D5" s="12">
        <f t="shared" ref="D5:D68" si="32">IFERROR(EXP(-1.0587+0.8836*LN(C5)+0.284),0)</f>
        <v>0.45595218483732475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11.146297567165314</v>
      </c>
      <c r="H5" s="70">
        <f t="shared" si="1"/>
        <v>295.84821672192498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6.5093333333333332</v>
      </c>
      <c r="N5" s="14">
        <f>IF('Données projet'!$A$36&gt;35,N4+M5-V4,IF(A5&lt;'Données projet'!$A$36,$K$205^A5,IF(A5='Données projet'!$A$36,'Données projet'!$B$36,N4+M5-V4)))</f>
        <v>1.4213810391171442</v>
      </c>
      <c r="O5" s="14">
        <f>N5*VLOOKUP('Données projet'!$B$9,Paramètres!$A$1:$I$89,3,0)*VLOOKUP('Données projet'!$B$9,Paramètres!$A$1:$I$89,5,0)</f>
        <v>0.66520632630682341</v>
      </c>
      <c r="P5" s="14">
        <f t="shared" ref="P5:P68" si="33">EXP(-1.0587+0.8836*LN(O5)+0.284)</f>
        <v>0.32145213467656786</v>
      </c>
      <c r="Q5" s="22">
        <f t="shared" si="2"/>
        <v>1.7184301528794064</v>
      </c>
      <c r="R5" s="62">
        <f t="shared" si="0"/>
        <v>295.05176348621274</v>
      </c>
      <c r="S5" s="62">
        <f ca="1">AVERAGE(OFFSET($R$3,0,0,'Données projet'!$E$9+1,1))-AVERAGE(OFFSET($H$3,0,0,'Données projet'!$E$9+1,1))</f>
        <v>219.48219097225825</v>
      </c>
      <c r="T5" s="62">
        <f t="shared" ref="T5:T68" si="34">$T$3</f>
        <v>168.03826591942982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7.7692307692307692</v>
      </c>
      <c r="AI5" s="14">
        <f>IF('Données projet'!$A$62&gt;35,AI4+AH5-AQ4,IF(A5&lt;'Données projet'!$A$62,$AF$205^A5,IF(A5='Données projet'!$A$62,'Données projet'!$B$62,AI4+AH5-AQ4)))</f>
        <v>2.0340289713350805</v>
      </c>
      <c r="AJ5" s="14">
        <f>AI5*VLOOKUP('Données projet'!$B$10,Paramètres!$A$1:$I$89,3,0)*VLOOKUP('Données projet'!$B$10,Paramètres!$A$1:$I$89,5,0)</f>
        <v>1.2163493248583781</v>
      </c>
      <c r="AK5" s="14">
        <f t="shared" ref="AK5:AK68" si="35">EXP(-1.0587+0.8836*LN(AJ5)+0.284)</f>
        <v>0.54791046443869817</v>
      </c>
      <c r="AL5" s="22">
        <f t="shared" si="4"/>
        <v>3.072752466359074</v>
      </c>
      <c r="AM5" s="62">
        <f t="shared" si="5"/>
        <v>296.40608579969239</v>
      </c>
      <c r="AN5" s="62">
        <f ca="1">AVERAGE(OFFSET($AM$3,0,0,'Données projet'!$E$10+1,1))-AVERAGE(OFFSET($H$3,0,0,'Données projet'!$E$10+1,1))</f>
        <v>155.60948448168716</v>
      </c>
      <c r="AO5" s="62">
        <f t="shared" ref="AO5:AO68" si="36">$AO$3</f>
        <v>317.1378745393755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1.4820000000000002</v>
      </c>
      <c r="D6" s="12">
        <f t="shared" si="32"/>
        <v>0.65239937694593597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16.476065365898453</v>
      </c>
      <c r="H6" s="70">
        <f t="shared" si="1"/>
        <v>297.05074558151415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6.5093333333333332</v>
      </c>
      <c r="N6" s="14">
        <f>IF('Données projet'!$A$36&gt;35,N5+M6-V5,IF(A6&lt;'Données projet'!$A$36,$K$205^A6,IF(A6='Données projet'!$A$36,'Données projet'!$B$36,N5+M6-V5)))</f>
        <v>1.6945944380374807</v>
      </c>
      <c r="O6" s="14">
        <f>N6*VLOOKUP('Données projet'!$B$9,Paramètres!$A$1:$I$89,3,0)*VLOOKUP('Données projet'!$B$9,Paramètres!$A$1:$I$89,5,0)</f>
        <v>0.79307019700154091</v>
      </c>
      <c r="P6" s="14">
        <f t="shared" si="33"/>
        <v>0.37547741639349119</v>
      </c>
      <c r="Q6" s="22">
        <f t="shared" si="2"/>
        <v>2.0352204266630141</v>
      </c>
      <c r="R6" s="62">
        <f t="shared" si="0"/>
        <v>295.3685537599963</v>
      </c>
      <c r="S6" s="62">
        <f ca="1">AVERAGE(OFFSET($R$3,0,0,'Données projet'!$E$9+1,1))-AVERAGE(OFFSET($H$3,0,0,'Données projet'!$E$9+1,1))</f>
        <v>219.48219097225825</v>
      </c>
      <c r="T6" s="62">
        <f t="shared" si="34"/>
        <v>168.03826591942982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7.7692307692307692</v>
      </c>
      <c r="AI6" s="14">
        <f>IF('Données projet'!$A$62&gt;35,AI5+AH6-AQ5,IF(A6&lt;'Données projet'!$A$62,$AF$205^A6,IF(A6='Données projet'!$A$62,'Données projet'!$B$62,AI5+AH6-AQ5)))</f>
        <v>2.9009196620933739</v>
      </c>
      <c r="AJ6" s="14">
        <f>AI6*VLOOKUP('Données projet'!$B$10,Paramètres!$A$1:$I$89,3,0)*VLOOKUP('Données projet'!$B$10,Paramètres!$A$1:$I$89,5,0)</f>
        <v>1.7347499579318377</v>
      </c>
      <c r="AK6" s="14">
        <f t="shared" si="35"/>
        <v>0.74979368271678282</v>
      </c>
      <c r="AL6" s="22">
        <f t="shared" si="4"/>
        <v>4.3272468407963478</v>
      </c>
      <c r="AM6" s="62">
        <f t="shared" si="5"/>
        <v>297.66058017412968</v>
      </c>
      <c r="AN6" s="62">
        <f ca="1">AVERAGE(OFFSET($AM$3,0,0,'Données projet'!$E$10+1,1))-AVERAGE(OFFSET($H$3,0,0,'Données projet'!$E$10+1,1))</f>
        <v>155.60948448168716</v>
      </c>
      <c r="AO6" s="62">
        <f t="shared" si="36"/>
        <v>317.1378745393755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1.9760000000000002</v>
      </c>
      <c r="D7" s="12">
        <f t="shared" si="32"/>
        <v>0.84121964318960396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21.746958649182915</v>
      </c>
      <c r="H7" s="70">
        <f t="shared" si="1"/>
        <v>298.2399908785552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6.5093333333333332</v>
      </c>
      <c r="N7" s="14">
        <f>IF('Données projet'!$A$36&gt;35,N6+M7-V6,IF(A7&lt;'Données projet'!$A$36,$K$205^A7,IF(A7='Données projet'!$A$36,'Données projet'!$B$36,N6+M7-V6)))</f>
        <v>2.0203240583617328</v>
      </c>
      <c r="O7" s="14">
        <f>N7*VLOOKUP('Données projet'!$B$9,Paramètres!$A$1:$I$89,3,0)*VLOOKUP('Données projet'!$B$9,Paramètres!$A$1:$I$89,5,0)</f>
        <v>0.94551165931329084</v>
      </c>
      <c r="P7" s="14">
        <f t="shared" si="33"/>
        <v>0.43858252913262774</v>
      </c>
      <c r="Q7" s="22">
        <f t="shared" si="2"/>
        <v>2.4106307115433077</v>
      </c>
      <c r="R7" s="62">
        <f t="shared" si="0"/>
        <v>295.74396404487663</v>
      </c>
      <c r="S7" s="62">
        <f ca="1">AVERAGE(OFFSET($R$3,0,0,'Données projet'!$E$9+1,1))-AVERAGE(OFFSET($H$3,0,0,'Données projet'!$E$9+1,1))</f>
        <v>219.48219097225825</v>
      </c>
      <c r="T7" s="62">
        <f t="shared" si="34"/>
        <v>168.03826591942982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7.7692307692307692</v>
      </c>
      <c r="AI7" s="14">
        <f>IF('Données projet'!$A$62&gt;35,AI6+AH7-AQ6,IF(A7&lt;'Données projet'!$A$62,$AF$205^A7,IF(A7='Données projet'!$A$62,'Données projet'!$B$62,AI6+AH7-AQ6)))</f>
        <v>4.1372738562304461</v>
      </c>
      <c r="AJ7" s="14">
        <f>AI7*VLOOKUP('Données projet'!$B$10,Paramètres!$A$1:$I$89,3,0)*VLOOKUP('Données projet'!$B$10,Paramètres!$A$1:$I$89,5,0)</f>
        <v>2.474089766025807</v>
      </c>
      <c r="AK7" s="14">
        <f t="shared" si="35"/>
        <v>1.0260628389675426</v>
      </c>
      <c r="AL7" s="22">
        <f t="shared" si="4"/>
        <v>6.0960991203634167</v>
      </c>
      <c r="AM7" s="62">
        <f t="shared" si="5"/>
        <v>299.42943245369673</v>
      </c>
      <c r="AN7" s="62">
        <f ca="1">AVERAGE(OFFSET($AM$3,0,0,'Données projet'!$E$10+1,1))-AVERAGE(OFFSET($H$3,0,0,'Données projet'!$E$10+1,1))</f>
        <v>155.60948448168716</v>
      </c>
      <c r="AO7" s="62">
        <f t="shared" si="36"/>
        <v>317.1378745393755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2.4700000000000002</v>
      </c>
      <c r="D8" s="12">
        <f t="shared" si="32"/>
        <v>1.0245640017032431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26.975581767533807</v>
      </c>
      <c r="H8" s="70">
        <f t="shared" si="1"/>
        <v>299.41969896963315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6.5093333333333332</v>
      </c>
      <c r="N8" s="14">
        <f>IF('Données projet'!$A$36&gt;35,N7+M8-V7,IF(A8&lt;'Données projet'!$A$36,$K$205^A8,IF(A8='Données projet'!$A$36,'Données projet'!$B$36,N7+M8-V7)))</f>
        <v>2.4086644032198476</v>
      </c>
      <c r="O8" s="14">
        <f>N8*VLOOKUP('Données projet'!$B$9,Paramètres!$A$1:$I$89,3,0)*VLOOKUP('Données projet'!$B$9,Paramètres!$A$1:$I$89,5,0)</f>
        <v>1.1272549407068886</v>
      </c>
      <c r="P8" s="14">
        <f t="shared" si="33"/>
        <v>0.5122934868039819</v>
      </c>
      <c r="Q8" s="22">
        <f t="shared" si="2"/>
        <v>2.8555468445814327</v>
      </c>
      <c r="R8" s="62">
        <f t="shared" si="0"/>
        <v>296.18888017791477</v>
      </c>
      <c r="S8" s="62">
        <f ca="1">AVERAGE(OFFSET($R$3,0,0,'Données projet'!$E$9+1,1))-AVERAGE(OFFSET($H$3,0,0,'Données projet'!$E$9+1,1))</f>
        <v>219.48219097225825</v>
      </c>
      <c r="T8" s="62">
        <f t="shared" si="34"/>
        <v>168.03826591942982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7.7692307692307692</v>
      </c>
      <c r="AI8" s="14">
        <f>IF('Données projet'!$A$62&gt;35,AI7+AH8-AQ7,IF(A8&lt;'Données projet'!$A$62,$AF$205^A8,IF(A8='Données projet'!$A$62,'Données projet'!$B$62,AI7+AH8-AQ7)))</f>
        <v>5.9005546362134957</v>
      </c>
      <c r="AJ8" s="14">
        <f>AI8*VLOOKUP('Données projet'!$B$10,Paramètres!$A$1:$I$89,3,0)*VLOOKUP('Données projet'!$B$10,Paramètres!$A$1:$I$89,5,0)</f>
        <v>3.5285316724556708</v>
      </c>
      <c r="AK8" s="14">
        <f t="shared" si="35"/>
        <v>1.404126193348852</v>
      </c>
      <c r="AL8" s="22">
        <f t="shared" si="4"/>
        <v>8.5910457829428761</v>
      </c>
      <c r="AM8" s="62">
        <f t="shared" si="5"/>
        <v>301.92437911627621</v>
      </c>
      <c r="AN8" s="62">
        <f ca="1">AVERAGE(OFFSET($AM$3,0,0,'Données projet'!$E$10+1,1))-AVERAGE(OFFSET($H$3,0,0,'Données projet'!$E$10+1,1))</f>
        <v>155.60948448168716</v>
      </c>
      <c r="AO8" s="62">
        <f t="shared" si="36"/>
        <v>317.1378745393755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2.9640000000000004</v>
      </c>
      <c r="D9" s="12">
        <f t="shared" si="32"/>
        <v>1.2036594830385248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32.17140653573599</v>
      </c>
      <c r="H9" s="70">
        <f t="shared" si="1"/>
        <v>300.59200693295872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6.5093333333333332</v>
      </c>
      <c r="N9" s="14">
        <f>IF('Données projet'!$A$36&gt;35,N8+M9-V8,IF(A9&lt;'Données projet'!$A$36,$K$205^A9,IF(A9='Données projet'!$A$36,'Données projet'!$B$36,N8+M9-V8)))</f>
        <v>2.8716503094275656</v>
      </c>
      <c r="O9" s="14">
        <f>N9*VLOOKUP('Données projet'!$B$9,Paramètres!$A$1:$I$89,3,0)*VLOOKUP('Données projet'!$B$9,Paramètres!$A$1:$I$89,5,0)</f>
        <v>1.3439323448121006</v>
      </c>
      <c r="P9" s="14">
        <f t="shared" si="33"/>
        <v>0.5983927748805018</v>
      </c>
      <c r="Q9" s="22">
        <f t="shared" si="2"/>
        <v>3.3828829167979486</v>
      </c>
      <c r="R9" s="62">
        <f t="shared" si="0"/>
        <v>296.71621625013125</v>
      </c>
      <c r="S9" s="62">
        <f ca="1">AVERAGE(OFFSET($R$3,0,0,'Données projet'!$E$9+1,1))-AVERAGE(OFFSET($H$3,0,0,'Données projet'!$E$9+1,1))</f>
        <v>219.48219097225825</v>
      </c>
      <c r="T9" s="62">
        <f t="shared" si="34"/>
        <v>168.03826591942982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7.7692307692307692</v>
      </c>
      <c r="AI9" s="14">
        <f>IF('Données projet'!$A$62&gt;35,AI8+AH9-AQ8,IF(A9&lt;'Données projet'!$A$62,$AF$205^A9,IF(A9='Données projet'!$A$62,'Données projet'!$B$62,AI8+AH9-AQ8)))</f>
        <v>8.4153348859199362</v>
      </c>
      <c r="AJ9" s="14">
        <f>AI9*VLOOKUP('Données projet'!$B$10,Paramètres!$A$1:$I$89,3,0)*VLOOKUP('Données projet'!$B$10,Paramètres!$A$1:$I$89,5,0)</f>
        <v>5.0323702617801223</v>
      </c>
      <c r="AK9" s="14">
        <f t="shared" si="35"/>
        <v>1.9214908599868947</v>
      </c>
      <c r="AL9" s="22">
        <f t="shared" si="4"/>
        <v>12.111308120410888</v>
      </c>
      <c r="AM9" s="62">
        <f t="shared" si="5"/>
        <v>305.44464145374423</v>
      </c>
      <c r="AN9" s="62">
        <f ca="1">AVERAGE(OFFSET($AM$3,0,0,'Données projet'!$E$10+1,1))-AVERAGE(OFFSET($H$3,0,0,'Données projet'!$E$10+1,1))</f>
        <v>155.60948448168716</v>
      </c>
      <c r="AO9" s="62">
        <f t="shared" si="36"/>
        <v>317.1378745393755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3.4580000000000006</v>
      </c>
      <c r="D10" s="12">
        <f t="shared" si="32"/>
        <v>1.3792971063482828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37.340539066548153</v>
      </c>
      <c r="H10" s="70">
        <f t="shared" si="1"/>
        <v>301.75829246022323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6.5093333333333332</v>
      </c>
      <c r="N10" s="14">
        <f>IF('Données projet'!$A$36&gt;35,N9+M10-V9,IF(A10&lt;'Données projet'!$A$36,$K$205^A10,IF(A10='Données projet'!$A$36,'Données projet'!$B$36,N9+M10-V9)))</f>
        <v>3.4236299123331029</v>
      </c>
      <c r="O10" s="14">
        <f>N10*VLOOKUP('Données projet'!$B$9,Paramètres!$A$1:$I$89,3,0)*VLOOKUP('Données projet'!$B$9,Paramètres!$A$1:$I$89,5,0)</f>
        <v>1.6022587989718919</v>
      </c>
      <c r="P10" s="14">
        <f t="shared" si="33"/>
        <v>0.69896245463334605</v>
      </c>
      <c r="Q10" s="22">
        <f t="shared" si="2"/>
        <v>4.0079603500291228</v>
      </c>
      <c r="R10" s="62">
        <f t="shared" si="0"/>
        <v>297.34129368336244</v>
      </c>
      <c r="S10" s="62">
        <f ca="1">AVERAGE(OFFSET($R$3,0,0,'Données projet'!$E$9+1,1))-AVERAGE(OFFSET($H$3,0,0,'Données projet'!$E$9+1,1))</f>
        <v>219.48219097225825</v>
      </c>
      <c r="T10" s="62">
        <f t="shared" si="34"/>
        <v>168.03826591942982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7.7692307692307692</v>
      </c>
      <c r="AI10" s="14">
        <f>IF('Données projet'!$A$62&gt;35,AI9+AH10-AQ9,IF(A10&lt;'Données projet'!$A$62,$AF$205^A10,IF(A10='Données projet'!$A$62,'Données projet'!$B$62,AI9+AH10-AQ9)))</f>
        <v>12.001899077003776</v>
      </c>
      <c r="AJ10" s="14">
        <f>AI10*VLOOKUP('Données projet'!$B$10,Paramètres!$A$1:$I$89,3,0)*VLOOKUP('Données projet'!$B$10,Paramètres!$A$1:$I$89,5,0)</f>
        <v>7.1771356480482584</v>
      </c>
      <c r="AK10" s="14">
        <f t="shared" si="35"/>
        <v>2.6294838330787229</v>
      </c>
      <c r="AL10" s="22">
        <f t="shared" si="4"/>
        <v>17.079862262962827</v>
      </c>
      <c r="AM10" s="62">
        <f t="shared" si="5"/>
        <v>310.41319559629613</v>
      </c>
      <c r="AN10" s="62">
        <f ca="1">AVERAGE(OFFSET($AM$3,0,0,'Données projet'!$E$10+1,1))-AVERAGE(OFFSET($H$3,0,0,'Données projet'!$E$10+1,1))</f>
        <v>155.60948448168716</v>
      </c>
      <c r="AO10" s="62">
        <f t="shared" si="36"/>
        <v>317.1378745393755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3.9520000000000008</v>
      </c>
      <c r="D11" s="12">
        <f t="shared" si="32"/>
        <v>1.5520278477018838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42.48723250857595</v>
      </c>
      <c r="H11" s="70">
        <f t="shared" si="1"/>
        <v>302.91951516808075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6.5093333333333332</v>
      </c>
      <c r="N11" s="14">
        <f>IF('Données projet'!$A$36&gt;35,N10+M11-V10,IF(A11&lt;'Données projet'!$A$36,$K$205^A11,IF(A11='Données projet'!$A$36,'Données projet'!$B$36,N10+M11-V10)))</f>
        <v>4.0817093007952225</v>
      </c>
      <c r="O11" s="14">
        <f>N11*VLOOKUP('Données projet'!$B$9,Paramètres!$A$1:$I$89,3,0)*VLOOKUP('Données projet'!$B$9,Paramètres!$A$1:$I$89,5,0)</f>
        <v>1.9102399527721641</v>
      </c>
      <c r="P11" s="14">
        <f t="shared" si="33"/>
        <v>0.81643451173793824</v>
      </c>
      <c r="Q11" s="22">
        <f t="shared" si="2"/>
        <v>4.7489580256884283</v>
      </c>
      <c r="R11" s="62">
        <f t="shared" si="0"/>
        <v>298.08229135902172</v>
      </c>
      <c r="S11" s="62">
        <f ca="1">AVERAGE(OFFSET($R$3,0,0,'Données projet'!$E$9+1,1))-AVERAGE(OFFSET($H$3,0,0,'Données projet'!$E$9+1,1))</f>
        <v>219.48219097225825</v>
      </c>
      <c r="T11" s="62">
        <f t="shared" si="34"/>
        <v>168.03826591942982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7.7692307692307692</v>
      </c>
      <c r="AI11" s="14">
        <f>IF('Données projet'!$A$62&gt;35,AI10+AH11-AQ10,IF(A11&lt;'Données projet'!$A$62,$AF$205^A11,IF(A11='Données projet'!$A$62,'Données projet'!$B$62,AI10+AH11-AQ10)))</f>
        <v>17.117034961447946</v>
      </c>
      <c r="AJ11" s="14">
        <f>AI11*VLOOKUP('Données projet'!$B$10,Paramètres!$A$1:$I$89,3,0)*VLOOKUP('Données projet'!$B$10,Paramètres!$A$1:$I$89,5,0)</f>
        <v>10.235986906945872</v>
      </c>
      <c r="AK11" s="14">
        <f t="shared" si="35"/>
        <v>3.5983440631455994</v>
      </c>
      <c r="AL11" s="22">
        <f t="shared" si="4"/>
        <v>24.094793106242644</v>
      </c>
      <c r="AM11" s="62">
        <f t="shared" si="5"/>
        <v>317.42812643957598</v>
      </c>
      <c r="AN11" s="62">
        <f ca="1">AVERAGE(OFFSET($AM$3,0,0,'Données projet'!$E$10+1,1))-AVERAGE(OFFSET($H$3,0,0,'Données projet'!$E$10+1,1))</f>
        <v>155.60948448168716</v>
      </c>
      <c r="AO11" s="62">
        <f t="shared" si="36"/>
        <v>317.1378745393755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4.4460000000000006</v>
      </c>
      <c r="D12" s="12">
        <f t="shared" si="32"/>
        <v>1.7222566815192901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47.614612980148912</v>
      </c>
      <c r="H12" s="70">
        <f t="shared" si="1"/>
        <v>304.07638038697939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6.5093333333333332</v>
      </c>
      <c r="N12" s="14">
        <f>IF('Données projet'!$A$36&gt;35,N11+M12-V11,IF(A12&lt;'Données projet'!$A$36,$K$205^A12,IF(A12='Données projet'!$A$36,'Données projet'!$B$36,N11+M12-V11)))</f>
        <v>4.8662826423445642</v>
      </c>
      <c r="O12" s="14">
        <f>N12*VLOOKUP('Données projet'!$B$9,Paramètres!$A$1:$I$89,3,0)*VLOOKUP('Données projet'!$B$9,Paramètres!$A$1:$I$89,5,0)</f>
        <v>2.277420276617256</v>
      </c>
      <c r="P12" s="14">
        <f t="shared" si="33"/>
        <v>0.95364966678564289</v>
      </c>
      <c r="Q12" s="22">
        <f t="shared" si="2"/>
        <v>5.6274468180933814</v>
      </c>
      <c r="R12" s="62">
        <f t="shared" si="0"/>
        <v>298.96078015142672</v>
      </c>
      <c r="S12" s="62">
        <f ca="1">AVERAGE(OFFSET($R$3,0,0,'Données projet'!$E$9+1,1))-AVERAGE(OFFSET($H$3,0,0,'Données projet'!$E$9+1,1))</f>
        <v>219.48219097225825</v>
      </c>
      <c r="T12" s="62">
        <f t="shared" si="34"/>
        <v>168.03826591942982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7.7692307692307692</v>
      </c>
      <c r="AI12" s="14">
        <f>IF('Données projet'!$A$62&gt;35,AI11+AH12-AQ11,IF(A12&lt;'Données projet'!$A$62,$AF$205^A12,IF(A12='Données projet'!$A$62,'Données projet'!$B$62,AI11+AH12-AQ11)))</f>
        <v>24.412210433665443</v>
      </c>
      <c r="AJ12" s="14">
        <f>AI12*VLOOKUP('Données projet'!$B$10,Paramètres!$A$1:$I$89,3,0)*VLOOKUP('Données projet'!$B$10,Paramètres!$A$1:$I$89,5,0)</f>
        <v>14.598501839331936</v>
      </c>
      <c r="AK12" s="14">
        <f t="shared" si="35"/>
        <v>4.9241907608973428</v>
      </c>
      <c r="AL12" s="22">
        <f t="shared" si="4"/>
        <v>34.002022945399325</v>
      </c>
      <c r="AM12" s="62">
        <f t="shared" si="5"/>
        <v>327.33535627873266</v>
      </c>
      <c r="AN12" s="62">
        <f ca="1">AVERAGE(OFFSET($AM$3,0,0,'Données projet'!$E$10+1,1))-AVERAGE(OFFSET($H$3,0,0,'Données projet'!$E$10+1,1))</f>
        <v>155.60948448168716</v>
      </c>
      <c r="AO12" s="62">
        <f t="shared" si="36"/>
        <v>317.1378745393755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4.9400000000000004</v>
      </c>
      <c r="D13" s="12">
        <f t="shared" si="32"/>
        <v>1.8902933083766646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52.725071152381275</v>
      </c>
      <c r="H13" s="70">
        <f t="shared" si="1"/>
        <v>305.22942751208933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6.5093333333333332</v>
      </c>
      <c r="N13" s="14">
        <f>IF('Données projet'!$A$36&gt;35,N12+M13-V12,IF(A13&lt;'Données projet'!$A$36,$K$205^A13,IF(A13='Données projet'!$A$36,'Données projet'!$B$36,N12+M13-V12)))</f>
        <v>5.8016642073384252</v>
      </c>
      <c r="O13" s="14">
        <f>N13*VLOOKUP('Données projet'!$B$9,Paramètres!$A$1:$I$89,3,0)*VLOOKUP('Données projet'!$B$9,Paramètres!$A$1:$I$89,5,0)</f>
        <v>2.7151788490343831</v>
      </c>
      <c r="P13" s="14">
        <f t="shared" si="33"/>
        <v>1.1139260698625209</v>
      </c>
      <c r="Q13" s="22">
        <f t="shared" si="2"/>
        <v>6.6690244004121082</v>
      </c>
      <c r="R13" s="62">
        <f t="shared" si="0"/>
        <v>300.00235773374544</v>
      </c>
      <c r="S13" s="62">
        <f ca="1">AVERAGE(OFFSET($R$3,0,0,'Données projet'!$E$9+1,1))-AVERAGE(OFFSET($H$3,0,0,'Données projet'!$E$9+1,1))</f>
        <v>219.48219097225825</v>
      </c>
      <c r="T13" s="62">
        <f t="shared" si="34"/>
        <v>168.03826591942982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7.7692307692307692</v>
      </c>
      <c r="AI13" s="14">
        <f>IF('Données projet'!$A$62&gt;35,AI12+AH13-AQ12,IF(A13&lt;'Données projet'!$A$62,$AF$205^A13,IF(A13='Données projet'!$A$62,'Données projet'!$B$62,AI12+AH13-AQ12)))</f>
        <v>34.816545014940573</v>
      </c>
      <c r="AJ13" s="14">
        <f>AI13*VLOOKUP('Données projet'!$B$10,Paramètres!$A$1:$I$89,3,0)*VLOOKUP('Données projet'!$B$10,Paramètres!$A$1:$I$89,5,0)</f>
        <v>20.820293918934464</v>
      </c>
      <c r="AK13" s="14">
        <f t="shared" si="35"/>
        <v>6.7385592439734481</v>
      </c>
      <c r="AL13" s="22">
        <f t="shared" si="4"/>
        <v>47.998335925397946</v>
      </c>
      <c r="AM13" s="62">
        <f t="shared" si="5"/>
        <v>341.33166925873127</v>
      </c>
      <c r="AN13" s="62">
        <f ca="1">AVERAGE(OFFSET($AM$3,0,0,'Données projet'!$E$10+1,1))-AVERAGE(OFFSET($H$3,0,0,'Données projet'!$E$10+1,1))</f>
        <v>155.60948448168716</v>
      </c>
      <c r="AO13" s="62">
        <f t="shared" si="36"/>
        <v>317.1378745393755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5.4340000000000002</v>
      </c>
      <c r="D14" s="12">
        <f t="shared" si="32"/>
        <v>2.0563819044260145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57.820491893814847</v>
      </c>
      <c r="H14" s="70">
        <f t="shared" si="1"/>
        <v>306.37908181687527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6.5093333333333332</v>
      </c>
      <c r="N14" s="14">
        <f>IF('Données projet'!$A$36&gt;35,N13+M14-V13,IF(A14&lt;'Données projet'!$A$36,$K$205^A14,IF(A14='Données projet'!$A$36,'Données projet'!$B$36,N13+M14-V13)))</f>
        <v>6.9168418788134387</v>
      </c>
      <c r="O14" s="14">
        <f>N14*VLOOKUP('Données projet'!$B$9,Paramètres!$A$1:$I$89,3,0)*VLOOKUP('Données projet'!$B$9,Paramètres!$A$1:$I$89,5,0)</f>
        <v>3.2370819992846895</v>
      </c>
      <c r="P14" s="14">
        <f t="shared" si="33"/>
        <v>1.3011395403740753</v>
      </c>
      <c r="Q14" s="22">
        <f t="shared" si="2"/>
        <v>7.9040691815723489</v>
      </c>
      <c r="R14" s="62">
        <f t="shared" si="0"/>
        <v>301.23740251490568</v>
      </c>
      <c r="S14" s="62">
        <f ca="1">AVERAGE(OFFSET($R$3,0,0,'Données projet'!$E$9+1,1))-AVERAGE(OFFSET($H$3,0,0,'Données projet'!$E$9+1,1))</f>
        <v>219.48219097225825</v>
      </c>
      <c r="T14" s="62">
        <f t="shared" si="34"/>
        <v>168.03826591942982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7.7692307692307692</v>
      </c>
      <c r="AI14" s="14">
        <f>IF('Données projet'!$A$62&gt;35,AI13+AH14-AQ13,IF(A14&lt;'Données projet'!$A$62,$AF$205^A14,IF(A14='Données projet'!$A$62,'Données projet'!$B$62,AI13+AH14-AQ13)))</f>
        <v>49.65514327640404</v>
      </c>
      <c r="AJ14" s="14">
        <f>AI14*VLOOKUP('Données projet'!$B$10,Paramètres!$A$1:$I$89,3,0)*VLOOKUP('Données projet'!$B$10,Paramètres!$A$1:$I$89,5,0)</f>
        <v>29.693775679289619</v>
      </c>
      <c r="AK14" s="14">
        <f t="shared" si="35"/>
        <v>9.2214503640117265</v>
      </c>
      <c r="AL14" s="22">
        <f t="shared" si="4"/>
        <v>67.777352025416505</v>
      </c>
      <c r="AM14" s="62">
        <f t="shared" si="5"/>
        <v>361.11068535874983</v>
      </c>
      <c r="AN14" s="62">
        <f ca="1">AVERAGE(OFFSET($AM$3,0,0,'Données projet'!$E$10+1,1))-AVERAGE(OFFSET($H$3,0,0,'Données projet'!$E$10+1,1))</f>
        <v>155.60948448168716</v>
      </c>
      <c r="AO14" s="62">
        <f t="shared" si="36"/>
        <v>317.1378745393755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5.9279999999999999</v>
      </c>
      <c r="D15" s="12">
        <f t="shared" si="32"/>
        <v>2.2207197037661022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62.902397713282191</v>
      </c>
      <c r="H15" s="70">
        <f t="shared" si="1"/>
        <v>307.52568681739263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6.5093333333333332</v>
      </c>
      <c r="N15" s="14">
        <f>IF('Données projet'!$A$36&gt;35,N14+M15-V14,IF(A15&lt;'Données projet'!$A$36,$K$205^A15,IF(A15='Données projet'!$A$36,'Données projet'!$B$36,N14+M15-V14)))</f>
        <v>8.2463754996354339</v>
      </c>
      <c r="O15" s="14">
        <f>N15*VLOOKUP('Données projet'!$B$9,Paramètres!$A$1:$I$89,3,0)*VLOOKUP('Données projet'!$B$9,Paramètres!$A$1:$I$89,5,0)</f>
        <v>3.8593037338293832</v>
      </c>
      <c r="P15" s="14">
        <f t="shared" si="33"/>
        <v>1.5198172924831568</v>
      </c>
      <c r="Q15" s="22">
        <f t="shared" si="2"/>
        <v>9.3686357874943393</v>
      </c>
      <c r="R15" s="62">
        <f t="shared" si="0"/>
        <v>302.70196912082764</v>
      </c>
      <c r="S15" s="62">
        <f ca="1">AVERAGE(OFFSET($R$3,0,0,'Données projet'!$E$9+1,1))-AVERAGE(OFFSET($H$3,0,0,'Données projet'!$E$9+1,1))</f>
        <v>219.48219097225825</v>
      </c>
      <c r="T15" s="62">
        <f t="shared" si="34"/>
        <v>168.03826591942982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7.7692307692307692</v>
      </c>
      <c r="AI15" s="14">
        <f>IF('Données projet'!$A$62&gt;35,AI14+AH15-AQ14,IF(A15&lt;'Données projet'!$A$62,$AF$205^A15,IF(A15='Données projet'!$A$62,'Données projet'!$B$62,AI14+AH15-AQ14)))</f>
        <v>70.81786124218111</v>
      </c>
      <c r="AJ15" s="14">
        <f>AI15*VLOOKUP('Données projet'!$B$10,Paramètres!$A$1:$I$89,3,0)*VLOOKUP('Données projet'!$B$10,Paramètres!$A$1:$I$89,5,0)</f>
        <v>42.349081022824308</v>
      </c>
      <c r="AK15" s="14">
        <f t="shared" si="35"/>
        <v>12.61918812867636</v>
      </c>
      <c r="AL15" s="22">
        <f t="shared" si="4"/>
        <v>95.736402105530317</v>
      </c>
      <c r="AM15" s="62">
        <f t="shared" si="5"/>
        <v>389.06973543886363</v>
      </c>
      <c r="AN15" s="62">
        <f ca="1">AVERAGE(OFFSET($AM$3,0,0,'Données projet'!$E$10+1,1))-AVERAGE(OFFSET($H$3,0,0,'Données projet'!$E$10+1,1))</f>
        <v>155.60948448168716</v>
      </c>
      <c r="AO15" s="62">
        <f t="shared" si="36"/>
        <v>317.1378745393755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6.4219999999999997</v>
      </c>
      <c r="D16" s="12">
        <f t="shared" si="32"/>
        <v>2.3834691936258148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67.97204289816419</v>
      </c>
      <c r="H16" s="70">
        <f t="shared" si="1"/>
        <v>308.66952551223159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6.5093333333333332</v>
      </c>
      <c r="N16" s="14">
        <f>IF('Données projet'!$A$36&gt;35,N15+M16-V15,IF(A16&lt;'Données projet'!$A$36,$K$205^A16,IF(A16='Données projet'!$A$36,'Données projet'!$B$36,N15+M16-V15)))</f>
        <v>9.831467897116827</v>
      </c>
      <c r="O16" s="14">
        <f>N16*VLOOKUP('Données projet'!$B$9,Paramètres!$A$1:$I$89,3,0)*VLOOKUP('Données projet'!$B$9,Paramètres!$A$1:$I$89,5,0)</f>
        <v>4.6011269758506748</v>
      </c>
      <c r="P16" s="14">
        <f t="shared" si="33"/>
        <v>1.7752474126385842</v>
      </c>
      <c r="Q16" s="22">
        <f t="shared" si="2"/>
        <v>11.105518726618792</v>
      </c>
      <c r="R16" s="62">
        <f t="shared" si="0"/>
        <v>304.43885205995213</v>
      </c>
      <c r="S16" s="62">
        <f ca="1">AVERAGE(OFFSET($R$3,0,0,'Données projet'!$E$9+1,1))-AVERAGE(OFFSET($H$3,0,0,'Données projet'!$E$9+1,1))</f>
        <v>219.48219097225825</v>
      </c>
      <c r="T16" s="62">
        <f t="shared" si="34"/>
        <v>168.03826591942982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>
        <f>VLOOKUP(A16,'Données projet'!$A$61:$I$81,2,0)</f>
        <v>101</v>
      </c>
      <c r="AG16" s="13">
        <f>VLOOKUP(A16,'Données projet'!$A$61:$I$81,9,0)</f>
        <v>7.7692307692307692</v>
      </c>
      <c r="AH16" s="13">
        <f t="array" ref="AH16">INDEX(AG:AG,MIN(IF(ISNUMBER(AG16:AG212),ROW(AG16:AG212),"")))</f>
        <v>7.7692307692307692</v>
      </c>
      <c r="AI16" s="14">
        <f>IF('Données projet'!$A$62&gt;35,AI15+AH16-AQ15,IF(A16&lt;'Données projet'!$A$62,$AF$205^A16,IF(A16='Données projet'!$A$62,'Données projet'!$B$62,AI15+AH16-AQ15)))</f>
        <v>101</v>
      </c>
      <c r="AJ16" s="14">
        <f>AI16*VLOOKUP('Données projet'!$B$10,Paramètres!$A$1:$I$89,3,0)*VLOOKUP('Données projet'!$B$10,Paramètres!$A$1:$I$89,5,0)</f>
        <v>60.398000000000003</v>
      </c>
      <c r="AK16" s="14">
        <f t="shared" si="35"/>
        <v>17.26885714728807</v>
      </c>
      <c r="AL16" s="22">
        <f t="shared" si="4"/>
        <v>135.26977619819337</v>
      </c>
      <c r="AM16" s="62">
        <f t="shared" si="5"/>
        <v>428.60310953152668</v>
      </c>
      <c r="AN16" s="62">
        <f ca="1">AVERAGE(OFFSET($AM$3,0,0,'Données projet'!$E$10+1,1))-AVERAGE(OFFSET($H$3,0,0,'Données projet'!$E$10+1,1))</f>
        <v>155.60948448168716</v>
      </c>
      <c r="AO16" s="62">
        <f t="shared" si="36"/>
        <v>317.1378745393755</v>
      </c>
      <c r="AP16" s="16">
        <f>IF(ISNA(VLOOKUP(A16,'Données projet'!$A$61:$I$81,3,0)),0,VLOOKUP(A16,'Données projet'!$A$61:$I$81,3,0))</f>
        <v>1</v>
      </c>
      <c r="AQ16" s="16">
        <f>IF(ISNA(VLOOKUP(A16,'Données projet'!$A$61:$I$81,4,0)),0,VLOOKUP(A16,'Données projet'!$A$61:$I$81,4,0))</f>
        <v>28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1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18.958097589783147</v>
      </c>
      <c r="AX16" s="23">
        <f t="shared" si="6"/>
        <v>18.958097589783147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6.9159999999999995</v>
      </c>
      <c r="D17" s="12">
        <f t="shared" si="32"/>
        <v>2.5447664431495727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73.030477806768616</v>
      </c>
      <c r="H17" s="70">
        <f t="shared" si="1"/>
        <v>309.81083488848549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6.5093333333333332</v>
      </c>
      <c r="N17" s="14">
        <f>IF('Données projet'!$A$36&gt;35,N16+M17-V16,IF(A17&lt;'Données projet'!$A$36,$K$205^A17,IF(A17='Données projet'!$A$36,'Données projet'!$B$36,N16+M17-V16)))</f>
        <v>11.721241776621973</v>
      </c>
      <c r="O17" s="14">
        <f>N17*VLOOKUP('Données projet'!$B$9,Paramètres!$A$1:$I$89,3,0)*VLOOKUP('Données projet'!$B$9,Paramètres!$A$1:$I$89,5,0)</f>
        <v>5.4855411514590839</v>
      </c>
      <c r="P17" s="14">
        <f t="shared" si="33"/>
        <v>2.0736067365906181</v>
      </c>
      <c r="Q17" s="22">
        <f t="shared" si="2"/>
        <v>13.1655159050199</v>
      </c>
      <c r="R17" s="62">
        <f t="shared" si="0"/>
        <v>306.49884923835322</v>
      </c>
      <c r="S17" s="62">
        <f ca="1">AVERAGE(OFFSET($R$3,0,0,'Données projet'!$E$9+1,1))-AVERAGE(OFFSET($H$3,0,0,'Données projet'!$E$9+1,1))</f>
        <v>219.48219097225825</v>
      </c>
      <c r="T17" s="62">
        <f t="shared" si="34"/>
        <v>168.03826591942982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18.600000000000001</v>
      </c>
      <c r="AI17" s="14">
        <f>IF('Données projet'!$A$62&gt;35,AI16+AH17-AQ16,IF(A17&lt;'Données projet'!$A$62,$AF$205^A17,IF(A17='Données projet'!$A$62,'Données projet'!$B$62,AI16+AH17-AQ16)))</f>
        <v>91.6</v>
      </c>
      <c r="AJ17" s="14">
        <f>AI17*VLOOKUP('Données projet'!$B$10,Paramètres!$A$1:$I$89,3,0)*VLOOKUP('Données projet'!$B$10,Paramètres!$A$1:$I$89,5,0)</f>
        <v>54.776799999999994</v>
      </c>
      <c r="AK17" s="14">
        <f t="shared" si="35"/>
        <v>15.840762095818524</v>
      </c>
      <c r="AL17" s="22">
        <f t="shared" si="4"/>
        <v>122.99225398355058</v>
      </c>
      <c r="AM17" s="62">
        <f t="shared" si="5"/>
        <v>416.32558731688391</v>
      </c>
      <c r="AN17" s="62">
        <f ca="1">AVERAGE(OFFSET($AM$3,0,0,'Données projet'!$E$10+1,1))-AVERAGE(OFFSET($H$3,0,0,'Données projet'!$E$10+1,1))</f>
        <v>155.60948448168716</v>
      </c>
      <c r="AO17" s="62">
        <f t="shared" si="36"/>
        <v>317.1378745393755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13.405399364132007</v>
      </c>
      <c r="AX17" s="23">
        <f t="shared" si="6"/>
        <v>13.405399364132007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7.4099999999999993</v>
      </c>
      <c r="D18" s="12">
        <f t="shared" si="32"/>
        <v>2.7047269815583839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78.078594243608578</v>
      </c>
      <c r="H18" s="70">
        <f t="shared" si="1"/>
        <v>310.94981615954748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6.5093333333333332</v>
      </c>
      <c r="N18" s="14">
        <f>IF('Données projet'!$A$36&gt;35,N17+M18-V17,IF(A18&lt;'Données projet'!$A$36,$K$205^A18,IF(A18='Données projet'!$A$36,'Données projet'!$B$36,N17+M18-V17)))</f>
        <v>13.974262055650758</v>
      </c>
      <c r="O18" s="14">
        <f>N18*VLOOKUP('Données projet'!$B$9,Paramètres!$A$1:$I$89,3,0)*VLOOKUP('Données projet'!$B$9,Paramètres!$A$1:$I$89,5,0)</f>
        <v>6.5399546420445542</v>
      </c>
      <c r="P18" s="14">
        <f t="shared" si="33"/>
        <v>2.4221102182275818</v>
      </c>
      <c r="Q18" s="22">
        <f t="shared" si="2"/>
        <v>15.608929631640637</v>
      </c>
      <c r="R18" s="62">
        <f t="shared" si="0"/>
        <v>308.94226296497396</v>
      </c>
      <c r="S18" s="62">
        <f ca="1">AVERAGE(OFFSET($R$3,0,0,'Données projet'!$E$9+1,1))-AVERAGE(OFFSET($H$3,0,0,'Données projet'!$E$9+1,1))</f>
        <v>219.48219097225825</v>
      </c>
      <c r="T18" s="62">
        <f t="shared" si="34"/>
        <v>168.03826591942982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18.600000000000001</v>
      </c>
      <c r="AI18" s="14">
        <f>IF('Données projet'!$A$62&gt;35,AI17+AH18-AQ17,IF(A18&lt;'Données projet'!$A$62,$AF$205^A18,IF(A18='Données projet'!$A$62,'Données projet'!$B$62,AI17+AH18-AQ17)))</f>
        <v>110.19999999999999</v>
      </c>
      <c r="AJ18" s="14">
        <f>AI18*VLOOKUP('Données projet'!$B$10,Paramètres!$A$1:$I$89,3,0)*VLOOKUP('Données projet'!$B$10,Paramètres!$A$1:$I$89,5,0)</f>
        <v>65.899600000000007</v>
      </c>
      <c r="AK18" s="14">
        <f t="shared" si="35"/>
        <v>18.651634138580526</v>
      </c>
      <c r="AL18" s="22">
        <f t="shared" si="4"/>
        <v>147.26006612469442</v>
      </c>
      <c r="AM18" s="62">
        <f t="shared" si="5"/>
        <v>440.59339945802776</v>
      </c>
      <c r="AN18" s="62">
        <f ca="1">AVERAGE(OFFSET($AM$3,0,0,'Données projet'!$E$10+1,1))-AVERAGE(OFFSET($H$3,0,0,'Données projet'!$E$10+1,1))</f>
        <v>155.60948448168716</v>
      </c>
      <c r="AO18" s="62">
        <f t="shared" si="36"/>
        <v>317.1378745393755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9.4790487948915754</v>
      </c>
      <c r="AX18" s="23">
        <f t="shared" si="6"/>
        <v>9.4790487948915754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7.903999999999999</v>
      </c>
      <c r="D19" s="12">
        <f t="shared" si="32"/>
        <v>2.863450062707606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83.117158378795551</v>
      </c>
      <c r="H19" s="70">
        <f t="shared" si="1"/>
        <v>312.08664219254905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6.5093333333333332</v>
      </c>
      <c r="N19" s="14">
        <f>IF('Données projet'!$A$36&gt;35,N18+M19-V18,IF(A19&lt;'Données projet'!$A$36,$K$205^A19,IF(A19='Données projet'!$A$36,'Données projet'!$B$36,N18+M19-V18)))</f>
        <v>16.660350816198225</v>
      </c>
      <c r="O19" s="14">
        <f>N19*VLOOKUP('Données projet'!$B$9,Paramètres!$A$1:$I$89,3,0)*VLOOKUP('Données projet'!$B$9,Paramètres!$A$1:$I$89,5,0)</f>
        <v>7.7970441819807697</v>
      </c>
      <c r="P19" s="14">
        <f t="shared" si="33"/>
        <v>2.8291854022852188</v>
      </c>
      <c r="Q19" s="22">
        <f t="shared" si="2"/>
        <v>18.507349859263261</v>
      </c>
      <c r="R19" s="62">
        <f t="shared" si="0"/>
        <v>311.8406831925966</v>
      </c>
      <c r="S19" s="62">
        <f ca="1">AVERAGE(OFFSET($R$3,0,0,'Données projet'!$E$9+1,1))-AVERAGE(OFFSET($H$3,0,0,'Données projet'!$E$9+1,1))</f>
        <v>219.48219097225825</v>
      </c>
      <c r="T19" s="62">
        <f t="shared" si="34"/>
        <v>168.03826591942982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18.600000000000001</v>
      </c>
      <c r="AI19" s="14">
        <f>IF('Données projet'!$A$62&gt;35,AI18+AH19-AQ18,IF(A19&lt;'Données projet'!$A$62,$AF$205^A19,IF(A19='Données projet'!$A$62,'Données projet'!$B$62,AI18+AH19-AQ18)))</f>
        <v>128.79999999999998</v>
      </c>
      <c r="AJ19" s="14">
        <f>AI19*VLOOKUP('Données projet'!$B$10,Paramètres!$A$1:$I$89,3,0)*VLOOKUP('Données projet'!$B$10,Paramètres!$A$1:$I$89,5,0)</f>
        <v>77.022400000000005</v>
      </c>
      <c r="AK19" s="14">
        <f t="shared" si="35"/>
        <v>21.407546084466961</v>
      </c>
      <c r="AL19" s="22">
        <f t="shared" si="4"/>
        <v>171.43215609711328</v>
      </c>
      <c r="AM19" s="62">
        <f t="shared" si="5"/>
        <v>464.76548943044656</v>
      </c>
      <c r="AN19" s="62">
        <f ca="1">AVERAGE(OFFSET($AM$3,0,0,'Données projet'!$E$10+1,1))-AVERAGE(OFFSET($H$3,0,0,'Données projet'!$E$10+1,1))</f>
        <v>155.60948448168716</v>
      </c>
      <c r="AO19" s="62">
        <f t="shared" si="36"/>
        <v>317.1378745393755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6.7026996820660045</v>
      </c>
      <c r="AX19" s="23">
        <f t="shared" si="6"/>
        <v>6.7026996820660045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8.3979999999999997</v>
      </c>
      <c r="D20" s="12">
        <f t="shared" si="32"/>
        <v>3.0210218324899247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88.146835198167835</v>
      </c>
      <c r="H20" s="70">
        <f t="shared" si="1"/>
        <v>313.22146302491996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6.5093333333333332</v>
      </c>
      <c r="N20" s="14">
        <f>IF('Données projet'!$A$36&gt;35,N19+M20-V19,IF(A20&lt;'Données projet'!$A$36,$K$205^A20,IF(A20='Données projet'!$A$36,'Données projet'!$B$36,N19+M20-V19)))</f>
        <v>19.862751121556158</v>
      </c>
      <c r="O20" s="14">
        <f>N20*VLOOKUP('Données projet'!$B$9,Paramètres!$A$1:$I$89,3,0)*VLOOKUP('Données projet'!$B$9,Paramètres!$A$1:$I$89,5,0)</f>
        <v>9.2957675248882818</v>
      </c>
      <c r="P20" s="14">
        <f t="shared" si="33"/>
        <v>3.3046762200446183</v>
      </c>
      <c r="Q20" s="22">
        <f t="shared" si="2"/>
        <v>21.945772855758133</v>
      </c>
      <c r="R20" s="62">
        <f t="shared" si="0"/>
        <v>315.27910618909146</v>
      </c>
      <c r="S20" s="62">
        <f ca="1">AVERAGE(OFFSET($R$3,0,0,'Données projet'!$E$9+1,1))-AVERAGE(OFFSET($H$3,0,0,'Données projet'!$E$9+1,1))</f>
        <v>219.48219097225825</v>
      </c>
      <c r="T20" s="62">
        <f t="shared" si="34"/>
        <v>168.03826591942982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18.600000000000001</v>
      </c>
      <c r="AI20" s="14">
        <f>IF('Données projet'!$A$62&gt;35,AI19+AH20-AQ19,IF(A20&lt;'Données projet'!$A$62,$AF$205^A20,IF(A20='Données projet'!$A$62,'Données projet'!$B$62,AI19+AH20-AQ19)))</f>
        <v>147.39999999999998</v>
      </c>
      <c r="AJ20" s="14">
        <f>AI20*VLOOKUP('Données projet'!$B$10,Paramètres!$A$1:$I$89,3,0)*VLOOKUP('Données projet'!$B$10,Paramètres!$A$1:$I$89,5,0)</f>
        <v>88.145199999999988</v>
      </c>
      <c r="AK20" s="14">
        <f t="shared" si="35"/>
        <v>24.117351189004136</v>
      </c>
      <c r="AL20" s="22">
        <f t="shared" si="4"/>
        <v>195.52394332084884</v>
      </c>
      <c r="AM20" s="62">
        <f t="shared" si="5"/>
        <v>488.85727665418216</v>
      </c>
      <c r="AN20" s="62">
        <f ca="1">AVERAGE(OFFSET($AM$3,0,0,'Données projet'!$E$10+1,1))-AVERAGE(OFFSET($H$3,0,0,'Données projet'!$E$10+1,1))</f>
        <v>155.60948448168716</v>
      </c>
      <c r="AO20" s="62">
        <f t="shared" si="36"/>
        <v>317.1378745393755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4.7395243974457886</v>
      </c>
      <c r="AX20" s="23">
        <f t="shared" si="6"/>
        <v>4.7395243974457886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21" s="12">
        <f t="shared" si="32"/>
        <v>3.177517729464268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93.16820703446102</v>
      </c>
      <c r="H21" s="70">
        <f t="shared" si="1"/>
        <v>314.35441004548358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6.5093333333333332</v>
      </c>
      <c r="N21" s="14">
        <f>IF('Données projet'!$A$36&gt;35,N20+M21-V20,IF(A21&lt;'Données projet'!$A$36,$K$205^A21,IF(A21='Données projet'!$A$36,'Données projet'!$B$36,N20+M21-V20)))</f>
        <v>23.680706755183994</v>
      </c>
      <c r="O21" s="14">
        <f>N21*VLOOKUP('Données projet'!$B$9,Paramètres!$A$1:$I$89,3,0)*VLOOKUP('Données projet'!$B$9,Paramètres!$A$1:$I$89,5,0)</f>
        <v>11.08257076142611</v>
      </c>
      <c r="P21" s="14">
        <f t="shared" si="33"/>
        <v>3.8600810362259259</v>
      </c>
      <c r="Q21" s="22">
        <f t="shared" si="2"/>
        <v>26.025118547577296</v>
      </c>
      <c r="R21" s="62">
        <f t="shared" si="0"/>
        <v>319.35845188091059</v>
      </c>
      <c r="S21" s="62">
        <f ca="1">AVERAGE(OFFSET($R$3,0,0,'Données projet'!$E$9+1,1))-AVERAGE(OFFSET($H$3,0,0,'Données projet'!$E$9+1,1))</f>
        <v>219.48219097225825</v>
      </c>
      <c r="T21" s="62">
        <f t="shared" si="34"/>
        <v>168.03826591942982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>
        <f>VLOOKUP(A21,'Données projet'!$A$61:$I$81,2,0)</f>
        <v>166</v>
      </c>
      <c r="AG21" s="13">
        <f>VLOOKUP(A21,'Données projet'!$A$61:$I$81,9,0)</f>
        <v>18.600000000000001</v>
      </c>
      <c r="AH21" s="13">
        <f t="array" ref="AH21">INDEX(AG:AG,MIN(IF(ISNUMBER(AG21:AG217),ROW(AG21:AG217),"")))</f>
        <v>18.600000000000001</v>
      </c>
      <c r="AI21" s="14">
        <f>IF('Données projet'!$A$62&gt;35,AI20+AH21-AQ20,IF(A21&lt;'Données projet'!$A$62,$AF$205^A21,IF(A21='Données projet'!$A$62,'Données projet'!$B$62,AI20+AH21-AQ20)))</f>
        <v>165.99999999999997</v>
      </c>
      <c r="AJ21" s="14">
        <f>AI21*VLOOKUP('Données projet'!$B$10,Paramètres!$A$1:$I$89,3,0)*VLOOKUP('Données projet'!$B$10,Paramètres!$A$1:$I$89,5,0)</f>
        <v>99.267999999999986</v>
      </c>
      <c r="AK21" s="14">
        <f t="shared" si="35"/>
        <v>26.78753414535981</v>
      </c>
      <c r="AL21" s="22">
        <f t="shared" si="4"/>
        <v>219.54672196983498</v>
      </c>
      <c r="AM21" s="62">
        <f t="shared" si="5"/>
        <v>512.88005530316832</v>
      </c>
      <c r="AN21" s="62">
        <f ca="1">AVERAGE(OFFSET($AM$3,0,0,'Données projet'!$E$10+1,1))-AVERAGE(OFFSET($H$3,0,0,'Données projet'!$E$10+1,1))</f>
        <v>155.60948448168716</v>
      </c>
      <c r="AO21" s="62">
        <f t="shared" si="36"/>
        <v>317.1378745393755</v>
      </c>
      <c r="AP21" s="16">
        <f>IF(ISNA(VLOOKUP(A21,'Données projet'!$A$61:$I$81,3,0)),0,VLOOKUP(A21,'Données projet'!$A$61:$I$81,3,0))</f>
        <v>2</v>
      </c>
      <c r="AQ21" s="16">
        <f>IF(ISNA(VLOOKUP(A21,'Données projet'!$A$61:$I$81,4,0)),0,VLOOKUP(A21,'Données projet'!$A$61:$I$81,4,0))</f>
        <v>40</v>
      </c>
      <c r="AR21" s="17">
        <f>IF(ISNA(VLOOKUP(A21,'Données projet'!$A$61:$I$81,5,0)),0%,VLOOKUP(A21,'Données projet'!$A$61:$I$81,5,0)*VLOOKUP('Données projet'!$B$10,Paramètres!$A$1:$I$89,7,0))</f>
        <v>0.1125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0.75</v>
      </c>
      <c r="AU21" s="23">
        <f>EXP(-LN(2)/35)*AU20+(1-EXP(-LN(2)/35))/(LN(2)/35)*AQ21*AR21*VLOOKUP('Données projet'!$B$10,Paramètres!$A$1:$I$89,3,0)*0.475*44/12</f>
        <v>3.5697849495878025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23.663597258657802</v>
      </c>
      <c r="AX21" s="23">
        <f t="shared" si="6"/>
        <v>27.233382208245605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9.3859999999999992</v>
      </c>
      <c r="D22" s="12">
        <f t="shared" si="32"/>
        <v>3.3330043367174276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98.181787862380133</v>
      </c>
      <c r="H22" s="70">
        <f t="shared" si="1"/>
        <v>315.48559921978284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6.5093333333333332</v>
      </c>
      <c r="N22" s="14">
        <f>IF('Données projet'!$A$36&gt;35,N21+M22-V21,IF(A22&lt;'Données projet'!$A$36,$K$205^A22,IF(A22='Données projet'!$A$36,'Données projet'!$B$36,N21+M22-V21)))</f>
        <v>28.232537828882712</v>
      </c>
      <c r="O22" s="14">
        <f>N22*VLOOKUP('Données projet'!$B$9,Paramètres!$A$1:$I$89,3,0)*VLOOKUP('Données projet'!$B$9,Paramètres!$A$1:$I$89,5,0)</f>
        <v>13.21282770391711</v>
      </c>
      <c r="P22" s="14">
        <f t="shared" si="33"/>
        <v>4.5088307035506903</v>
      </c>
      <c r="Q22" s="22">
        <f t="shared" si="2"/>
        <v>30.865221726339751</v>
      </c>
      <c r="R22" s="62">
        <f t="shared" si="0"/>
        <v>324.19855505967308</v>
      </c>
      <c r="S22" s="62">
        <f ca="1">AVERAGE(OFFSET($R$3,0,0,'Données projet'!$E$9+1,1))-AVERAGE(OFFSET($H$3,0,0,'Données projet'!$E$9+1,1))</f>
        <v>219.48219097225825</v>
      </c>
      <c r="T22" s="62">
        <f t="shared" si="34"/>
        <v>168.03826591942982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17.8</v>
      </c>
      <c r="AI22" s="14">
        <f>IF('Données projet'!$A$62&gt;35,AI21+AH22-AQ21,IF(A22&lt;'Données projet'!$A$62,$AF$205^A22,IF(A22='Données projet'!$A$62,'Données projet'!$B$62,AI21+AH22-AQ21)))</f>
        <v>143.79999999999998</v>
      </c>
      <c r="AJ22" s="14">
        <f>AI22*VLOOKUP('Données projet'!$B$10,Paramètres!$A$1:$I$89,3,0)*VLOOKUP('Données projet'!$B$10,Paramètres!$A$1:$I$89,5,0)</f>
        <v>85.992400000000004</v>
      </c>
      <c r="AK22" s="14">
        <f t="shared" si="35"/>
        <v>23.596141005324462</v>
      </c>
      <c r="AL22" s="22">
        <f t="shared" si="4"/>
        <v>190.86670891760676</v>
      </c>
      <c r="AM22" s="62">
        <f t="shared" si="5"/>
        <v>484.2000422509401</v>
      </c>
      <c r="AN22" s="62">
        <f ca="1">AVERAGE(OFFSET($AM$3,0,0,'Données projet'!$E$10+1,1))-AVERAGE(OFFSET($H$3,0,0,'Données projet'!$E$10+1,1))</f>
        <v>155.60948448168716</v>
      </c>
      <c r="AO22" s="62">
        <f t="shared" si="36"/>
        <v>317.1378745393755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3.499783644080209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16.732690088864331</v>
      </c>
      <c r="AX22" s="23">
        <f t="shared" si="6"/>
        <v>20.232473732944541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9.879999999999999</v>
      </c>
      <c r="D23" s="12">
        <f t="shared" si="32"/>
        <v>3.4875408327380875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103.1880344983291</v>
      </c>
      <c r="H23" s="70">
        <f t="shared" si="1"/>
        <v>316.61513361701884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6.5093333333333332</v>
      </c>
      <c r="N23" s="14">
        <f>IF('Données projet'!$A$36&gt;35,N22+M23-V22,IF(A23&lt;'Données projet'!$A$36,$K$205^A23,IF(A23='Données projet'!$A$36,'Données projet'!$B$36,N22+M23-V22)))</f>
        <v>33.659307574711804</v>
      </c>
      <c r="O23" s="14">
        <f>N23*VLOOKUP('Données projet'!$B$9,Paramètres!$A$1:$I$89,3,0)*VLOOKUP('Données projet'!$B$9,Paramètres!$A$1:$I$89,5,0)</f>
        <v>15.752555944965124</v>
      </c>
      <c r="P23" s="14">
        <f t="shared" si="33"/>
        <v>5.2666133489150813</v>
      </c>
      <c r="Q23" s="22">
        <f t="shared" si="2"/>
        <v>36.608386520174683</v>
      </c>
      <c r="R23" s="62">
        <f t="shared" si="0"/>
        <v>329.941719853508</v>
      </c>
      <c r="S23" s="62">
        <f ca="1">AVERAGE(OFFSET($R$3,0,0,'Données projet'!$E$9+1,1))-AVERAGE(OFFSET($H$3,0,0,'Données projet'!$E$9+1,1))</f>
        <v>219.48219097225825</v>
      </c>
      <c r="T23" s="62">
        <f t="shared" si="34"/>
        <v>168.03826591942982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17.8</v>
      </c>
      <c r="AI23" s="14">
        <f>IF('Données projet'!$A$62&gt;35,AI22+AH23-AQ22,IF(A23&lt;'Données projet'!$A$62,$AF$205^A23,IF(A23='Données projet'!$A$62,'Données projet'!$B$62,AI22+AH23-AQ22)))</f>
        <v>161.6</v>
      </c>
      <c r="AJ23" s="14">
        <f>AI23*VLOOKUP('Données projet'!$B$10,Paramètres!$A$1:$I$89,3,0)*VLOOKUP('Données projet'!$B$10,Paramètres!$A$1:$I$89,5,0)</f>
        <v>96.636800000000008</v>
      </c>
      <c r="AK23" s="14">
        <f t="shared" si="35"/>
        <v>26.159173215164081</v>
      </c>
      <c r="AL23" s="22">
        <f t="shared" si="4"/>
        <v>213.86965334974411</v>
      </c>
      <c r="AM23" s="62">
        <f t="shared" si="5"/>
        <v>507.20298668307743</v>
      </c>
      <c r="AN23" s="62">
        <f ca="1">AVERAGE(OFFSET($AM$3,0,0,'Données projet'!$E$10+1,1))-AVERAGE(OFFSET($H$3,0,0,'Données projet'!$E$10+1,1))</f>
        <v>155.60948448168716</v>
      </c>
      <c r="AO23" s="62">
        <f t="shared" si="36"/>
        <v>317.1378745393755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3.4311550214770392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11.831798629328903</v>
      </c>
      <c r="AX23" s="23">
        <f t="shared" si="6"/>
        <v>15.262953650805942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10.373999999999999</v>
      </c>
      <c r="D24" s="12">
        <f t="shared" si="32"/>
        <v>3.6411801438697711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108.18735549653859</v>
      </c>
      <c r="H24" s="70">
        <f t="shared" si="1"/>
        <v>317.7431054172398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6.5093333333333332</v>
      </c>
      <c r="N24" s="14">
        <f>IF('Données projet'!$A$36&gt;35,N23+M24-V23,IF(A24&lt;'Données projet'!$A$36,$K$205^A24,IF(A24='Données projet'!$A$36,'Données projet'!$B$36,N23+M24-V23)))</f>
        <v>40.129193956131395</v>
      </c>
      <c r="O24" s="14">
        <f>N24*VLOOKUP('Données projet'!$B$9,Paramètres!$A$1:$I$89,3,0)*VLOOKUP('Données projet'!$B$9,Paramètres!$A$1:$I$89,5,0)</f>
        <v>18.780462771469494</v>
      </c>
      <c r="P24" s="14">
        <f t="shared" si="33"/>
        <v>6.1517537451844344</v>
      </c>
      <c r="Q24" s="22">
        <f t="shared" si="2"/>
        <v>43.423610433172257</v>
      </c>
      <c r="R24" s="62">
        <f t="shared" si="0"/>
        <v>336.75694376650557</v>
      </c>
      <c r="S24" s="62">
        <f ca="1">AVERAGE(OFFSET($R$3,0,0,'Données projet'!$E$9+1,1))-AVERAGE(OFFSET($H$3,0,0,'Données projet'!$E$9+1,1))</f>
        <v>219.48219097225825</v>
      </c>
      <c r="T24" s="62">
        <f t="shared" si="34"/>
        <v>168.03826591942982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17.8</v>
      </c>
      <c r="AI24" s="14">
        <f>IF('Données projet'!$A$62&gt;35,AI23+AH24-AQ23,IF(A24&lt;'Données projet'!$A$62,$AF$205^A24,IF(A24='Données projet'!$A$62,'Données projet'!$B$62,AI23+AH24-AQ23)))</f>
        <v>179.4</v>
      </c>
      <c r="AJ24" s="14">
        <f>AI24*VLOOKUP('Données projet'!$B$10,Paramètres!$A$1:$I$89,3,0)*VLOOKUP('Données projet'!$B$10,Paramètres!$A$1:$I$89,5,0)</f>
        <v>107.2812</v>
      </c>
      <c r="AK24" s="14">
        <f t="shared" si="35"/>
        <v>28.68948404302737</v>
      </c>
      <c r="AL24" s="22">
        <f t="shared" si="4"/>
        <v>236.81560804160597</v>
      </c>
      <c r="AM24" s="62">
        <f t="shared" si="5"/>
        <v>530.14894137493934</v>
      </c>
      <c r="AN24" s="62">
        <f ca="1">AVERAGE(OFFSET($AM$3,0,0,'Données projet'!$E$10+1,1))-AVERAGE(OFFSET($H$3,0,0,'Données projet'!$E$10+1,1))</f>
        <v>155.60948448168716</v>
      </c>
      <c r="AO24" s="62">
        <f t="shared" si="36"/>
        <v>317.1378745393755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3.3638721643037908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8.3663450444321654</v>
      </c>
      <c r="AX24" s="23">
        <f t="shared" si="6"/>
        <v>11.730217208735956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10.867999999999999</v>
      </c>
      <c r="D25" s="12">
        <f t="shared" si="32"/>
        <v>3.7939698710293386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113.18011830268262</v>
      </c>
      <c r="H25" s="70">
        <f t="shared" si="1"/>
        <v>318.86959752537609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6.5093333333333332</v>
      </c>
      <c r="N25" s="14">
        <f>IF('Données projet'!$A$36&gt;35,N24+M25-V24,IF(A25&lt;'Données projet'!$A$36,$K$205^A25,IF(A25='Données projet'!$A$36,'Données projet'!$B$36,N24+M25-V24)))</f>
        <v>47.84270157650743</v>
      </c>
      <c r="O25" s="14">
        <f>N25*VLOOKUP('Données projet'!$B$9,Paramètres!$A$1:$I$89,3,0)*VLOOKUP('Données projet'!$B$9,Paramètres!$A$1:$I$89,5,0)</f>
        <v>22.390384337805479</v>
      </c>
      <c r="P25" s="14">
        <f t="shared" si="33"/>
        <v>7.1856564426144116</v>
      </c>
      <c r="Q25" s="22">
        <f t="shared" si="2"/>
        <v>51.511604359231313</v>
      </c>
      <c r="R25" s="62">
        <f t="shared" si="0"/>
        <v>344.8449376925646</v>
      </c>
      <c r="S25" s="62">
        <f ca="1">AVERAGE(OFFSET($R$3,0,0,'Données projet'!$E$9+1,1))-AVERAGE(OFFSET($H$3,0,0,'Données projet'!$E$9+1,1))</f>
        <v>219.48219097225825</v>
      </c>
      <c r="T25" s="62">
        <f t="shared" si="34"/>
        <v>168.03826591942982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17.8</v>
      </c>
      <c r="AI25" s="14">
        <f>IF('Données projet'!$A$62&gt;35,AI24+AH25-AQ24,IF(A25&lt;'Données projet'!$A$62,$AF$205^A25,IF(A25='Données projet'!$A$62,'Données projet'!$B$62,AI24+AH25-AQ24)))</f>
        <v>197.20000000000002</v>
      </c>
      <c r="AJ25" s="14">
        <f>AI25*VLOOKUP('Données projet'!$B$10,Paramètres!$A$1:$I$89,3,0)*VLOOKUP('Données projet'!$B$10,Paramètres!$A$1:$I$89,5,0)</f>
        <v>117.92560000000003</v>
      </c>
      <c r="AK25" s="14">
        <f t="shared" si="35"/>
        <v>31.190689636070587</v>
      </c>
      <c r="AL25" s="22">
        <f t="shared" si="4"/>
        <v>259.71087111615634</v>
      </c>
      <c r="AM25" s="62">
        <f t="shared" si="5"/>
        <v>553.0442044494896</v>
      </c>
      <c r="AN25" s="62">
        <f ca="1">AVERAGE(OFFSET($AM$3,0,0,'Données projet'!$E$10+1,1))-AVERAGE(OFFSET($H$3,0,0,'Données projet'!$E$10+1,1))</f>
        <v>155.60948448168716</v>
      </c>
      <c r="AO25" s="62">
        <f t="shared" si="36"/>
        <v>317.1378745393755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3.2979086829212192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5.9158993146644514</v>
      </c>
      <c r="AX25" s="23">
        <f t="shared" si="6"/>
        <v>9.2138079975856702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11.361999999999998</v>
      </c>
      <c r="D26" s="12">
        <f t="shared" si="32"/>
        <v>3.945953043168259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118.16665507007077</v>
      </c>
      <c r="H26" s="70">
        <f t="shared" si="1"/>
        <v>319.994684883518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6.5093333333333332</v>
      </c>
      <c r="N26" s="14">
        <f>IF('Données projet'!$A$36&gt;35,N25+M26-V25,IF(A26&lt;'Données projet'!$A$36,$K$205^A26,IF(A26='Données projet'!$A$36,'Données projet'!$B$36,N25+M26-V25)))</f>
        <v>57.038875404299468</v>
      </c>
      <c r="O26" s="14">
        <f>N26*VLOOKUP('Données projet'!$B$9,Paramètres!$A$1:$I$89,3,0)*VLOOKUP('Données projet'!$B$9,Paramètres!$A$1:$I$89,5,0)</f>
        <v>26.694193689212153</v>
      </c>
      <c r="P26" s="14">
        <f t="shared" si="33"/>
        <v>8.3933233757454229</v>
      </c>
      <c r="Q26" s="22">
        <f t="shared" si="2"/>
        <v>61.110758888134434</v>
      </c>
      <c r="R26" s="62">
        <f t="shared" si="0"/>
        <v>354.44409222146777</v>
      </c>
      <c r="S26" s="62">
        <f ca="1">AVERAGE(OFFSET($R$3,0,0,'Données projet'!$E$9+1,1))-AVERAGE(OFFSET($H$3,0,0,'Données projet'!$E$9+1,1))</f>
        <v>219.48219097225825</v>
      </c>
      <c r="T26" s="62">
        <f t="shared" si="34"/>
        <v>168.03826591942982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>
        <f>VLOOKUP(A26,'Données projet'!$A$61:$I$81,2,0)</f>
        <v>215</v>
      </c>
      <c r="AG26" s="13">
        <f>VLOOKUP(A26,'Données projet'!$A$61:$I$81,9,0)</f>
        <v>17.8</v>
      </c>
      <c r="AH26" s="13">
        <f t="array" ref="AH26">INDEX(AG:AG,MIN(IF(ISNUMBER(AG26:AG222),ROW(AG26:AG222),"")))</f>
        <v>17.8</v>
      </c>
      <c r="AI26" s="14">
        <f>IF('Données projet'!$A$62&gt;35,AI25+AH26-AQ25,IF(A26&lt;'Données projet'!$A$62,$AF$205^A26,IF(A26='Données projet'!$A$62,'Données projet'!$B$62,AI25+AH26-AQ25)))</f>
        <v>215.00000000000003</v>
      </c>
      <c r="AJ26" s="14">
        <f>AI26*VLOOKUP('Données projet'!$B$10,Paramètres!$A$1:$I$89,3,0)*VLOOKUP('Données projet'!$B$10,Paramètres!$A$1:$I$89,5,0)</f>
        <v>128.57000000000002</v>
      </c>
      <c r="AK26" s="14">
        <f t="shared" si="35"/>
        <v>33.665715905233277</v>
      </c>
      <c r="AL26" s="22">
        <f t="shared" si="4"/>
        <v>282.56053853494797</v>
      </c>
      <c r="AM26" s="62">
        <f t="shared" si="5"/>
        <v>575.89387186828128</v>
      </c>
      <c r="AN26" s="62">
        <f ca="1">AVERAGE(OFFSET($AM$3,0,0,'Données projet'!$E$10+1,1))-AVERAGE(OFFSET($H$3,0,0,'Données projet'!$E$10+1,1))</f>
        <v>155.60948448168716</v>
      </c>
      <c r="AO26" s="62">
        <f t="shared" si="36"/>
        <v>317.1378745393755</v>
      </c>
      <c r="AP26" s="16">
        <f>IF(ISNA(VLOOKUP(A26,'Données projet'!$A$61:$I$81,3,0)),0,VLOOKUP(A26,'Données projet'!$A$61:$I$81,3,0))</f>
        <v>3</v>
      </c>
      <c r="AQ26" s="16">
        <f>IF(ISNA(VLOOKUP(A26,'Données projet'!$A$61:$I$81,4,0)),0,VLOOKUP(A26,'Données projet'!$A$61:$I$81,4,0))</f>
        <v>52</v>
      </c>
      <c r="AR26" s="17">
        <f>IF(ISNA(VLOOKUP(A26,'Données projet'!$A$61:$I$81,5,0)),0%,VLOOKUP(A26,'Données projet'!$A$61:$I$81,5,0)*VLOOKUP('Données projet'!$B$10,Paramètres!$A$1:$I$89,7,0))</f>
        <v>0.22500000000000001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0.5</v>
      </c>
      <c r="AU26" s="23">
        <f>EXP(-LN(2)/35)*AU25+(1-EXP(-LN(2)/35))/(LN(2)/35)*AQ26*AR26*VLOOKUP('Données projet'!$B$10,Paramètres!$A$1:$I$89,3,0)*0.475*44/12</f>
        <v>12.514679574103097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21.787120284157577</v>
      </c>
      <c r="AX26" s="23">
        <f t="shared" si="6"/>
        <v>34.301799858260672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11.855999999999998</v>
      </c>
      <c r="D27" s="12">
        <f t="shared" si="32"/>
        <v>4.0971687359996993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123.14726743578713</v>
      </c>
      <c r="H27" s="70">
        <f t="shared" si="1"/>
        <v>321.11843554853277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6.5093333333333332</v>
      </c>
      <c r="N27" s="14">
        <f>IF('Données projet'!$A$36&gt;35,N26+M27-V26,IF(A27&lt;'Données projet'!$A$36,$K$205^A27,IF(A27='Données projet'!$A$36,'Données projet'!$B$36,N26+M27-V26)))</f>
        <v>68.002708880987569</v>
      </c>
      <c r="O27" s="14">
        <f>N27*VLOOKUP('Données projet'!$B$9,Paramètres!$A$1:$I$89,3,0)*VLOOKUP('Données projet'!$B$9,Paramètres!$A$1:$I$89,5,0)</f>
        <v>31.825267756302182</v>
      </c>
      <c r="P27" s="14">
        <f t="shared" si="33"/>
        <v>9.803958462590094</v>
      </c>
      <c r="Q27" s="22">
        <f t="shared" si="2"/>
        <v>72.504235664570714</v>
      </c>
      <c r="R27" s="62">
        <f t="shared" si="0"/>
        <v>365.83756899790404</v>
      </c>
      <c r="S27" s="62">
        <f ca="1">AVERAGE(OFFSET($R$3,0,0,'Données projet'!$E$9+1,1))-AVERAGE(OFFSET($H$3,0,0,'Données projet'!$E$9+1,1))</f>
        <v>219.48219097225825</v>
      </c>
      <c r="T27" s="62">
        <f t="shared" si="34"/>
        <v>168.03826591942982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15.142857142857142</v>
      </c>
      <c r="AI27" s="14">
        <f>IF('Données projet'!$A$62&gt;35,AI26+AH27-AQ26,IF(A27&lt;'Données projet'!$A$62,$AF$205^A27,IF(A27='Données projet'!$A$62,'Données projet'!$B$62,AI26+AH27-AQ26)))</f>
        <v>178.14285714285717</v>
      </c>
      <c r="AJ27" s="14">
        <f>AI27*VLOOKUP('Données projet'!$B$10,Paramètres!$A$1:$I$89,3,0)*VLOOKUP('Données projet'!$B$10,Paramètres!$A$1:$I$89,5,0)</f>
        <v>106.5294285714286</v>
      </c>
      <c r="AK27" s="14">
        <f t="shared" si="35"/>
        <v>28.511771457031461</v>
      </c>
      <c r="AL27" s="22">
        <f t="shared" si="4"/>
        <v>235.19675671623455</v>
      </c>
      <c r="AM27" s="62">
        <f t="shared" si="5"/>
        <v>528.53009004956789</v>
      </c>
      <c r="AN27" s="62">
        <f ca="1">AVERAGE(OFFSET($AM$3,0,0,'Données projet'!$E$10+1,1))-AVERAGE(OFFSET($H$3,0,0,'Données projet'!$E$10+1,1))</f>
        <v>155.60948448168716</v>
      </c>
      <c r="AO27" s="62">
        <f t="shared" si="36"/>
        <v>317.1378745393755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12.269274340855759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15.405820495454805</v>
      </c>
      <c r="AX27" s="23">
        <f t="shared" si="6"/>
        <v>27.675094836310564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12.349999999999998</v>
      </c>
      <c r="D28" s="12">
        <f t="shared" si="32"/>
        <v>4.2476525846986481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128.12223047837551</v>
      </c>
      <c r="H28" s="70">
        <f t="shared" si="1"/>
        <v>322.24091158501676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6.5093333333333332</v>
      </c>
      <c r="N28" s="14">
        <f>IF('Données projet'!$A$36&gt;35,N27+M28-V27,IF(A28&lt;'Données projet'!$A$36,$K$205^A28,IF(A28='Données projet'!$A$36,'Données projet'!$B$36,N27+M28-V27)))</f>
        <v>81.073975992236512</v>
      </c>
      <c r="O28" s="14">
        <f>N28*VLOOKUP('Données projet'!$B$9,Paramètres!$A$1:$I$89,3,0)*VLOOKUP('Données projet'!$B$9,Paramètres!$A$1:$I$89,5,0)</f>
        <v>37.942620764366687</v>
      </c>
      <c r="P28" s="14">
        <f t="shared" si="33"/>
        <v>11.451673816589436</v>
      </c>
      <c r="Q28" s="22">
        <f t="shared" si="2"/>
        <v>86.028396395165245</v>
      </c>
      <c r="R28" s="62">
        <f t="shared" si="0"/>
        <v>379.36172972849857</v>
      </c>
      <c r="S28" s="62">
        <f ca="1">AVERAGE(OFFSET($R$3,0,0,'Données projet'!$E$9+1,1))-AVERAGE(OFFSET($H$3,0,0,'Données projet'!$E$9+1,1))</f>
        <v>219.48219097225825</v>
      </c>
      <c r="T28" s="62">
        <f t="shared" si="34"/>
        <v>168.03826591942982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15.142857142857142</v>
      </c>
      <c r="AI28" s="14">
        <f>IF('Données projet'!$A$62&gt;35,AI27+AH28-AQ27,IF(A28&lt;'Données projet'!$A$62,$AF$205^A28,IF(A28='Données projet'!$A$62,'Données projet'!$B$62,AI27+AH28-AQ27)))</f>
        <v>193.28571428571431</v>
      </c>
      <c r="AJ28" s="14">
        <f>AI28*VLOOKUP('Données projet'!$B$10,Paramètres!$A$1:$I$89,3,0)*VLOOKUP('Données projet'!$B$10,Paramètres!$A$1:$I$89,5,0)</f>
        <v>115.58485714285716</v>
      </c>
      <c r="AK28" s="14">
        <f t="shared" si="35"/>
        <v>30.643003864758004</v>
      </c>
      <c r="AL28" s="22">
        <f t="shared" si="4"/>
        <v>254.68019125492972</v>
      </c>
      <c r="AM28" s="62">
        <f t="shared" si="5"/>
        <v>548.01352458826307</v>
      </c>
      <c r="AN28" s="62">
        <f ca="1">AVERAGE(OFFSET($AM$3,0,0,'Données projet'!$E$10+1,1))-AVERAGE(OFFSET($H$3,0,0,'Données projet'!$E$10+1,1))</f>
        <v>155.60948448168716</v>
      </c>
      <c r="AO28" s="62">
        <f t="shared" si="36"/>
        <v>317.1378745393755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12.02868135454999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10.89356014207879</v>
      </c>
      <c r="AX28" s="23">
        <f t="shared" si="6"/>
        <v>22.922241496628779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12.843999999999998</v>
      </c>
      <c r="D29" s="12">
        <f t="shared" si="32"/>
        <v>4.3974372122609191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133.09179602447026</v>
      </c>
      <c r="H29" s="70">
        <f t="shared" si="1"/>
        <v>323.36216981135442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6.5093333333333332</v>
      </c>
      <c r="N29" s="14">
        <f>IF('Données projet'!$A$36&gt;35,N28+M29-V28,IF(A29&lt;'Données projet'!$A$36,$K$205^A29,IF(A29='Données projet'!$A$36,'Données projet'!$B$36,N28+M29-V28)))</f>
        <v>96.657761012038762</v>
      </c>
      <c r="O29" s="14">
        <f>N29*VLOOKUP('Données projet'!$B$9,Paramètres!$A$1:$I$89,3,0)*VLOOKUP('Données projet'!$B$9,Paramètres!$A$1:$I$89,5,0)</f>
        <v>45.235832153634135</v>
      </c>
      <c r="P29" s="14">
        <f t="shared" si="33"/>
        <v>13.376314649023318</v>
      </c>
      <c r="Q29" s="22">
        <f t="shared" si="2"/>
        <v>102.08282234796172</v>
      </c>
      <c r="R29" s="62">
        <f t="shared" si="0"/>
        <v>395.41615568129504</v>
      </c>
      <c r="S29" s="62">
        <f ca="1">AVERAGE(OFFSET($R$3,0,0,'Données projet'!$E$9+1,1))-AVERAGE(OFFSET($H$3,0,0,'Données projet'!$E$9+1,1))</f>
        <v>219.48219097225825</v>
      </c>
      <c r="T29" s="62">
        <f t="shared" si="34"/>
        <v>168.03826591942982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15.142857142857142</v>
      </c>
      <c r="AI29" s="14">
        <f>IF('Données projet'!$A$62&gt;35,AI28+AH29-AQ28,IF(A29&lt;'Données projet'!$A$62,$AF$205^A29,IF(A29='Données projet'!$A$62,'Données projet'!$B$62,AI28+AH29-AQ28)))</f>
        <v>208.42857142857144</v>
      </c>
      <c r="AJ29" s="14">
        <f>AI29*VLOOKUP('Données projet'!$B$10,Paramètres!$A$1:$I$89,3,0)*VLOOKUP('Données projet'!$B$10,Paramètres!$A$1:$I$89,5,0)</f>
        <v>124.64028571428574</v>
      </c>
      <c r="AK29" s="14">
        <f t="shared" si="35"/>
        <v>32.754868392894572</v>
      </c>
      <c r="AL29" s="22">
        <f t="shared" si="4"/>
        <v>274.129893403339</v>
      </c>
      <c r="AM29" s="62">
        <f t="shared" si="5"/>
        <v>567.46322673667237</v>
      </c>
      <c r="AN29" s="62">
        <f ca="1">AVERAGE(OFFSET($AM$3,0,0,'Données projet'!$E$10+1,1))-AVERAGE(OFFSET($H$3,0,0,'Données projet'!$E$10+1,1))</f>
        <v>155.60948448168716</v>
      </c>
      <c r="AO29" s="62">
        <f t="shared" si="36"/>
        <v>317.1378745393755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11.792806249958446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7.7029102477274032</v>
      </c>
      <c r="AX29" s="23">
        <f t="shared" si="6"/>
        <v>19.495716497685848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13.337999999999997</v>
      </c>
      <c r="D30" s="12">
        <f t="shared" si="32"/>
        <v>4.5465525901071517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138.05619543240607</v>
      </c>
      <c r="H30" s="70">
        <f t="shared" si="1"/>
        <v>324.48226242776991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6.5093333333333332</v>
      </c>
      <c r="N30" s="14">
        <f>IF('Données projet'!$A$36&gt;35,N29+M30-V29,IF(A30&lt;'Données projet'!$A$36,$K$205^A30,IF(A30='Données projet'!$A$36,'Données projet'!$B$36,N29+M30-V29)))</f>
        <v>115.23701224120353</v>
      </c>
      <c r="O30" s="14">
        <f>N30*VLOOKUP('Données projet'!$B$9,Paramètres!$A$1:$I$89,3,0)*VLOOKUP('Données projet'!$B$9,Paramètres!$A$1:$I$89,5,0)</f>
        <v>53.930921728883256</v>
      </c>
      <c r="P30" s="14">
        <f t="shared" si="33"/>
        <v>15.624422809744679</v>
      </c>
      <c r="Q30" s="22">
        <f t="shared" si="2"/>
        <v>121.14222507144363</v>
      </c>
      <c r="R30" s="62">
        <f t="shared" si="0"/>
        <v>414.47555840477696</v>
      </c>
      <c r="S30" s="62">
        <f ca="1">AVERAGE(OFFSET($R$3,0,0,'Données projet'!$E$9+1,1))-AVERAGE(OFFSET($H$3,0,0,'Données projet'!$E$9+1,1))</f>
        <v>219.48219097225825</v>
      </c>
      <c r="T30" s="62">
        <f t="shared" si="34"/>
        <v>168.03826591942982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15.142857142857142</v>
      </c>
      <c r="AI30" s="14">
        <f>IF('Données projet'!$A$62&gt;35,AI29+AH30-AQ29,IF(A30&lt;'Données projet'!$A$62,$AF$205^A30,IF(A30='Données projet'!$A$62,'Données projet'!$B$62,AI29+AH30-AQ29)))</f>
        <v>223.57142857142858</v>
      </c>
      <c r="AJ30" s="14">
        <f>AI30*VLOOKUP('Données projet'!$B$10,Paramètres!$A$1:$I$89,3,0)*VLOOKUP('Données projet'!$B$10,Paramètres!$A$1:$I$89,5,0)</f>
        <v>133.6957142857143</v>
      </c>
      <c r="AK30" s="14">
        <f t="shared" si="35"/>
        <v>34.848932189999701</v>
      </c>
      <c r="AL30" s="22">
        <f t="shared" si="4"/>
        <v>293.54859261186851</v>
      </c>
      <c r="AM30" s="62">
        <f t="shared" si="5"/>
        <v>586.88192594520183</v>
      </c>
      <c r="AN30" s="62">
        <f ca="1">AVERAGE(OFFSET($AM$3,0,0,'Données projet'!$E$10+1,1))-AVERAGE(OFFSET($H$3,0,0,'Données projet'!$E$10+1,1))</f>
        <v>155.60948448168716</v>
      </c>
      <c r="AO30" s="62">
        <f t="shared" si="36"/>
        <v>317.1378745393755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11.561556512298333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5.4467800710393961</v>
      </c>
      <c r="AX30" s="23">
        <f t="shared" si="6"/>
        <v>17.00833658333773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13.831999999999997</v>
      </c>
      <c r="D31" s="12">
        <f t="shared" si="32"/>
        <v>4.6950263437621773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143.01564195184838</v>
      </c>
      <c r="H31" s="70">
        <f t="shared" si="1"/>
        <v>325.6012375487191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6.5093333333333332</v>
      </c>
      <c r="N31" s="14">
        <f>IF('Données projet'!$A$36&gt;35,N30+M31-V30,IF(A31&lt;'Données projet'!$A$36,$K$205^A31,IF(A31='Données projet'!$A$36,'Données projet'!$B$36,N30+M31-V30)))</f>
        <v>137.38750878602823</v>
      </c>
      <c r="O31" s="14">
        <f>N31*VLOOKUP('Données projet'!$B$9,Paramètres!$A$1:$I$89,3,0)*VLOOKUP('Données projet'!$B$9,Paramètres!$A$1:$I$89,5,0)</f>
        <v>64.29735411186121</v>
      </c>
      <c r="P31" s="14">
        <f t="shared" si="33"/>
        <v>18.250362266672195</v>
      </c>
      <c r="Q31" s="22">
        <f t="shared" si="2"/>
        <v>143.77060602594568</v>
      </c>
      <c r="R31" s="62">
        <f t="shared" si="0"/>
        <v>437.10393935927902</v>
      </c>
      <c r="S31" s="62">
        <f ca="1">AVERAGE(OFFSET($R$3,0,0,'Données projet'!$E$9+1,1))-AVERAGE(OFFSET($H$3,0,0,'Données projet'!$E$9+1,1))</f>
        <v>219.48219097225825</v>
      </c>
      <c r="T31" s="62">
        <f t="shared" si="34"/>
        <v>168.03826591942982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15.142857142857142</v>
      </c>
      <c r="AI31" s="14">
        <f>IF('Données projet'!$A$62&gt;35,AI30+AH31-AQ30,IF(A31&lt;'Données projet'!$A$62,$AF$205^A31,IF(A31='Données projet'!$A$62,'Données projet'!$B$62,AI30+AH31-AQ30)))</f>
        <v>238.71428571428572</v>
      </c>
      <c r="AJ31" s="14">
        <f>AI31*VLOOKUP('Données projet'!$B$10,Paramètres!$A$1:$I$89,3,0)*VLOOKUP('Données projet'!$B$10,Paramètres!$A$1:$I$89,5,0)</f>
        <v>142.75114285714287</v>
      </c>
      <c r="AK31" s="14">
        <f t="shared" si="35"/>
        <v>36.926538099571019</v>
      </c>
      <c r="AL31" s="22">
        <f t="shared" si="4"/>
        <v>312.93862766627666</v>
      </c>
      <c r="AM31" s="62">
        <f t="shared" si="5"/>
        <v>606.27196099960997</v>
      </c>
      <c r="AN31" s="62">
        <f ca="1">AVERAGE(OFFSET($AM$3,0,0,'Données projet'!$E$10+1,1))-AVERAGE(OFFSET($H$3,0,0,'Données projet'!$E$10+1,1))</f>
        <v>155.60948448168716</v>
      </c>
      <c r="AO31" s="62">
        <f t="shared" si="36"/>
        <v>317.1378745393755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11.334841440945322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3.8514551238637025</v>
      </c>
      <c r="AX31" s="23">
        <f t="shared" si="6"/>
        <v>15.186296564809025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14.325999999999997</v>
      </c>
      <c r="D32" s="12">
        <f t="shared" si="32"/>
        <v>4.8428840136387867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147.9703327368608</v>
      </c>
      <c r="H32" s="70">
        <f t="shared" si="1"/>
        <v>326.71913965708751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6.5093333333333332</v>
      </c>
      <c r="N32" s="14">
        <f>IF('Données projet'!$A$36&gt;35,N31+M32-V31,IF(A32&lt;'Données projet'!$A$36,$K$205^A32,IF(A32='Données projet'!$A$36,'Données projet'!$B$36,N31+M32-V31)))</f>
        <v>163.79570420415698</v>
      </c>
      <c r="O32" s="14">
        <f>N32*VLOOKUP('Données projet'!$B$9,Paramètres!$A$1:$I$89,3,0)*VLOOKUP('Données projet'!$B$9,Paramètres!$A$1:$I$89,5,0)</f>
        <v>76.65638956754546</v>
      </c>
      <c r="P32" s="14">
        <f t="shared" si="33"/>
        <v>21.317633740494983</v>
      </c>
      <c r="Q32" s="22">
        <f t="shared" si="2"/>
        <v>170.63809059483708</v>
      </c>
      <c r="R32" s="62">
        <f t="shared" si="0"/>
        <v>463.9714239281704</v>
      </c>
      <c r="S32" s="62">
        <f ca="1">AVERAGE(OFFSET($R$3,0,0,'Données projet'!$E$9+1,1))-AVERAGE(OFFSET($H$3,0,0,'Données projet'!$E$9+1,1))</f>
        <v>219.48219097225825</v>
      </c>
      <c r="T32" s="62">
        <f t="shared" si="34"/>
        <v>168.03826591942982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15.142857142857142</v>
      </c>
      <c r="AI32" s="14">
        <f>IF('Données projet'!$A$62&gt;35,AI31+AH32-AQ31,IF(A32&lt;'Données projet'!$A$62,$AF$205^A32,IF(A32='Données projet'!$A$62,'Données projet'!$B$62,AI31+AH32-AQ31)))</f>
        <v>253.85714285714286</v>
      </c>
      <c r="AJ32" s="14">
        <f>AI32*VLOOKUP('Données projet'!$B$10,Paramètres!$A$1:$I$89,3,0)*VLOOKUP('Données projet'!$B$10,Paramètres!$A$1:$I$89,5,0)</f>
        <v>151.80657142857146</v>
      </c>
      <c r="AK32" s="14">
        <f t="shared" si="35"/>
        <v>38.988848967460292</v>
      </c>
      <c r="AL32" s="22">
        <f t="shared" si="4"/>
        <v>332.30202385642195</v>
      </c>
      <c r="AM32" s="62">
        <f t="shared" si="5"/>
        <v>625.63535718975527</v>
      </c>
      <c r="AN32" s="62">
        <f ca="1">AVERAGE(OFFSET($AM$3,0,0,'Données projet'!$E$10+1,1))-AVERAGE(OFFSET($H$3,0,0,'Données projet'!$E$10+1,1))</f>
        <v>155.60948448168716</v>
      </c>
      <c r="AO32" s="62">
        <f t="shared" si="36"/>
        <v>317.1378745393755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11.112572113859004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2.7233900355196985</v>
      </c>
      <c r="AX32" s="23">
        <f t="shared" si="6"/>
        <v>13.835962149378702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14.819999999999997</v>
      </c>
      <c r="D33" s="12">
        <f t="shared" si="32"/>
        <v>4.9901492788407467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152.92045057350751</v>
      </c>
      <c r="H33" s="70">
        <f t="shared" si="1"/>
        <v>327.83600999398095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195.28</v>
      </c>
      <c r="L33" s="13">
        <f>VLOOKUP(A33,'Données projet'!$A$35:$I$55,9,0)</f>
        <v>6.5093333333333332</v>
      </c>
      <c r="M33" s="13">
        <f t="array" ref="M33">INDEX(L:L,MIN(IF(ISNUMBER(L33:L229),ROW(L33:L229),"")))</f>
        <v>6.5093333333333332</v>
      </c>
      <c r="N33" s="14">
        <f>IF('Données projet'!$A$36&gt;35,N32+M33-V32,IF(A33&lt;'Données projet'!$A$36,$K$205^A33,IF(A33='Données projet'!$A$36,'Données projet'!$B$36,N32+M33-V32)))</f>
        <v>195.28</v>
      </c>
      <c r="O33" s="14">
        <f>N33*VLOOKUP('Données projet'!$B$9,Paramètres!$A$1:$I$89,3,0)*VLOOKUP('Données projet'!$B$9,Paramètres!$A$1:$I$89,5,0)</f>
        <v>91.391040000000004</v>
      </c>
      <c r="P33" s="14">
        <f t="shared" si="33"/>
        <v>24.900410285211944</v>
      </c>
      <c r="Q33" s="22">
        <f t="shared" si="2"/>
        <v>202.54094258007748</v>
      </c>
      <c r="R33" s="62">
        <f t="shared" si="0"/>
        <v>495.87427591341077</v>
      </c>
      <c r="S33" s="62">
        <f ca="1">AVERAGE(OFFSET($R$3,0,0,'Données projet'!$E$9+1,1))-AVERAGE(OFFSET($H$3,0,0,'Données projet'!$E$9+1,1))</f>
        <v>219.48219097225825</v>
      </c>
      <c r="T33" s="62">
        <f t="shared" si="34"/>
        <v>168.03826591942982</v>
      </c>
      <c r="U33" s="16">
        <f>IF(ISNA(VLOOKUP(A33,'Données projet'!$A$35:$I$55,3,0)),0,VLOOKUP(A33,'Données projet'!$A$35:$I$55,3,0))</f>
        <v>1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269</v>
      </c>
      <c r="AG33" s="13">
        <f>VLOOKUP(A33,'Données projet'!$A$61:$I$81,9,0)</f>
        <v>15.142857142857142</v>
      </c>
      <c r="AH33" s="13">
        <f t="array" ref="AH33">INDEX(AG:AG,MIN(IF(ISNUMBER(AG33:AG229),ROW(AG33:AG229),"")))</f>
        <v>15.142857142857142</v>
      </c>
      <c r="AI33" s="14">
        <f>IF('Données projet'!$A$62&gt;35,AI32+AH33-AQ32,IF(A33&lt;'Données projet'!$A$62,$AF$205^A33,IF(A33='Données projet'!$A$62,'Données projet'!$B$62,AI32+AH33-AQ32)))</f>
        <v>269</v>
      </c>
      <c r="AJ33" s="14">
        <f>AI33*VLOOKUP('Données projet'!$B$10,Paramètres!$A$1:$I$89,3,0)*VLOOKUP('Données projet'!$B$10,Paramètres!$A$1:$I$89,5,0)</f>
        <v>160.86200000000002</v>
      </c>
      <c r="AK33" s="14">
        <f t="shared" si="35"/>
        <v>41.03688107178359</v>
      </c>
      <c r="AL33" s="22">
        <f t="shared" si="4"/>
        <v>351.64055120002314</v>
      </c>
      <c r="AM33" s="62">
        <f t="shared" si="5"/>
        <v>644.97388453335645</v>
      </c>
      <c r="AN33" s="62">
        <f ca="1">AVERAGE(OFFSET($AM$3,0,0,'Données projet'!$E$10+1,1))-AVERAGE(OFFSET($H$3,0,0,'Données projet'!$E$10+1,1))</f>
        <v>155.60948448168716</v>
      </c>
      <c r="AO33" s="62">
        <f t="shared" si="36"/>
        <v>317.1378745393755</v>
      </c>
      <c r="AP33" s="16">
        <f>IF(ISNA(VLOOKUP(A33,'Données projet'!$A$61:$I$81,3,0)),0,VLOOKUP(A33,'Données projet'!$A$61:$I$81,3,0))</f>
        <v>4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10.894661352705947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1.9257275619318515</v>
      </c>
      <c r="AX33" s="23">
        <f t="shared" si="6"/>
        <v>12.8203889146378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15.313999999999997</v>
      </c>
      <c r="D34" s="12">
        <f t="shared" si="32"/>
        <v>5.1368441502871578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157.86616537063767</v>
      </c>
      <c r="H34" s="70">
        <f t="shared" si="1"/>
        <v>328.95188689508342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8.4479999999999986</v>
      </c>
      <c r="N34" s="14">
        <f>IF('Données projet'!$A$36&gt;35,N33+M34-V33,IF(A34&lt;'Données projet'!$A$36,$K$205^A34,IF(A34='Données projet'!$A$36,'Données projet'!$B$36,N33+M34-V33)))</f>
        <v>203.72800000000001</v>
      </c>
      <c r="O34" s="14">
        <f>N34*VLOOKUP('Données projet'!$B$9,Paramètres!$A$1:$I$89,3,0)*VLOOKUP('Données projet'!$B$9,Paramètres!$A$1:$I$89,5,0)</f>
        <v>95.344703999999993</v>
      </c>
      <c r="P34" s="14">
        <f t="shared" si="33"/>
        <v>25.849879226913853</v>
      </c>
      <c r="Q34" s="22">
        <f t="shared" si="2"/>
        <v>211.08056578687493</v>
      </c>
      <c r="R34" s="62">
        <f t="shared" si="0"/>
        <v>504.41389912020827</v>
      </c>
      <c r="S34" s="62">
        <f ca="1">AVERAGE(OFFSET($R$3,0,0,'Données projet'!$E$9+1,1))-AVERAGE(OFFSET($H$3,0,0,'Données projet'!$E$9+1,1))</f>
        <v>219.48219097225825</v>
      </c>
      <c r="T34" s="62">
        <f t="shared" si="34"/>
        <v>168.03826591942982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14</v>
      </c>
      <c r="AI34" s="14">
        <f>IF('Données projet'!$A$62&gt;35,AI33+AH34-AQ33,IF(A34&lt;'Données projet'!$A$62,$AF$205^A34,IF(A34='Données projet'!$A$62,'Données projet'!$B$62,AI33+AH34-AQ33)))</f>
        <v>283</v>
      </c>
      <c r="AJ34" s="14">
        <f>AI34*VLOOKUP('Données projet'!$B$10,Paramètres!$A$1:$I$89,3,0)*VLOOKUP('Données projet'!$B$10,Paramètres!$A$1:$I$89,5,0)</f>
        <v>169.23400000000001</v>
      </c>
      <c r="AK34" s="14">
        <f t="shared" si="35"/>
        <v>42.918420001269354</v>
      </c>
      <c r="AL34" s="22">
        <f t="shared" si="4"/>
        <v>369.4987981688775</v>
      </c>
      <c r="AM34" s="62">
        <f t="shared" si="5"/>
        <v>662.83213150221081</v>
      </c>
      <c r="AN34" s="62">
        <f ca="1">AVERAGE(OFFSET($AM$3,0,0,'Données projet'!$E$10+1,1))-AVERAGE(OFFSET($H$3,0,0,'Données projet'!$E$10+1,1))</f>
        <v>155.60948448168716</v>
      </c>
      <c r="AO34" s="62">
        <f t="shared" si="36"/>
        <v>317.1378745393755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10.681023688666661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1.3616950177598495</v>
      </c>
      <c r="AX34" s="23">
        <f t="shared" si="6"/>
        <v>12.042718706426511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15.807999999999996</v>
      </c>
      <c r="D35" s="12">
        <f t="shared" si="32"/>
        <v>5.2829891382175349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162.80763545290725</v>
      </c>
      <c r="H35" s="70">
        <f t="shared" si="1"/>
        <v>330.06680608239549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8.4479999999999986</v>
      </c>
      <c r="N35" s="14">
        <f>IF('Données projet'!$A$36&gt;35,N34+M35-V34,IF(A35&lt;'Données projet'!$A$36,$K$205^A35,IF(A35='Données projet'!$A$36,'Données projet'!$B$36,N34+M35-V34)))</f>
        <v>212.17600000000002</v>
      </c>
      <c r="O35" s="14">
        <f>N35*VLOOKUP('Données projet'!$B$9,Paramètres!$A$1:$I$89,3,0)*VLOOKUP('Données projet'!$B$9,Paramètres!$A$1:$I$89,5,0)</f>
        <v>99.298367999999996</v>
      </c>
      <c r="P35" s="14">
        <f t="shared" si="33"/>
        <v>26.794774963367491</v>
      </c>
      <c r="Q35" s="22">
        <f t="shared" ref="Q35:Q66" si="53">(O35+P35)*0.475*44/12</f>
        <v>219.61222399453172</v>
      </c>
      <c r="R35" s="62">
        <f t="shared" si="0"/>
        <v>512.945557327865</v>
      </c>
      <c r="S35" s="62">
        <f ca="1">AVERAGE(OFFSET($R$3,0,0,'Données projet'!$E$9+1,1))-AVERAGE(OFFSET($H$3,0,0,'Données projet'!$E$9+1,1))</f>
        <v>219.48219097225825</v>
      </c>
      <c r="T35" s="62">
        <f t="shared" si="34"/>
        <v>168.03826591942982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14</v>
      </c>
      <c r="AI35" s="14">
        <f>IF('Données projet'!$A$62&gt;35,AI34+AH35-AQ34,IF(A35&lt;'Données projet'!$A$62,$AF$205^A35,IF(A35='Données projet'!$A$62,'Données projet'!$B$62,AI34+AH35-AQ34)))</f>
        <v>297</v>
      </c>
      <c r="AJ35" s="14">
        <f>AI35*VLOOKUP('Données projet'!$B$10,Paramètres!$A$1:$I$89,3,0)*VLOOKUP('Données projet'!$B$10,Paramètres!$A$1:$I$89,5,0)</f>
        <v>177.60600000000002</v>
      </c>
      <c r="AK35" s="14">
        <f t="shared" si="35"/>
        <v>44.789150937858665</v>
      </c>
      <c r="AL35" s="22">
        <f t="shared" si="4"/>
        <v>387.33822121677053</v>
      </c>
      <c r="AM35" s="62">
        <f t="shared" si="5"/>
        <v>680.67155455010379</v>
      </c>
      <c r="AN35" s="62">
        <f ca="1">AVERAGE(OFFSET($AM$3,0,0,'Données projet'!$E$10+1,1))-AVERAGE(OFFSET($H$3,0,0,'Données projet'!$E$10+1,1))</f>
        <v>155.60948448168716</v>
      </c>
      <c r="AO35" s="62">
        <f t="shared" si="36"/>
        <v>317.1378745393755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10.471575328913076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0.96286378096592584</v>
      </c>
      <c r="AX35" s="23">
        <f t="shared" si="6"/>
        <v>11.434439109879001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16.301999999999996</v>
      </c>
      <c r="D36" s="12">
        <f t="shared" si="32"/>
        <v>5.4286033981705613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167.74500868763238</v>
      </c>
      <c r="H36" s="70">
        <f t="shared" si="1"/>
        <v>331.18080091848037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8.4479999999999986</v>
      </c>
      <c r="N36" s="14">
        <f>IF('Données projet'!$A$36&gt;35,N35+M36-V35,IF(A36&lt;'Données projet'!$A$36,$K$205^A36,IF(A36='Données projet'!$A$36,'Données projet'!$B$36,N35+M36-V35)))</f>
        <v>220.62400000000002</v>
      </c>
      <c r="O36" s="14">
        <f>N36*VLOOKUP('Données projet'!$B$9,Paramètres!$A$1:$I$89,3,0)*VLOOKUP('Données projet'!$B$9,Paramètres!$A$1:$I$89,5,0)</f>
        <v>103.25203200000001</v>
      </c>
      <c r="P36" s="14">
        <f t="shared" si="33"/>
        <v>27.735300415133178</v>
      </c>
      <c r="Q36" s="22">
        <f t="shared" si="53"/>
        <v>228.13627062302362</v>
      </c>
      <c r="R36" s="62">
        <f t="shared" si="0"/>
        <v>521.46960395635688</v>
      </c>
      <c r="S36" s="62">
        <f ca="1">AVERAGE(OFFSET($R$3,0,0,'Données projet'!$E$9+1,1))-AVERAGE(OFFSET($H$3,0,0,'Données projet'!$E$9+1,1))</f>
        <v>219.48219097225825</v>
      </c>
      <c r="T36" s="62">
        <f t="shared" si="34"/>
        <v>168.03826591942982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14</v>
      </c>
      <c r="AI36" s="14">
        <f>IF('Données projet'!$A$62&gt;35,AI35+AH36-AQ35,IF(A36&lt;'Données projet'!$A$62,$AF$205^A36,IF(A36='Données projet'!$A$62,'Données projet'!$B$62,AI35+AH36-AQ35)))</f>
        <v>311</v>
      </c>
      <c r="AJ36" s="14">
        <f>AI36*VLOOKUP('Données projet'!$B$10,Paramètres!$A$1:$I$89,3,0)*VLOOKUP('Données projet'!$B$10,Paramètres!$A$1:$I$89,5,0)</f>
        <v>185.97800000000001</v>
      </c>
      <c r="AK36" s="14">
        <f t="shared" si="35"/>
        <v>46.649641523668571</v>
      </c>
      <c r="AL36" s="22">
        <f t="shared" si="4"/>
        <v>405.15980898705612</v>
      </c>
      <c r="AM36" s="62">
        <f t="shared" si="5"/>
        <v>698.49314232038944</v>
      </c>
      <c r="AN36" s="62">
        <f ca="1">AVERAGE(OFFSET($AM$3,0,0,'Données projet'!$E$10+1,1))-AVERAGE(OFFSET($H$3,0,0,'Données projet'!$E$10+1,1))</f>
        <v>155.60948448168716</v>
      </c>
      <c r="AO36" s="62">
        <f t="shared" si="36"/>
        <v>317.1378745393755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10.266234123743374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0.68084750887992485</v>
      </c>
      <c r="AX36" s="23">
        <f t="shared" si="6"/>
        <v>10.947081632623298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16.795999999999996</v>
      </c>
      <c r="D37" s="12">
        <f t="shared" si="32"/>
        <v>5.5737048587712827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172.67842347121689</v>
      </c>
      <c r="H37" s="70">
        <f t="shared" si="1"/>
        <v>332.2939026290266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8.4479999999999986</v>
      </c>
      <c r="N37" s="14">
        <f>IF('Données projet'!$A$36&gt;35,N36+M37-V36,IF(A37&lt;'Données projet'!$A$36,$K$205^A37,IF(A37='Données projet'!$A$36,'Données projet'!$B$36,N36+M37-V36)))</f>
        <v>229.07200000000003</v>
      </c>
      <c r="O37" s="14">
        <f>N37*VLOOKUP('Données projet'!$B$9,Paramètres!$A$1:$I$89,3,0)*VLOOKUP('Données projet'!$B$9,Paramètres!$A$1:$I$89,5,0)</f>
        <v>107.20569600000002</v>
      </c>
      <c r="P37" s="14">
        <f t="shared" si="33"/>
        <v>28.671642082436559</v>
      </c>
      <c r="Q37" s="22">
        <f t="shared" si="53"/>
        <v>236.65303049357703</v>
      </c>
      <c r="R37" s="62">
        <f t="shared" si="0"/>
        <v>529.98636382691029</v>
      </c>
      <c r="S37" s="62">
        <f ca="1">AVERAGE(OFFSET($R$3,0,0,'Données projet'!$E$9+1,1))-AVERAGE(OFFSET($H$3,0,0,'Données projet'!$E$9+1,1))</f>
        <v>219.48219097225825</v>
      </c>
      <c r="T37" s="62">
        <f t="shared" si="34"/>
        <v>168.03826591942982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>
        <f>VLOOKUP(A37,'Données projet'!$A$61:$I$81,2,0)</f>
        <v>325</v>
      </c>
      <c r="AG37" s="13">
        <f>VLOOKUP(A37,'Données projet'!$A$61:$I$81,9,0)</f>
        <v>14</v>
      </c>
      <c r="AH37" s="13">
        <f t="array" ref="AH37">INDEX(AG:AG,MIN(IF(ISNUMBER(AG37:AG233),ROW(AG37:AG233),"")))</f>
        <v>14</v>
      </c>
      <c r="AI37" s="14">
        <f>IF('Données projet'!$A$62&gt;35,AI36+AH37-AQ36,IF(A37&lt;'Données projet'!$A$62,$AF$205^A37,IF(A37='Données projet'!$A$62,'Données projet'!$B$62,AI36+AH37-AQ36)))</f>
        <v>325</v>
      </c>
      <c r="AJ37" s="14">
        <f>AI37*VLOOKUP('Données projet'!$B$10,Paramètres!$A$1:$I$89,3,0)*VLOOKUP('Données projet'!$B$10,Paramètres!$A$1:$I$89,5,0)</f>
        <v>194.35</v>
      </c>
      <c r="AK37" s="14">
        <f t="shared" si="35"/>
        <v>48.500405405690429</v>
      </c>
      <c r="AL37" s="22">
        <f t="shared" si="4"/>
        <v>422.96445608157745</v>
      </c>
      <c r="AM37" s="62">
        <f t="shared" si="5"/>
        <v>716.29778941491077</v>
      </c>
      <c r="AN37" s="62">
        <f ca="1">AVERAGE(OFFSET($AM$3,0,0,'Données projet'!$E$10+1,1))-AVERAGE(OFFSET($H$3,0,0,'Données projet'!$E$10+1,1))</f>
        <v>155.60948448168716</v>
      </c>
      <c r="AO37" s="62">
        <f t="shared" si="36"/>
        <v>317.1378745393755</v>
      </c>
      <c r="AP37" s="16">
        <f>IF(ISNA(VLOOKUP(A37,'Données projet'!$A$61:$I$81,3,0)),0,VLOOKUP(A37,'Données projet'!$A$61:$I$81,3,0))</f>
        <v>5</v>
      </c>
      <c r="AQ37" s="16">
        <f>IF(ISNA(VLOOKUP(A37,'Données projet'!$A$61:$I$81,4,0)),0,VLOOKUP(A37,'Données projet'!$A$61:$I$81,4,0))</f>
        <v>325</v>
      </c>
      <c r="AR37" s="17">
        <f>IF(ISNA(VLOOKUP(A37,'Données projet'!$A$61:$I$81,5,0)),0%,VLOOKUP(A37,'Données projet'!$A$61:$I$81,5,0)*VLOOKUP('Données projet'!$B$10,Paramètres!$A$1:$I$89,7,0))</f>
        <v>0.315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0.3</v>
      </c>
      <c r="AU37" s="23">
        <f>EXP(-LN(2)/35)*AU36+(1-EXP(-LN(2)/35))/(LN(2)/35)*AQ37*AR37*VLOOKUP('Données projet'!$B$10,Paramètres!$A$1:$I$89,3,0)*0.475*44/12</f>
        <v>91.277527137483801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66.496235997763563</v>
      </c>
      <c r="AX37" s="23">
        <f t="shared" si="6"/>
        <v>157.77376313524735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17.289999999999996</v>
      </c>
      <c r="D38" s="12">
        <f t="shared" si="32"/>
        <v>5.7183103340620756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177.60800959626863</v>
      </c>
      <c r="H38" s="70">
        <f t="shared" si="1"/>
        <v>333.40614049849142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8.4479999999999986</v>
      </c>
      <c r="N38" s="14">
        <f>IF('Données projet'!$A$36&gt;35,N37+M38-V37,IF(A38&lt;'Données projet'!$A$36,$K$205^A38,IF(A38='Données projet'!$A$36,'Données projet'!$B$36,N37+M38-V37)))</f>
        <v>237.52000000000004</v>
      </c>
      <c r="O38" s="14">
        <f>N38*VLOOKUP('Données projet'!$B$9,Paramètres!$A$1:$I$89,3,0)*VLOOKUP('Données projet'!$B$9,Paramètres!$A$1:$I$89,5,0)</f>
        <v>111.15936000000002</v>
      </c>
      <c r="P38" s="14">
        <f t="shared" si="33"/>
        <v>29.603971930077194</v>
      </c>
      <c r="Q38" s="22">
        <f t="shared" si="53"/>
        <v>245.16280311155117</v>
      </c>
      <c r="R38" s="62">
        <f t="shared" si="0"/>
        <v>538.49613644488454</v>
      </c>
      <c r="S38" s="62">
        <f ca="1">AVERAGE(OFFSET($R$3,0,0,'Données projet'!$E$9+1,1))-AVERAGE(OFFSET($H$3,0,0,'Données projet'!$E$9+1,1))</f>
        <v>219.48219097225825</v>
      </c>
      <c r="T38" s="62">
        <f t="shared" si="34"/>
        <v>168.03826591942982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>
        <f>AI38*VLOOKUP('Données projet'!$B$10,Paramètres!$A$1:$I$89,3,0)*VLOOKUP('Données projet'!$B$10,Paramètres!$A$1:$I$89,5,0)</f>
        <v>0</v>
      </c>
      <c r="AK38" s="14" t="e">
        <f t="shared" si="35"/>
        <v>#NUM!</v>
      </c>
      <c r="AL38" s="22" t="e">
        <f t="shared" si="4"/>
        <v>#NUM!</v>
      </c>
      <c r="AM38" s="62" t="e">
        <f t="shared" si="5"/>
        <v>#NUM!</v>
      </c>
      <c r="AN38" s="62">
        <f ca="1">AVERAGE(OFFSET($AM$3,0,0,'Données projet'!$E$10+1,1))-AVERAGE(OFFSET($H$3,0,0,'Données projet'!$E$10+1,1))</f>
        <v>155.60948448168716</v>
      </c>
      <c r="AO38" s="62">
        <f t="shared" si="36"/>
        <v>317.1378745393755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89.487630504111962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47.019939397399625</v>
      </c>
      <c r="AX38" s="23">
        <f t="shared" si="6"/>
        <v>136.5075699015116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17.783999999999995</v>
      </c>
      <c r="D39" s="12">
        <f t="shared" si="32"/>
        <v>5.8624356226349592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182.53388901683124</v>
      </c>
      <c r="H39" s="70">
        <f t="shared" si="1"/>
        <v>334.51754204275585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8.4479999999999986</v>
      </c>
      <c r="N39" s="14">
        <f>IF('Données projet'!$A$36&gt;35,N38+M39-V38,IF(A39&lt;'Données projet'!$A$36,$K$205^A39,IF(A39='Données projet'!$A$36,'Données projet'!$B$36,N38+M39-V38)))</f>
        <v>245.96800000000005</v>
      </c>
      <c r="O39" s="14">
        <f>N39*VLOOKUP('Données projet'!$B$9,Paramètres!$A$1:$I$89,3,0)*VLOOKUP('Données projet'!$B$9,Paramètres!$A$1:$I$89,5,0)</f>
        <v>115.11302400000002</v>
      </c>
      <c r="P39" s="14">
        <f t="shared" si="33"/>
        <v>30.532448996635239</v>
      </c>
      <c r="Q39" s="22">
        <f t="shared" si="53"/>
        <v>253.6658654691397</v>
      </c>
      <c r="R39" s="62">
        <f t="shared" si="0"/>
        <v>546.99919880247307</v>
      </c>
      <c r="S39" s="62">
        <f ca="1">AVERAGE(OFFSET($R$3,0,0,'Données projet'!$E$9+1,1))-AVERAGE(OFFSET($H$3,0,0,'Données projet'!$E$9+1,1))</f>
        <v>219.48219097225825</v>
      </c>
      <c r="T39" s="62">
        <f t="shared" si="34"/>
        <v>168.03826591942982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>
        <f>AI39*VLOOKUP('Données projet'!$B$10,Paramètres!$A$1:$I$89,3,0)*VLOOKUP('Données projet'!$B$10,Paramètres!$A$1:$I$89,5,0)</f>
        <v>0</v>
      </c>
      <c r="AK39" s="14" t="e">
        <f t="shared" si="35"/>
        <v>#NUM!</v>
      </c>
      <c r="AL39" s="22" t="e">
        <f t="shared" si="4"/>
        <v>#NUM!</v>
      </c>
      <c r="AM39" s="62" t="e">
        <f t="shared" si="5"/>
        <v>#NUM!</v>
      </c>
      <c r="AN39" s="62">
        <f ca="1">AVERAGE(OFFSET($AM$3,0,0,'Données projet'!$E$10+1,1))-AVERAGE(OFFSET($H$3,0,0,'Données projet'!$E$10+1,1))</f>
        <v>155.60948448168716</v>
      </c>
      <c r="AO39" s="62">
        <f t="shared" si="36"/>
        <v>317.1378745393755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87.732832651991401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33.248117998881781</v>
      </c>
      <c r="AX39" s="23">
        <f t="shared" si="6"/>
        <v>120.98095065087318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18.277999999999995</v>
      </c>
      <c r="D40" s="12">
        <f t="shared" si="32"/>
        <v>6.0060955954395308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187.45617652619987</v>
      </c>
      <c r="H40" s="70">
        <f t="shared" si="1"/>
        <v>335.62813316205717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8.4479999999999986</v>
      </c>
      <c r="N40" s="14">
        <f>IF('Données projet'!$A$36&gt;35,N39+M40-V39,IF(A40&lt;'Données projet'!$A$36,$K$205^A40,IF(A40='Données projet'!$A$36,'Données projet'!$B$36,N39+M40-V39)))</f>
        <v>254.41600000000005</v>
      </c>
      <c r="O40" s="14">
        <f>N40*VLOOKUP('Données projet'!$B$9,Paramètres!$A$1:$I$89,3,0)*VLOOKUP('Données projet'!$B$9,Paramètres!$A$1:$I$89,5,0)</f>
        <v>119.06668800000001</v>
      </c>
      <c r="P40" s="14">
        <f t="shared" si="33"/>
        <v>31.457220776388407</v>
      </c>
      <c r="Q40" s="22">
        <f t="shared" si="53"/>
        <v>262.16247445220984</v>
      </c>
      <c r="R40" s="62">
        <f t="shared" si="0"/>
        <v>555.49580778554309</v>
      </c>
      <c r="S40" s="62">
        <f ca="1">AVERAGE(OFFSET($R$3,0,0,'Données projet'!$E$9+1,1))-AVERAGE(OFFSET($H$3,0,0,'Données projet'!$E$9+1,1))</f>
        <v>219.48219097225825</v>
      </c>
      <c r="T40" s="62">
        <f t="shared" si="34"/>
        <v>168.03826591942982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>
        <f>AI40*VLOOKUP('Données projet'!$B$10,Paramètres!$A$1:$I$89,3,0)*VLOOKUP('Données projet'!$B$10,Paramètres!$A$1:$I$89,5,0)</f>
        <v>0</v>
      </c>
      <c r="AK40" s="14" t="e">
        <f t="shared" si="35"/>
        <v>#NUM!</v>
      </c>
      <c r="AL40" s="22" t="e">
        <f t="shared" si="4"/>
        <v>#NUM!</v>
      </c>
      <c r="AM40" s="62" t="e">
        <f t="shared" si="5"/>
        <v>#NUM!</v>
      </c>
      <c r="AN40" s="62">
        <f ca="1">AVERAGE(OFFSET($AM$3,0,0,'Données projet'!$E$10+1,1))-AVERAGE(OFFSET($H$3,0,0,'Données projet'!$E$10+1,1))</f>
        <v>155.60948448168716</v>
      </c>
      <c r="AO40" s="62">
        <f t="shared" si="36"/>
        <v>317.1378745393755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86.012445315429929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23.509969698699813</v>
      </c>
      <c r="AX40" s="23">
        <f t="shared" si="6"/>
        <v>109.52241501412973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18.771999999999995</v>
      </c>
      <c r="D41" s="12">
        <f t="shared" si="32"/>
        <v>6.1493042738312038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192.37498035939871</v>
      </c>
      <c r="H41" s="70">
        <f t="shared" si="1"/>
        <v>336.73793827692265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8.4479999999999986</v>
      </c>
      <c r="N41" s="14">
        <f>IF('Données projet'!$A$36&gt;35,N40+M41-V40,IF(A41&lt;'Données projet'!$A$36,$K$205^A41,IF(A41='Données projet'!$A$36,'Données projet'!$B$36,N40+M41-V40)))</f>
        <v>262.86400000000003</v>
      </c>
      <c r="O41" s="14">
        <f>N41*VLOOKUP('Données projet'!$B$9,Paramètres!$A$1:$I$89,3,0)*VLOOKUP('Données projet'!$B$9,Paramètres!$A$1:$I$89,5,0)</f>
        <v>123.02035200000002</v>
      </c>
      <c r="P41" s="14">
        <f t="shared" si="33"/>
        <v>32.378424412524012</v>
      </c>
      <c r="Q41" s="22">
        <f t="shared" si="53"/>
        <v>270.65286891847933</v>
      </c>
      <c r="R41" s="62">
        <f t="shared" si="0"/>
        <v>563.98620225181264</v>
      </c>
      <c r="S41" s="62">
        <f ca="1">AVERAGE(OFFSET($R$3,0,0,'Données projet'!$E$9+1,1))-AVERAGE(OFFSET($H$3,0,0,'Données projet'!$E$9+1,1))</f>
        <v>219.48219097225825</v>
      </c>
      <c r="T41" s="62">
        <f t="shared" si="34"/>
        <v>168.03826591942982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>
        <f>AI41*VLOOKUP('Données projet'!$B$10,Paramètres!$A$1:$I$89,3,0)*VLOOKUP('Données projet'!$B$10,Paramètres!$A$1:$I$89,5,0)</f>
        <v>0</v>
      </c>
      <c r="AK41" s="14" t="e">
        <f t="shared" si="35"/>
        <v>#NUM!</v>
      </c>
      <c r="AL41" s="22" t="e">
        <f t="shared" si="4"/>
        <v>#NUM!</v>
      </c>
      <c r="AM41" s="62" t="e">
        <f t="shared" si="5"/>
        <v>#NUM!</v>
      </c>
      <c r="AN41" s="62">
        <f ca="1">AVERAGE(OFFSET($AM$3,0,0,'Données projet'!$E$10+1,1))-AVERAGE(OFFSET($H$3,0,0,'Données projet'!$E$10+1,1))</f>
        <v>155.60948448168716</v>
      </c>
      <c r="AO41" s="62">
        <f t="shared" si="36"/>
        <v>317.1378745393755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84.325793725205756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16.624058999440891</v>
      </c>
      <c r="AX41" s="23">
        <f t="shared" si="6"/>
        <v>100.94985272464665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19.265999999999995</v>
      </c>
      <c r="D42" s="12">
        <f t="shared" si="32"/>
        <v>6.2920748991727322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197.29040273045618</v>
      </c>
      <c r="H42" s="70">
        <f t="shared" si="1"/>
        <v>337.8469804493925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8.4479999999999986</v>
      </c>
      <c r="N42" s="14">
        <f>IF('Données projet'!$A$36&gt;35,N41+M42-V41,IF(A42&lt;'Données projet'!$A$36,$K$205^A42,IF(A42='Données projet'!$A$36,'Données projet'!$B$36,N41+M42-V41)))</f>
        <v>271.31200000000001</v>
      </c>
      <c r="O42" s="14">
        <f>N42*VLOOKUP('Données projet'!$B$9,Paramètres!$A$1:$I$89,3,0)*VLOOKUP('Données projet'!$B$9,Paramètres!$A$1:$I$89,5,0)</f>
        <v>126.97401600000001</v>
      </c>
      <c r="P42" s="14">
        <f t="shared" si="33"/>
        <v>33.296187732651191</v>
      </c>
      <c r="Q42" s="22">
        <f t="shared" si="53"/>
        <v>279.13727150103415</v>
      </c>
      <c r="R42" s="62">
        <f t="shared" si="0"/>
        <v>572.47060483436746</v>
      </c>
      <c r="S42" s="62">
        <f ca="1">AVERAGE(OFFSET($R$3,0,0,'Données projet'!$E$9+1,1))-AVERAGE(OFFSET($H$3,0,0,'Données projet'!$E$9+1,1))</f>
        <v>219.48219097225825</v>
      </c>
      <c r="T42" s="62">
        <f t="shared" si="34"/>
        <v>168.03826591942982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>
        <f>AI42*VLOOKUP('Données projet'!$B$10,Paramètres!$A$1:$I$89,3,0)*VLOOKUP('Données projet'!$B$10,Paramètres!$A$1:$I$89,5,0)</f>
        <v>0</v>
      </c>
      <c r="AK42" s="14" t="e">
        <f t="shared" si="35"/>
        <v>#NUM!</v>
      </c>
      <c r="AL42" s="22" t="e">
        <f t="shared" si="4"/>
        <v>#NUM!</v>
      </c>
      <c r="AM42" s="62" t="e">
        <f t="shared" si="5"/>
        <v>#NUM!</v>
      </c>
      <c r="AN42" s="62">
        <f ca="1">AVERAGE(OFFSET($AM$3,0,0,'Données projet'!$E$10+1,1))-AVERAGE(OFFSET($H$3,0,0,'Données projet'!$E$10+1,1))</f>
        <v>155.60948448168716</v>
      </c>
      <c r="AO42" s="62">
        <f t="shared" si="36"/>
        <v>317.1378745393755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82.672216343909994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11.754984849349906</v>
      </c>
      <c r="AX42" s="23">
        <f t="shared" si="6"/>
        <v>94.427201193259904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19.759999999999994</v>
      </c>
      <c r="D43" s="12">
        <f t="shared" si="32"/>
        <v>6.4344199950962579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202.20254031302375</v>
      </c>
      <c r="H43" s="70">
        <f t="shared" si="1"/>
        <v>338.95528149145929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279.76</v>
      </c>
      <c r="L43" s="13">
        <f>VLOOKUP(A43,'Données projet'!$A$35:$I$55,9,0)</f>
        <v>8.4479999999999986</v>
      </c>
      <c r="M43" s="13">
        <f t="array" ref="M43">INDEX(L:L,MIN(IF(ISNUMBER(L43:L239),ROW(L43:L239),"")))</f>
        <v>8.4479999999999986</v>
      </c>
      <c r="N43" s="14">
        <f>IF('Données projet'!$A$36&gt;35,N42+M43-V42,IF(A43&lt;'Données projet'!$A$36,$K$205^A43,IF(A43='Données projet'!$A$36,'Données projet'!$B$36,N42+M43-V42)))</f>
        <v>279.76</v>
      </c>
      <c r="O43" s="14">
        <f>N43*VLOOKUP('Données projet'!$B$9,Paramètres!$A$1:$I$89,3,0)*VLOOKUP('Données projet'!$B$9,Paramètres!$A$1:$I$89,5,0)</f>
        <v>130.92768000000001</v>
      </c>
      <c r="P43" s="14">
        <f t="shared" si="33"/>
        <v>34.210630151715954</v>
      </c>
      <c r="Q43" s="22">
        <f t="shared" si="53"/>
        <v>287.6158901809053</v>
      </c>
      <c r="R43" s="62">
        <f t="shared" si="0"/>
        <v>580.94922351423861</v>
      </c>
      <c r="S43" s="62">
        <f ca="1">AVERAGE(OFFSET($R$3,0,0,'Données projet'!$E$9+1,1))-AVERAGE(OFFSET($H$3,0,0,'Données projet'!$E$9+1,1))</f>
        <v>219.48219097225825</v>
      </c>
      <c r="T43" s="62">
        <f t="shared" si="34"/>
        <v>168.03826591942982</v>
      </c>
      <c r="U43" s="16">
        <f>IF(ISNA(VLOOKUP(A43,'Données projet'!$A$35:$I$55,3,0)),0,VLOOKUP(A43,'Données projet'!$A$35:$I$55,3,0))</f>
        <v>2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>
        <f>AI43*VLOOKUP('Données projet'!$B$10,Paramètres!$A$1:$I$89,3,0)*VLOOKUP('Données projet'!$B$10,Paramètres!$A$1:$I$89,5,0)</f>
        <v>0</v>
      </c>
      <c r="AK43" s="14" t="e">
        <f t="shared" si="35"/>
        <v>#NUM!</v>
      </c>
      <c r="AL43" s="22" t="e">
        <f t="shared" si="4"/>
        <v>#NUM!</v>
      </c>
      <c r="AM43" s="62" t="e">
        <f t="shared" si="5"/>
        <v>#NUM!</v>
      </c>
      <c r="AN43" s="62">
        <f ca="1">AVERAGE(OFFSET($AM$3,0,0,'Données projet'!$E$10+1,1))-AVERAGE(OFFSET($H$3,0,0,'Données projet'!$E$10+1,1))</f>
        <v>155.60948448168716</v>
      </c>
      <c r="AO43" s="62">
        <f t="shared" si="36"/>
        <v>317.1378745393755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81.051064606478832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8.3120294997204454</v>
      </c>
      <c r="AX43" s="23">
        <f t="shared" si="6"/>
        <v>89.36309410619927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20.253999999999994</v>
      </c>
      <c r="D44" s="12">
        <f t="shared" si="32"/>
        <v>6.5763514233638816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207.1114846715808</v>
      </c>
      <c r="H44" s="70">
        <f t="shared" si="1"/>
        <v>340.0628620623587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12.454545454545455</v>
      </c>
      <c r="N44" s="14">
        <f>IF('Données projet'!$A$36&gt;35,N43+M44-V43,IF(A44&lt;'Données projet'!$A$36,$K$205^A44,IF(A44='Données projet'!$A$36,'Données projet'!$B$36,N43+M44-V43)))</f>
        <v>292.21454545454543</v>
      </c>
      <c r="O44" s="14">
        <f>N44*VLOOKUP('Données projet'!$B$9,Paramètres!$A$1:$I$89,3,0)*VLOOKUP('Données projet'!$B$9,Paramètres!$A$1:$I$89,5,0)</f>
        <v>136.75640727272727</v>
      </c>
      <c r="P44" s="14">
        <f t="shared" si="33"/>
        <v>35.552933253165811</v>
      </c>
      <c r="Q44" s="22">
        <f t="shared" si="53"/>
        <v>300.10543474926379</v>
      </c>
      <c r="R44" s="62">
        <f t="shared" si="0"/>
        <v>593.43876808259711</v>
      </c>
      <c r="S44" s="62">
        <f ca="1">AVERAGE(OFFSET($R$3,0,0,'Données projet'!$E$9+1,1))-AVERAGE(OFFSET($H$3,0,0,'Données projet'!$E$9+1,1))</f>
        <v>219.48219097225825</v>
      </c>
      <c r="T44" s="62">
        <f t="shared" si="34"/>
        <v>168.03826591942982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>
        <f>AI44*VLOOKUP('Données projet'!$B$10,Paramètres!$A$1:$I$89,3,0)*VLOOKUP('Données projet'!$B$10,Paramètres!$A$1:$I$89,5,0)</f>
        <v>0</v>
      </c>
      <c r="AK44" s="14" t="e">
        <f t="shared" si="35"/>
        <v>#NUM!</v>
      </c>
      <c r="AL44" s="22" t="e">
        <f t="shared" si="4"/>
        <v>#NUM!</v>
      </c>
      <c r="AM44" s="62" t="e">
        <f t="shared" si="5"/>
        <v>#NUM!</v>
      </c>
      <c r="AN44" s="62">
        <f ca="1">AVERAGE(OFFSET($AM$3,0,0,'Données projet'!$E$10+1,1))-AVERAGE(OFFSET($H$3,0,0,'Données projet'!$E$10+1,1))</f>
        <v>155.60948448168716</v>
      </c>
      <c r="AO44" s="62">
        <f t="shared" si="36"/>
        <v>317.1378745393755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79.46170266581376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5.8774924246749531</v>
      </c>
      <c r="AX44" s="23">
        <f t="shared" si="6"/>
        <v>85.339195090488715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20.747999999999994</v>
      </c>
      <c r="D45" s="12">
        <f t="shared" si="32"/>
        <v>6.7178804341249787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212.01732264938576</v>
      </c>
      <c r="H45" s="70">
        <f t="shared" si="1"/>
        <v>341.16974175610096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12.454545454545455</v>
      </c>
      <c r="N45" s="14">
        <f>IF('Données projet'!$A$36&gt;35,N44+M45-V44,IF(A45&lt;'Données projet'!$A$36,$K$205^A45,IF(A45='Données projet'!$A$36,'Données projet'!$B$36,N44+M45-V44)))</f>
        <v>304.66909090909087</v>
      </c>
      <c r="O45" s="14">
        <f>N45*VLOOKUP('Données projet'!$B$9,Paramètres!$A$1:$I$89,3,0)*VLOOKUP('Données projet'!$B$9,Paramètres!$A$1:$I$89,5,0)</f>
        <v>142.58513454545454</v>
      </c>
      <c r="P45" s="14">
        <f t="shared" si="33"/>
        <v>36.88859140551736</v>
      </c>
      <c r="Q45" s="22">
        <f t="shared" si="53"/>
        <v>312.58340603127607</v>
      </c>
      <c r="R45" s="62">
        <f t="shared" si="0"/>
        <v>605.91673936460938</v>
      </c>
      <c r="S45" s="62">
        <f ca="1">AVERAGE(OFFSET($R$3,0,0,'Données projet'!$E$9+1,1))-AVERAGE(OFFSET($H$3,0,0,'Données projet'!$E$9+1,1))</f>
        <v>219.48219097225825</v>
      </c>
      <c r="T45" s="62">
        <f t="shared" si="34"/>
        <v>168.03826591942982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>
        <f>AI45*VLOOKUP('Données projet'!$B$10,Paramètres!$A$1:$I$89,3,0)*VLOOKUP('Données projet'!$B$10,Paramètres!$A$1:$I$89,5,0)</f>
        <v>0</v>
      </c>
      <c r="AK45" s="14" t="e">
        <f t="shared" si="35"/>
        <v>#NUM!</v>
      </c>
      <c r="AL45" s="22" t="e">
        <f t="shared" si="4"/>
        <v>#NUM!</v>
      </c>
      <c r="AM45" s="62" t="e">
        <f t="shared" si="5"/>
        <v>#NUM!</v>
      </c>
      <c r="AN45" s="62">
        <f ca="1">AVERAGE(OFFSET($AM$3,0,0,'Données projet'!$E$10+1,1))-AVERAGE(OFFSET($H$3,0,0,'Données projet'!$E$10+1,1))</f>
        <v>155.60948448168716</v>
      </c>
      <c r="AO45" s="62">
        <f t="shared" si="36"/>
        <v>317.1378745393755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77.903507143390073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4.1560147498602227</v>
      </c>
      <c r="AX45" s="23">
        <f t="shared" si="6"/>
        <v>82.059521893250292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21.241999999999994</v>
      </c>
      <c r="D46" s="12">
        <f t="shared" si="32"/>
        <v>6.8590177112522763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216.92013671843858</v>
      </c>
      <c r="H46" s="70">
        <f t="shared" si="1"/>
        <v>342.27593918043101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12.454545454545455</v>
      </c>
      <c r="N46" s="14">
        <f>IF('Données projet'!$A$36&gt;35,N45+M46-V45,IF(A46&lt;'Données projet'!$A$36,$K$205^A46,IF(A46='Données projet'!$A$36,'Données projet'!$B$36,N45+M46-V45)))</f>
        <v>317.12363636363631</v>
      </c>
      <c r="O46" s="14">
        <f>N46*VLOOKUP('Données projet'!$B$9,Paramètres!$A$1:$I$89,3,0)*VLOOKUP('Données projet'!$B$9,Paramètres!$A$1:$I$89,5,0)</f>
        <v>148.4138618181818</v>
      </c>
      <c r="P46" s="14">
        <f t="shared" si="33"/>
        <v>38.217907317398165</v>
      </c>
      <c r="Q46" s="22">
        <f t="shared" si="53"/>
        <v>325.0503312444684</v>
      </c>
      <c r="R46" s="62">
        <f t="shared" si="0"/>
        <v>618.38366457780171</v>
      </c>
      <c r="S46" s="62">
        <f ca="1">AVERAGE(OFFSET($R$3,0,0,'Données projet'!$E$9+1,1))-AVERAGE(OFFSET($H$3,0,0,'Données projet'!$E$9+1,1))</f>
        <v>219.48219097225825</v>
      </c>
      <c r="T46" s="62">
        <f t="shared" si="34"/>
        <v>168.03826591942982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>
        <f>AI46*VLOOKUP('Données projet'!$B$10,Paramètres!$A$1:$I$89,3,0)*VLOOKUP('Données projet'!$B$10,Paramètres!$A$1:$I$89,5,0)</f>
        <v>0</v>
      </c>
      <c r="AK46" s="14" t="e">
        <f t="shared" si="35"/>
        <v>#NUM!</v>
      </c>
      <c r="AL46" s="22" t="e">
        <f t="shared" si="4"/>
        <v>#NUM!</v>
      </c>
      <c r="AM46" s="62" t="e">
        <f t="shared" si="5"/>
        <v>#NUM!</v>
      </c>
      <c r="AN46" s="62">
        <f ca="1">AVERAGE(OFFSET($AM$3,0,0,'Données projet'!$E$10+1,1))-AVERAGE(OFFSET($H$3,0,0,'Données projet'!$E$10+1,1))</f>
        <v>155.60948448168716</v>
      </c>
      <c r="AO46" s="62">
        <f t="shared" si="36"/>
        <v>317.1378745393755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76.375866884755695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2.9387462123374766</v>
      </c>
      <c r="AX46" s="23">
        <f t="shared" si="6"/>
        <v>79.314613097093172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21.735999999999994</v>
      </c>
      <c r="D47" s="12">
        <f t="shared" si="32"/>
        <v>6.9997734133417886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221.82000529597167</v>
      </c>
      <c r="H47" s="70">
        <f t="shared" si="1"/>
        <v>343.38147202823689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12.454545454545455</v>
      </c>
      <c r="N47" s="14">
        <f>IF('Données projet'!$A$36&gt;35,N46+M47-V46,IF(A47&lt;'Données projet'!$A$36,$K$205^A47,IF(A47='Données projet'!$A$36,'Données projet'!$B$36,N46+M47-V46)))</f>
        <v>329.57818181818175</v>
      </c>
      <c r="O47" s="14">
        <f>N47*VLOOKUP('Données projet'!$B$9,Paramètres!$A$1:$I$89,3,0)*VLOOKUP('Données projet'!$B$9,Paramètres!$A$1:$I$89,5,0)</f>
        <v>154.24258909090906</v>
      </c>
      <c r="P47" s="14">
        <f t="shared" si="33"/>
        <v>39.541158574447785</v>
      </c>
      <c r="Q47" s="22">
        <f t="shared" si="53"/>
        <v>337.5066938504965</v>
      </c>
      <c r="R47" s="62">
        <f t="shared" si="0"/>
        <v>630.84002718382976</v>
      </c>
      <c r="S47" s="62">
        <f ca="1">AVERAGE(OFFSET($R$3,0,0,'Données projet'!$E$9+1,1))-AVERAGE(OFFSET($H$3,0,0,'Données projet'!$E$9+1,1))</f>
        <v>219.48219097225825</v>
      </c>
      <c r="T47" s="62">
        <f t="shared" si="34"/>
        <v>168.03826591942982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>
        <f>AI47*VLOOKUP('Données projet'!$B$10,Paramètres!$A$1:$I$89,3,0)*VLOOKUP('Données projet'!$B$10,Paramètres!$A$1:$I$89,5,0)</f>
        <v>0</v>
      </c>
      <c r="AK47" s="14" t="e">
        <f t="shared" si="35"/>
        <v>#NUM!</v>
      </c>
      <c r="AL47" s="22" t="e">
        <f t="shared" si="4"/>
        <v>#NUM!</v>
      </c>
      <c r="AM47" s="62" t="e">
        <f t="shared" si="5"/>
        <v>#NUM!</v>
      </c>
      <c r="AN47" s="62">
        <f ca="1">AVERAGE(OFFSET($AM$3,0,0,'Données projet'!$E$10+1,1))-AVERAGE(OFFSET($H$3,0,0,'Données projet'!$E$10+1,1))</f>
        <v>155.60948448168716</v>
      </c>
      <c r="AO47" s="62">
        <f t="shared" si="36"/>
        <v>317.1378745393755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74.878182719824579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2.0780073749301113</v>
      </c>
      <c r="AX47" s="23">
        <f t="shared" si="6"/>
        <v>76.956190094754689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22.229999999999993</v>
      </c>
      <c r="D48" s="12">
        <f t="shared" si="32"/>
        <v>7.140157210880437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226.71700303135768</v>
      </c>
      <c r="H48" s="70">
        <f t="shared" si="1"/>
        <v>344.4863571422834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12.454545454545455</v>
      </c>
      <c r="N48" s="14">
        <f>IF('Données projet'!$A$36&gt;35,N47+M48-V47,IF(A48&lt;'Données projet'!$A$36,$K$205^A48,IF(A48='Données projet'!$A$36,'Données projet'!$B$36,N47+M48-V47)))</f>
        <v>342.03272727272719</v>
      </c>
      <c r="O48" s="14">
        <f>N48*VLOOKUP('Données projet'!$B$9,Paramètres!$A$1:$I$89,3,0)*VLOOKUP('Données projet'!$B$9,Paramètres!$A$1:$I$89,5,0)</f>
        <v>160.07131636363633</v>
      </c>
      <c r="P48" s="14">
        <f t="shared" si="33"/>
        <v>40.858600594369037</v>
      </c>
      <c r="Q48" s="22">
        <f t="shared" si="53"/>
        <v>349.95293870185941</v>
      </c>
      <c r="R48" s="62">
        <f t="shared" si="0"/>
        <v>643.28627203519272</v>
      </c>
      <c r="S48" s="62">
        <f ca="1">AVERAGE(OFFSET($R$3,0,0,'Données projet'!$E$9+1,1))-AVERAGE(OFFSET($H$3,0,0,'Données projet'!$E$9+1,1))</f>
        <v>219.48219097225825</v>
      </c>
      <c r="T48" s="62">
        <f t="shared" si="34"/>
        <v>168.03826591942982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>
        <f>AI48*VLOOKUP('Données projet'!$B$10,Paramètres!$A$1:$I$89,3,0)*VLOOKUP('Données projet'!$B$10,Paramètres!$A$1:$I$89,5,0)</f>
        <v>0</v>
      </c>
      <c r="AK48" s="14" t="e">
        <f t="shared" si="35"/>
        <v>#NUM!</v>
      </c>
      <c r="AL48" s="22" t="e">
        <f t="shared" si="4"/>
        <v>#NUM!</v>
      </c>
      <c r="AM48" s="62" t="e">
        <f t="shared" si="5"/>
        <v>#NUM!</v>
      </c>
      <c r="AN48" s="62">
        <f ca="1">AVERAGE(OFFSET($AM$3,0,0,'Données projet'!$E$10+1,1))-AVERAGE(OFFSET($H$3,0,0,'Données projet'!$E$10+1,1))</f>
        <v>155.60948448168716</v>
      </c>
      <c r="AO48" s="62">
        <f t="shared" si="36"/>
        <v>317.1378745393755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73.40986722787062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1.4693731061687383</v>
      </c>
      <c r="AX48" s="23">
        <f t="shared" si="6"/>
        <v>74.879240334039352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22.723999999999993</v>
      </c>
      <c r="D49" s="12">
        <f t="shared" si="32"/>
        <v>7.2801783200166916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231.6112010667955</v>
      </c>
      <c r="H49" s="70">
        <f t="shared" si="1"/>
        <v>345.59061057402903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12.454545454545455</v>
      </c>
      <c r="N49" s="14">
        <f>IF('Données projet'!$A$36&gt;35,N48+M49-V48,IF(A49&lt;'Données projet'!$A$36,$K$205^A49,IF(A49='Données projet'!$A$36,'Données projet'!$B$36,N48+M49-V48)))</f>
        <v>354.48727272727263</v>
      </c>
      <c r="O49" s="14">
        <f>N49*VLOOKUP('Données projet'!$B$9,Paramètres!$A$1:$I$89,3,0)*VLOOKUP('Données projet'!$B$9,Paramètres!$A$1:$I$89,5,0)</f>
        <v>165.90004363636359</v>
      </c>
      <c r="P49" s="14">
        <f t="shared" si="33"/>
        <v>42.1704691394687</v>
      </c>
      <c r="Q49" s="22">
        <f t="shared" si="53"/>
        <v>362.38947641790793</v>
      </c>
      <c r="R49" s="62">
        <f t="shared" si="0"/>
        <v>655.72280975124124</v>
      </c>
      <c r="S49" s="62">
        <f ca="1">AVERAGE(OFFSET($R$3,0,0,'Données projet'!$E$9+1,1))-AVERAGE(OFFSET($H$3,0,0,'Données projet'!$E$9+1,1))</f>
        <v>219.48219097225825</v>
      </c>
      <c r="T49" s="62">
        <f t="shared" si="34"/>
        <v>168.03826591942982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>
        <f>AI49*VLOOKUP('Données projet'!$B$10,Paramètres!$A$1:$I$89,3,0)*VLOOKUP('Données projet'!$B$10,Paramètres!$A$1:$I$89,5,0)</f>
        <v>0</v>
      </c>
      <c r="AK49" s="14" t="e">
        <f t="shared" si="35"/>
        <v>#NUM!</v>
      </c>
      <c r="AL49" s="22" t="e">
        <f t="shared" si="4"/>
        <v>#NUM!</v>
      </c>
      <c r="AM49" s="62" t="e">
        <f t="shared" si="5"/>
        <v>#NUM!</v>
      </c>
      <c r="AN49" s="62">
        <f ca="1">AVERAGE(OFFSET($AM$3,0,0,'Données projet'!$E$10+1,1))-AVERAGE(OFFSET($H$3,0,0,'Données projet'!$E$10+1,1))</f>
        <v>155.60948448168716</v>
      </c>
      <c r="AO49" s="62">
        <f t="shared" si="36"/>
        <v>317.1378745393755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71.970344507129866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1.0390036874650557</v>
      </c>
      <c r="AX49" s="23">
        <f t="shared" si="6"/>
        <v>73.009348194594921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23.217999999999993</v>
      </c>
      <c r="D50" s="12">
        <f t="shared" si="32"/>
        <v>7.4198455333118369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236.50266727468784</v>
      </c>
      <c r="H50" s="70">
        <f t="shared" si="1"/>
        <v>346.69424763718473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12.454545454545455</v>
      </c>
      <c r="N50" s="14">
        <f>IF('Données projet'!$A$36&gt;35,N49+M50-V49,IF(A50&lt;'Données projet'!$A$36,$K$205^A50,IF(A50='Données projet'!$A$36,'Données projet'!$B$36,N49+M50-V49)))</f>
        <v>366.94181818181806</v>
      </c>
      <c r="O50" s="14">
        <f>N50*VLOOKUP('Données projet'!$B$9,Paramètres!$A$1:$I$89,3,0)*VLOOKUP('Données projet'!$B$9,Paramètres!$A$1:$I$89,5,0)</f>
        <v>171.72877090909085</v>
      </c>
      <c r="P50" s="14">
        <f t="shared" si="33"/>
        <v>43.476982466175237</v>
      </c>
      <c r="Q50" s="22">
        <f t="shared" si="53"/>
        <v>374.81668712858846</v>
      </c>
      <c r="R50" s="62">
        <f t="shared" si="0"/>
        <v>668.15002046192171</v>
      </c>
      <c r="S50" s="62">
        <f ca="1">AVERAGE(OFFSET($R$3,0,0,'Données projet'!$E$9+1,1))-AVERAGE(OFFSET($H$3,0,0,'Données projet'!$E$9+1,1))</f>
        <v>219.48219097225825</v>
      </c>
      <c r="T50" s="62">
        <f t="shared" si="34"/>
        <v>168.03826591942982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>
        <f>AI50*VLOOKUP('Données projet'!$B$10,Paramètres!$A$1:$I$89,3,0)*VLOOKUP('Données projet'!$B$10,Paramètres!$A$1:$I$89,5,0)</f>
        <v>0</v>
      </c>
      <c r="AK50" s="14" t="e">
        <f t="shared" si="35"/>
        <v>#NUM!</v>
      </c>
      <c r="AL50" s="22" t="e">
        <f t="shared" si="4"/>
        <v>#NUM!</v>
      </c>
      <c r="AM50" s="62" t="e">
        <f t="shared" si="5"/>
        <v>#NUM!</v>
      </c>
      <c r="AN50" s="62">
        <f ca="1">AVERAGE(OFFSET($AM$3,0,0,'Données projet'!$E$10+1,1))-AVERAGE(OFFSET($H$3,0,0,'Données projet'!$E$10+1,1))</f>
        <v>155.60948448168716</v>
      </c>
      <c r="AO50" s="62">
        <f t="shared" si="36"/>
        <v>317.1378745393755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70.559049948920674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0.73468655308436914</v>
      </c>
      <c r="AX50" s="23">
        <f t="shared" si="6"/>
        <v>71.293736502005046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23.711999999999993</v>
      </c>
      <c r="D51" s="12">
        <f t="shared" si="32"/>
        <v>7.5591672478002421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241.39146647424749</v>
      </c>
      <c r="H51" s="70">
        <f t="shared" si="1"/>
        <v>347.79728295658538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12.454545454545455</v>
      </c>
      <c r="N51" s="14">
        <f>IF('Données projet'!$A$36&gt;35,N50+M51-V50,IF(A51&lt;'Données projet'!$A$36,$K$205^A51,IF(A51='Données projet'!$A$36,'Données projet'!$B$36,N50+M51-V50)))</f>
        <v>379.3963636363635</v>
      </c>
      <c r="O51" s="14">
        <f>N51*VLOOKUP('Données projet'!$B$9,Paramètres!$A$1:$I$89,3,0)*VLOOKUP('Données projet'!$B$9,Paramètres!$A$1:$I$89,5,0)</f>
        <v>177.55749818181809</v>
      </c>
      <c r="P51" s="14">
        <f t="shared" si="33"/>
        <v>44.778343174526185</v>
      </c>
      <c r="Q51" s="22">
        <f t="shared" si="53"/>
        <v>387.23492369563292</v>
      </c>
      <c r="R51" s="62">
        <f t="shared" si="0"/>
        <v>680.56825702896617</v>
      </c>
      <c r="S51" s="62">
        <f ca="1">AVERAGE(OFFSET($R$3,0,0,'Données projet'!$E$9+1,1))-AVERAGE(OFFSET($H$3,0,0,'Données projet'!$E$9+1,1))</f>
        <v>219.48219097225825</v>
      </c>
      <c r="T51" s="62">
        <f t="shared" si="34"/>
        <v>168.03826591942982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>
        <f>AI51*VLOOKUP('Données projet'!$B$10,Paramètres!$A$1:$I$89,3,0)*VLOOKUP('Données projet'!$B$10,Paramètres!$A$1:$I$89,5,0)</f>
        <v>0</v>
      </c>
      <c r="AK51" s="14" t="e">
        <f t="shared" si="35"/>
        <v>#NUM!</v>
      </c>
      <c r="AL51" s="22" t="e">
        <f t="shared" si="4"/>
        <v>#NUM!</v>
      </c>
      <c r="AM51" s="62" t="e">
        <f t="shared" si="5"/>
        <v>#NUM!</v>
      </c>
      <c r="AN51" s="62">
        <f ca="1">AVERAGE(OFFSET($AM$3,0,0,'Données projet'!$E$10+1,1))-AVERAGE(OFFSET($H$3,0,0,'Données projet'!$E$10+1,1))</f>
        <v>155.60948448168716</v>
      </c>
      <c r="AO51" s="62">
        <f t="shared" si="36"/>
        <v>317.1378745393755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69.175430016193275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0.51950184373252783</v>
      </c>
      <c r="AX51" s="23">
        <f t="shared" si="6"/>
        <v>69.694931859925802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24.205999999999992</v>
      </c>
      <c r="D52" s="12">
        <f t="shared" si="32"/>
        <v>7.6981514906452606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246.27766062954234</v>
      </c>
      <c r="H52" s="70">
        <f t="shared" si="1"/>
        <v>348.89973051287382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12.454545454545455</v>
      </c>
      <c r="N52" s="14">
        <f>IF('Données projet'!$A$36&gt;35,N51+M52-V51,IF(A52&lt;'Données projet'!$A$36,$K$205^A52,IF(A52='Données projet'!$A$36,'Données projet'!$B$36,N51+M52-V51)))</f>
        <v>391.85090909090894</v>
      </c>
      <c r="O52" s="14">
        <f>N52*VLOOKUP('Données projet'!$B$9,Paramètres!$A$1:$I$89,3,0)*VLOOKUP('Données projet'!$B$9,Paramètres!$A$1:$I$89,5,0)</f>
        <v>183.38622545454538</v>
      </c>
      <c r="P52" s="14">
        <f t="shared" si="33"/>
        <v>46.074739807980301</v>
      </c>
      <c r="Q52" s="22">
        <f t="shared" si="53"/>
        <v>399.6445144988989</v>
      </c>
      <c r="R52" s="62">
        <f t="shared" si="0"/>
        <v>692.97784783223221</v>
      </c>
      <c r="S52" s="62">
        <f ca="1">AVERAGE(OFFSET($R$3,0,0,'Données projet'!$E$9+1,1))-AVERAGE(OFFSET($H$3,0,0,'Données projet'!$E$9+1,1))</f>
        <v>219.48219097225825</v>
      </c>
      <c r="T52" s="62">
        <f t="shared" si="34"/>
        <v>168.03826591942982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>
        <f>AI52*VLOOKUP('Données projet'!$B$10,Paramètres!$A$1:$I$89,3,0)*VLOOKUP('Données projet'!$B$10,Paramètres!$A$1:$I$89,5,0)</f>
        <v>0</v>
      </c>
      <c r="AK52" s="14" t="e">
        <f t="shared" si="35"/>
        <v>#NUM!</v>
      </c>
      <c r="AL52" s="22" t="e">
        <f t="shared" si="4"/>
        <v>#NUM!</v>
      </c>
      <c r="AM52" s="62" t="e">
        <f t="shared" si="5"/>
        <v>#NUM!</v>
      </c>
      <c r="AN52" s="62">
        <f ca="1">AVERAGE(OFFSET($AM$3,0,0,'Données projet'!$E$10+1,1))-AVERAGE(OFFSET($H$3,0,0,'Données projet'!$E$10+1,1))</f>
        <v>155.60948448168716</v>
      </c>
      <c r="AO52" s="62">
        <f t="shared" si="36"/>
        <v>317.1378745393755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67.818942026421837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0.36734327654218457</v>
      </c>
      <c r="AX52" s="23">
        <f t="shared" si="6"/>
        <v>68.186285302964023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24.699999999999992</v>
      </c>
      <c r="D53" s="12">
        <f t="shared" si="32"/>
        <v>7.8368059426416599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251.16130903091798</v>
      </c>
      <c r="H53" s="70">
        <f t="shared" si="1"/>
        <v>350.00160368343415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12.454545454545455</v>
      </c>
      <c r="N53" s="14">
        <f>IF('Données projet'!$A$36&gt;35,N52+M53-V52,IF(A53&lt;'Données projet'!$A$36,$K$205^A53,IF(A53='Données projet'!$A$36,'Données projet'!$B$36,N52+M53-V52)))</f>
        <v>404.30545454545438</v>
      </c>
      <c r="O53" s="14">
        <f>N53*VLOOKUP('Données projet'!$B$9,Paramètres!$A$1:$I$89,3,0)*VLOOKUP('Données projet'!$B$9,Paramètres!$A$1:$I$89,5,0)</f>
        <v>189.21495272727265</v>
      </c>
      <c r="P53" s="14">
        <f t="shared" si="33"/>
        <v>47.366348244121859</v>
      </c>
      <c r="Q53" s="22">
        <f t="shared" si="53"/>
        <v>412.04576585851208</v>
      </c>
      <c r="R53" s="62">
        <f t="shared" si="0"/>
        <v>705.3790991918454</v>
      </c>
      <c r="S53" s="62">
        <f ca="1">AVERAGE(OFFSET($R$3,0,0,'Données projet'!$E$9+1,1))-AVERAGE(OFFSET($H$3,0,0,'Données projet'!$E$9+1,1))</f>
        <v>219.48219097225825</v>
      </c>
      <c r="T53" s="62">
        <f t="shared" si="34"/>
        <v>168.03826591942982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>
        <f>AI53*VLOOKUP('Données projet'!$B$10,Paramètres!$A$1:$I$89,3,0)*VLOOKUP('Données projet'!$B$10,Paramètres!$A$1:$I$89,5,0)</f>
        <v>0</v>
      </c>
      <c r="AK53" s="14" t="e">
        <f t="shared" si="35"/>
        <v>#NUM!</v>
      </c>
      <c r="AL53" s="22" t="e">
        <f t="shared" si="4"/>
        <v>#NUM!</v>
      </c>
      <c r="AM53" s="62" t="e">
        <f t="shared" si="5"/>
        <v>#NUM!</v>
      </c>
      <c r="AN53" s="62">
        <f ca="1">AVERAGE(OFFSET($AM$3,0,0,'Données projet'!$E$10+1,1))-AVERAGE(OFFSET($H$3,0,0,'Données projet'!$E$10+1,1))</f>
        <v>155.60948448168716</v>
      </c>
      <c r="AO53" s="62">
        <f t="shared" si="36"/>
        <v>317.1378745393755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66.489053938753841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0.25975092186626392</v>
      </c>
      <c r="AX53" s="23">
        <f t="shared" si="6"/>
        <v>66.748804860620112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25.193999999999992</v>
      </c>
      <c r="D54" s="12">
        <f t="shared" si="32"/>
        <v>7.9751379597846981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256.04246846149584</v>
      </c>
      <c r="H54" s="70">
        <f t="shared" si="1"/>
        <v>351.10291527995832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>
        <f>VLOOKUP(A54,'Données projet'!$A$35:$I$55,2,0)</f>
        <v>416.76</v>
      </c>
      <c r="L54" s="13">
        <f>VLOOKUP(A54,'Données projet'!$A$35:$I$55,9,0)</f>
        <v>12.454545454545455</v>
      </c>
      <c r="M54" s="13">
        <f t="array" ref="M54">INDEX(L:L,MIN(IF(ISNUMBER(L54:L250),ROW(L54:L250),"")))</f>
        <v>12.454545454545455</v>
      </c>
      <c r="N54" s="14">
        <f>IF('Données projet'!$A$36&gt;35,N53+M54-V53,IF(A54&lt;'Données projet'!$A$36,$K$205^A54,IF(A54='Données projet'!$A$36,'Données projet'!$B$36,N53+M54-V53)))</f>
        <v>416.75999999999982</v>
      </c>
      <c r="O54" s="14">
        <f>N54*VLOOKUP('Données projet'!$B$9,Paramètres!$A$1:$I$89,3,0)*VLOOKUP('Données projet'!$B$9,Paramètres!$A$1:$I$89,5,0)</f>
        <v>195.04367999999991</v>
      </c>
      <c r="P54" s="14">
        <f t="shared" si="33"/>
        <v>48.65333290919024</v>
      </c>
      <c r="Q54" s="22">
        <f t="shared" si="53"/>
        <v>424.43896415017292</v>
      </c>
      <c r="R54" s="62">
        <f t="shared" si="0"/>
        <v>717.77229748350624</v>
      </c>
      <c r="S54" s="62">
        <f ca="1">AVERAGE(OFFSET($R$3,0,0,'Données projet'!$E$9+1,1))-AVERAGE(OFFSET($H$3,0,0,'Données projet'!$E$9+1,1))</f>
        <v>219.48219097225825</v>
      </c>
      <c r="T54" s="62">
        <f t="shared" si="34"/>
        <v>168.03826591942982</v>
      </c>
      <c r="U54" s="16">
        <f>IF(ISNA(VLOOKUP(A54,'Données projet'!$A$35:$I$55,3,0)),0,VLOOKUP(A54,'Données projet'!$A$35:$I$55,3,0))</f>
        <v>3</v>
      </c>
      <c r="V54" s="16">
        <f>IF(ISNA(VLOOKUP(A54,'Données projet'!$A$35:$I$55,4,0)),0,VLOOKUP(A54,'Données projet'!$A$35:$I$55,4,0))</f>
        <v>182.39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>
        <f>AI54*VLOOKUP('Données projet'!$B$10,Paramètres!$A$1:$I$89,3,0)*VLOOKUP('Données projet'!$B$10,Paramètres!$A$1:$I$89,5,0)</f>
        <v>0</v>
      </c>
      <c r="AK54" s="14" t="e">
        <f t="shared" si="35"/>
        <v>#NUM!</v>
      </c>
      <c r="AL54" s="22" t="e">
        <f t="shared" si="4"/>
        <v>#NUM!</v>
      </c>
      <c r="AM54" s="62" t="e">
        <f t="shared" si="5"/>
        <v>#NUM!</v>
      </c>
      <c r="AN54" s="62">
        <f ca="1">AVERAGE(OFFSET($AM$3,0,0,'Données projet'!$E$10+1,1))-AVERAGE(OFFSET($H$3,0,0,'Données projet'!$E$10+1,1))</f>
        <v>155.60948448168716</v>
      </c>
      <c r="AO54" s="62">
        <f t="shared" si="36"/>
        <v>317.1378745393755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65.185244145333371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0.18367163827109229</v>
      </c>
      <c r="AX54" s="23">
        <f t="shared" si="6"/>
        <v>65.368915783604464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25.687999999999992</v>
      </c>
      <c r="D55" s="12">
        <f t="shared" si="32"/>
        <v>8.1131545930997699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260.92119335024375</v>
      </c>
      <c r="H55" s="70">
        <f t="shared" si="1"/>
        <v>352.20367758298204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10.655000000000001</v>
      </c>
      <c r="N55" s="14">
        <f>IF('Données projet'!$A$36&gt;35,N54+M55-V54,IF(A55&lt;'Données projet'!$A$36,$K$205^A55,IF(A55='Données projet'!$A$36,'Données projet'!$B$36,N54+M55-V54)))</f>
        <v>245.02499999999986</v>
      </c>
      <c r="O55" s="14">
        <f>N55*VLOOKUP('Données projet'!$B$9,Paramètres!$A$1:$I$89,3,0)*VLOOKUP('Données projet'!$B$9,Paramètres!$A$1:$I$89,5,0)</f>
        <v>114.67169999999993</v>
      </c>
      <c r="P55" s="14">
        <f t="shared" si="33"/>
        <v>30.428994955024976</v>
      </c>
      <c r="Q55" s="22">
        <f t="shared" si="53"/>
        <v>252.71704371333502</v>
      </c>
      <c r="R55" s="62">
        <f t="shared" si="0"/>
        <v>546.05037704666836</v>
      </c>
      <c r="S55" s="62">
        <f ca="1">AVERAGE(OFFSET($R$3,0,0,'Données projet'!$E$9+1,1))-AVERAGE(OFFSET($H$3,0,0,'Données projet'!$E$9+1,1))</f>
        <v>219.48219097225825</v>
      </c>
      <c r="T55" s="62">
        <f t="shared" si="34"/>
        <v>168.03826591942982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>
        <f>AI55*VLOOKUP('Données projet'!$B$10,Paramètres!$A$1:$I$89,3,0)*VLOOKUP('Données projet'!$B$10,Paramètres!$A$1:$I$89,5,0)</f>
        <v>0</v>
      </c>
      <c r="AK55" s="14" t="e">
        <f t="shared" si="35"/>
        <v>#NUM!</v>
      </c>
      <c r="AL55" s="22" t="e">
        <f t="shared" si="4"/>
        <v>#NUM!</v>
      </c>
      <c r="AM55" s="62" t="e">
        <f t="shared" si="5"/>
        <v>#NUM!</v>
      </c>
      <c r="AN55" s="62">
        <f ca="1">AVERAGE(OFFSET($AM$3,0,0,'Données projet'!$E$10+1,1))-AVERAGE(OFFSET($H$3,0,0,'Données projet'!$E$10+1,1))</f>
        <v>155.60948448168716</v>
      </c>
      <c r="AO55" s="62">
        <f t="shared" si="36"/>
        <v>317.1378745393755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63.907001266716428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0.12987546093313196</v>
      </c>
      <c r="AX55" s="23">
        <f t="shared" si="6"/>
        <v>64.036876727649556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26.181999999999992</v>
      </c>
      <c r="D56" s="12">
        <f t="shared" si="32"/>
        <v>8.250862606903512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265.7975359129394</v>
      </c>
      <c r="H56" s="70">
        <f t="shared" si="1"/>
        <v>353.30390237369022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>
        <f>VLOOKUP(A56,'Données projet'!$A$35:$I$55,2,0)</f>
        <v>255.68</v>
      </c>
      <c r="L56" s="13">
        <f>VLOOKUP(A56,'Données projet'!$A$35:$I$55,9,0)</f>
        <v>10.655000000000001</v>
      </c>
      <c r="M56" s="13">
        <f t="array" ref="M56">INDEX(L:L,MIN(IF(ISNUMBER(L56:L252),ROW(L56:L252),"")))</f>
        <v>10.655000000000001</v>
      </c>
      <c r="N56" s="14">
        <f>IF('Données projet'!$A$36&gt;35,N55+M56-V55,IF(A56&lt;'Données projet'!$A$36,$K$205^A56,IF(A56='Données projet'!$A$36,'Données projet'!$B$36,N55+M56-V55)))</f>
        <v>255.67999999999986</v>
      </c>
      <c r="O56" s="14">
        <f>N56*VLOOKUP('Données projet'!$B$9,Paramètres!$A$1:$I$89,3,0)*VLOOKUP('Données projet'!$B$9,Paramètres!$A$1:$I$89,5,0)</f>
        <v>119.65823999999994</v>
      </c>
      <c r="P56" s="14">
        <f t="shared" si="33"/>
        <v>31.595276160231307</v>
      </c>
      <c r="Q56" s="22">
        <f t="shared" si="53"/>
        <v>263.43320731240277</v>
      </c>
      <c r="R56" s="62">
        <f t="shared" si="0"/>
        <v>556.76654064573609</v>
      </c>
      <c r="S56" s="62">
        <f ca="1">AVERAGE(OFFSET($R$3,0,0,'Données projet'!$E$9+1,1))-AVERAGE(OFFSET($H$3,0,0,'Données projet'!$E$9+1,1))</f>
        <v>219.48219097225825</v>
      </c>
      <c r="T56" s="62">
        <f t="shared" si="34"/>
        <v>168.03826591942982</v>
      </c>
      <c r="U56" s="16">
        <f>IF(ISNA(VLOOKUP(A56,'Données projet'!$A$35:$I$55,3,0)),0,VLOOKUP(A56,'Données projet'!$A$35:$I$55,3,0))</f>
        <v>4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>
        <f>AI56*VLOOKUP('Données projet'!$B$10,Paramètres!$A$1:$I$89,3,0)*VLOOKUP('Données projet'!$B$10,Paramètres!$A$1:$I$89,5,0)</f>
        <v>0</v>
      </c>
      <c r="AK56" s="14" t="e">
        <f t="shared" si="35"/>
        <v>#NUM!</v>
      </c>
      <c r="AL56" s="22" t="e">
        <f t="shared" si="4"/>
        <v>#NUM!</v>
      </c>
      <c r="AM56" s="62" t="e">
        <f t="shared" si="5"/>
        <v>#NUM!</v>
      </c>
      <c r="AN56" s="62">
        <f ca="1">AVERAGE(OFFSET($AM$3,0,0,'Données projet'!$E$10+1,1))-AVERAGE(OFFSET($H$3,0,0,'Données projet'!$E$10+1,1))</f>
        <v>155.60948448168716</v>
      </c>
      <c r="AO56" s="62">
        <f t="shared" si="36"/>
        <v>317.1378745393755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62.653823951297994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9.1835819135546143E-2</v>
      </c>
      <c r="AX56" s="23">
        <f t="shared" si="6"/>
        <v>62.745659770433541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57" s="12">
        <f t="shared" si="32"/>
        <v>8.388268495647786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270.67154628219339</v>
      </c>
      <c r="H57" s="70">
        <f t="shared" si="1"/>
        <v>354.40360096325321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13.197499999999998</v>
      </c>
      <c r="N57" s="14">
        <f>IF('Données projet'!$A$36&gt;35,N56+M57-V56,IF(A57&lt;'Données projet'!$A$36,$K$205^A57,IF(A57='Données projet'!$A$36,'Données projet'!$B$36,N56+M57-V56)))</f>
        <v>268.87749999999988</v>
      </c>
      <c r="O57" s="14">
        <f>N57*VLOOKUP('Données projet'!$B$9,Paramètres!$A$1:$I$89,3,0)*VLOOKUP('Données projet'!$B$9,Paramètres!$A$1:$I$89,5,0)</f>
        <v>125.83466999999996</v>
      </c>
      <c r="P57" s="14">
        <f t="shared" si="33"/>
        <v>33.032057265927463</v>
      </c>
      <c r="Q57" s="22">
        <f t="shared" si="53"/>
        <v>276.69288332149023</v>
      </c>
      <c r="R57" s="62">
        <f t="shared" si="0"/>
        <v>570.02621665482354</v>
      </c>
      <c r="S57" s="62">
        <f ca="1">AVERAGE(OFFSET($R$3,0,0,'Données projet'!$E$9+1,1))-AVERAGE(OFFSET($H$3,0,0,'Données projet'!$E$9+1,1))</f>
        <v>219.48219097225825</v>
      </c>
      <c r="T57" s="62">
        <f t="shared" si="34"/>
        <v>168.03826591942982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>
        <f>AI57*VLOOKUP('Données projet'!$B$10,Paramètres!$A$1:$I$89,3,0)*VLOOKUP('Données projet'!$B$10,Paramètres!$A$1:$I$89,5,0)</f>
        <v>0</v>
      </c>
      <c r="AK57" s="14" t="e">
        <f t="shared" si="35"/>
        <v>#NUM!</v>
      </c>
      <c r="AL57" s="22" t="e">
        <f t="shared" si="4"/>
        <v>#NUM!</v>
      </c>
      <c r="AM57" s="62" t="e">
        <f t="shared" si="5"/>
        <v>#NUM!</v>
      </c>
      <c r="AN57" s="62">
        <f ca="1">AVERAGE(OFFSET($AM$3,0,0,'Données projet'!$E$10+1,1))-AVERAGE(OFFSET($H$3,0,0,'Données projet'!$E$10+1,1))</f>
        <v>155.60948448168716</v>
      </c>
      <c r="AO57" s="62">
        <f t="shared" si="36"/>
        <v>317.1378745393755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61.425220678672225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6.4937730466565979E-2</v>
      </c>
      <c r="AX57" s="23">
        <f t="shared" si="6"/>
        <v>61.490158409138793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27.169999999999991</v>
      </c>
      <c r="D58" s="12">
        <f t="shared" si="32"/>
        <v>8.5253784994806487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275.54327262756988</v>
      </c>
      <c r="H58" s="70">
        <f t="shared" si="1"/>
        <v>355.50278421992874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13.197499999999998</v>
      </c>
      <c r="N58" s="14">
        <f>IF('Données projet'!$A$36&gt;35,N57+M58-V57,IF(A58&lt;'Données projet'!$A$36,$K$205^A58,IF(A58='Données projet'!$A$36,'Données projet'!$B$36,N57+M58-V57)))</f>
        <v>282.07499999999987</v>
      </c>
      <c r="O58" s="14">
        <f>N58*VLOOKUP('Données projet'!$B$9,Paramètres!$A$1:$I$89,3,0)*VLOOKUP('Données projet'!$B$9,Paramètres!$A$1:$I$89,5,0)</f>
        <v>132.01109999999994</v>
      </c>
      <c r="P58" s="14">
        <f t="shared" si="33"/>
        <v>34.46064948410914</v>
      </c>
      <c r="Q58" s="22">
        <f t="shared" si="53"/>
        <v>289.93829701815662</v>
      </c>
      <c r="R58" s="62">
        <f t="shared" si="0"/>
        <v>583.27163035148988</v>
      </c>
      <c r="S58" s="62">
        <f ca="1">AVERAGE(OFFSET($R$3,0,0,'Données projet'!$E$9+1,1))-AVERAGE(OFFSET($H$3,0,0,'Données projet'!$E$9+1,1))</f>
        <v>219.48219097225825</v>
      </c>
      <c r="T58" s="62">
        <f t="shared" si="34"/>
        <v>168.03826591942982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>
        <f>AI58*VLOOKUP('Données projet'!$B$10,Paramètres!$A$1:$I$89,3,0)*VLOOKUP('Données projet'!$B$10,Paramètres!$A$1:$I$89,5,0)</f>
        <v>0</v>
      </c>
      <c r="AK58" s="14" t="e">
        <f t="shared" si="35"/>
        <v>#NUM!</v>
      </c>
      <c r="AL58" s="22" t="e">
        <f t="shared" si="4"/>
        <v>#NUM!</v>
      </c>
      <c r="AM58" s="62" t="e">
        <f t="shared" si="5"/>
        <v>#NUM!</v>
      </c>
      <c r="AN58" s="62">
        <f ca="1">AVERAGE(OFFSET($AM$3,0,0,'Données projet'!$E$10+1,1))-AVERAGE(OFFSET($H$3,0,0,'Données projet'!$E$10+1,1))</f>
        <v>155.60948448168716</v>
      </c>
      <c r="AO58" s="62">
        <f t="shared" si="36"/>
        <v>317.1378745393755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60.220709566848647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4.5917909567773071E-2</v>
      </c>
      <c r="AX58" s="23">
        <f t="shared" si="6"/>
        <v>60.266627476416417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27.663999999999991</v>
      </c>
      <c r="D59" s="12">
        <f t="shared" si="32"/>
        <v>8.6621986186436022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280.4127612667225</v>
      </c>
      <c r="H59" s="70">
        <f t="shared" si="1"/>
        <v>356.60146259413756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13.197499999999998</v>
      </c>
      <c r="N59" s="14">
        <f>IF('Données projet'!$A$36&gt;35,N58+M59-V58,IF(A59&lt;'Données projet'!$A$36,$K$205^A59,IF(A59='Données projet'!$A$36,'Données projet'!$B$36,N58+M59-V58)))</f>
        <v>295.27249999999987</v>
      </c>
      <c r="O59" s="14">
        <f>N59*VLOOKUP('Données projet'!$B$9,Paramètres!$A$1:$I$89,3,0)*VLOOKUP('Données projet'!$B$9,Paramètres!$A$1:$I$89,5,0)</f>
        <v>138.18752999999992</v>
      </c>
      <c r="P59" s="14">
        <f t="shared" si="33"/>
        <v>35.881479702704326</v>
      </c>
      <c r="Q59" s="22">
        <f t="shared" si="53"/>
        <v>303.17019189887657</v>
      </c>
      <c r="R59" s="62">
        <f t="shared" si="0"/>
        <v>596.50352523220988</v>
      </c>
      <c r="S59" s="62">
        <f ca="1">AVERAGE(OFFSET($R$3,0,0,'Données projet'!$E$9+1,1))-AVERAGE(OFFSET($H$3,0,0,'Données projet'!$E$9+1,1))</f>
        <v>219.48219097225825</v>
      </c>
      <c r="T59" s="62">
        <f t="shared" si="34"/>
        <v>168.03826591942982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>
        <f>AI59*VLOOKUP('Données projet'!$B$10,Paramètres!$A$1:$I$89,3,0)*VLOOKUP('Données projet'!$B$10,Paramètres!$A$1:$I$89,5,0)</f>
        <v>0</v>
      </c>
      <c r="AK59" s="14" t="e">
        <f t="shared" si="35"/>
        <v>#NUM!</v>
      </c>
      <c r="AL59" s="22" t="e">
        <f t="shared" si="4"/>
        <v>#NUM!</v>
      </c>
      <c r="AM59" s="62" t="e">
        <f t="shared" si="5"/>
        <v>#NUM!</v>
      </c>
      <c r="AN59" s="62">
        <f ca="1">AVERAGE(OFFSET($AM$3,0,0,'Données projet'!$E$10+1,1))-AVERAGE(OFFSET($H$3,0,0,'Données projet'!$E$10+1,1))</f>
        <v>155.60948448168716</v>
      </c>
      <c r="AO59" s="62">
        <f t="shared" si="36"/>
        <v>317.1378745393755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59.039818183248698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3.246886523328299E-2</v>
      </c>
      <c r="AX59" s="23">
        <f t="shared" si="6"/>
        <v>59.072287048481982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28.157999999999991</v>
      </c>
      <c r="D60" s="12">
        <f t="shared" si="32"/>
        <v>8.7987346268113527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285.28005676836824</v>
      </c>
      <c r="H60" s="70">
        <f t="shared" si="1"/>
        <v>357.69964614169641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13.197499999999998</v>
      </c>
      <c r="N60" s="14">
        <f>IF('Données projet'!$A$36&gt;35,N59+M60-V59,IF(A60&lt;'Données projet'!$A$36,$K$205^A60,IF(A60='Données projet'!$A$36,'Données projet'!$B$36,N59+M60-V59)))</f>
        <v>308.46999999999986</v>
      </c>
      <c r="O60" s="14">
        <f>N60*VLOOKUP('Données projet'!$B$9,Paramètres!$A$1:$I$89,3,0)*VLOOKUP('Données projet'!$B$9,Paramètres!$A$1:$I$89,5,0)</f>
        <v>144.36395999999993</v>
      </c>
      <c r="P60" s="14">
        <f t="shared" si="33"/>
        <v>37.294934491884092</v>
      </c>
      <c r="Q60" s="22">
        <f t="shared" si="53"/>
        <v>316.38924124003137</v>
      </c>
      <c r="R60" s="62">
        <f t="shared" si="0"/>
        <v>609.72257457336468</v>
      </c>
      <c r="S60" s="62">
        <f ca="1">AVERAGE(OFFSET($R$3,0,0,'Données projet'!$E$9+1,1))-AVERAGE(OFFSET($H$3,0,0,'Données projet'!$E$9+1,1))</f>
        <v>219.48219097225825</v>
      </c>
      <c r="T60" s="62">
        <f t="shared" si="34"/>
        <v>168.03826591942982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>
        <f>AI60*VLOOKUP('Données projet'!$B$10,Paramètres!$A$1:$I$89,3,0)*VLOOKUP('Données projet'!$B$10,Paramètres!$A$1:$I$89,5,0)</f>
        <v>0</v>
      </c>
      <c r="AK60" s="14" t="e">
        <f t="shared" si="35"/>
        <v>#NUM!</v>
      </c>
      <c r="AL60" s="22" t="e">
        <f t="shared" si="4"/>
        <v>#NUM!</v>
      </c>
      <c r="AM60" s="62" t="e">
        <f t="shared" si="5"/>
        <v>#NUM!</v>
      </c>
      <c r="AN60" s="62">
        <f ca="1">AVERAGE(OFFSET($AM$3,0,0,'Données projet'!$E$10+1,1))-AVERAGE(OFFSET($H$3,0,0,'Données projet'!$E$10+1,1))</f>
        <v>155.60948448168716</v>
      </c>
      <c r="AO60" s="62">
        <f t="shared" si="36"/>
        <v>317.1378745393755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57.882083359408519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2.2958954783886536E-2</v>
      </c>
      <c r="AX60" s="23">
        <f t="shared" si="6"/>
        <v>57.905042314192407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28.65199999999999</v>
      </c>
      <c r="D61" s="12">
        <f t="shared" si="32"/>
        <v>8.9349920834689218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290.1452020478302</v>
      </c>
      <c r="H61" s="70">
        <f t="shared" si="1"/>
        <v>358.79734454537498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13.197499999999998</v>
      </c>
      <c r="N61" s="14">
        <f>IF('Données projet'!$A$36&gt;35,N60+M61-V60,IF(A61&lt;'Données projet'!$A$36,$K$205^A61,IF(A61='Données projet'!$A$36,'Données projet'!$B$36,N60+M61-V60)))</f>
        <v>321.66749999999985</v>
      </c>
      <c r="O61" s="14">
        <f>N61*VLOOKUP('Données projet'!$B$9,Paramètres!$A$1:$I$89,3,0)*VLOOKUP('Données projet'!$B$9,Paramètres!$A$1:$I$89,5,0)</f>
        <v>150.54038999999992</v>
      </c>
      <c r="P61" s="14">
        <f t="shared" si="33"/>
        <v>38.701365473118777</v>
      </c>
      <c r="Q61" s="22">
        <f t="shared" si="53"/>
        <v>329.59605744901506</v>
      </c>
      <c r="R61" s="62">
        <f t="shared" si="0"/>
        <v>622.92939078234838</v>
      </c>
      <c r="S61" s="62">
        <f ca="1">AVERAGE(OFFSET($R$3,0,0,'Données projet'!$E$9+1,1))-AVERAGE(OFFSET($H$3,0,0,'Données projet'!$E$9+1,1))</f>
        <v>219.48219097225825</v>
      </c>
      <c r="T61" s="62">
        <f t="shared" si="34"/>
        <v>168.03826591942982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>
        <f>AI61*VLOOKUP('Données projet'!$B$10,Paramètres!$A$1:$I$89,3,0)*VLOOKUP('Données projet'!$B$10,Paramètres!$A$1:$I$89,5,0)</f>
        <v>0</v>
      </c>
      <c r="AK61" s="14" t="e">
        <f t="shared" si="35"/>
        <v>#NUM!</v>
      </c>
      <c r="AL61" s="22" t="e">
        <f t="shared" si="4"/>
        <v>#NUM!</v>
      </c>
      <c r="AM61" s="62" t="e">
        <f t="shared" si="5"/>
        <v>#NUM!</v>
      </c>
      <c r="AN61" s="62">
        <f ca="1">AVERAGE(OFFSET($AM$3,0,0,'Données projet'!$E$10+1,1))-AVERAGE(OFFSET($H$3,0,0,'Données projet'!$E$10+1,1))</f>
        <v>155.60948448168716</v>
      </c>
      <c r="AO61" s="62">
        <f t="shared" si="36"/>
        <v>317.1378745393755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56.747051009315328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1.6234432616641495E-2</v>
      </c>
      <c r="AX61" s="23">
        <f t="shared" si="6"/>
        <v>56.76328544193197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29.14599999999999</v>
      </c>
      <c r="D62" s="12">
        <f t="shared" si="32"/>
        <v>9.0709763454110508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295.00823845580453</v>
      </c>
      <c r="H62" s="70">
        <f t="shared" si="1"/>
        <v>359.89456713492422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13.197499999999998</v>
      </c>
      <c r="N62" s="14">
        <f>IF('Données projet'!$A$36&gt;35,N61+M62-V61,IF(A62&lt;'Données projet'!$A$36,$K$205^A62,IF(A62='Données projet'!$A$36,'Données projet'!$B$36,N61+M62-V61)))</f>
        <v>334.86499999999984</v>
      </c>
      <c r="O62" s="14">
        <f>N62*VLOOKUP('Données projet'!$B$9,Paramètres!$A$1:$I$89,3,0)*VLOOKUP('Données projet'!$B$9,Paramètres!$A$1:$I$89,5,0)</f>
        <v>156.71681999999993</v>
      </c>
      <c r="P62" s="14">
        <f t="shared" si="33"/>
        <v>40.101093782281076</v>
      </c>
      <c r="Q62" s="22">
        <f t="shared" si="53"/>
        <v>342.79119983747273</v>
      </c>
      <c r="R62" s="62">
        <f t="shared" si="0"/>
        <v>636.12453317080599</v>
      </c>
      <c r="S62" s="62">
        <f ca="1">AVERAGE(OFFSET($R$3,0,0,'Données projet'!$E$9+1,1))-AVERAGE(OFFSET($H$3,0,0,'Données projet'!$E$9+1,1))</f>
        <v>219.48219097225825</v>
      </c>
      <c r="T62" s="62">
        <f t="shared" si="34"/>
        <v>168.03826591942982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>
        <f>AI62*VLOOKUP('Données projet'!$B$10,Paramètres!$A$1:$I$89,3,0)*VLOOKUP('Données projet'!$B$10,Paramètres!$A$1:$I$89,5,0)</f>
        <v>0</v>
      </c>
      <c r="AK62" s="14" t="e">
        <f t="shared" si="35"/>
        <v>#NUM!</v>
      </c>
      <c r="AL62" s="22" t="e">
        <f t="shared" si="4"/>
        <v>#NUM!</v>
      </c>
      <c r="AM62" s="62" t="e">
        <f t="shared" si="5"/>
        <v>#NUM!</v>
      </c>
      <c r="AN62" s="62">
        <f ca="1">AVERAGE(OFFSET($AM$3,0,0,'Données projet'!$E$10+1,1))-AVERAGE(OFFSET($H$3,0,0,'Données projet'!$E$10+1,1))</f>
        <v>155.60948448168716</v>
      </c>
      <c r="AO62" s="62">
        <f t="shared" si="36"/>
        <v>317.1378745393755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55.634275951306094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1.1479477391943268E-2</v>
      </c>
      <c r="AX62" s="23">
        <f t="shared" si="6"/>
        <v>55.645755428698038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29.63999999999999</v>
      </c>
      <c r="D63" s="12">
        <f t="shared" si="32"/>
        <v>9.2066925774398314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299.86920586093902</v>
      </c>
      <c r="H63" s="70">
        <f t="shared" si="1"/>
        <v>360.99132290570765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13.197499999999998</v>
      </c>
      <c r="N63" s="14">
        <f>IF('Données projet'!$A$36&gt;35,N62+M63-V62,IF(A63&lt;'Données projet'!$A$36,$K$205^A63,IF(A63='Données projet'!$A$36,'Données projet'!$B$36,N62+M63-V62)))</f>
        <v>348.06249999999983</v>
      </c>
      <c r="O63" s="14">
        <f>N63*VLOOKUP('Données projet'!$B$9,Paramètres!$A$1:$I$89,3,0)*VLOOKUP('Données projet'!$B$9,Paramètres!$A$1:$I$89,5,0)</f>
        <v>162.89324999999994</v>
      </c>
      <c r="P63" s="14">
        <f t="shared" si="33"/>
        <v>41.494413809361362</v>
      </c>
      <c r="Q63" s="22">
        <f t="shared" si="53"/>
        <v>355.97518113463758</v>
      </c>
      <c r="R63" s="62">
        <f t="shared" si="0"/>
        <v>649.30851446797089</v>
      </c>
      <c r="S63" s="62">
        <f ca="1">AVERAGE(OFFSET($R$3,0,0,'Données projet'!$E$9+1,1))-AVERAGE(OFFSET($H$3,0,0,'Données projet'!$E$9+1,1))</f>
        <v>219.48219097225825</v>
      </c>
      <c r="T63" s="62">
        <f t="shared" si="34"/>
        <v>168.03826591942982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>
        <f>AI63*VLOOKUP('Données projet'!$B$10,Paramètres!$A$1:$I$89,3,0)*VLOOKUP('Données projet'!$B$10,Paramètres!$A$1:$I$89,5,0)</f>
        <v>0</v>
      </c>
      <c r="AK63" s="14" t="e">
        <f t="shared" si="35"/>
        <v>#NUM!</v>
      </c>
      <c r="AL63" s="22" t="e">
        <f t="shared" si="4"/>
        <v>#NUM!</v>
      </c>
      <c r="AM63" s="62" t="e">
        <f t="shared" si="5"/>
        <v>#NUM!</v>
      </c>
      <c r="AN63" s="62">
        <f ca="1">AVERAGE(OFFSET($AM$3,0,0,'Données projet'!$E$10+1,1))-AVERAGE(OFFSET($H$3,0,0,'Données projet'!$E$10+1,1))</f>
        <v>155.60948448168716</v>
      </c>
      <c r="AO63" s="62">
        <f t="shared" si="36"/>
        <v>317.1378745393755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54.543321733458654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8.1172163083207474E-3</v>
      </c>
      <c r="AX63" s="23">
        <f t="shared" si="6"/>
        <v>54.551438949766975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30.13399999999999</v>
      </c>
      <c r="D64" s="12">
        <f t="shared" si="32"/>
        <v>9.3421457623289594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304.72814272674975</v>
      </c>
      <c r="H64" s="70">
        <f t="shared" si="1"/>
        <v>362.08762053605625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>
        <f>VLOOKUP(A64,'Données projet'!$A$35:$I$55,2,0)</f>
        <v>361.26</v>
      </c>
      <c r="L64" s="13">
        <f>VLOOKUP(A64,'Données projet'!$A$35:$I$55,9,0)</f>
        <v>13.197499999999998</v>
      </c>
      <c r="M64" s="13">
        <f t="array" ref="M64">INDEX(L:L,MIN(IF(ISNUMBER(L64:L260),ROW(L64:L260),"")))</f>
        <v>13.197499999999998</v>
      </c>
      <c r="N64" s="14">
        <f>IF('Données projet'!$A$36&gt;35,N63+M64-V63,IF(A64&lt;'Données projet'!$A$36,$K$205^A64,IF(A64='Données projet'!$A$36,'Données projet'!$B$36,N63+M64-V63)))</f>
        <v>361.25999999999982</v>
      </c>
      <c r="O64" s="14">
        <f>N64*VLOOKUP('Données projet'!$B$9,Paramètres!$A$1:$I$89,3,0)*VLOOKUP('Données projet'!$B$9,Paramètres!$A$1:$I$89,5,0)</f>
        <v>169.06967999999992</v>
      </c>
      <c r="P64" s="14">
        <f t="shared" si="33"/>
        <v>42.881596355037587</v>
      </c>
      <c r="Q64" s="22">
        <f t="shared" si="53"/>
        <v>369.14847298502372</v>
      </c>
      <c r="R64" s="62">
        <f t="shared" si="0"/>
        <v>662.48180631835703</v>
      </c>
      <c r="S64" s="62">
        <f ca="1">AVERAGE(OFFSET($R$3,0,0,'Données projet'!$E$9+1,1))-AVERAGE(OFFSET($H$3,0,0,'Données projet'!$E$9+1,1))</f>
        <v>219.48219097225825</v>
      </c>
      <c r="T64" s="62">
        <f t="shared" si="34"/>
        <v>168.03826591942982</v>
      </c>
      <c r="U64" s="16">
        <f>IF(ISNA(VLOOKUP(A64,'Données projet'!$A$35:$I$55,3,0)),0,VLOOKUP(A64,'Données projet'!$A$35:$I$55,3,0))</f>
        <v>5</v>
      </c>
      <c r="V64" s="16">
        <f>IF(ISNA(VLOOKUP(A64,'Données projet'!$A$35:$I$55,4,0)),0,VLOOKUP(A64,'Données projet'!$A$35:$I$55,4,0))</f>
        <v>100.16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>
        <f>AI64*VLOOKUP('Données projet'!$B$10,Paramètres!$A$1:$I$89,3,0)*VLOOKUP('Données projet'!$B$10,Paramètres!$A$1:$I$89,5,0)</f>
        <v>0</v>
      </c>
      <c r="AK64" s="14" t="e">
        <f t="shared" si="35"/>
        <v>#NUM!</v>
      </c>
      <c r="AL64" s="22" t="e">
        <f t="shared" si="4"/>
        <v>#NUM!</v>
      </c>
      <c r="AM64" s="62" t="e">
        <f t="shared" si="5"/>
        <v>#NUM!</v>
      </c>
      <c r="AN64" s="62">
        <f ca="1">AVERAGE(OFFSET($AM$3,0,0,'Données projet'!$E$10+1,1))-AVERAGE(OFFSET($H$3,0,0,'Données projet'!$E$10+1,1))</f>
        <v>155.60948448168716</v>
      </c>
      <c r="AO64" s="62">
        <f t="shared" si="36"/>
        <v>317.1378745393755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53.47376046240683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5.7397386959716339E-3</v>
      </c>
      <c r="AX64" s="23">
        <f t="shared" si="6"/>
        <v>53.479500201102802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30.627999999999989</v>
      </c>
      <c r="D65" s="12">
        <f t="shared" si="32"/>
        <v>9.4773407101161169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309.58508618335242</v>
      </c>
      <c r="H65" s="70">
        <f t="shared" si="1"/>
        <v>363.1834684034522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>
        <f>VLOOKUP(A65,'Données projet'!$A$35:$I$55,2,0)</f>
        <v>277.5</v>
      </c>
      <c r="L65" s="13">
        <f>VLOOKUP(A65,'Données projet'!$A$35:$I$55,9,0)</f>
        <v>16.399999999999977</v>
      </c>
      <c r="M65" s="13">
        <f t="array" ref="M65">INDEX(L:L,MIN(IF(ISNUMBER(L65:L261),ROW(L65:L261),"")))</f>
        <v>16.399999999999977</v>
      </c>
      <c r="N65" s="14">
        <f>IF('Données projet'!$A$36&gt;35,N64+M65-V64,IF(A65&lt;'Données projet'!$A$36,$K$205^A65,IF(A65='Données projet'!$A$36,'Données projet'!$B$36,N64+M65-V64)))</f>
        <v>277.49999999999977</v>
      </c>
      <c r="O65" s="14">
        <f>N65*VLOOKUP('Données projet'!$B$9,Paramètres!$A$1:$I$89,3,0)*VLOOKUP('Données projet'!$B$9,Paramètres!$A$1:$I$89,5,0)</f>
        <v>129.86999999999989</v>
      </c>
      <c r="P65" s="14">
        <f t="shared" si="33"/>
        <v>33.966318400312289</v>
      </c>
      <c r="Q65" s="22">
        <f t="shared" si="53"/>
        <v>285.34825454721033</v>
      </c>
      <c r="R65" s="62">
        <f t="shared" si="0"/>
        <v>578.6815878805437</v>
      </c>
      <c r="S65" s="62">
        <f ca="1">AVERAGE(OFFSET($R$3,0,0,'Données projet'!$E$9+1,1))-AVERAGE(OFFSET($H$3,0,0,'Données projet'!$E$9+1,1))</f>
        <v>219.48219097225825</v>
      </c>
      <c r="T65" s="62">
        <f t="shared" si="34"/>
        <v>168.03826591942982</v>
      </c>
      <c r="U65" s="16">
        <f>IF(ISNA(VLOOKUP(A65,'Données projet'!$A$35:$I$55,3,0)),0,VLOOKUP(A65,'Données projet'!$A$35:$I$55,3,0))</f>
        <v>6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>
        <f>AI65*VLOOKUP('Données projet'!$B$10,Paramètres!$A$1:$I$89,3,0)*VLOOKUP('Données projet'!$B$10,Paramètres!$A$1:$I$89,5,0)</f>
        <v>0</v>
      </c>
      <c r="AK65" s="14" t="e">
        <f t="shared" si="35"/>
        <v>#NUM!</v>
      </c>
      <c r="AL65" s="22" t="e">
        <f t="shared" si="4"/>
        <v>#NUM!</v>
      </c>
      <c r="AM65" s="62" t="e">
        <f t="shared" si="5"/>
        <v>#NUM!</v>
      </c>
      <c r="AN65" s="62">
        <f ca="1">AVERAGE(OFFSET($AM$3,0,0,'Données projet'!$E$10+1,1))-AVERAGE(OFFSET($H$3,0,0,'Données projet'!$E$10+1,1))</f>
        <v>155.60948448168716</v>
      </c>
      <c r="AO65" s="62">
        <f t="shared" si="36"/>
        <v>317.1378745393755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52.425172635512375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4.0586081541603737E-3</v>
      </c>
      <c r="AX65" s="23">
        <f t="shared" si="6"/>
        <v>52.429231243666536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31.121999999999989</v>
      </c>
      <c r="D66" s="12">
        <f t="shared" si="32"/>
        <v>9.612282066778798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314.44007209443276</v>
      </c>
      <c r="H66" s="70">
        <f t="shared" si="1"/>
        <v>364.27887459963972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9.2918181818181793</v>
      </c>
      <c r="N66" s="14">
        <f>IF('Données projet'!$A$36&gt;35,N65+M66-V65,IF(A66&lt;'Données projet'!$A$36,$K$205^A66,IF(A66='Données projet'!$A$36,'Données projet'!$B$36,N65+M66-V65)))</f>
        <v>286.79181818181797</v>
      </c>
      <c r="O66" s="14">
        <f>N66*VLOOKUP('Données projet'!$B$9,Paramètres!$A$1:$I$89,3,0)*VLOOKUP('Données projet'!$B$9,Paramètres!$A$1:$I$89,5,0)</f>
        <v>134.2185709090908</v>
      </c>
      <c r="P66" s="14">
        <f t="shared" si="33"/>
        <v>34.969328061263866</v>
      </c>
      <c r="Q66" s="22">
        <f t="shared" si="53"/>
        <v>294.66892404003437</v>
      </c>
      <c r="R66" s="62">
        <f t="shared" si="0"/>
        <v>588.00225737336768</v>
      </c>
      <c r="S66" s="62">
        <f ca="1">AVERAGE(OFFSET($R$3,0,0,'Données projet'!$E$9+1,1))-AVERAGE(OFFSET($H$3,0,0,'Données projet'!$E$9+1,1))</f>
        <v>219.48219097225825</v>
      </c>
      <c r="T66" s="62">
        <f t="shared" si="34"/>
        <v>168.03826591942982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>
        <f>AI66*VLOOKUP('Données projet'!$B$10,Paramètres!$A$1:$I$89,3,0)*VLOOKUP('Données projet'!$B$10,Paramètres!$A$1:$I$89,5,0)</f>
        <v>0</v>
      </c>
      <c r="AK66" s="14" t="e">
        <f t="shared" si="35"/>
        <v>#NUM!</v>
      </c>
      <c r="AL66" s="22" t="e">
        <f t="shared" si="4"/>
        <v>#NUM!</v>
      </c>
      <c r="AM66" s="62" t="e">
        <f t="shared" si="5"/>
        <v>#NUM!</v>
      </c>
      <c r="AN66" s="62">
        <f ca="1">AVERAGE(OFFSET($AM$3,0,0,'Données projet'!$E$10+1,1))-AVERAGE(OFFSET($H$3,0,0,'Données projet'!$E$10+1,1))</f>
        <v>155.60948448168716</v>
      </c>
      <c r="AO66" s="62">
        <f t="shared" si="36"/>
        <v>317.1378745393755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51.397146976327896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2.869869347985817E-3</v>
      </c>
      <c r="AX66" s="23">
        <f t="shared" si="6"/>
        <v>51.400016845675879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31.615999999999989</v>
      </c>
      <c r="D67" s="12">
        <f t="shared" si="32"/>
        <v>9.7469743223436929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319.293135119846</v>
      </c>
      <c r="H67" s="70">
        <f t="shared" si="1"/>
        <v>365.37384694474855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9.2918181818181793</v>
      </c>
      <c r="N67" s="14">
        <f>IF('Données projet'!$A$36&gt;35,N66+M67-V66,IF(A67&lt;'Données projet'!$A$36,$K$205^A67,IF(A67='Données projet'!$A$36,'Données projet'!$B$36,N66+M67-V66)))</f>
        <v>296.08363636363617</v>
      </c>
      <c r="O67" s="14">
        <f>N67*VLOOKUP('Données projet'!$B$9,Paramètres!$A$1:$I$89,3,0)*VLOOKUP('Données projet'!$B$9,Paramètres!$A$1:$I$89,5,0)</f>
        <v>138.56714181818174</v>
      </c>
      <c r="P67" s="14">
        <f t="shared" si="33"/>
        <v>35.968561533772089</v>
      </c>
      <c r="Q67" s="22">
        <f t="shared" ref="Q67:Q98" si="54">(O67+P67)*0.475*44/12</f>
        <v>303.98301667131955</v>
      </c>
      <c r="R67" s="62">
        <f t="shared" ref="R67:R130" si="55">Q67+(I67+J67)*44/12</f>
        <v>597.3163500046528</v>
      </c>
      <c r="S67" s="62">
        <f ca="1">AVERAGE(OFFSET($R$3,0,0,'Données projet'!$E$9+1,1))-AVERAGE(OFFSET($H$3,0,0,'Données projet'!$E$9+1,1))</f>
        <v>219.48219097225825</v>
      </c>
      <c r="T67" s="62">
        <f t="shared" si="34"/>
        <v>168.03826591942982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>
        <f>AI67*VLOOKUP('Données projet'!$B$10,Paramètres!$A$1:$I$89,3,0)*VLOOKUP('Données projet'!$B$10,Paramètres!$A$1:$I$89,5,0)</f>
        <v>0</v>
      </c>
      <c r="AK67" s="14" t="e">
        <f t="shared" si="35"/>
        <v>#NUM!</v>
      </c>
      <c r="AL67" s="22" t="e">
        <f t="shared" si="4"/>
        <v>#NUM!</v>
      </c>
      <c r="AM67" s="62" t="e">
        <f t="shared" si="5"/>
        <v>#NUM!</v>
      </c>
      <c r="AN67" s="62">
        <f ca="1">AVERAGE(OFFSET($AM$3,0,0,'Données projet'!$E$10+1,1))-AVERAGE(OFFSET($H$3,0,0,'Données projet'!$E$10+1,1))</f>
        <v>155.60948448168716</v>
      </c>
      <c r="AO67" s="62">
        <f t="shared" si="36"/>
        <v>317.1378745393755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50.389280273286289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2.0293040770801869E-3</v>
      </c>
      <c r="AX67" s="23">
        <f t="shared" si="6"/>
        <v>50.391309577363366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32.109999999999992</v>
      </c>
      <c r="D68" s="12">
        <f t="shared" si="32"/>
        <v>9.8814218184748146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324.14430877419147</v>
      </c>
      <c r="H68" s="70">
        <f t="shared" ref="H68:H131" si="56">(B68+E68+F68)*44/12+(C68+D68)*0.475*44/12</f>
        <v>366.46839300051028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9.2918181818181793</v>
      </c>
      <c r="N68" s="14">
        <f>IF('Données projet'!$A$36&gt;35,N67+M68-V67,IF(A68&lt;'Données projet'!$A$36,$K$205^A68,IF(A68='Données projet'!$A$36,'Données projet'!$B$36,N67+M68-V67)))</f>
        <v>305.37545454545437</v>
      </c>
      <c r="O68" s="14">
        <f>N68*VLOOKUP('Données projet'!$B$9,Paramètres!$A$1:$I$89,3,0)*VLOOKUP('Données projet'!$B$9,Paramètres!$A$1:$I$89,5,0)</f>
        <v>142.91571272727265</v>
      </c>
      <c r="P68" s="14">
        <f t="shared" si="33"/>
        <v>36.964150920473521</v>
      </c>
      <c r="Q68" s="22">
        <f t="shared" si="54"/>
        <v>313.29076251982451</v>
      </c>
      <c r="R68" s="62">
        <f t="shared" si="55"/>
        <v>606.62409585315777</v>
      </c>
      <c r="S68" s="62">
        <f ca="1">AVERAGE(OFFSET($R$3,0,0,'Données projet'!$E$9+1,1))-AVERAGE(OFFSET($H$3,0,0,'Données projet'!$E$9+1,1))</f>
        <v>219.48219097225825</v>
      </c>
      <c r="T68" s="62">
        <f t="shared" si="34"/>
        <v>168.03826591942982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>
        <f>AI68*VLOOKUP('Données projet'!$B$10,Paramètres!$A$1:$I$89,3,0)*VLOOKUP('Données projet'!$B$10,Paramètres!$A$1:$I$89,5,0)</f>
        <v>0</v>
      </c>
      <c r="AK68" s="14" t="e">
        <f t="shared" si="35"/>
        <v>#NUM!</v>
      </c>
      <c r="AL68" s="22" t="e">
        <f t="shared" ref="AL68:AL131" si="58">(AJ68+AK68)*0.475*44/12</f>
        <v>#NUM!</v>
      </c>
      <c r="AM68" s="62" t="e">
        <f t="shared" ref="AM68:AM131" si="59">AL68+(AD68+AE68)*44/12</f>
        <v>#NUM!</v>
      </c>
      <c r="AN68" s="62">
        <f ca="1">AVERAGE(OFFSET($AM$3,0,0,'Données projet'!$E$10+1,1))-AVERAGE(OFFSET($H$3,0,0,'Données projet'!$E$10+1,1))</f>
        <v>155.60948448168716</v>
      </c>
      <c r="AO68" s="62">
        <f t="shared" si="36"/>
        <v>317.1378745393755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49.40117722155334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1.4349346739929085E-3</v>
      </c>
      <c r="AX68" s="23">
        <f t="shared" ref="AX68:AX131" si="60">SUM(AU68:AW68)</f>
        <v>49.402612156227335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32.603999999999992</v>
      </c>
      <c r="D69" s="12">
        <f t="shared" ref="D69:D132" si="86">IFERROR(EXP(-1.0587+0.8836*LN(C69)+0.284),0)</f>
        <v>10.015628755581478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328.99362548168159</v>
      </c>
      <c r="H69" s="70">
        <f t="shared" si="56"/>
        <v>367.56252008263772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9.2918181818181793</v>
      </c>
      <c r="N69" s="14">
        <f>IF('Données projet'!$A$36&gt;35,N68+M69-V68,IF(A69&lt;'Données projet'!$A$36,$K$205^A69,IF(A69='Données projet'!$A$36,'Données projet'!$B$36,N68+M69-V68)))</f>
        <v>314.66727272727258</v>
      </c>
      <c r="O69" s="14">
        <f>N69*VLOOKUP('Données projet'!$B$9,Paramètres!$A$1:$I$89,3,0)*VLOOKUP('Données projet'!$B$9,Paramètres!$A$1:$I$89,5,0)</f>
        <v>147.26428363636356</v>
      </c>
      <c r="P69" s="14">
        <f t="shared" ref="P69:P132" si="87">EXP(-1.0587+0.8836*LN(O69)+0.284)</f>
        <v>37.956219828089722</v>
      </c>
      <c r="Q69" s="22">
        <f t="shared" si="54"/>
        <v>322.59237686725618</v>
      </c>
      <c r="R69" s="62">
        <f t="shared" si="55"/>
        <v>615.92571020058949</v>
      </c>
      <c r="S69" s="62">
        <f ca="1">AVERAGE(OFFSET($R$3,0,0,'Données projet'!$E$9+1,1))-AVERAGE(OFFSET($H$3,0,0,'Données projet'!$E$9+1,1))</f>
        <v>219.48219097225825</v>
      </c>
      <c r="T69" s="62">
        <f t="shared" ref="T69:T132" si="88">$T$3</f>
        <v>168.03826591942982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>
        <f>AI69*VLOOKUP('Données projet'!$B$10,Paramètres!$A$1:$I$89,3,0)*VLOOKUP('Données projet'!$B$10,Paramètres!$A$1:$I$89,5,0)</f>
        <v>0</v>
      </c>
      <c r="AK69" s="14" t="e">
        <f t="shared" ref="AK69:AK132" si="89">EXP(-1.0587+0.8836*LN(AJ69)+0.284)</f>
        <v>#NUM!</v>
      </c>
      <c r="AL69" s="22" t="e">
        <f t="shared" si="58"/>
        <v>#NUM!</v>
      </c>
      <c r="AM69" s="62" t="e">
        <f t="shared" si="59"/>
        <v>#NUM!</v>
      </c>
      <c r="AN69" s="62">
        <f ca="1">AVERAGE(OFFSET($AM$3,0,0,'Données projet'!$E$10+1,1))-AVERAGE(OFFSET($H$3,0,0,'Données projet'!$E$10+1,1))</f>
        <v>155.60948448168716</v>
      </c>
      <c r="AO69" s="62">
        <f t="shared" ref="AO69:AO132" si="90">$AO$3</f>
        <v>317.1378745393755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48.432450267981523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1.0146520385400934E-3</v>
      </c>
      <c r="AX69" s="23">
        <f t="shared" si="60"/>
        <v>48.433464920020064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33.097999999999992</v>
      </c>
      <c r="D70" s="12">
        <f t="shared" si="86"/>
        <v>10.149599199483195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333.84111662758954</v>
      </c>
      <c r="H70" s="70">
        <f t="shared" si="56"/>
        <v>368.65623527243321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9.2918181818181793</v>
      </c>
      <c r="N70" s="14">
        <f>IF('Données projet'!$A$36&gt;35,N69+M70-V69,IF(A70&lt;'Données projet'!$A$36,$K$205^A70,IF(A70='Données projet'!$A$36,'Données projet'!$B$36,N69+M70-V69)))</f>
        <v>323.95909090909078</v>
      </c>
      <c r="O70" s="14">
        <f>N70*VLOOKUP('Données projet'!$B$9,Paramètres!$A$1:$I$89,3,0)*VLOOKUP('Données projet'!$B$9,Paramètres!$A$1:$I$89,5,0)</f>
        <v>151.61285454545447</v>
      </c>
      <c r="P70" s="14">
        <f t="shared" si="87"/>
        <v>38.944884148376268</v>
      </c>
      <c r="Q70" s="22">
        <f t="shared" si="54"/>
        <v>331.8880615584219</v>
      </c>
      <c r="R70" s="62">
        <f t="shared" si="55"/>
        <v>625.22139489175515</v>
      </c>
      <c r="S70" s="62">
        <f ca="1">AVERAGE(OFFSET($R$3,0,0,'Données projet'!$E$9+1,1))-AVERAGE(OFFSET($H$3,0,0,'Données projet'!$E$9+1,1))</f>
        <v>219.48219097225825</v>
      </c>
      <c r="T70" s="62">
        <f t="shared" si="88"/>
        <v>168.03826591942982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>
        <f>AI70*VLOOKUP('Données projet'!$B$10,Paramètres!$A$1:$I$89,3,0)*VLOOKUP('Données projet'!$B$10,Paramètres!$A$1:$I$89,5,0)</f>
        <v>0</v>
      </c>
      <c r="AK70" s="14" t="e">
        <f t="shared" si="89"/>
        <v>#NUM!</v>
      </c>
      <c r="AL70" s="22" t="e">
        <f t="shared" si="58"/>
        <v>#NUM!</v>
      </c>
      <c r="AM70" s="62" t="e">
        <f t="shared" si="59"/>
        <v>#NUM!</v>
      </c>
      <c r="AN70" s="62">
        <f ca="1">AVERAGE(OFFSET($AM$3,0,0,'Données projet'!$E$10+1,1))-AVERAGE(OFFSET($H$3,0,0,'Données projet'!$E$10+1,1))</f>
        <v>155.60948448168716</v>
      </c>
      <c r="AO70" s="62">
        <f t="shared" si="90"/>
        <v>317.1378745393755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47.482719459104146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7.1746733699645424E-4</v>
      </c>
      <c r="AX70" s="23">
        <f t="shared" si="60"/>
        <v>47.483436926441144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33.591999999999992</v>
      </c>
      <c r="D71" s="12">
        <f t="shared" si="86"/>
        <v>10.283337087665418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338.68681260654</v>
      </c>
      <c r="H71" s="70">
        <f t="shared" si="56"/>
        <v>369.74954542768387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9.2918181818181793</v>
      </c>
      <c r="N71" s="14">
        <f>IF('Données projet'!$A$36&gt;35,N70+M71-V70,IF(A71&lt;'Données projet'!$A$36,$K$205^A71,IF(A71='Données projet'!$A$36,'Données projet'!$B$36,N70+M71-V70)))</f>
        <v>333.25090909090898</v>
      </c>
      <c r="O71" s="14">
        <f>N71*VLOOKUP('Données projet'!$B$9,Paramètres!$A$1:$I$89,3,0)*VLOOKUP('Données projet'!$B$9,Paramètres!$A$1:$I$89,5,0)</f>
        <v>155.96142545454541</v>
      </c>
      <c r="P71" s="14">
        <f t="shared" si="87"/>
        <v>39.930252746957038</v>
      </c>
      <c r="Q71" s="22">
        <f t="shared" si="54"/>
        <v>341.17800620095005</v>
      </c>
      <c r="R71" s="62">
        <f t="shared" si="55"/>
        <v>634.51133953428337</v>
      </c>
      <c r="S71" s="62">
        <f ca="1">AVERAGE(OFFSET($R$3,0,0,'Données projet'!$E$9+1,1))-AVERAGE(OFFSET($H$3,0,0,'Données projet'!$E$9+1,1))</f>
        <v>219.48219097225825</v>
      </c>
      <c r="T71" s="62">
        <f t="shared" si="88"/>
        <v>168.03826591942982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>
        <f>AI71*VLOOKUP('Données projet'!$B$10,Paramètres!$A$1:$I$89,3,0)*VLOOKUP('Données projet'!$B$10,Paramètres!$A$1:$I$89,5,0)</f>
        <v>0</v>
      </c>
      <c r="AK71" s="14" t="e">
        <f t="shared" si="89"/>
        <v>#NUM!</v>
      </c>
      <c r="AL71" s="22" t="e">
        <f t="shared" si="58"/>
        <v>#NUM!</v>
      </c>
      <c r="AM71" s="62" t="e">
        <f t="shared" si="59"/>
        <v>#NUM!</v>
      </c>
      <c r="AN71" s="62">
        <f ca="1">AVERAGE(OFFSET($AM$3,0,0,'Données projet'!$E$10+1,1))-AVERAGE(OFFSET($H$3,0,0,'Données projet'!$E$10+1,1))</f>
        <v>155.60948448168716</v>
      </c>
      <c r="AO71" s="62">
        <f t="shared" si="90"/>
        <v>317.1378745393755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46.551612292110264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5.0732601927004671E-4</v>
      </c>
      <c r="AX71" s="23">
        <f t="shared" si="60"/>
        <v>46.552119618129531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34.085999999999991</v>
      </c>
      <c r="D72" s="12">
        <f t="shared" si="86"/>
        <v>10.41684623515679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343.53074286787688</v>
      </c>
      <c r="H72" s="70">
        <f t="shared" si="56"/>
        <v>370.84245719289805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9.2918181818181793</v>
      </c>
      <c r="N72" s="14">
        <f>IF('Données projet'!$A$36&gt;35,N71+M72-V71,IF(A72&lt;'Données projet'!$A$36,$K$205^A72,IF(A72='Données projet'!$A$36,'Données projet'!$B$36,N71+M72-V71)))</f>
        <v>342.54272727272718</v>
      </c>
      <c r="O72" s="14">
        <f>N72*VLOOKUP('Données projet'!$B$9,Paramètres!$A$1:$I$89,3,0)*VLOOKUP('Données projet'!$B$9,Paramètres!$A$1:$I$89,5,0)</f>
        <v>160.30999636363632</v>
      </c>
      <c r="P72" s="14">
        <f t="shared" si="87"/>
        <v>40.912428073173004</v>
      </c>
      <c r="Q72" s="22">
        <f t="shared" si="54"/>
        <v>350.46238922744288</v>
      </c>
      <c r="R72" s="62">
        <f t="shared" si="55"/>
        <v>643.7957225607762</v>
      </c>
      <c r="S72" s="62">
        <f ca="1">AVERAGE(OFFSET($R$3,0,0,'Données projet'!$E$9+1,1))-AVERAGE(OFFSET($H$3,0,0,'Données projet'!$E$9+1,1))</f>
        <v>219.48219097225825</v>
      </c>
      <c r="T72" s="62">
        <f t="shared" si="88"/>
        <v>168.03826591942982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>
        <f>AI72*VLOOKUP('Données projet'!$B$10,Paramètres!$A$1:$I$89,3,0)*VLOOKUP('Données projet'!$B$10,Paramètres!$A$1:$I$89,5,0)</f>
        <v>0</v>
      </c>
      <c r="AK72" s="14" t="e">
        <f t="shared" si="89"/>
        <v>#NUM!</v>
      </c>
      <c r="AL72" s="22" t="e">
        <f t="shared" si="58"/>
        <v>#NUM!</v>
      </c>
      <c r="AM72" s="62" t="e">
        <f t="shared" si="59"/>
        <v>#NUM!</v>
      </c>
      <c r="AN72" s="62">
        <f ca="1">AVERAGE(OFFSET($AM$3,0,0,'Données projet'!$E$10+1,1))-AVERAGE(OFFSET($H$3,0,0,'Données projet'!$E$10+1,1))</f>
        <v>155.60948448168716</v>
      </c>
      <c r="AO72" s="62">
        <f t="shared" si="90"/>
        <v>317.1378745393755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45.638763568741837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3.5873366849822712E-4</v>
      </c>
      <c r="AX72" s="23">
        <f t="shared" si="60"/>
        <v>45.639122302410335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34.579999999999991</v>
      </c>
      <c r="D73" s="12">
        <f t="shared" si="86"/>
        <v>10.550130340056088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348.37293595832762</v>
      </c>
      <c r="H73" s="70">
        <f t="shared" si="56"/>
        <v>371.93497700893096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9.2918181818181793</v>
      </c>
      <c r="N73" s="14">
        <f>IF('Données projet'!$A$36&gt;35,N72+M73-V72,IF(A73&lt;'Données projet'!$A$36,$K$205^A73,IF(A73='Données projet'!$A$36,'Données projet'!$B$36,N72+M73-V72)))</f>
        <v>351.83454545454538</v>
      </c>
      <c r="O73" s="14">
        <f>N73*VLOOKUP('Données projet'!$B$9,Paramètres!$A$1:$I$89,3,0)*VLOOKUP('Données projet'!$B$9,Paramètres!$A$1:$I$89,5,0)</f>
        <v>164.65856727272725</v>
      </c>
      <c r="P73" s="14">
        <f t="shared" si="87"/>
        <v>41.891506701899758</v>
      </c>
      <c r="Q73" s="22">
        <f t="shared" si="54"/>
        <v>359.74137883914204</v>
      </c>
      <c r="R73" s="62">
        <f t="shared" si="55"/>
        <v>653.0747121724753</v>
      </c>
      <c r="S73" s="62">
        <f ca="1">AVERAGE(OFFSET($R$3,0,0,'Données projet'!$E$9+1,1))-AVERAGE(OFFSET($H$3,0,0,'Données projet'!$E$9+1,1))</f>
        <v>219.48219097225825</v>
      </c>
      <c r="T73" s="62">
        <f t="shared" si="88"/>
        <v>168.03826591942982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>
        <f>AI73*VLOOKUP('Données projet'!$B$10,Paramètres!$A$1:$I$89,3,0)*VLOOKUP('Données projet'!$B$10,Paramètres!$A$1:$I$89,5,0)</f>
        <v>0</v>
      </c>
      <c r="AK73" s="14" t="e">
        <f t="shared" si="89"/>
        <v>#NUM!</v>
      </c>
      <c r="AL73" s="22" t="e">
        <f t="shared" si="58"/>
        <v>#NUM!</v>
      </c>
      <c r="AM73" s="62" t="e">
        <f t="shared" si="59"/>
        <v>#NUM!</v>
      </c>
      <c r="AN73" s="62">
        <f ca="1">AVERAGE(OFFSET($AM$3,0,0,'Données projet'!$E$10+1,1))-AVERAGE(OFFSET($H$3,0,0,'Données projet'!$E$10+1,1))</f>
        <v>155.60948448168716</v>
      </c>
      <c r="AO73" s="62">
        <f t="shared" si="90"/>
        <v>317.1378745393755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44.743815252055924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2.5366300963502336E-4</v>
      </c>
      <c r="AX73" s="23">
        <f t="shared" si="60"/>
        <v>44.744068915065561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35.073999999999991</v>
      </c>
      <c r="D74" s="12">
        <f t="shared" si="86"/>
        <v>10.683192988734277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353.21341956215929</v>
      </c>
      <c r="H74" s="70">
        <f t="shared" si="56"/>
        <v>373.02711112204548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9.2918181818181793</v>
      </c>
      <c r="N74" s="14">
        <f>IF('Données projet'!$A$36&gt;35,N73+M74-V73,IF(A74&lt;'Données projet'!$A$36,$K$205^A74,IF(A74='Données projet'!$A$36,'Données projet'!$B$36,N73+M74-V73)))</f>
        <v>361.12636363636358</v>
      </c>
      <c r="O74" s="14">
        <f>N74*VLOOKUP('Données projet'!$B$9,Paramètres!$A$1:$I$89,3,0)*VLOOKUP('Données projet'!$B$9,Paramètres!$A$1:$I$89,5,0)</f>
        <v>169.00713818181816</v>
      </c>
      <c r="P74" s="14">
        <f t="shared" si="87"/>
        <v>42.867579816517626</v>
      </c>
      <c r="Q74" s="22">
        <f t="shared" si="54"/>
        <v>369.01513384710148</v>
      </c>
      <c r="R74" s="62">
        <f t="shared" si="55"/>
        <v>662.3484671804348</v>
      </c>
      <c r="S74" s="62">
        <f ca="1">AVERAGE(OFFSET($R$3,0,0,'Données projet'!$E$9+1,1))-AVERAGE(OFFSET($H$3,0,0,'Données projet'!$E$9+1,1))</f>
        <v>219.48219097225825</v>
      </c>
      <c r="T74" s="62">
        <f t="shared" si="88"/>
        <v>168.03826591942982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>
        <f>AI74*VLOOKUP('Données projet'!$B$10,Paramètres!$A$1:$I$89,3,0)*VLOOKUP('Données projet'!$B$10,Paramètres!$A$1:$I$89,5,0)</f>
        <v>0</v>
      </c>
      <c r="AK74" s="14" t="e">
        <f t="shared" si="89"/>
        <v>#NUM!</v>
      </c>
      <c r="AL74" s="22" t="e">
        <f t="shared" si="58"/>
        <v>#NUM!</v>
      </c>
      <c r="AM74" s="62" t="e">
        <f t="shared" si="59"/>
        <v>#NUM!</v>
      </c>
      <c r="AN74" s="62">
        <f ca="1">AVERAGE(OFFSET($AM$3,0,0,'Données projet'!$E$10+1,1))-AVERAGE(OFFSET($H$3,0,0,'Données projet'!$E$10+1,1))</f>
        <v>155.60948448168716</v>
      </c>
      <c r="AO74" s="62">
        <f t="shared" si="90"/>
        <v>317.1378745393755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43.866416325995644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1.7936683424911356E-4</v>
      </c>
      <c r="AX74" s="23">
        <f t="shared" si="60"/>
        <v>43.86659569282989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35.567999999999991</v>
      </c>
      <c r="D75" s="12">
        <f t="shared" si="86"/>
        <v>10.816037660735203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358.05222053900849</v>
      </c>
      <c r="H75" s="70">
        <f t="shared" si="56"/>
        <v>374.11886559244709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9.2918181818181793</v>
      </c>
      <c r="N75" s="14">
        <f>IF('Données projet'!$A$36&gt;35,N74+M75-V74,IF(A75&lt;'Données projet'!$A$36,$K$205^A75,IF(A75='Données projet'!$A$36,'Données projet'!$B$36,N74+M75-V74)))</f>
        <v>370.41818181818178</v>
      </c>
      <c r="O75" s="14">
        <f>N75*VLOOKUP('Données projet'!$B$9,Paramètres!$A$1:$I$89,3,0)*VLOOKUP('Données projet'!$B$9,Paramètres!$A$1:$I$89,5,0)</f>
        <v>173.35570909090907</v>
      </c>
      <c r="P75" s="14">
        <f t="shared" si="87"/>
        <v>43.840733640776079</v>
      </c>
      <c r="Q75" s="22">
        <f t="shared" si="54"/>
        <v>378.28380442435167</v>
      </c>
      <c r="R75" s="62">
        <f t="shared" si="55"/>
        <v>671.61713775768499</v>
      </c>
      <c r="S75" s="62">
        <f ca="1">AVERAGE(OFFSET($R$3,0,0,'Données projet'!$E$9+1,1))-AVERAGE(OFFSET($H$3,0,0,'Données projet'!$E$9+1,1))</f>
        <v>219.48219097225825</v>
      </c>
      <c r="T75" s="62">
        <f t="shared" si="88"/>
        <v>168.03826591942982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>
        <f>AI75*VLOOKUP('Données projet'!$B$10,Paramètres!$A$1:$I$89,3,0)*VLOOKUP('Données projet'!$B$10,Paramètres!$A$1:$I$89,5,0)</f>
        <v>0</v>
      </c>
      <c r="AK75" s="14" t="e">
        <f t="shared" si="89"/>
        <v>#NUM!</v>
      </c>
      <c r="AL75" s="22" t="e">
        <f t="shared" si="58"/>
        <v>#NUM!</v>
      </c>
      <c r="AM75" s="62" t="e">
        <f t="shared" si="59"/>
        <v>#NUM!</v>
      </c>
      <c r="AN75" s="62">
        <f ca="1">AVERAGE(OFFSET($AM$3,0,0,'Données projet'!$E$10+1,1))-AVERAGE(OFFSET($H$3,0,0,'Données projet'!$E$10+1,1))</f>
        <v>155.60948448168716</v>
      </c>
      <c r="AO75" s="62">
        <f t="shared" si="90"/>
        <v>317.1378745393755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43.006222657714908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1.2683150481751168E-4</v>
      </c>
      <c r="AX75" s="23">
        <f t="shared" si="60"/>
        <v>43.006349489219723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36.061999999999991</v>
      </c>
      <c r="D76" s="12">
        <f t="shared" si="86"/>
        <v>10.948667733396306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362.88936495955039</v>
      </c>
      <c r="H76" s="70">
        <f t="shared" si="56"/>
        <v>375.21024630233188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>
        <f>VLOOKUP(A76,'Données projet'!$A$35:$I$55,2,0)</f>
        <v>379.71</v>
      </c>
      <c r="L76" s="13">
        <f>VLOOKUP(A76,'Données projet'!$A$35:$I$55,9,0)</f>
        <v>9.2918181818181793</v>
      </c>
      <c r="M76" s="13">
        <f t="array" ref="M76">INDEX(L:L,MIN(IF(ISNUMBER(L76:L272),ROW(L76:L272),"")))</f>
        <v>9.2918181818181793</v>
      </c>
      <c r="N76" s="14">
        <f>IF('Données projet'!$A$36&gt;35,N75+M76-V75,IF(A76&lt;'Données projet'!$A$36,$K$205^A76,IF(A76='Données projet'!$A$36,'Données projet'!$B$36,N75+M76-V75)))</f>
        <v>379.71</v>
      </c>
      <c r="O76" s="14">
        <f>N76*VLOOKUP('Données projet'!$B$9,Paramètres!$A$1:$I$89,3,0)*VLOOKUP('Données projet'!$B$9,Paramètres!$A$1:$I$89,5,0)</f>
        <v>177.70427999999998</v>
      </c>
      <c r="P76" s="14">
        <f t="shared" si="87"/>
        <v>44.811049826105538</v>
      </c>
      <c r="Q76" s="22">
        <f t="shared" si="54"/>
        <v>387.54753278046707</v>
      </c>
      <c r="R76" s="62">
        <f t="shared" si="55"/>
        <v>680.88086611380038</v>
      </c>
      <c r="S76" s="62">
        <f ca="1">AVERAGE(OFFSET($R$3,0,0,'Données projet'!$E$9+1,1))-AVERAGE(OFFSET($H$3,0,0,'Données projet'!$E$9+1,1))</f>
        <v>219.48219097225825</v>
      </c>
      <c r="T76" s="62">
        <f t="shared" si="88"/>
        <v>168.03826591942982</v>
      </c>
      <c r="U76" s="16">
        <f>IF(ISNA(VLOOKUP(A76,'Données projet'!$A$35:$I$55,3,0)),0,VLOOKUP(A76,'Données projet'!$A$35:$I$55,3,0))</f>
        <v>7</v>
      </c>
      <c r="V76" s="16">
        <f>IF(ISNA(VLOOKUP(A76,'Données projet'!$A$35:$I$55,4,0)),0,VLOOKUP(A76,'Données projet'!$A$35:$I$55,4,0))</f>
        <v>79.39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>
        <f>AI76*VLOOKUP('Données projet'!$B$10,Paramètres!$A$1:$I$89,3,0)*VLOOKUP('Données projet'!$B$10,Paramètres!$A$1:$I$89,5,0)</f>
        <v>0</v>
      </c>
      <c r="AK76" s="14" t="e">
        <f t="shared" si="89"/>
        <v>#NUM!</v>
      </c>
      <c r="AL76" s="22" t="e">
        <f t="shared" si="58"/>
        <v>#NUM!</v>
      </c>
      <c r="AM76" s="62" t="e">
        <f t="shared" si="59"/>
        <v>#NUM!</v>
      </c>
      <c r="AN76" s="62">
        <f ca="1">AVERAGE(OFFSET($AM$3,0,0,'Données projet'!$E$10+1,1))-AVERAGE(OFFSET($H$3,0,0,'Données projet'!$E$10+1,1))</f>
        <v>155.60948448168716</v>
      </c>
      <c r="AO76" s="62">
        <f t="shared" si="90"/>
        <v>317.1378745393755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42.162896862602821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8.968341712455678E-5</v>
      </c>
      <c r="AX76" s="23">
        <f t="shared" si="60"/>
        <v>42.162986546019944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36.55599999999999</v>
      </c>
      <c r="D77" s="12">
        <f t="shared" si="86"/>
        <v>11.081086486208886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367.72487813915626</v>
      </c>
      <c r="H77" s="70">
        <f t="shared" si="56"/>
        <v>376.30125896348045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>
        <f>VLOOKUP(A77,'Données projet'!$A$35:$I$55,2,0)</f>
        <v>316.45</v>
      </c>
      <c r="L77" s="13">
        <f>VLOOKUP(A77,'Données projet'!$A$35:$I$55,9,0)</f>
        <v>16.129999999999995</v>
      </c>
      <c r="M77" s="13">
        <f t="array" ref="M77">INDEX(L:L,MIN(IF(ISNUMBER(L77:L273),ROW(L77:L273),"")))</f>
        <v>16.129999999999995</v>
      </c>
      <c r="N77" s="14">
        <f>IF('Données projet'!$A$36&gt;35,N76+M77-V76,IF(A77&lt;'Données projet'!$A$36,$K$205^A77,IF(A77='Données projet'!$A$36,'Données projet'!$B$36,N76+M77-V76)))</f>
        <v>316.45</v>
      </c>
      <c r="O77" s="14">
        <f>N77*VLOOKUP('Données projet'!$B$9,Paramètres!$A$1:$I$89,3,0)*VLOOKUP('Données projet'!$B$9,Paramètres!$A$1:$I$89,5,0)</f>
        <v>148.0986</v>
      </c>
      <c r="P77" s="14">
        <f t="shared" si="87"/>
        <v>38.146165355224731</v>
      </c>
      <c r="Q77" s="22">
        <f t="shared" si="54"/>
        <v>324.37629966034973</v>
      </c>
      <c r="R77" s="62">
        <f t="shared" si="55"/>
        <v>617.70963299368304</v>
      </c>
      <c r="S77" s="62">
        <f ca="1">AVERAGE(OFFSET($R$3,0,0,'Données projet'!$E$9+1,1))-AVERAGE(OFFSET($H$3,0,0,'Données projet'!$E$9+1,1))</f>
        <v>219.48219097225825</v>
      </c>
      <c r="T77" s="62">
        <f t="shared" si="88"/>
        <v>168.03826591942982</v>
      </c>
      <c r="U77" s="16">
        <f>IF(ISNA(VLOOKUP(A77,'Données projet'!$A$35:$I$55,3,0)),0,VLOOKUP(A77,'Données projet'!$A$35:$I$55,3,0))</f>
        <v>8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>
        <f>AI77*VLOOKUP('Données projet'!$B$10,Paramètres!$A$1:$I$89,3,0)*VLOOKUP('Données projet'!$B$10,Paramètres!$A$1:$I$89,5,0)</f>
        <v>0</v>
      </c>
      <c r="AK77" s="14" t="e">
        <f t="shared" si="89"/>
        <v>#NUM!</v>
      </c>
      <c r="AL77" s="22" t="e">
        <f t="shared" si="58"/>
        <v>#NUM!</v>
      </c>
      <c r="AM77" s="62" t="e">
        <f t="shared" si="59"/>
        <v>#NUM!</v>
      </c>
      <c r="AN77" s="62">
        <f ca="1">AVERAGE(OFFSET($AM$3,0,0,'Données projet'!$E$10+1,1))-AVERAGE(OFFSET($H$3,0,0,'Données projet'!$E$10+1,1))</f>
        <v>155.60948448168716</v>
      </c>
      <c r="AO77" s="62">
        <f t="shared" si="90"/>
        <v>317.1378745393755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41.33610817195494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6.3415752408755839E-5</v>
      </c>
      <c r="AX77" s="23">
        <f t="shared" si="60"/>
        <v>41.336171587707348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37.04999999999999</v>
      </c>
      <c r="D78" s="12">
        <f t="shared" si="86"/>
        <v>11.21329710493602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372.55878466968147</v>
      </c>
      <c r="H78" s="70">
        <f t="shared" si="56"/>
        <v>377.39190912443019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10.004000000000001</v>
      </c>
      <c r="N78" s="14">
        <f>IF('Données projet'!$A$36&gt;35,N77+M78-V77,IF(A78&lt;'Données projet'!$A$36,$K$205^A78,IF(A78='Données projet'!$A$36,'Données projet'!$B$36,N77+M78-V77)))</f>
        <v>326.45400000000001</v>
      </c>
      <c r="O78" s="14">
        <f>N78*VLOOKUP('Données projet'!$B$9,Paramètres!$A$1:$I$89,3,0)*VLOOKUP('Données projet'!$B$9,Paramètres!$A$1:$I$89,5,0)</f>
        <v>152.780472</v>
      </c>
      <c r="P78" s="14">
        <f t="shared" si="87"/>
        <v>39.209780838462635</v>
      </c>
      <c r="Q78" s="22">
        <f t="shared" si="54"/>
        <v>334.38302369365579</v>
      </c>
      <c r="R78" s="62">
        <f t="shared" si="55"/>
        <v>627.71635702698904</v>
      </c>
      <c r="S78" s="62">
        <f ca="1">AVERAGE(OFFSET($R$3,0,0,'Données projet'!$E$9+1,1))-AVERAGE(OFFSET($H$3,0,0,'Données projet'!$E$9+1,1))</f>
        <v>219.48219097225825</v>
      </c>
      <c r="T78" s="62">
        <f t="shared" si="88"/>
        <v>168.03826591942982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>
        <f>AI78*VLOOKUP('Données projet'!$B$10,Paramètres!$A$1:$I$89,3,0)*VLOOKUP('Données projet'!$B$10,Paramètres!$A$1:$I$89,5,0)</f>
        <v>0</v>
      </c>
      <c r="AK78" s="14" t="e">
        <f t="shared" si="89"/>
        <v>#NUM!</v>
      </c>
      <c r="AL78" s="22" t="e">
        <f t="shared" si="58"/>
        <v>#NUM!</v>
      </c>
      <c r="AM78" s="62" t="e">
        <f t="shared" si="59"/>
        <v>#NUM!</v>
      </c>
      <c r="AN78" s="62">
        <f ca="1">AVERAGE(OFFSET($AM$3,0,0,'Données projet'!$E$10+1,1))-AVERAGE(OFFSET($H$3,0,0,'Données projet'!$E$10+1,1))</f>
        <v>155.60948448168716</v>
      </c>
      <c r="AO78" s="62">
        <f t="shared" si="90"/>
        <v>317.1378745393755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40.525532303239359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4.484170856227839E-5</v>
      </c>
      <c r="AX78" s="23">
        <f t="shared" si="60"/>
        <v>40.525577144947924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37.54399999999999</v>
      </c>
      <c r="D79" s="12">
        <f t="shared" si="86"/>
        <v>11.345302685504603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377.39110844950909</v>
      </c>
      <c r="H79" s="70">
        <f t="shared" si="56"/>
        <v>378.48220217725378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10.004000000000001</v>
      </c>
      <c r="N79" s="14">
        <f>IF('Données projet'!$A$36&gt;35,N78+M79-V78,IF(A79&lt;'Données projet'!$A$36,$K$205^A79,IF(A79='Données projet'!$A$36,'Données projet'!$B$36,N78+M79-V78)))</f>
        <v>336.45800000000003</v>
      </c>
      <c r="O79" s="14">
        <f>N79*VLOOKUP('Données projet'!$B$9,Paramètres!$A$1:$I$89,3,0)*VLOOKUP('Données projet'!$B$9,Paramètres!$A$1:$I$89,5,0)</f>
        <v>157.462344</v>
      </c>
      <c r="P79" s="14">
        <f t="shared" si="87"/>
        <v>40.269608523737084</v>
      </c>
      <c r="Q79" s="22">
        <f t="shared" si="54"/>
        <v>344.38315064550875</v>
      </c>
      <c r="R79" s="62">
        <f t="shared" si="55"/>
        <v>637.71648397884201</v>
      </c>
      <c r="S79" s="62">
        <f ca="1">AVERAGE(OFFSET($R$3,0,0,'Données projet'!$E$9+1,1))-AVERAGE(OFFSET($H$3,0,0,'Données projet'!$E$9+1,1))</f>
        <v>219.48219097225825</v>
      </c>
      <c r="T79" s="62">
        <f t="shared" si="88"/>
        <v>168.03826591942982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>
        <f>AI79*VLOOKUP('Données projet'!$B$10,Paramètres!$A$1:$I$89,3,0)*VLOOKUP('Données projet'!$B$10,Paramètres!$A$1:$I$89,5,0)</f>
        <v>0</v>
      </c>
      <c r="AK79" s="14" t="e">
        <f t="shared" si="89"/>
        <v>#NUM!</v>
      </c>
      <c r="AL79" s="22" t="e">
        <f t="shared" si="58"/>
        <v>#NUM!</v>
      </c>
      <c r="AM79" s="62" t="e">
        <f t="shared" si="59"/>
        <v>#NUM!</v>
      </c>
      <c r="AN79" s="62">
        <f ca="1">AVERAGE(OFFSET($AM$3,0,0,'Données projet'!$E$10+1,1))-AVERAGE(OFFSET($H$3,0,0,'Données projet'!$E$10+1,1))</f>
        <v>155.60948448168716</v>
      </c>
      <c r="AO79" s="62">
        <f t="shared" si="90"/>
        <v>317.1378745393755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39.73085133290683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3.170787620437792E-5</v>
      </c>
      <c r="AX79" s="23">
        <f t="shared" si="60"/>
        <v>39.730883040783034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38.03799999999999</v>
      </c>
      <c r="D80" s="12">
        <f t="shared" si="86"/>
        <v>11.47710623768668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382.22187271196725</v>
      </c>
      <c r="H80" s="70">
        <f t="shared" si="56"/>
        <v>379.57214336397089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10.004000000000001</v>
      </c>
      <c r="N80" s="14">
        <f>IF('Données projet'!$A$36&gt;35,N79+M80-V79,IF(A80&lt;'Données projet'!$A$36,$K$205^A80,IF(A80='Données projet'!$A$36,'Données projet'!$B$36,N79+M80-V79)))</f>
        <v>346.46200000000005</v>
      </c>
      <c r="O80" s="14">
        <f>N80*VLOOKUP('Données projet'!$B$9,Paramètres!$A$1:$I$89,3,0)*VLOOKUP('Données projet'!$B$9,Paramètres!$A$1:$I$89,5,0)</f>
        <v>162.14421600000003</v>
      </c>
      <c r="P80" s="14">
        <f t="shared" si="87"/>
        <v>41.325773964282817</v>
      </c>
      <c r="Q80" s="22">
        <f t="shared" si="54"/>
        <v>354.37689918779262</v>
      </c>
      <c r="R80" s="62">
        <f t="shared" si="55"/>
        <v>647.71023252112593</v>
      </c>
      <c r="S80" s="62">
        <f ca="1">AVERAGE(OFFSET($R$3,0,0,'Données projet'!$E$9+1,1))-AVERAGE(OFFSET($H$3,0,0,'Données projet'!$E$9+1,1))</f>
        <v>219.48219097225825</v>
      </c>
      <c r="T80" s="62">
        <f t="shared" si="88"/>
        <v>168.03826591942982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>
        <f>AI80*VLOOKUP('Données projet'!$B$10,Paramètres!$A$1:$I$89,3,0)*VLOOKUP('Données projet'!$B$10,Paramètres!$A$1:$I$89,5,0)</f>
        <v>0</v>
      </c>
      <c r="AK80" s="14" t="e">
        <f t="shared" si="89"/>
        <v>#NUM!</v>
      </c>
      <c r="AL80" s="22" t="e">
        <f t="shared" si="58"/>
        <v>#NUM!</v>
      </c>
      <c r="AM80" s="62" t="e">
        <f t="shared" si="59"/>
        <v>#NUM!</v>
      </c>
      <c r="AN80" s="62">
        <f ca="1">AVERAGE(OFFSET($AM$3,0,0,'Données projet'!$E$10+1,1))-AVERAGE(OFFSET($H$3,0,0,'Données projet'!$E$10+1,1))</f>
        <v>155.60948448168716</v>
      </c>
      <c r="AO80" s="62">
        <f t="shared" si="90"/>
        <v>317.1378745393755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38.951753571694987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2.2420854281139195E-5</v>
      </c>
      <c r="AX80" s="23">
        <f t="shared" si="60"/>
        <v>38.951775992549265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38.531999999999989</v>
      </c>
      <c r="D81" s="12">
        <f t="shared" si="86"/>
        <v>11.60871068858415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387.05110005222849</v>
      </c>
      <c r="H81" s="70">
        <f t="shared" si="56"/>
        <v>380.66173778261737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10.004000000000001</v>
      </c>
      <c r="N81" s="14">
        <f>IF('Données projet'!$A$36&gt;35,N80+M81-V80,IF(A81&lt;'Données projet'!$A$36,$K$205^A81,IF(A81='Données projet'!$A$36,'Données projet'!$B$36,N80+M81-V80)))</f>
        <v>356.46600000000007</v>
      </c>
      <c r="O81" s="14">
        <f>N81*VLOOKUP('Données projet'!$B$9,Paramètres!$A$1:$I$89,3,0)*VLOOKUP('Données projet'!$B$9,Paramètres!$A$1:$I$89,5,0)</f>
        <v>166.82608800000003</v>
      </c>
      <c r="P81" s="14">
        <f t="shared" si="87"/>
        <v>42.378395050370521</v>
      </c>
      <c r="Q81" s="22">
        <f t="shared" si="54"/>
        <v>364.36447464606204</v>
      </c>
      <c r="R81" s="62">
        <f t="shared" si="55"/>
        <v>657.69780797939529</v>
      </c>
      <c r="S81" s="62">
        <f ca="1">AVERAGE(OFFSET($R$3,0,0,'Données projet'!$E$9+1,1))-AVERAGE(OFFSET($H$3,0,0,'Données projet'!$E$9+1,1))</f>
        <v>219.48219097225825</v>
      </c>
      <c r="T81" s="62">
        <f t="shared" si="88"/>
        <v>168.03826591942982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>
        <f>AI81*VLOOKUP('Données projet'!$B$10,Paramètres!$A$1:$I$89,3,0)*VLOOKUP('Données projet'!$B$10,Paramètres!$A$1:$I$89,5,0)</f>
        <v>0</v>
      </c>
      <c r="AK81" s="14" t="e">
        <f t="shared" si="89"/>
        <v>#NUM!</v>
      </c>
      <c r="AL81" s="22" t="e">
        <f t="shared" si="58"/>
        <v>#NUM!</v>
      </c>
      <c r="AM81" s="62" t="e">
        <f t="shared" si="59"/>
        <v>#NUM!</v>
      </c>
      <c r="AN81" s="62">
        <f ca="1">AVERAGE(OFFSET($AM$3,0,0,'Données projet'!$E$10+1,1))-AVERAGE(OFFSET($H$3,0,0,'Données projet'!$E$10+1,1))</f>
        <v>155.60948448168716</v>
      </c>
      <c r="AO81" s="62">
        <f t="shared" si="90"/>
        <v>317.1378745393755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38.187933442377798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1.585393810218896E-5</v>
      </c>
      <c r="AX81" s="23">
        <f t="shared" si="60"/>
        <v>38.1879492963159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39.025999999999989</v>
      </c>
      <c r="D82" s="12">
        <f t="shared" si="86"/>
        <v>11.740118885929625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391.87881245279004</v>
      </c>
      <c r="H82" s="70">
        <f t="shared" si="56"/>
        <v>381.75099039299408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10.004000000000001</v>
      </c>
      <c r="N82" s="14">
        <f>IF('Données projet'!$A$36&gt;35,N81+M82-V81,IF(A82&lt;'Données projet'!$A$36,$K$205^A82,IF(A82='Données projet'!$A$36,'Données projet'!$B$36,N81+M82-V81)))</f>
        <v>366.47000000000008</v>
      </c>
      <c r="O82" s="14">
        <f>N82*VLOOKUP('Données projet'!$B$9,Paramètres!$A$1:$I$89,3,0)*VLOOKUP('Données projet'!$B$9,Paramètres!$A$1:$I$89,5,0)</f>
        <v>171.50796000000005</v>
      </c>
      <c r="P82" s="14">
        <f t="shared" si="87"/>
        <v>43.427582678770747</v>
      </c>
      <c r="Q82" s="22">
        <f t="shared" si="54"/>
        <v>374.34607016552582</v>
      </c>
      <c r="R82" s="62">
        <f t="shared" si="55"/>
        <v>667.67940349885907</v>
      </c>
      <c r="S82" s="62">
        <f ca="1">AVERAGE(OFFSET($R$3,0,0,'Données projet'!$E$9+1,1))-AVERAGE(OFFSET($H$3,0,0,'Données projet'!$E$9+1,1))</f>
        <v>219.48219097225825</v>
      </c>
      <c r="T82" s="62">
        <f t="shared" si="88"/>
        <v>168.03826591942982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>
        <f>AI82*VLOOKUP('Données projet'!$B$10,Paramètres!$A$1:$I$89,3,0)*VLOOKUP('Données projet'!$B$10,Paramètres!$A$1:$I$89,5,0)</f>
        <v>0</v>
      </c>
      <c r="AK82" s="14" t="e">
        <f t="shared" si="89"/>
        <v>#NUM!</v>
      </c>
      <c r="AL82" s="22" t="e">
        <f t="shared" si="58"/>
        <v>#NUM!</v>
      </c>
      <c r="AM82" s="62" t="e">
        <f t="shared" si="59"/>
        <v>#NUM!</v>
      </c>
      <c r="AN82" s="62">
        <f ca="1">AVERAGE(OFFSET($AM$3,0,0,'Données projet'!$E$10+1,1))-AVERAGE(OFFSET($H$3,0,0,'Données projet'!$E$10+1,1))</f>
        <v>155.60948448168716</v>
      </c>
      <c r="AO82" s="62">
        <f t="shared" si="90"/>
        <v>317.1378745393755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37.43909135991224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1.1210427140569598E-5</v>
      </c>
      <c r="AX82" s="23">
        <f t="shared" si="60"/>
        <v>37.439102570339379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39.519999999999989</v>
      </c>
      <c r="D83" s="12">
        <f t="shared" si="86"/>
        <v>11.87133360121544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396.70503130762791</v>
      </c>
      <c r="H83" s="70">
        <f t="shared" si="56"/>
        <v>382.83990602211685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10.004000000000001</v>
      </c>
      <c r="N83" s="14">
        <f>IF('Données projet'!$A$36&gt;35,N82+M83-V82,IF(A83&lt;'Données projet'!$A$36,$K$205^A83,IF(A83='Données projet'!$A$36,'Données projet'!$B$36,N82+M83-V82)))</f>
        <v>376.4740000000001</v>
      </c>
      <c r="O83" s="14">
        <f>N83*VLOOKUP('Données projet'!$B$9,Paramètres!$A$1:$I$89,3,0)*VLOOKUP('Données projet'!$B$9,Paramètres!$A$1:$I$89,5,0)</f>
        <v>176.18983200000005</v>
      </c>
      <c r="P83" s="14">
        <f t="shared" si="87"/>
        <v>44.473441347062547</v>
      </c>
      <c r="Q83" s="22">
        <f t="shared" si="54"/>
        <v>384.32186774613405</v>
      </c>
      <c r="R83" s="62">
        <f t="shared" si="55"/>
        <v>677.65520107946736</v>
      </c>
      <c r="S83" s="62">
        <f ca="1">AVERAGE(OFFSET($R$3,0,0,'Données projet'!$E$9+1,1))-AVERAGE(OFFSET($H$3,0,0,'Données projet'!$E$9+1,1))</f>
        <v>219.48219097225825</v>
      </c>
      <c r="T83" s="62">
        <f t="shared" si="88"/>
        <v>168.03826591942982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>
        <f>AI83*VLOOKUP('Données projet'!$B$10,Paramètres!$A$1:$I$89,3,0)*VLOOKUP('Données projet'!$B$10,Paramètres!$A$1:$I$89,5,0)</f>
        <v>0</v>
      </c>
      <c r="AK83" s="14" t="e">
        <f t="shared" si="89"/>
        <v>#NUM!</v>
      </c>
      <c r="AL83" s="22" t="e">
        <f t="shared" si="58"/>
        <v>#NUM!</v>
      </c>
      <c r="AM83" s="62" t="e">
        <f t="shared" si="59"/>
        <v>#NUM!</v>
      </c>
      <c r="AN83" s="62">
        <f ca="1">AVERAGE(OFFSET($AM$3,0,0,'Données projet'!$E$10+1,1))-AVERAGE(OFFSET($H$3,0,0,'Données projet'!$E$10+1,1))</f>
        <v>155.60948448168716</v>
      </c>
      <c r="AO83" s="62">
        <f t="shared" si="90"/>
        <v>317.1378745393755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36.70493361393526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7.9269690510944799E-6</v>
      </c>
      <c r="AX83" s="23">
        <f t="shared" si="60"/>
        <v>36.704941540904315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40.013999999999989</v>
      </c>
      <c r="D84" s="12">
        <f t="shared" si="86"/>
        <v>12.002357532661732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401.52977744510804</v>
      </c>
      <c r="H84" s="70">
        <f t="shared" si="56"/>
        <v>383.92848936938583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10.004000000000001</v>
      </c>
      <c r="N84" s="14">
        <f>IF('Données projet'!$A$36&gt;35,N83+M84-V83,IF(A84&lt;'Données projet'!$A$36,$K$205^A84,IF(A84='Données projet'!$A$36,'Données projet'!$B$36,N83+M84-V83)))</f>
        <v>386.47800000000012</v>
      </c>
      <c r="O84" s="14">
        <f>N84*VLOOKUP('Données projet'!$B$9,Paramètres!$A$1:$I$89,3,0)*VLOOKUP('Données projet'!$B$9,Paramètres!$A$1:$I$89,5,0)</f>
        <v>180.87170400000005</v>
      </c>
      <c r="P84" s="14">
        <f t="shared" si="87"/>
        <v>45.516069682994527</v>
      </c>
      <c r="Q84" s="22">
        <f t="shared" si="54"/>
        <v>394.2920391645489</v>
      </c>
      <c r="R84" s="62">
        <f t="shared" si="55"/>
        <v>687.62537249788215</v>
      </c>
      <c r="S84" s="62">
        <f ca="1">AVERAGE(OFFSET($R$3,0,0,'Données projet'!$E$9+1,1))-AVERAGE(OFFSET($H$3,0,0,'Données projet'!$E$9+1,1))</f>
        <v>219.48219097225825</v>
      </c>
      <c r="T84" s="62">
        <f t="shared" si="88"/>
        <v>168.03826591942982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>
        <f>AI84*VLOOKUP('Données projet'!$B$10,Paramètres!$A$1:$I$89,3,0)*VLOOKUP('Données projet'!$B$10,Paramètres!$A$1:$I$89,5,0)</f>
        <v>0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155.60948448168716</v>
      </c>
      <c r="AO84" s="62">
        <f t="shared" si="90"/>
        <v>317.1378745393755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35.985172253564883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5.6052135702847988E-6</v>
      </c>
      <c r="AX84" s="23">
        <f t="shared" si="60"/>
        <v>35.985177858778457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40.507999999999988</v>
      </c>
      <c r="D85" s="12">
        <f t="shared" si="86"/>
        <v>12.133193308033777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406.35307114973438</v>
      </c>
      <c r="H85" s="70">
        <f t="shared" si="56"/>
        <v>385.01674501149211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10.004000000000001</v>
      </c>
      <c r="N85" s="14">
        <f>IF('Données projet'!$A$36&gt;35,N84+M85-V84,IF(A85&lt;'Données projet'!$A$36,$K$205^A85,IF(A85='Données projet'!$A$36,'Données projet'!$B$36,N84+M85-V84)))</f>
        <v>396.48200000000014</v>
      </c>
      <c r="O85" s="14">
        <f>N85*VLOOKUP('Données projet'!$B$9,Paramètres!$A$1:$I$89,3,0)*VLOOKUP('Données projet'!$B$9,Paramètres!$A$1:$I$89,5,0)</f>
        <v>185.55357600000008</v>
      </c>
      <c r="P85" s="14">
        <f t="shared" si="87"/>
        <v>46.555560917493985</v>
      </c>
      <c r="Q85" s="22">
        <f t="shared" si="54"/>
        <v>404.25674679796879</v>
      </c>
      <c r="R85" s="62">
        <f t="shared" si="55"/>
        <v>697.5900801313021</v>
      </c>
      <c r="S85" s="62">
        <f ca="1">AVERAGE(OFFSET($R$3,0,0,'Données projet'!$E$9+1,1))-AVERAGE(OFFSET($H$3,0,0,'Données projet'!$E$9+1,1))</f>
        <v>219.48219097225825</v>
      </c>
      <c r="T85" s="62">
        <f t="shared" si="88"/>
        <v>168.03826591942982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>
        <f>AI85*VLOOKUP('Données projet'!$B$10,Paramètres!$A$1:$I$89,3,0)*VLOOKUP('Données projet'!$B$10,Paramètres!$A$1:$I$89,5,0)</f>
        <v>0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155.60948448168716</v>
      </c>
      <c r="AO85" s="62">
        <f t="shared" si="90"/>
        <v>317.1378745393755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35.279524974460287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3.96348452554724E-6</v>
      </c>
      <c r="AX85" s="23">
        <f t="shared" si="60"/>
        <v>35.279528937944811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41.001999999999988</v>
      </c>
      <c r="D86" s="12">
        <f t="shared" si="86"/>
        <v>12.263843487317986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411.17493218280543</v>
      </c>
      <c r="H86" s="70">
        <f t="shared" si="56"/>
        <v>386.10467740707878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10.004000000000001</v>
      </c>
      <c r="N86" s="14">
        <f>IF('Données projet'!$A$36&gt;35,N85+M86-V85,IF(A86&lt;'Données projet'!$A$36,$K$205^A86,IF(A86='Données projet'!$A$36,'Données projet'!$B$36,N85+M86-V85)))</f>
        <v>406.48600000000016</v>
      </c>
      <c r="O86" s="14">
        <f>N86*VLOOKUP('Données projet'!$B$9,Paramètres!$A$1:$I$89,3,0)*VLOOKUP('Données projet'!$B$9,Paramètres!$A$1:$I$89,5,0)</f>
        <v>190.23544800000008</v>
      </c>
      <c r="P86" s="14">
        <f t="shared" si="87"/>
        <v>47.592003308592545</v>
      </c>
      <c r="Q86" s="22">
        <f t="shared" si="54"/>
        <v>414.21614436246546</v>
      </c>
      <c r="R86" s="62">
        <f t="shared" si="55"/>
        <v>707.54947769579871</v>
      </c>
      <c r="S86" s="62">
        <f ca="1">AVERAGE(OFFSET($R$3,0,0,'Données projet'!$E$9+1,1))-AVERAGE(OFFSET($H$3,0,0,'Données projet'!$E$9+1,1))</f>
        <v>219.48219097225825</v>
      </c>
      <c r="T86" s="62">
        <f t="shared" si="88"/>
        <v>168.03826591942982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>
        <f>AI86*VLOOKUP('Données projet'!$B$10,Paramètres!$A$1:$I$89,3,0)*VLOOKUP('Données projet'!$B$10,Paramètres!$A$1:$I$89,5,0)</f>
        <v>0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155.60948448168716</v>
      </c>
      <c r="AO86" s="62">
        <f t="shared" si="90"/>
        <v>317.1378745393755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34.587715008096588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2.8026067851423994E-6</v>
      </c>
      <c r="AX86" s="23">
        <f t="shared" si="60"/>
        <v>34.587717810703374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41.495999999999988</v>
      </c>
      <c r="D87" s="12">
        <f t="shared" si="86"/>
        <v>12.394310565265267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415.99537980204758</v>
      </c>
      <c r="H87" s="70">
        <f t="shared" si="56"/>
        <v>387.19229090117028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>
        <f>VLOOKUP(A87,'Données projet'!$A$35:$I$55,2,0)</f>
        <v>416.49</v>
      </c>
      <c r="L87" s="13">
        <f>VLOOKUP(A87,'Données projet'!$A$35:$I$55,9,0)</f>
        <v>10.004000000000001</v>
      </c>
      <c r="M87" s="13">
        <f t="array" ref="M87">INDEX(L:L,MIN(IF(ISNUMBER(L87:L283),ROW(L87:L283),"")))</f>
        <v>10.004000000000001</v>
      </c>
      <c r="N87" s="14">
        <f>IF('Données projet'!$A$36&gt;35,N86+M87-V86,IF(A87&lt;'Données projet'!$A$36,$K$205^A87,IF(A87='Données projet'!$A$36,'Données projet'!$B$36,N86+M87-V86)))</f>
        <v>416.49000000000018</v>
      </c>
      <c r="O87" s="14">
        <f>N87*VLOOKUP('Données projet'!$B$9,Paramètres!$A$1:$I$89,3,0)*VLOOKUP('Données projet'!$B$9,Paramètres!$A$1:$I$89,5,0)</f>
        <v>194.91732000000007</v>
      </c>
      <c r="P87" s="14">
        <f t="shared" si="87"/>
        <v>48.625480522444278</v>
      </c>
      <c r="Q87" s="22">
        <f t="shared" si="54"/>
        <v>424.17037757659051</v>
      </c>
      <c r="R87" s="62">
        <f t="shared" si="55"/>
        <v>717.50371090992383</v>
      </c>
      <c r="S87" s="62">
        <f ca="1">AVERAGE(OFFSET($R$3,0,0,'Données projet'!$E$9+1,1))-AVERAGE(OFFSET($H$3,0,0,'Données projet'!$E$9+1,1))</f>
        <v>219.48219097225825</v>
      </c>
      <c r="T87" s="62">
        <f t="shared" si="88"/>
        <v>168.03826591942982</v>
      </c>
      <c r="U87" s="16">
        <f>IF(ISNA(VLOOKUP(A87,'Données projet'!$A$35:$I$55,3,0)),0,VLOOKUP(A87,'Données projet'!$A$35:$I$55,3,0))</f>
        <v>9</v>
      </c>
      <c r="V87" s="16">
        <f>IF(ISNA(VLOOKUP(A87,'Données projet'!$A$35:$I$55,4,0)),0,VLOOKUP(A87,'Données projet'!$A$35:$I$55,4,0))</f>
        <v>79.099999999999994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>
        <f>AI87*VLOOKUP('Données projet'!$B$10,Paramètres!$A$1:$I$89,3,0)*VLOOKUP('Données projet'!$B$10,Paramètres!$A$1:$I$89,5,0)</f>
        <v>0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155.60948448168716</v>
      </c>
      <c r="AO87" s="62">
        <f t="shared" si="90"/>
        <v>317.1378745393755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33.909471013210869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1.98174226277362E-6</v>
      </c>
      <c r="AX87" s="23">
        <f t="shared" si="60"/>
        <v>33.909472994953134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41.989999999999988</v>
      </c>
      <c r="D88" s="12">
        <f t="shared" si="86"/>
        <v>12.524596973809777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420.81443278028593</v>
      </c>
      <c r="H88" s="70">
        <f t="shared" si="56"/>
        <v>388.27958972938529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>
        <f>VLOOKUP(A88,'Données projet'!$A$35:$I$55,2,0)</f>
        <v>353.22</v>
      </c>
      <c r="L88" s="13">
        <f>VLOOKUP(A88,'Données projet'!$A$35:$I$55,9,0)</f>
        <v>15.830000000000041</v>
      </c>
      <c r="M88" s="13">
        <f t="array" ref="M88">INDEX(L:L,MIN(IF(ISNUMBER(L88:L284),ROW(L88:L284),"")))</f>
        <v>15.830000000000041</v>
      </c>
      <c r="N88" s="14">
        <f>IF('Données projet'!$A$36&gt;35,N87+M88-V87,IF(A88&lt;'Données projet'!$A$36,$K$205^A88,IF(A88='Données projet'!$A$36,'Données projet'!$B$36,N87+M88-V87)))</f>
        <v>353.22000000000025</v>
      </c>
      <c r="O88" s="14">
        <f>N88*VLOOKUP('Données projet'!$B$9,Paramètres!$A$1:$I$89,3,0)*VLOOKUP('Données projet'!$B$9,Paramètres!$A$1:$I$89,5,0)</f>
        <v>165.30696000000012</v>
      </c>
      <c r="P88" s="14">
        <f t="shared" si="87"/>
        <v>42.03723238281372</v>
      </c>
      <c r="Q88" s="22">
        <f t="shared" si="54"/>
        <v>361.12446840006743</v>
      </c>
      <c r="R88" s="62">
        <f t="shared" si="55"/>
        <v>654.45780173340074</v>
      </c>
      <c r="S88" s="62">
        <f ca="1">AVERAGE(OFFSET($R$3,0,0,'Données projet'!$E$9+1,1))-AVERAGE(OFFSET($H$3,0,0,'Données projet'!$E$9+1,1))</f>
        <v>219.48219097225825</v>
      </c>
      <c r="T88" s="62">
        <f t="shared" si="88"/>
        <v>168.03826591942982</v>
      </c>
      <c r="U88" s="16">
        <f>IF(ISNA(VLOOKUP(A88,'Données projet'!$A$35:$I$55,3,0)),0,VLOOKUP(A88,'Données projet'!$A$35:$I$55,3,0))</f>
        <v>10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>
        <f>AI88*VLOOKUP('Données projet'!$B$10,Paramètres!$A$1:$I$89,3,0)*VLOOKUP('Données projet'!$B$10,Paramètres!$A$1:$I$89,5,0)</f>
        <v>0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155.60948448168716</v>
      </c>
      <c r="AO88" s="62">
        <f t="shared" si="90"/>
        <v>317.1378745393755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33.244526969376871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1.4013033925711997E-6</v>
      </c>
      <c r="AX88" s="23">
        <f t="shared" si="60"/>
        <v>33.244528370680264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42.483999999999988</v>
      </c>
      <c r="D89" s="12">
        <f t="shared" si="86"/>
        <v>12.654705084370677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425.63210942321211</v>
      </c>
      <c r="H89" s="70">
        <f t="shared" si="56"/>
        <v>389.36657802194554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>
        <f>VLOOKUP(A89,'Données projet'!$A$35:$I$55,2,0)</f>
        <v>465.79</v>
      </c>
      <c r="L89" s="13">
        <f>VLOOKUP(A89,'Données projet'!$A$35:$I$55,9,0)</f>
        <v>112.57</v>
      </c>
      <c r="M89" s="13">
        <f t="array" ref="M89">INDEX(L:L,MIN(IF(ISNUMBER(L89:L285),ROW(L89:L285),"")))</f>
        <v>112.57</v>
      </c>
      <c r="N89" s="14">
        <f>IF('Données projet'!$A$36&gt;35,N88+M89-V88,IF(A89&lt;'Données projet'!$A$36,$K$205^A89,IF(A89='Données projet'!$A$36,'Données projet'!$B$36,N88+M89-V88)))</f>
        <v>465.79000000000025</v>
      </c>
      <c r="O89" s="14">
        <f>N89*VLOOKUP('Données projet'!$B$9,Paramètres!$A$1:$I$89,3,0)*VLOOKUP('Données projet'!$B$9,Paramètres!$A$1:$I$89,5,0)</f>
        <v>217.98972000000012</v>
      </c>
      <c r="P89" s="14">
        <f t="shared" si="87"/>
        <v>53.677728140063138</v>
      </c>
      <c r="Q89" s="22">
        <f t="shared" si="54"/>
        <v>473.15413884394343</v>
      </c>
      <c r="R89" s="62">
        <f t="shared" si="55"/>
        <v>766.48747217727669</v>
      </c>
      <c r="S89" s="62">
        <f ca="1">AVERAGE(OFFSET($R$3,0,0,'Données projet'!$E$9+1,1))-AVERAGE(OFFSET($H$3,0,0,'Données projet'!$E$9+1,1))</f>
        <v>219.48219097225825</v>
      </c>
      <c r="T89" s="62">
        <f t="shared" si="88"/>
        <v>168.03826591942982</v>
      </c>
      <c r="U89" s="16">
        <f>IF(ISNA(VLOOKUP(A89,'Données projet'!$A$35:$I$55,3,0)),0,VLOOKUP(A89,'Données projet'!$A$35:$I$55,3,0))</f>
        <v>11</v>
      </c>
      <c r="V89" s="16">
        <f>IF(ISNA(VLOOKUP(A89,'Données projet'!$A$35:$I$55,4,0)),0,VLOOKUP(A89,'Données projet'!$A$35:$I$55,4,0))</f>
        <v>90.8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>
        <f>AI89*VLOOKUP('Données projet'!$B$10,Paramètres!$A$1:$I$89,3,0)*VLOOKUP('Données projet'!$B$10,Paramètres!$A$1:$I$89,5,0)</f>
        <v>0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155.60948448168716</v>
      </c>
      <c r="AO89" s="62">
        <f t="shared" si="90"/>
        <v>317.1378745393755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32.592622072666636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9.9087113138680999E-7</v>
      </c>
      <c r="AX89" s="23">
        <f t="shared" si="60"/>
        <v>32.592623063537765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42.977999999999987</v>
      </c>
      <c r="D90" s="12">
        <f t="shared" si="86"/>
        <v>12.784637210043719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430.44842758630233</v>
      </c>
      <c r="H90" s="70">
        <f t="shared" si="56"/>
        <v>390.45325980749277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1.3699999999999994</v>
      </c>
      <c r="N90" s="14">
        <f>IF('Données projet'!$A$36&gt;35,N89+M90-V89,IF(A90&lt;'Données projet'!$A$36,$K$205^A90,IF(A90='Données projet'!$A$36,'Données projet'!$B$36,N89+M90-V89)))</f>
        <v>376.36000000000024</v>
      </c>
      <c r="O90" s="14">
        <f>N90*VLOOKUP('Données projet'!$B$9,Paramètres!$A$1:$I$89,3,0)*VLOOKUP('Données projet'!$B$9,Paramètres!$A$1:$I$89,5,0)</f>
        <v>176.13648000000012</v>
      </c>
      <c r="P90" s="14">
        <f t="shared" si="87"/>
        <v>44.461541703274349</v>
      </c>
      <c r="Q90" s="22">
        <f t="shared" si="54"/>
        <v>384.20822113320304</v>
      </c>
      <c r="R90" s="62">
        <f t="shared" si="55"/>
        <v>677.54155446653635</v>
      </c>
      <c r="S90" s="62">
        <f ca="1">AVERAGE(OFFSET($R$3,0,0,'Données projet'!$E$9+1,1))-AVERAGE(OFFSET($H$3,0,0,'Données projet'!$E$9+1,1))</f>
        <v>219.48219097225825</v>
      </c>
      <c r="T90" s="62">
        <f t="shared" si="88"/>
        <v>168.03826591942982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>
        <f>AI90*VLOOKUP('Données projet'!$B$10,Paramètres!$A$1:$I$89,3,0)*VLOOKUP('Données projet'!$B$10,Paramètres!$A$1:$I$89,5,0)</f>
        <v>0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155.60948448168716</v>
      </c>
      <c r="AO90" s="62">
        <f t="shared" si="90"/>
        <v>317.1378745393755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31.953500633358168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7.0065169628559984E-7</v>
      </c>
      <c r="AX90" s="23">
        <f t="shared" si="60"/>
        <v>31.953501334009864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43.471999999999987</v>
      </c>
      <c r="D91" s="12">
        <f t="shared" si="86"/>
        <v>12.914395607689229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435.26340469093435</v>
      </c>
      <c r="H91" s="70">
        <f t="shared" si="56"/>
        <v>391.53963901672535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1.3699999999999994</v>
      </c>
      <c r="N91" s="14">
        <f>IF('Données projet'!$A$36&gt;35,N90+M91-V90,IF(A91&lt;'Données projet'!$A$36,$K$205^A91,IF(A91='Données projet'!$A$36,'Données projet'!$B$36,N90+M91-V90)))</f>
        <v>377.73000000000025</v>
      </c>
      <c r="O91" s="14">
        <f>N91*VLOOKUP('Données projet'!$B$9,Paramètres!$A$1:$I$89,3,0)*VLOOKUP('Données projet'!$B$9,Paramètres!$A$1:$I$89,5,0)</f>
        <v>176.7776400000001</v>
      </c>
      <c r="P91" s="14">
        <f t="shared" si="87"/>
        <v>44.60451845929623</v>
      </c>
      <c r="Q91" s="22">
        <f t="shared" si="54"/>
        <v>385.57392598327442</v>
      </c>
      <c r="R91" s="62">
        <f t="shared" si="55"/>
        <v>678.90725931660768</v>
      </c>
      <c r="S91" s="62">
        <f ca="1">AVERAGE(OFFSET($R$3,0,0,'Données projet'!$E$9+1,1))-AVERAGE(OFFSET($H$3,0,0,'Données projet'!$E$9+1,1))</f>
        <v>219.48219097225825</v>
      </c>
      <c r="T91" s="62">
        <f t="shared" si="88"/>
        <v>168.03826591942982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>
        <f>AI91*VLOOKUP('Données projet'!$B$10,Paramètres!$A$1:$I$89,3,0)*VLOOKUP('Données projet'!$B$10,Paramètres!$A$1:$I$89,5,0)</f>
        <v>0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155.60948448168716</v>
      </c>
      <c r="AO91" s="62">
        <f t="shared" si="90"/>
        <v>317.1378745393755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31.326911975648951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4.9543556569340499E-7</v>
      </c>
      <c r="AX91" s="23">
        <f t="shared" si="60"/>
        <v>31.326912471084515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43.965999999999987</v>
      </c>
      <c r="D92" s="12">
        <f t="shared" si="86"/>
        <v>13.043982479922438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440.07705773975209</v>
      </c>
      <c r="H92" s="70">
        <f t="shared" si="56"/>
        <v>392.62571948586486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1.3699999999999994</v>
      </c>
      <c r="N92" s="14">
        <f>IF('Données projet'!$A$36&gt;35,N91+M92-V91,IF(A92&lt;'Données projet'!$A$36,$K$205^A92,IF(A92='Données projet'!$A$36,'Données projet'!$B$36,N91+M92-V91)))</f>
        <v>379.10000000000025</v>
      </c>
      <c r="O92" s="14">
        <f>N92*VLOOKUP('Données projet'!$B$9,Paramètres!$A$1:$I$89,3,0)*VLOOKUP('Données projet'!$B$9,Paramètres!$A$1:$I$89,5,0)</f>
        <v>177.41880000000012</v>
      </c>
      <c r="P92" s="14">
        <f t="shared" si="87"/>
        <v>44.747434866767449</v>
      </c>
      <c r="Q92" s="22">
        <f t="shared" si="54"/>
        <v>386.93952572628683</v>
      </c>
      <c r="R92" s="62">
        <f t="shared" si="55"/>
        <v>680.27285905962015</v>
      </c>
      <c r="S92" s="62">
        <f ca="1">AVERAGE(OFFSET($R$3,0,0,'Données projet'!$E$9+1,1))-AVERAGE(OFFSET($H$3,0,0,'Données projet'!$E$9+1,1))</f>
        <v>219.48219097225825</v>
      </c>
      <c r="T92" s="62">
        <f t="shared" si="88"/>
        <v>168.03826591942982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>
        <f>AI92*VLOOKUP('Données projet'!$B$10,Paramètres!$A$1:$I$89,3,0)*VLOOKUP('Données projet'!$B$10,Paramètres!$A$1:$I$89,5,0)</f>
        <v>0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155.60948448168716</v>
      </c>
      <c r="AO92" s="62">
        <f t="shared" si="90"/>
        <v>317.1378745393755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30.712610339336067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3.5032584814279992E-7</v>
      </c>
      <c r="AX92" s="23">
        <f t="shared" si="60"/>
        <v>30.712610689661915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44.459999999999987</v>
      </c>
      <c r="D93" s="12">
        <f t="shared" si="86"/>
        <v>13.173399977011854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444.8894033313195</v>
      </c>
      <c r="H93" s="70">
        <f t="shared" si="56"/>
        <v>393.71150495996227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1.3699999999999994</v>
      </c>
      <c r="N93" s="14">
        <f>IF('Données projet'!$A$36&gt;35,N92+M93-V92,IF(A93&lt;'Données projet'!$A$36,$K$205^A93,IF(A93='Données projet'!$A$36,'Données projet'!$B$36,N92+M93-V92)))</f>
        <v>380.47000000000025</v>
      </c>
      <c r="O93" s="14">
        <f>N93*VLOOKUP('Données projet'!$B$9,Paramètres!$A$1:$I$89,3,0)*VLOOKUP('Données projet'!$B$9,Paramètres!$A$1:$I$89,5,0)</f>
        <v>178.05996000000013</v>
      </c>
      <c r="P93" s="14">
        <f t="shared" si="87"/>
        <v>44.890291169112317</v>
      </c>
      <c r="Q93" s="22">
        <f t="shared" si="54"/>
        <v>388.30502078620412</v>
      </c>
      <c r="R93" s="62">
        <f t="shared" si="55"/>
        <v>681.63835411953744</v>
      </c>
      <c r="S93" s="62">
        <f ca="1">AVERAGE(OFFSET($R$3,0,0,'Données projet'!$E$9+1,1))-AVERAGE(OFFSET($H$3,0,0,'Données projet'!$E$9+1,1))</f>
        <v>219.48219097225825</v>
      </c>
      <c r="T93" s="62">
        <f t="shared" si="88"/>
        <v>168.03826591942982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>
        <f>AI93*VLOOKUP('Données projet'!$B$10,Paramètres!$A$1:$I$89,3,0)*VLOOKUP('Données projet'!$B$10,Paramètres!$A$1:$I$89,5,0)</f>
        <v>0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155.60948448168716</v>
      </c>
      <c r="AO93" s="62">
        <f t="shared" si="90"/>
        <v>317.1378745393755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30.110354783424278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2.477177828467025E-7</v>
      </c>
      <c r="AX93" s="23">
        <f t="shared" si="60"/>
        <v>30.11035503114206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44.953999999999986</v>
      </c>
      <c r="D94" s="12">
        <f t="shared" si="86"/>
        <v>13.302650198690802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449.70045767410437</v>
      </c>
      <c r="H94" s="70">
        <f t="shared" si="56"/>
        <v>394.79699909605313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1.3699999999999994</v>
      </c>
      <c r="N94" s="14">
        <f>IF('Données projet'!$A$36&gt;35,N93+M94-V93,IF(A94&lt;'Données projet'!$A$36,$K$205^A94,IF(A94='Données projet'!$A$36,'Données projet'!$B$36,N93+M94-V93)))</f>
        <v>381.84000000000026</v>
      </c>
      <c r="O94" s="14">
        <f>N94*VLOOKUP('Données projet'!$B$9,Paramètres!$A$1:$I$89,3,0)*VLOOKUP('Données projet'!$B$9,Paramètres!$A$1:$I$89,5,0)</f>
        <v>178.70112000000012</v>
      </c>
      <c r="P94" s="14">
        <f t="shared" si="87"/>
        <v>45.033087607900562</v>
      </c>
      <c r="Q94" s="22">
        <f t="shared" si="54"/>
        <v>389.67041158376031</v>
      </c>
      <c r="R94" s="62">
        <f t="shared" si="55"/>
        <v>683.00374491709363</v>
      </c>
      <c r="S94" s="62">
        <f ca="1">AVERAGE(OFFSET($R$3,0,0,'Données projet'!$E$9+1,1))-AVERAGE(OFFSET($H$3,0,0,'Données projet'!$E$9+1,1))</f>
        <v>219.48219097225825</v>
      </c>
      <c r="T94" s="62">
        <f t="shared" si="88"/>
        <v>168.03826591942982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>
        <f>AI94*VLOOKUP('Données projet'!$B$10,Paramètres!$A$1:$I$89,3,0)*VLOOKUP('Données projet'!$B$10,Paramètres!$A$1:$I$89,5,0)</f>
        <v>0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155.60948448168716</v>
      </c>
      <c r="AO94" s="62">
        <f t="shared" si="90"/>
        <v>317.1378745393755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29.519909091624303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1.7516292407139996E-7</v>
      </c>
      <c r="AX94" s="23">
        <f t="shared" si="60"/>
        <v>29.519909266787227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45.447999999999986</v>
      </c>
      <c r="D95" s="12">
        <f t="shared" si="86"/>
        <v>13.431735195887134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454.51023659983042</v>
      </c>
      <c r="H95" s="70">
        <f t="shared" si="56"/>
        <v>395.88220546617003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1.3699999999999994</v>
      </c>
      <c r="N95" s="14">
        <f>IF('Données projet'!$A$36&gt;35,N94+M95-V94,IF(A95&lt;'Données projet'!$A$36,$K$205^A95,IF(A95='Données projet'!$A$36,'Données projet'!$B$36,N94+M95-V94)))</f>
        <v>383.21000000000026</v>
      </c>
      <c r="O95" s="14">
        <f>N95*VLOOKUP('Données projet'!$B$9,Paramètres!$A$1:$I$89,3,0)*VLOOKUP('Données projet'!$B$9,Paramètres!$A$1:$I$89,5,0)</f>
        <v>179.34228000000013</v>
      </c>
      <c r="P95" s="14">
        <f t="shared" si="87"/>
        <v>45.17582442286777</v>
      </c>
      <c r="Q95" s="22">
        <f t="shared" si="54"/>
        <v>391.03569853649492</v>
      </c>
      <c r="R95" s="62">
        <f t="shared" si="55"/>
        <v>684.36903186982818</v>
      </c>
      <c r="S95" s="62">
        <f ca="1">AVERAGE(OFFSET($R$3,0,0,'Données projet'!$E$9+1,1))-AVERAGE(OFFSET($H$3,0,0,'Données projet'!$E$9+1,1))</f>
        <v>219.48219097225825</v>
      </c>
      <c r="T95" s="62">
        <f t="shared" si="88"/>
        <v>168.03826591942982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>
        <f>AI95*VLOOKUP('Données projet'!$B$10,Paramètres!$A$1:$I$89,3,0)*VLOOKUP('Données projet'!$B$10,Paramètres!$A$1:$I$89,5,0)</f>
        <v>0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155.60948448168716</v>
      </c>
      <c r="AO95" s="62">
        <f t="shared" si="90"/>
        <v>317.1378745393755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28.941041679704213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1.2385889142335125E-7</v>
      </c>
      <c r="AX95" s="23">
        <f t="shared" si="60"/>
        <v>28.941041803563106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45.941999999999986</v>
      </c>
      <c r="D96" s="12">
        <f t="shared" si="86"/>
        <v>13.560656972375495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459.31875557623181</v>
      </c>
      <c r="H96" s="70">
        <f t="shared" si="56"/>
        <v>396.9671275602206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1.3699999999999994</v>
      </c>
      <c r="N96" s="14">
        <f>IF('Données projet'!$A$36&gt;35,N95+M96-V95,IF(A96&lt;'Données projet'!$A$36,$K$205^A96,IF(A96='Données projet'!$A$36,'Données projet'!$B$36,N95+M96-V95)))</f>
        <v>384.58000000000027</v>
      </c>
      <c r="O96" s="14">
        <f>N96*VLOOKUP('Données projet'!$B$9,Paramètres!$A$1:$I$89,3,0)*VLOOKUP('Données projet'!$B$9,Paramètres!$A$1:$I$89,5,0)</f>
        <v>179.98344000000012</v>
      </c>
      <c r="P96" s="14">
        <f t="shared" si="87"/>
        <v>45.318501851936055</v>
      </c>
      <c r="Q96" s="22">
        <f t="shared" si="54"/>
        <v>392.4008820587888</v>
      </c>
      <c r="R96" s="62">
        <f t="shared" si="55"/>
        <v>685.73421539212211</v>
      </c>
      <c r="S96" s="62">
        <f ca="1">AVERAGE(OFFSET($R$3,0,0,'Données projet'!$E$9+1,1))-AVERAGE(OFFSET($H$3,0,0,'Données projet'!$E$9+1,1))</f>
        <v>219.48219097225825</v>
      </c>
      <c r="T96" s="62">
        <f t="shared" si="88"/>
        <v>168.03826591942982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>
        <f>AI96*VLOOKUP('Données projet'!$B$10,Paramètres!$A$1:$I$89,3,0)*VLOOKUP('Données projet'!$B$10,Paramètres!$A$1:$I$89,5,0)</f>
        <v>0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155.60948448168716</v>
      </c>
      <c r="AO96" s="62">
        <f t="shared" si="90"/>
        <v>317.1378745393755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28.373525504657618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8.7581462035699981E-8</v>
      </c>
      <c r="AX96" s="23">
        <f t="shared" si="60"/>
        <v>28.37352559223908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46.435999999999986</v>
      </c>
      <c r="D97" s="12">
        <f t="shared" si="86"/>
        <v>13.689417486356579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464.12602971924372</v>
      </c>
      <c r="H97" s="70">
        <f t="shared" si="56"/>
        <v>398.05176878873766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1.3699999999999994</v>
      </c>
      <c r="N97" s="14">
        <f>IF('Données projet'!$A$36&gt;35,N96+M97-V96,IF(A97&lt;'Données projet'!$A$36,$K$205^A97,IF(A97='Données projet'!$A$36,'Données projet'!$B$36,N96+M97-V96)))</f>
        <v>385.95000000000027</v>
      </c>
      <c r="O97" s="14">
        <f>N97*VLOOKUP('Données projet'!$B$9,Paramètres!$A$1:$I$89,3,0)*VLOOKUP('Données projet'!$B$9,Paramètres!$A$1:$I$89,5,0)</f>
        <v>180.62460000000013</v>
      </c>
      <c r="P97" s="14">
        <f t="shared" si="87"/>
        <v>45.461120131234303</v>
      </c>
      <c r="Q97" s="22">
        <f t="shared" si="54"/>
        <v>393.76596256189993</v>
      </c>
      <c r="R97" s="62">
        <f t="shared" si="55"/>
        <v>687.09929589523324</v>
      </c>
      <c r="S97" s="62">
        <f ca="1">AVERAGE(OFFSET($R$3,0,0,'Données projet'!$E$9+1,1))-AVERAGE(OFFSET($H$3,0,0,'Données projet'!$E$9+1,1))</f>
        <v>219.48219097225825</v>
      </c>
      <c r="T97" s="62">
        <f t="shared" si="88"/>
        <v>168.03826591942982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>
        <f>AI97*VLOOKUP('Données projet'!$B$10,Paramètres!$A$1:$I$89,3,0)*VLOOKUP('Données projet'!$B$10,Paramètres!$A$1:$I$89,5,0)</f>
        <v>0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155.60948448168716</v>
      </c>
      <c r="AO97" s="62">
        <f t="shared" si="90"/>
        <v>317.1378745393755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27.817137975653001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6.1929445711675624E-8</v>
      </c>
      <c r="AX97" s="23">
        <f t="shared" si="60"/>
        <v>27.817138037582446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46.929999999999986</v>
      </c>
      <c r="D98" s="12">
        <f t="shared" si="86"/>
        <v>13.818018651967211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468.93207380465907</v>
      </c>
      <c r="H98" s="70">
        <f t="shared" si="56"/>
        <v>399.13613248550951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1.3699999999999994</v>
      </c>
      <c r="N98" s="14">
        <f>IF('Données projet'!$A$36&gt;35,N97+M98-V97,IF(A98&lt;'Données projet'!$A$36,$K$205^A98,IF(A98='Données projet'!$A$36,'Données projet'!$B$36,N97+M98-V97)))</f>
        <v>387.32000000000028</v>
      </c>
      <c r="O98" s="14">
        <f>N98*VLOOKUP('Données projet'!$B$9,Paramètres!$A$1:$I$89,3,0)*VLOOKUP('Données projet'!$B$9,Paramètres!$A$1:$I$89,5,0)</f>
        <v>181.26576000000014</v>
      </c>
      <c r="P98" s="14">
        <f t="shared" si="87"/>
        <v>45.603679495117525</v>
      </c>
      <c r="Q98" s="22">
        <f t="shared" si="54"/>
        <v>395.13094045399657</v>
      </c>
      <c r="R98" s="62">
        <f t="shared" si="55"/>
        <v>688.46427378732983</v>
      </c>
      <c r="S98" s="62">
        <f ca="1">AVERAGE(OFFSET($R$3,0,0,'Données projet'!$E$9+1,1))-AVERAGE(OFFSET($H$3,0,0,'Données projet'!$E$9+1,1))</f>
        <v>219.48219097225825</v>
      </c>
      <c r="T98" s="62">
        <f t="shared" si="88"/>
        <v>168.03826591942982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>
        <f>AI98*VLOOKUP('Données projet'!$B$10,Paramètres!$A$1:$I$89,3,0)*VLOOKUP('Données projet'!$B$10,Paramètres!$A$1:$I$89,5,0)</f>
        <v>0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155.60948448168716</v>
      </c>
      <c r="AO98" s="62">
        <f t="shared" si="90"/>
        <v>317.1378745393755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27.271660866729281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4.379073101784999E-8</v>
      </c>
      <c r="AX98" s="23">
        <f t="shared" si="60"/>
        <v>27.271660910520012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47.423999999999985</v>
      </c>
      <c r="D99" s="12">
        <f t="shared" si="86"/>
        <v>13.946462340725052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473.73690227928097</v>
      </c>
      <c r="H99" s="70">
        <f t="shared" si="56"/>
        <v>400.22022191009609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1.3699999999999994</v>
      </c>
      <c r="N99" s="14">
        <f>IF('Données projet'!$A$36&gt;35,N98+M99-V98,IF(A99&lt;'Données projet'!$A$36,$K$205^A99,IF(A99='Données projet'!$A$36,'Données projet'!$B$36,N98+M99-V98)))</f>
        <v>388.69000000000028</v>
      </c>
      <c r="O99" s="14">
        <f>N99*VLOOKUP('Données projet'!$B$9,Paramètres!$A$1:$I$89,3,0)*VLOOKUP('Données projet'!$B$9,Paramètres!$A$1:$I$89,5,0)</f>
        <v>181.90692000000013</v>
      </c>
      <c r="P99" s="14">
        <f t="shared" si="87"/>
        <v>45.746180176186876</v>
      </c>
      <c r="Q99" s="22">
        <f t="shared" ref="Q99:Q130" si="107">(O99+P99)*0.475*44/12</f>
        <v>396.49581614019235</v>
      </c>
      <c r="R99" s="62">
        <f t="shared" si="55"/>
        <v>689.8291494735256</v>
      </c>
      <c r="S99" s="62">
        <f ca="1">AVERAGE(OFFSET($R$3,0,0,'Données projet'!$E$9+1,1))-AVERAGE(OFFSET($H$3,0,0,'Données projet'!$E$9+1,1))</f>
        <v>219.48219097225825</v>
      </c>
      <c r="T99" s="62">
        <f t="shared" si="88"/>
        <v>168.03826591942982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>
        <f>AI99*VLOOKUP('Données projet'!$B$10,Paramètres!$A$1:$I$89,3,0)*VLOOKUP('Données projet'!$B$10,Paramètres!$A$1:$I$89,5,0)</f>
        <v>0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155.60948448168716</v>
      </c>
      <c r="AO99" s="62">
        <f t="shared" si="90"/>
        <v>317.1378745393755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26.736880231203372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3.0964722855837812E-8</v>
      </c>
      <c r="AX99" s="23">
        <f t="shared" si="60"/>
        <v>26.736880262168096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47.917999999999985</v>
      </c>
      <c r="D100" s="12">
        <f t="shared" si="86"/>
        <v>14.074750382911397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478.5405292715966</v>
      </c>
      <c r="H100" s="70">
        <f t="shared" si="56"/>
        <v>401.30404025023728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>
        <f>VLOOKUP(A100,'Données projet'!$A$35:$I$55,2,0)</f>
        <v>390.06</v>
      </c>
      <c r="L100" s="13">
        <f>VLOOKUP(A100,'Données projet'!$A$35:$I$55,9,0)</f>
        <v>1.3699999999999994</v>
      </c>
      <c r="M100" s="13">
        <f t="array" ref="M100">INDEX(L:L,MIN(IF(ISNUMBER(L100:L296),ROW(L100:L296),"")))</f>
        <v>1.3699999999999994</v>
      </c>
      <c r="N100" s="14">
        <f>IF('Données projet'!$A$36&gt;35,N99+M100-V99,IF(A100&lt;'Données projet'!$A$36,$K$205^A100,IF(A100='Données projet'!$A$36,'Données projet'!$B$36,N99+M100-V99)))</f>
        <v>390.06000000000029</v>
      </c>
      <c r="O100" s="14">
        <f>N100*VLOOKUP('Données projet'!$B$9,Paramètres!$A$1:$I$89,3,0)*VLOOKUP('Données projet'!$B$9,Paramètres!$A$1:$I$89,5,0)</f>
        <v>182.54808000000014</v>
      </c>
      <c r="P100" s="14">
        <f t="shared" si="87"/>
        <v>45.888622405308809</v>
      </c>
      <c r="Q100" s="22">
        <f t="shared" si="107"/>
        <v>397.86059002257974</v>
      </c>
      <c r="R100" s="62">
        <f t="shared" si="55"/>
        <v>691.19392335591306</v>
      </c>
      <c r="S100" s="62">
        <f ca="1">AVERAGE(OFFSET($R$3,0,0,'Données projet'!$E$9+1,1))-AVERAGE(OFFSET($H$3,0,0,'Données projet'!$E$9+1,1))</f>
        <v>219.48219097225825</v>
      </c>
      <c r="T100" s="62">
        <f t="shared" si="88"/>
        <v>168.03826591942982</v>
      </c>
      <c r="U100" s="16">
        <f>IF(ISNA(VLOOKUP(A100,'Données projet'!$A$35:$I$55,3,0)),0,VLOOKUP(A100,'Données projet'!$A$35:$I$55,3,0))</f>
        <v>12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>
        <f>AI100*VLOOKUP('Données projet'!$B$10,Paramètres!$A$1:$I$89,3,0)*VLOOKUP('Données projet'!$B$10,Paramètres!$A$1:$I$89,5,0)</f>
        <v>0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155.60948448168716</v>
      </c>
      <c r="AO100" s="62">
        <f t="shared" si="90"/>
        <v>317.1378745393755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26.212586317756145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2.1895365508924995E-8</v>
      </c>
      <c r="AX100" s="23">
        <f t="shared" si="60"/>
        <v>26.212586339651509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48.411999999999985</v>
      </c>
      <c r="D101" s="12">
        <f t="shared" si="86"/>
        <v>14.202884568895271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483.34296860199851</v>
      </c>
      <c r="H101" s="70">
        <f t="shared" si="56"/>
        <v>402.3875906241592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>
        <f>VLOOKUP(A101,'Données projet'!$A$35:$I$55,2,0)</f>
        <v>495.91</v>
      </c>
      <c r="L101" s="13">
        <f>VLOOKUP(A101,'Données projet'!$A$35:$I$55,9,0)</f>
        <v>105.85000000000002</v>
      </c>
      <c r="M101" s="13">
        <f t="array" ref="M101">INDEX(L:L,MIN(IF(ISNUMBER(L101:L297),ROW(L101:L297),"")))</f>
        <v>105.85000000000002</v>
      </c>
      <c r="N101" s="14">
        <f>IF('Données projet'!$A$36&gt;35,N100+M101-V100,IF(A101&lt;'Données projet'!$A$36,$K$205^A101,IF(A101='Données projet'!$A$36,'Données projet'!$B$36,N100+M101-V100)))</f>
        <v>495.91000000000031</v>
      </c>
      <c r="O101" s="14">
        <f>N101*VLOOKUP('Données projet'!$B$9,Paramètres!$A$1:$I$89,3,0)*VLOOKUP('Données projet'!$B$9,Paramètres!$A$1:$I$89,5,0)</f>
        <v>232.08588000000012</v>
      </c>
      <c r="P101" s="14">
        <f t="shared" si="87"/>
        <v>56.733460300074178</v>
      </c>
      <c r="Q101" s="22">
        <f t="shared" si="107"/>
        <v>503.02701768929614</v>
      </c>
      <c r="R101" s="62">
        <f t="shared" si="55"/>
        <v>796.3603510226294</v>
      </c>
      <c r="S101" s="62">
        <f ca="1">AVERAGE(OFFSET($R$3,0,0,'Données projet'!$E$9+1,1))-AVERAGE(OFFSET($H$3,0,0,'Données projet'!$E$9+1,1))</f>
        <v>219.48219097225825</v>
      </c>
      <c r="T101" s="62">
        <f t="shared" si="88"/>
        <v>168.03826591942982</v>
      </c>
      <c r="U101" s="16">
        <f>IF(ISNA(VLOOKUP(A101,'Données projet'!$A$35:$I$55,3,0)),0,VLOOKUP(A101,'Données projet'!$A$35:$I$55,3,0))</f>
        <v>13</v>
      </c>
      <c r="V101" s="16">
        <f>IF(ISNA(VLOOKUP(A101,'Données projet'!$A$35:$I$55,4,0)),0,VLOOKUP(A101,'Données projet'!$A$35:$I$55,4,0))</f>
        <v>87.99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>
        <f>AI101*VLOOKUP('Données projet'!$B$10,Paramètres!$A$1:$I$89,3,0)*VLOOKUP('Données projet'!$B$10,Paramètres!$A$1:$I$89,5,0)</f>
        <v>0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155.60948448168716</v>
      </c>
      <c r="AO101" s="62">
        <f t="shared" si="90"/>
        <v>317.1378745393755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25.698573488163905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1.5482361427918906E-8</v>
      </c>
      <c r="AX101" s="23">
        <f t="shared" si="60"/>
        <v>25.698573503646266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48.905999999999985</v>
      </c>
      <c r="D102" s="12">
        <f t="shared" si="86"/>
        <v>14.330866650402021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488.14423379257687</v>
      </c>
      <c r="H102" s="70">
        <f t="shared" si="56"/>
        <v>403.47087608278349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1.4579999999999984</v>
      </c>
      <c r="N102" s="14">
        <f>IF('Données projet'!$A$36&gt;35,N101+M102-V101,IF(A102&lt;'Données projet'!$A$36,$K$205^A102,IF(A102='Données projet'!$A$36,'Données projet'!$B$36,N101+M102-V101)))</f>
        <v>409.37800000000027</v>
      </c>
      <c r="O102" s="14">
        <f>N102*VLOOKUP('Données projet'!$B$9,Paramètres!$A$1:$I$89,3,0)*VLOOKUP('Données projet'!$B$9,Paramètres!$A$1:$I$89,5,0)</f>
        <v>191.58890400000013</v>
      </c>
      <c r="P102" s="14">
        <f t="shared" si="87"/>
        <v>47.891066523535351</v>
      </c>
      <c r="Q102" s="22">
        <f t="shared" si="107"/>
        <v>417.09428199515764</v>
      </c>
      <c r="R102" s="62">
        <f t="shared" si="55"/>
        <v>710.4276153284909</v>
      </c>
      <c r="S102" s="62">
        <f ca="1">AVERAGE(OFFSET($R$3,0,0,'Données projet'!$E$9+1,1))-AVERAGE(OFFSET($H$3,0,0,'Données projet'!$E$9+1,1))</f>
        <v>219.48219097225825</v>
      </c>
      <c r="T102" s="62">
        <f t="shared" si="88"/>
        <v>168.03826591942982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>
        <f>AI102*VLOOKUP('Données projet'!$B$10,Paramètres!$A$1:$I$89,3,0)*VLOOKUP('Données projet'!$B$10,Paramètres!$A$1:$I$89,5,0)</f>
        <v>0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155.60948448168716</v>
      </c>
      <c r="AO102" s="62">
        <f t="shared" si="90"/>
        <v>317.1378745393755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25.194640136643102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1.0947682754462498E-8</v>
      </c>
      <c r="AX102" s="23">
        <f t="shared" si="60"/>
        <v>25.194640147590786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49.399999999999984</v>
      </c>
      <c r="D103" s="12">
        <f t="shared" si="86"/>
        <v>14.458698341729095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492.94433807650518</v>
      </c>
      <c r="H103" s="70">
        <f t="shared" si="56"/>
        <v>404.55389961184477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1.4579999999999984</v>
      </c>
      <c r="N103" s="14">
        <f>IF('Données projet'!$A$36&gt;35,N102+M103-V102,IF(A103&lt;'Données projet'!$A$36,$K$205^A103,IF(A103='Données projet'!$A$36,'Données projet'!$B$36,N102+M103-V102)))</f>
        <v>410.83600000000024</v>
      </c>
      <c r="O103" s="14">
        <f>N103*VLOOKUP('Données projet'!$B$9,Paramètres!$A$1:$I$89,3,0)*VLOOKUP('Données projet'!$B$9,Paramètres!$A$1:$I$89,5,0)</f>
        <v>192.27124800000013</v>
      </c>
      <c r="P103" s="14">
        <f t="shared" si="87"/>
        <v>48.04174573179268</v>
      </c>
      <c r="Q103" s="22">
        <f t="shared" si="107"/>
        <v>418.54513074953911</v>
      </c>
      <c r="R103" s="62">
        <f t="shared" si="55"/>
        <v>711.87846408287237</v>
      </c>
      <c r="S103" s="62">
        <f ca="1">AVERAGE(OFFSET($R$3,0,0,'Données projet'!$E$9+1,1))-AVERAGE(OFFSET($H$3,0,0,'Données projet'!$E$9+1,1))</f>
        <v>219.48219097225825</v>
      </c>
      <c r="T103" s="62">
        <f t="shared" si="88"/>
        <v>168.03826591942982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>
        <f>AI103*VLOOKUP('Données projet'!$B$10,Paramètres!$A$1:$I$89,3,0)*VLOOKUP('Données projet'!$B$10,Paramètres!$A$1:$I$89,5,0)</f>
        <v>0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155.60948448168716</v>
      </c>
      <c r="AO103" s="62">
        <f t="shared" si="90"/>
        <v>317.1378745393755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24.700588610776627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7.741180713959453E-9</v>
      </c>
      <c r="AX103" s="23">
        <f t="shared" si="60"/>
        <v>24.700588618517809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49.893999999999984</v>
      </c>
      <c r="D104" s="12">
        <f t="shared" si="86"/>
        <v>14.586381320911869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497.74329440703883</v>
      </c>
      <c r="H104" s="70">
        <f t="shared" si="56"/>
        <v>405.63666413392144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1.4579999999999984</v>
      </c>
      <c r="N104" s="14">
        <f>IF('Données projet'!$A$36&gt;35,N103+M104-V103,IF(A104&lt;'Données projet'!$A$36,$K$205^A104,IF(A104='Données projet'!$A$36,'Données projet'!$B$36,N103+M104-V103)))</f>
        <v>412.29400000000021</v>
      </c>
      <c r="O104" s="14">
        <f>N104*VLOOKUP('Données projet'!$B$9,Paramètres!$A$1:$I$89,3,0)*VLOOKUP('Données projet'!$B$9,Paramètres!$A$1:$I$89,5,0)</f>
        <v>192.9535920000001</v>
      </c>
      <c r="P104" s="14">
        <f t="shared" si="87"/>
        <v>48.192362709074551</v>
      </c>
      <c r="Q104" s="22">
        <f t="shared" si="107"/>
        <v>419.99587111830505</v>
      </c>
      <c r="R104" s="62">
        <f t="shared" si="55"/>
        <v>713.32920445163836</v>
      </c>
      <c r="S104" s="62">
        <f ca="1">AVERAGE(OFFSET($R$3,0,0,'Données projet'!$E$9+1,1))-AVERAGE(OFFSET($H$3,0,0,'Données projet'!$E$9+1,1))</f>
        <v>219.48219097225825</v>
      </c>
      <c r="T104" s="62">
        <f t="shared" si="88"/>
        <v>168.03826591942982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>
        <f>AI104*VLOOKUP('Données projet'!$B$10,Paramètres!$A$1:$I$89,3,0)*VLOOKUP('Données projet'!$B$10,Paramètres!$A$1:$I$89,5,0)</f>
        <v>0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155.60948448168716</v>
      </c>
      <c r="AO104" s="62">
        <f t="shared" si="90"/>
        <v>317.1378745393755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24.216225133990719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5.4738413772312488E-9</v>
      </c>
      <c r="AX104" s="23">
        <f t="shared" si="60"/>
        <v>24.216225139464559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50.387999999999984</v>
      </c>
      <c r="D105" s="12">
        <f t="shared" si="86"/>
        <v>14.713917230841966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502.54111546614837</v>
      </c>
      <c r="H105" s="70">
        <f t="shared" si="56"/>
        <v>406.71917251038303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1.4579999999999984</v>
      </c>
      <c r="N105" s="14">
        <f>IF('Données projet'!$A$36&gt;35,N104+M105-V104,IF(A105&lt;'Données projet'!$A$36,$K$205^A105,IF(A105='Données projet'!$A$36,'Données projet'!$B$36,N104+M105-V104)))</f>
        <v>413.75200000000018</v>
      </c>
      <c r="O105" s="14">
        <f>N105*VLOOKUP('Données projet'!$B$9,Paramètres!$A$1:$I$89,3,0)*VLOOKUP('Données projet'!$B$9,Paramètres!$A$1:$I$89,5,0)</f>
        <v>193.63593600000007</v>
      </c>
      <c r="P105" s="14">
        <f t="shared" si="87"/>
        <v>48.342917701015445</v>
      </c>
      <c r="Q105" s="22">
        <f t="shared" si="107"/>
        <v>421.44650352926868</v>
      </c>
      <c r="R105" s="62">
        <f t="shared" si="55"/>
        <v>714.779836862602</v>
      </c>
      <c r="S105" s="62">
        <f ca="1">AVERAGE(OFFSET($R$3,0,0,'Données projet'!$E$9+1,1))-AVERAGE(OFFSET($H$3,0,0,'Données projet'!$E$9+1,1))</f>
        <v>219.48219097225825</v>
      </c>
      <c r="T105" s="62">
        <f t="shared" si="88"/>
        <v>168.03826591942982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>
        <f>AI105*VLOOKUP('Données projet'!$B$10,Paramètres!$A$1:$I$89,3,0)*VLOOKUP('Données projet'!$B$10,Paramètres!$A$1:$I$89,5,0)</f>
        <v>0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155.60948448168716</v>
      </c>
      <c r="AO105" s="62">
        <f t="shared" si="90"/>
        <v>317.1378745393755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23.741359729552034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3.8705903569797265E-9</v>
      </c>
      <c r="AX105" s="23">
        <f t="shared" si="60"/>
        <v>23.741359733422623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50.881999999999984</v>
      </c>
      <c r="D106" s="12">
        <f t="shared" si="86"/>
        <v>14.841307680340405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507.33781367280295</v>
      </c>
      <c r="H106" s="70">
        <f t="shared" si="56"/>
        <v>407.80142754325948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1.4579999999999984</v>
      </c>
      <c r="N106" s="14">
        <f>IF('Données projet'!$A$36&gt;35,N105+M106-V105,IF(A106&lt;'Données projet'!$A$36,$K$205^A106,IF(A106='Données projet'!$A$36,'Données projet'!$B$36,N105+M106-V105)))</f>
        <v>415.21000000000015</v>
      </c>
      <c r="O106" s="14">
        <f>N106*VLOOKUP('Données projet'!$B$9,Paramètres!$A$1:$I$89,3,0)*VLOOKUP('Données projet'!$B$9,Paramètres!$A$1:$I$89,5,0)</f>
        <v>194.31828000000007</v>
      </c>
      <c r="P106" s="14">
        <f t="shared" si="87"/>
        <v>48.493410951418426</v>
      </c>
      <c r="Q106" s="22">
        <f t="shared" si="107"/>
        <v>422.89702840705382</v>
      </c>
      <c r="R106" s="62">
        <f t="shared" si="55"/>
        <v>716.23036174038714</v>
      </c>
      <c r="S106" s="62">
        <f ca="1">AVERAGE(OFFSET($R$3,0,0,'Données projet'!$E$9+1,1))-AVERAGE(OFFSET($H$3,0,0,'Données projet'!$E$9+1,1))</f>
        <v>219.48219097225825</v>
      </c>
      <c r="T106" s="62">
        <f t="shared" si="88"/>
        <v>168.03826591942982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>
        <f>AI106*VLOOKUP('Données projet'!$B$10,Paramètres!$A$1:$I$89,3,0)*VLOOKUP('Données projet'!$B$10,Paramètres!$A$1:$I$89,5,0)</f>
        <v>0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155.60948448168716</v>
      </c>
      <c r="AO106" s="62">
        <f t="shared" si="90"/>
        <v>317.1378745393755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23.275806146055093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2.7369206886156244E-9</v>
      </c>
      <c r="AX106" s="23">
        <f t="shared" si="60"/>
        <v>23.275806148792014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51.375999999999983</v>
      </c>
      <c r="D107" s="12">
        <f t="shared" si="86"/>
        <v>14.968554245188011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512.13340119092493</v>
      </c>
      <c r="H107" s="70">
        <f t="shared" si="56"/>
        <v>408.88343197703574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1.4579999999999984</v>
      </c>
      <c r="N107" s="14">
        <f>IF('Données projet'!$A$36&gt;35,N106+M107-V106,IF(A107&lt;'Données projet'!$A$36,$K$205^A107,IF(A107='Données projet'!$A$36,'Données projet'!$B$36,N106+M107-V106)))</f>
        <v>416.66800000000012</v>
      </c>
      <c r="O107" s="14">
        <f>N107*VLOOKUP('Données projet'!$B$9,Paramètres!$A$1:$I$89,3,0)*VLOOKUP('Données projet'!$B$9,Paramètres!$A$1:$I$89,5,0)</f>
        <v>195.00062400000004</v>
      </c>
      <c r="P107" s="14">
        <f t="shared" si="87"/>
        <v>48.643842702274853</v>
      </c>
      <c r="Q107" s="22">
        <f t="shared" si="107"/>
        <v>424.34744617312873</v>
      </c>
      <c r="R107" s="62">
        <f t="shared" si="55"/>
        <v>717.68077950646204</v>
      </c>
      <c r="S107" s="62">
        <f ca="1">AVERAGE(OFFSET($R$3,0,0,'Données projet'!$E$9+1,1))-AVERAGE(OFFSET($H$3,0,0,'Données projet'!$E$9+1,1))</f>
        <v>219.48219097225825</v>
      </c>
      <c r="T107" s="62">
        <f t="shared" si="88"/>
        <v>168.03826591942982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>
        <f>AI107*VLOOKUP('Données projet'!$B$10,Paramètres!$A$1:$I$89,3,0)*VLOOKUP('Données projet'!$B$10,Paramètres!$A$1:$I$89,5,0)</f>
        <v>0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155.60948448168716</v>
      </c>
      <c r="AO107" s="62">
        <f t="shared" si="90"/>
        <v>317.1378745393755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22.819381784370879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1.9352951784898633E-9</v>
      </c>
      <c r="AX107" s="23">
        <f t="shared" si="60"/>
        <v>22.819381786306174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51.869999999999983</v>
      </c>
      <c r="D108" s="12">
        <f t="shared" si="86"/>
        <v>15.095658469114912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516.92788993702732</v>
      </c>
      <c r="H108" s="70">
        <f t="shared" si="56"/>
        <v>409.96518850037506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1.4579999999999984</v>
      </c>
      <c r="N108" s="14">
        <f>IF('Données projet'!$A$36&gt;35,N107+M108-V107,IF(A108&lt;'Données projet'!$A$36,$K$205^A108,IF(A108='Données projet'!$A$36,'Données projet'!$B$36,N107+M108-V107)))</f>
        <v>418.12600000000009</v>
      </c>
      <c r="O108" s="14">
        <f>N108*VLOOKUP('Données projet'!$B$9,Paramètres!$A$1:$I$89,3,0)*VLOOKUP('Données projet'!$B$9,Paramètres!$A$1:$I$89,5,0)</f>
        <v>195.68296800000005</v>
      </c>
      <c r="P108" s="14">
        <f t="shared" si="87"/>
        <v>48.794213193784394</v>
      </c>
      <c r="Q108" s="22">
        <f t="shared" si="107"/>
        <v>425.79775724584124</v>
      </c>
      <c r="R108" s="62">
        <f t="shared" si="55"/>
        <v>719.1310905791745</v>
      </c>
      <c r="S108" s="62">
        <f ca="1">AVERAGE(OFFSET($R$3,0,0,'Données projet'!$E$9+1,1))-AVERAGE(OFFSET($H$3,0,0,'Données projet'!$E$9+1,1))</f>
        <v>219.48219097225825</v>
      </c>
      <c r="T108" s="62">
        <f t="shared" si="88"/>
        <v>168.03826591942982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>
        <f>AI108*VLOOKUP('Données projet'!$B$10,Paramètres!$A$1:$I$89,3,0)*VLOOKUP('Données projet'!$B$10,Paramètres!$A$1:$I$89,5,0)</f>
        <v>0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155.60948448168716</v>
      </c>
      <c r="AO108" s="62">
        <f t="shared" si="90"/>
        <v>317.1378745393755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22.371907626027923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1.3684603443078122E-9</v>
      </c>
      <c r="AX108" s="23">
        <f t="shared" si="60"/>
        <v>22.371907627396382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52.363999999999983</v>
      </c>
      <c r="D109" s="12">
        <f t="shared" si="86"/>
        <v>15.222621864751364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521.72129158755433</v>
      </c>
      <c r="H109" s="70">
        <f t="shared" si="56"/>
        <v>411.04669974777528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1.4579999999999984</v>
      </c>
      <c r="N109" s="14">
        <f>IF('Données projet'!$A$36&gt;35,N108+M109-V108,IF(A109&lt;'Données projet'!$A$36,$K$205^A109,IF(A109='Données projet'!$A$36,'Données projet'!$B$36,N108+M109-V108)))</f>
        <v>419.58400000000006</v>
      </c>
      <c r="O109" s="14">
        <f>N109*VLOOKUP('Données projet'!$B$9,Paramètres!$A$1:$I$89,3,0)*VLOOKUP('Données projet'!$B$9,Paramètres!$A$1:$I$89,5,0)</f>
        <v>196.36531200000002</v>
      </c>
      <c r="P109" s="14">
        <f t="shared" si="87"/>
        <v>48.944522664374574</v>
      </c>
      <c r="Q109" s="22">
        <f t="shared" si="107"/>
        <v>427.24796204045242</v>
      </c>
      <c r="R109" s="62">
        <f t="shared" si="55"/>
        <v>720.58129537378568</v>
      </c>
      <c r="S109" s="62">
        <f ca="1">AVERAGE(OFFSET($R$3,0,0,'Données projet'!$E$9+1,1))-AVERAGE(OFFSET($H$3,0,0,'Données projet'!$E$9+1,1))</f>
        <v>219.48219097225825</v>
      </c>
      <c r="T109" s="62">
        <f t="shared" si="88"/>
        <v>168.03826591942982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>
        <f>AI109*VLOOKUP('Données projet'!$B$10,Paramètres!$A$1:$I$89,3,0)*VLOOKUP('Données projet'!$B$10,Paramètres!$A$1:$I$89,5,0)</f>
        <v>0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155.60948448168716</v>
      </c>
      <c r="AO109" s="62">
        <f t="shared" si="90"/>
        <v>317.1378745393755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21.933208162997783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9.6764758924493163E-10</v>
      </c>
      <c r="AX109" s="23">
        <f t="shared" si="60"/>
        <v>21.933208163965432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52.857999999999983</v>
      </c>
      <c r="D110" s="12">
        <f t="shared" si="86"/>
        <v>15.349445914541667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526.51361758593555</v>
      </c>
      <c r="H110" s="70">
        <f t="shared" si="56"/>
        <v>412.12796830116002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1.4579999999999984</v>
      </c>
      <c r="N110" s="14">
        <f>IF('Données projet'!$A$36&gt;35,N109+M110-V109,IF(A110&lt;'Données projet'!$A$36,$K$205^A110,IF(A110='Données projet'!$A$36,'Données projet'!$B$36,N109+M110-V109)))</f>
        <v>421.04200000000003</v>
      </c>
      <c r="O110" s="14">
        <f>N110*VLOOKUP('Données projet'!$B$9,Paramètres!$A$1:$I$89,3,0)*VLOOKUP('Données projet'!$B$9,Paramètres!$A$1:$I$89,5,0)</f>
        <v>197.04765600000002</v>
      </c>
      <c r="P110" s="14">
        <f t="shared" si="87"/>
        <v>49.094771350719647</v>
      </c>
      <c r="Q110" s="22">
        <f t="shared" si="107"/>
        <v>428.69806096917006</v>
      </c>
      <c r="R110" s="62">
        <f t="shared" si="55"/>
        <v>722.03139430250337</v>
      </c>
      <c r="S110" s="62">
        <f ca="1">AVERAGE(OFFSET($R$3,0,0,'Données projet'!$E$9+1,1))-AVERAGE(OFFSET($H$3,0,0,'Données projet'!$E$9+1,1))</f>
        <v>219.48219097225825</v>
      </c>
      <c r="T110" s="62">
        <f t="shared" si="88"/>
        <v>168.03826591942982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>
        <f>AI110*VLOOKUP('Données projet'!$B$10,Paramètres!$A$1:$I$89,3,0)*VLOOKUP('Données projet'!$B$10,Paramètres!$A$1:$I$89,5,0)</f>
        <v>0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155.60948448168716</v>
      </c>
      <c r="AO110" s="62">
        <f t="shared" si="90"/>
        <v>317.1378745393755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21.503111328857415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6.842301721539061E-10</v>
      </c>
      <c r="AX110" s="23">
        <f t="shared" si="60"/>
        <v>21.503111329541646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53.351999999999983</v>
      </c>
      <c r="D111" s="12">
        <f t="shared" si="86"/>
        <v>15.476132071622835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531.30487914936919</v>
      </c>
      <c r="H111" s="70">
        <f t="shared" si="56"/>
        <v>413.20899669140971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>
        <f>VLOOKUP(A111,'Données projet'!$A$35:$I$55,2,0)</f>
        <v>422.5</v>
      </c>
      <c r="L111" s="13">
        <f>VLOOKUP(A111,'Données projet'!$A$35:$I$55,9,0)</f>
        <v>1.4579999999999984</v>
      </c>
      <c r="M111" s="13">
        <f t="array" ref="M111">INDEX(L:L,MIN(IF(ISNUMBER(L111:L307),ROW(L111:L307),"")))</f>
        <v>1.4579999999999984</v>
      </c>
      <c r="N111" s="14">
        <f>IF('Données projet'!$A$36&gt;35,N110+M111-V110,IF(A111&lt;'Données projet'!$A$36,$K$205^A111,IF(A111='Données projet'!$A$36,'Données projet'!$B$36,N110+M111-V110)))</f>
        <v>422.5</v>
      </c>
      <c r="O111" s="14">
        <f>N111*VLOOKUP('Données projet'!$B$9,Paramètres!$A$1:$I$89,3,0)*VLOOKUP('Données projet'!$B$9,Paramètres!$A$1:$I$89,5,0)</f>
        <v>197.73</v>
      </c>
      <c r="P111" s="14">
        <f t="shared" si="87"/>
        <v>49.244959487759665</v>
      </c>
      <c r="Q111" s="22">
        <f t="shared" si="107"/>
        <v>430.14805444118139</v>
      </c>
      <c r="R111" s="62">
        <f t="shared" si="55"/>
        <v>723.4813877745147</v>
      </c>
      <c r="S111" s="62">
        <f ca="1">AVERAGE(OFFSET($R$3,0,0,'Données projet'!$E$9+1,1))-AVERAGE(OFFSET($H$3,0,0,'Données projet'!$E$9+1,1))</f>
        <v>219.48219097225825</v>
      </c>
      <c r="T111" s="62">
        <f t="shared" si="88"/>
        <v>168.03826591942982</v>
      </c>
      <c r="U111" s="16">
        <f>IF(ISNA(VLOOKUP(A111,'Données projet'!$A$35:$I$55,3,0)),0,VLOOKUP(A111,'Données projet'!$A$35:$I$55,3,0))</f>
        <v>14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>
        <f>AI111*VLOOKUP('Données projet'!$B$10,Paramètres!$A$1:$I$89,3,0)*VLOOKUP('Données projet'!$B$10,Paramètres!$A$1:$I$89,5,0)</f>
        <v>0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155.60948448168716</v>
      </c>
      <c r="AO111" s="62">
        <f t="shared" si="90"/>
        <v>317.1378745393755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21.081448431301371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4.8382379462246581E-10</v>
      </c>
      <c r="AX111" s="23">
        <f t="shared" si="60"/>
        <v>21.081448431785194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53.845999999999982</v>
      </c>
      <c r="D112" s="12">
        <f t="shared" si="86"/>
        <v>15.602681760669958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536.09508727534694</v>
      </c>
      <c r="H112" s="70">
        <f t="shared" si="56"/>
        <v>414.28978739983347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>
        <f>VLOOKUP(A112,'Données projet'!$A$35:$I$55,2,0)</f>
        <v>521.62</v>
      </c>
      <c r="L112" s="13">
        <f>VLOOKUP(A112,'Données projet'!$A$35:$I$55,9,0)</f>
        <v>99.12</v>
      </c>
      <c r="M112" s="13">
        <f t="array" ref="M112">INDEX(L:L,MIN(IF(ISNUMBER(L112:L308),ROW(L112:L308),"")))</f>
        <v>99.12</v>
      </c>
      <c r="N112" s="14">
        <f>IF('Données projet'!$A$36&gt;35,N111+M112-V111,IF(A112&lt;'Données projet'!$A$36,$K$205^A112,IF(A112='Données projet'!$A$36,'Données projet'!$B$36,N111+M112-V111)))</f>
        <v>521.62</v>
      </c>
      <c r="O112" s="14">
        <f>N112*VLOOKUP('Données projet'!$B$9,Paramètres!$A$1:$I$89,3,0)*VLOOKUP('Données projet'!$B$9,Paramètres!$A$1:$I$89,5,0)</f>
        <v>244.11815999999999</v>
      </c>
      <c r="P112" s="14">
        <f t="shared" si="87"/>
        <v>59.324693417385667</v>
      </c>
      <c r="Q112" s="22">
        <f t="shared" si="107"/>
        <v>528.49630303527999</v>
      </c>
      <c r="R112" s="62">
        <f t="shared" si="55"/>
        <v>821.82963636861336</v>
      </c>
      <c r="S112" s="62">
        <f ca="1">AVERAGE(OFFSET($R$3,0,0,'Données projet'!$E$9+1,1))-AVERAGE(OFFSET($H$3,0,0,'Données projet'!$E$9+1,1))</f>
        <v>219.48219097225825</v>
      </c>
      <c r="T112" s="62">
        <f t="shared" si="88"/>
        <v>168.03826591942982</v>
      </c>
      <c r="U112" s="16">
        <f>IF(ISNA(VLOOKUP(A112,'Données projet'!$A$35:$I$55,3,0)),0,VLOOKUP(A112,'Données projet'!$A$35:$I$55,3,0))</f>
        <v>15</v>
      </c>
      <c r="V112" s="16">
        <f>IF(ISNA(VLOOKUP(A112,'Données projet'!$A$35:$I$55,4,0)),0,VLOOKUP(A112,'Données projet'!$A$35:$I$55,4,0))</f>
        <v>88.62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>
        <f>AI112*VLOOKUP('Données projet'!$B$10,Paramètres!$A$1:$I$89,3,0)*VLOOKUP('Données projet'!$B$10,Paramètres!$A$1:$I$89,5,0)</f>
        <v>0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155.60948448168716</v>
      </c>
      <c r="AO112" s="62">
        <f t="shared" si="90"/>
        <v>317.1378745393755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20.668054085977431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3.4211508607695305E-10</v>
      </c>
      <c r="AX112" s="23">
        <f t="shared" si="60"/>
        <v>20.668054086319547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54.339999999999982</v>
      </c>
      <c r="D113" s="12">
        <f t="shared" si="86"/>
        <v>15.729096378709464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540.88425274793258</v>
      </c>
      <c r="H113" s="70">
        <f t="shared" si="56"/>
        <v>415.37034285958561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>
        <f>VLOOKUP(A113,'Données projet'!$A$35:$I$55,2,0)</f>
        <v>446.67</v>
      </c>
      <c r="L113" s="13">
        <f>VLOOKUP(A113,'Données projet'!$A$35:$I$55,9,0)</f>
        <v>13.670000000000016</v>
      </c>
      <c r="M113" s="13">
        <f t="array" ref="M113">INDEX(L:L,MIN(IF(ISNUMBER(L113:L309),ROW(L113:L309),"")))</f>
        <v>13.670000000000016</v>
      </c>
      <c r="N113" s="14">
        <f>IF('Données projet'!$A$36&gt;35,N112+M113-V112,IF(A113&lt;'Données projet'!$A$36,$K$205^A113,IF(A113='Données projet'!$A$36,'Données projet'!$B$36,N112+M113-V112)))</f>
        <v>446.66999999999996</v>
      </c>
      <c r="O113" s="14">
        <f>N113*VLOOKUP('Données projet'!$B$9,Paramètres!$A$1:$I$89,3,0)*VLOOKUP('Données projet'!$B$9,Paramètres!$A$1:$I$89,5,0)</f>
        <v>209.04155999999998</v>
      </c>
      <c r="P113" s="14">
        <f t="shared" si="87"/>
        <v>51.72608671626206</v>
      </c>
      <c r="Q113" s="22">
        <f t="shared" si="107"/>
        <v>454.17031803082301</v>
      </c>
      <c r="R113" s="62">
        <f t="shared" si="55"/>
        <v>747.50365136415633</v>
      </c>
      <c r="S113" s="62">
        <f ca="1">AVERAGE(OFFSET($R$3,0,0,'Données projet'!$E$9+1,1))-AVERAGE(OFFSET($H$3,0,0,'Données projet'!$E$9+1,1))</f>
        <v>219.48219097225825</v>
      </c>
      <c r="T113" s="62">
        <f t="shared" si="88"/>
        <v>168.03826591942982</v>
      </c>
      <c r="U113" s="16">
        <f>IF(ISNA(VLOOKUP(A113,'Données projet'!$A$35:$I$55,3,0)),0,VLOOKUP(A113,'Données projet'!$A$35:$I$55,3,0))</f>
        <v>16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>
        <f>AI113*VLOOKUP('Données projet'!$B$10,Paramètres!$A$1:$I$89,3,0)*VLOOKUP('Données projet'!$B$10,Paramètres!$A$1:$I$89,5,0)</f>
        <v>0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155.60948448168716</v>
      </c>
      <c r="AO113" s="62">
        <f t="shared" si="90"/>
        <v>317.1378745393755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20.26276615161964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2.4191189731123291E-10</v>
      </c>
      <c r="AX113" s="23">
        <f t="shared" si="60"/>
        <v>20.262766151861552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54.833999999999982</v>
      </c>
      <c r="D114" s="12">
        <f t="shared" si="86"/>
        <v>15.85537729590216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545.67238614380619</v>
      </c>
      <c r="H114" s="70">
        <f t="shared" si="56"/>
        <v>416.45066545702952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7.828000000000003</v>
      </c>
      <c r="N114" s="14">
        <f>IF('Données projet'!$A$36&gt;35,N113+M114-V113,IF(A114&lt;'Données projet'!$A$36,$K$205^A114,IF(A114='Données projet'!$A$36,'Données projet'!$B$36,N113+M114-V113)))</f>
        <v>454.49799999999993</v>
      </c>
      <c r="O114" s="14">
        <f>N114*VLOOKUP('Données projet'!$B$9,Paramètres!$A$1:$I$89,3,0)*VLOOKUP('Données projet'!$B$9,Paramètres!$A$1:$I$89,5,0)</f>
        <v>212.70506399999996</v>
      </c>
      <c r="P114" s="14">
        <f t="shared" si="87"/>
        <v>52.526269190997461</v>
      </c>
      <c r="Q114" s="22">
        <f t="shared" si="107"/>
        <v>461.94457197432047</v>
      </c>
      <c r="R114" s="62">
        <f t="shared" si="55"/>
        <v>755.27790530765378</v>
      </c>
      <c r="S114" s="62">
        <f ca="1">AVERAGE(OFFSET($R$3,0,0,'Données projet'!$E$9+1,1))-AVERAGE(OFFSET($H$3,0,0,'Données projet'!$E$9+1,1))</f>
        <v>219.48219097225825</v>
      </c>
      <c r="T114" s="62">
        <f t="shared" si="88"/>
        <v>168.03826591942982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>
        <f>AI114*VLOOKUP('Données projet'!$B$10,Paramètres!$A$1:$I$89,3,0)*VLOOKUP('Données projet'!$B$10,Paramètres!$A$1:$I$89,5,0)</f>
        <v>0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155.60948448168716</v>
      </c>
      <c r="AO114" s="62">
        <f t="shared" si="90"/>
        <v>317.1378745393755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19.865425666453376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1.7105754303847652E-10</v>
      </c>
      <c r="AX114" s="23">
        <f t="shared" si="60"/>
        <v>19.865425666624432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55.327999999999982</v>
      </c>
      <c r="D115" s="12">
        <f t="shared" si="86"/>
        <v>15.981525856297083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550.4594978380826</v>
      </c>
      <c r="H115" s="70">
        <f t="shared" si="56"/>
        <v>417.53075753305069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7.828000000000003</v>
      </c>
      <c r="N115" s="14">
        <f>IF('Données projet'!$A$36&gt;35,N114+M115-V114,IF(A115&lt;'Données projet'!$A$36,$K$205^A115,IF(A115='Données projet'!$A$36,'Données projet'!$B$36,N114+M115-V114)))</f>
        <v>462.32599999999991</v>
      </c>
      <c r="O115" s="14">
        <f>N115*VLOOKUP('Données projet'!$B$9,Paramètres!$A$1:$I$89,3,0)*VLOOKUP('Données projet'!$B$9,Paramètres!$A$1:$I$89,5,0)</f>
        <v>216.36856799999995</v>
      </c>
      <c r="P115" s="14">
        <f t="shared" si="87"/>
        <v>53.324848980289296</v>
      </c>
      <c r="Q115" s="22">
        <f t="shared" si="107"/>
        <v>469.71603457400374</v>
      </c>
      <c r="R115" s="62">
        <f t="shared" si="55"/>
        <v>763.049367907337</v>
      </c>
      <c r="S115" s="62">
        <f ca="1">AVERAGE(OFFSET($R$3,0,0,'Données projet'!$E$9+1,1))-AVERAGE(OFFSET($H$3,0,0,'Données projet'!$E$9+1,1))</f>
        <v>219.48219097225825</v>
      </c>
      <c r="T115" s="62">
        <f t="shared" si="88"/>
        <v>168.03826591942982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>
        <f>AI115*VLOOKUP('Données projet'!$B$10,Paramètres!$A$1:$I$89,3,0)*VLOOKUP('Données projet'!$B$10,Paramètres!$A$1:$I$89,5,0)</f>
        <v>0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155.60948448168716</v>
      </c>
      <c r="AO115" s="62">
        <f t="shared" si="90"/>
        <v>317.1378745393755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19.475876785847454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1.2095594865561645E-10</v>
      </c>
      <c r="AX115" s="23">
        <f t="shared" si="60"/>
        <v>19.47587678596841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55.821999999999981</v>
      </c>
      <c r="D116" s="12">
        <f t="shared" si="86"/>
        <v>16.107543378557729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555.24559800991926</v>
      </c>
      <c r="H116" s="70">
        <f t="shared" si="56"/>
        <v>418.61062138432129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7.828000000000003</v>
      </c>
      <c r="N116" s="14">
        <f>IF('Données projet'!$A$36&gt;35,N115+M116-V115,IF(A116&lt;'Données projet'!$A$36,$K$205^A116,IF(A116='Données projet'!$A$36,'Données projet'!$B$36,N115+M116-V115)))</f>
        <v>470.15399999999988</v>
      </c>
      <c r="O116" s="14">
        <f>N116*VLOOKUP('Données projet'!$B$9,Paramètres!$A$1:$I$89,3,0)*VLOOKUP('Données projet'!$B$9,Paramètres!$A$1:$I$89,5,0)</f>
        <v>220.03207199999997</v>
      </c>
      <c r="P116" s="14">
        <f t="shared" si="87"/>
        <v>54.121856352194804</v>
      </c>
      <c r="Q116" s="22">
        <f t="shared" si="107"/>
        <v>477.48475854673933</v>
      </c>
      <c r="R116" s="62">
        <f t="shared" si="55"/>
        <v>770.81809188007264</v>
      </c>
      <c r="S116" s="62">
        <f ca="1">AVERAGE(OFFSET($R$3,0,0,'Données projet'!$E$9+1,1))-AVERAGE(OFFSET($H$3,0,0,'Données projet'!$E$9+1,1))</f>
        <v>219.48219097225825</v>
      </c>
      <c r="T116" s="62">
        <f t="shared" si="88"/>
        <v>168.03826591942982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>
        <f>AI116*VLOOKUP('Données projet'!$B$10,Paramètres!$A$1:$I$89,3,0)*VLOOKUP('Données projet'!$B$10,Paramètres!$A$1:$I$89,5,0)</f>
        <v>0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155.60948448168716</v>
      </c>
      <c r="AO116" s="62">
        <f t="shared" si="90"/>
        <v>317.1378745393755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19.09396672118886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8.5528771519238262E-11</v>
      </c>
      <c r="AX116" s="23">
        <f t="shared" si="60"/>
        <v>19.093966721274388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56.315999999999981</v>
      </c>
      <c r="D117" s="12">
        <f t="shared" si="86"/>
        <v>16.233431156661826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560.03069664791576</v>
      </c>
      <c r="H117" s="70">
        <f t="shared" si="56"/>
        <v>419.69025926451928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7.828000000000003</v>
      </c>
      <c r="N117" s="14">
        <f>IF('Données projet'!$A$36&gt;35,N116+M117-V116,IF(A117&lt;'Données projet'!$A$36,$K$205^A117,IF(A117='Données projet'!$A$36,'Données projet'!$B$36,N116+M117-V116)))</f>
        <v>477.98199999999986</v>
      </c>
      <c r="O117" s="14">
        <f>N117*VLOOKUP('Données projet'!$B$9,Paramètres!$A$1:$I$89,3,0)*VLOOKUP('Données projet'!$B$9,Paramètres!$A$1:$I$89,5,0)</f>
        <v>223.69557599999993</v>
      </c>
      <c r="P117" s="14">
        <f t="shared" si="87"/>
        <v>54.917320509077989</v>
      </c>
      <c r="Q117" s="22">
        <f t="shared" si="107"/>
        <v>485.25079475331069</v>
      </c>
      <c r="R117" s="62">
        <f t="shared" si="55"/>
        <v>778.584128086644</v>
      </c>
      <c r="S117" s="62">
        <f ca="1">AVERAGE(OFFSET($R$3,0,0,'Données projet'!$E$9+1,1))-AVERAGE(OFFSET($H$3,0,0,'Données projet'!$E$9+1,1))</f>
        <v>219.48219097225825</v>
      </c>
      <c r="T117" s="62">
        <f t="shared" si="88"/>
        <v>168.03826591942982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>
        <f>AI117*VLOOKUP('Données projet'!$B$10,Paramètres!$A$1:$I$89,3,0)*VLOOKUP('Données projet'!$B$10,Paramètres!$A$1:$I$89,5,0)</f>
        <v>0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155.60948448168716</v>
      </c>
      <c r="AO117" s="62">
        <f t="shared" si="90"/>
        <v>317.1378745393755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18.719545679956081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6.0477974327808227E-11</v>
      </c>
      <c r="AX117" s="23">
        <f t="shared" si="60"/>
        <v>18.719545680016559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56.809999999999981</v>
      </c>
      <c r="D118" s="12">
        <f t="shared" si="86"/>
        <v>16.359190460575888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564.81480355532244</v>
      </c>
      <c r="H118" s="70">
        <f t="shared" si="56"/>
        <v>420.76967338550293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7.828000000000003</v>
      </c>
      <c r="N118" s="14">
        <f>IF('Données projet'!$A$36&gt;35,N117+M118-V117,IF(A118&lt;'Données projet'!$A$36,$K$205^A118,IF(A118='Données projet'!$A$36,'Données projet'!$B$36,N117+M118-V117)))</f>
        <v>485.80999999999983</v>
      </c>
      <c r="O118" s="14">
        <f>N118*VLOOKUP('Données projet'!$B$9,Paramètres!$A$1:$I$89,3,0)*VLOOKUP('Données projet'!$B$9,Paramètres!$A$1:$I$89,5,0)</f>
        <v>227.35907999999992</v>
      </c>
      <c r="P118" s="14">
        <f t="shared" si="87"/>
        <v>55.711269641958147</v>
      </c>
      <c r="Q118" s="22">
        <f t="shared" si="107"/>
        <v>493.01419229307686</v>
      </c>
      <c r="R118" s="62">
        <f t="shared" si="55"/>
        <v>786.34752562641017</v>
      </c>
      <c r="S118" s="62">
        <f ca="1">AVERAGE(OFFSET($R$3,0,0,'Données projet'!$E$9+1,1))-AVERAGE(OFFSET($H$3,0,0,'Données projet'!$E$9+1,1))</f>
        <v>219.48219097225825</v>
      </c>
      <c r="T118" s="62">
        <f t="shared" si="88"/>
        <v>168.03826591942982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>
        <f>AI118*VLOOKUP('Données projet'!$B$10,Paramètres!$A$1:$I$89,3,0)*VLOOKUP('Données projet'!$B$10,Paramètres!$A$1:$I$89,5,0)</f>
        <v>0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155.60948448168716</v>
      </c>
      <c r="AO118" s="62">
        <f t="shared" si="90"/>
        <v>317.1378745393755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18.352466806967595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4.2764385759619131E-11</v>
      </c>
      <c r="AX118" s="23">
        <f t="shared" si="60"/>
        <v>18.352466807010359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57.303999999999981</v>
      </c>
      <c r="D119" s="12">
        <f t="shared" si="86"/>
        <v>16.484822536905565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569.59792835506039</v>
      </c>
      <c r="H119" s="70">
        <f t="shared" si="56"/>
        <v>421.84886591844383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7.828000000000003</v>
      </c>
      <c r="N119" s="14">
        <f>IF('Données projet'!$A$36&gt;35,N118+M119-V118,IF(A119&lt;'Données projet'!$A$36,$K$205^A119,IF(A119='Données projet'!$A$36,'Données projet'!$B$36,N118+M119-V118)))</f>
        <v>493.63799999999981</v>
      </c>
      <c r="O119" s="14">
        <f>N119*VLOOKUP('Données projet'!$B$9,Paramètres!$A$1:$I$89,3,0)*VLOOKUP('Données projet'!$B$9,Paramètres!$A$1:$I$89,5,0)</f>
        <v>231.02258399999991</v>
      </c>
      <c r="P119" s="14">
        <f t="shared" si="87"/>
        <v>56.50373098125629</v>
      </c>
      <c r="Q119" s="22">
        <f t="shared" si="107"/>
        <v>500.77499859235445</v>
      </c>
      <c r="R119" s="62">
        <f t="shared" si="55"/>
        <v>794.10833192568771</v>
      </c>
      <c r="S119" s="62">
        <f ca="1">AVERAGE(OFFSET($R$3,0,0,'Données projet'!$E$9+1,1))-AVERAGE(OFFSET($H$3,0,0,'Données projet'!$E$9+1,1))</f>
        <v>219.48219097225825</v>
      </c>
      <c r="T119" s="62">
        <f t="shared" si="88"/>
        <v>168.03826591942982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>
        <f>AI119*VLOOKUP('Données projet'!$B$10,Paramètres!$A$1:$I$89,3,0)*VLOOKUP('Données projet'!$B$10,Paramètres!$A$1:$I$89,5,0)</f>
        <v>0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155.60948448168716</v>
      </c>
      <c r="AO119" s="62">
        <f t="shared" si="90"/>
        <v>317.1378745393755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17.992586126782406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3.0238987163904113E-11</v>
      </c>
      <c r="AX119" s="23">
        <f t="shared" si="60"/>
        <v>17.992586126812647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57.797999999999981</v>
      </c>
      <c r="D120" s="12">
        <f t="shared" si="86"/>
        <v>16.610328609522991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574.38008049456323</v>
      </c>
      <c r="H120" s="70">
        <f t="shared" si="56"/>
        <v>422.92783899491917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7.828000000000003</v>
      </c>
      <c r="N120" s="14">
        <f>IF('Données projet'!$A$36&gt;35,N119+M120-V119,IF(A120&lt;'Données projet'!$A$36,$K$205^A120,IF(A120='Données projet'!$A$36,'Données projet'!$B$36,N119+M120-V119)))</f>
        <v>501.46599999999978</v>
      </c>
      <c r="O120" s="14">
        <f>N120*VLOOKUP('Données projet'!$B$9,Paramètres!$A$1:$I$89,3,0)*VLOOKUP('Données projet'!$B$9,Paramètres!$A$1:$I$89,5,0)</f>
        <v>234.6860879999999</v>
      </c>
      <c r="P120" s="14">
        <f t="shared" si="87"/>
        <v>57.29473084423109</v>
      </c>
      <c r="Q120" s="22">
        <f t="shared" si="107"/>
        <v>508.53325948703565</v>
      </c>
      <c r="R120" s="62">
        <f t="shared" si="55"/>
        <v>801.86659282036896</v>
      </c>
      <c r="S120" s="62">
        <f ca="1">AVERAGE(OFFSET($R$3,0,0,'Données projet'!$E$9+1,1))-AVERAGE(OFFSET($H$3,0,0,'Données projet'!$E$9+1,1))</f>
        <v>219.48219097225825</v>
      </c>
      <c r="T120" s="62">
        <f t="shared" si="88"/>
        <v>168.03826591942982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>
        <f>AI120*VLOOKUP('Données projet'!$B$10,Paramètres!$A$1:$I$89,3,0)*VLOOKUP('Données projet'!$B$10,Paramètres!$A$1:$I$89,5,0)</f>
        <v>0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155.60948448168716</v>
      </c>
      <c r="AO120" s="62">
        <f t="shared" si="90"/>
        <v>317.1378745393755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17.639762487230108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2.1382192879809566E-11</v>
      </c>
      <c r="AX120" s="23">
        <f t="shared" si="60"/>
        <v>17.639762487251492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58.29199999999998</v>
      </c>
      <c r="D121" s="12">
        <f t="shared" si="86"/>
        <v>16.735709880171999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579.16126925045035</v>
      </c>
      <c r="H121" s="70">
        <f t="shared" si="56"/>
        <v>424.0065947079662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7.828000000000003</v>
      </c>
      <c r="N121" s="14">
        <f>IF('Données projet'!$A$36&gt;35,N120+M121-V120,IF(A121&lt;'Données projet'!$A$36,$K$205^A121,IF(A121='Données projet'!$A$36,'Données projet'!$B$36,N120+M121-V120)))</f>
        <v>509.29399999999976</v>
      </c>
      <c r="O121" s="14">
        <f>N121*VLOOKUP('Données projet'!$B$9,Paramètres!$A$1:$I$89,3,0)*VLOOKUP('Données projet'!$B$9,Paramètres!$A$1:$I$89,5,0)</f>
        <v>238.34959199999986</v>
      </c>
      <c r="P121" s="14">
        <f t="shared" si="87"/>
        <v>58.084294679369179</v>
      </c>
      <c r="Q121" s="22">
        <f t="shared" si="107"/>
        <v>516.28901929990104</v>
      </c>
      <c r="R121" s="62">
        <f t="shared" si="55"/>
        <v>809.62235263323441</v>
      </c>
      <c r="S121" s="62">
        <f ca="1">AVERAGE(OFFSET($R$3,0,0,'Données projet'!$E$9+1,1))-AVERAGE(OFFSET($H$3,0,0,'Données projet'!$E$9+1,1))</f>
        <v>219.48219097225825</v>
      </c>
      <c r="T121" s="62">
        <f t="shared" si="88"/>
        <v>168.03826591942982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>
        <f>AI121*VLOOKUP('Données projet'!$B$10,Paramètres!$A$1:$I$89,3,0)*VLOOKUP('Données projet'!$B$10,Paramètres!$A$1:$I$89,5,0)</f>
        <v>0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155.60948448168716</v>
      </c>
      <c r="AO121" s="62">
        <f t="shared" si="90"/>
        <v>317.1378745393755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17.293857504048262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1.5119493581952057E-11</v>
      </c>
      <c r="AX121" s="23">
        <f t="shared" si="60"/>
        <v>17.293857504063382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58.78599999999998</v>
      </c>
      <c r="D122" s="12">
        <f t="shared" si="86"/>
        <v>16.860967529052314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583.94150373303523</v>
      </c>
      <c r="H122" s="70">
        <f t="shared" si="56"/>
        <v>425.08513511309934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7.828000000000003</v>
      </c>
      <c r="N122" s="14">
        <f>IF('Données projet'!$A$36&gt;35,N121+M122-V121,IF(A122&lt;'Données projet'!$A$36,$K$205^A122,IF(A122='Données projet'!$A$36,'Données projet'!$B$36,N121+M122-V121)))</f>
        <v>517.12199999999973</v>
      </c>
      <c r="O122" s="14">
        <f>N122*VLOOKUP('Données projet'!$B$9,Paramètres!$A$1:$I$89,3,0)*VLOOKUP('Données projet'!$B$9,Paramètres!$A$1:$I$89,5,0)</f>
        <v>242.01309599999988</v>
      </c>
      <c r="P122" s="14">
        <f t="shared" si="87"/>
        <v>58.872447107968405</v>
      </c>
      <c r="Q122" s="22">
        <f t="shared" si="107"/>
        <v>524.04232091304459</v>
      </c>
      <c r="R122" s="62">
        <f t="shared" si="55"/>
        <v>817.37565424637796</v>
      </c>
      <c r="S122" s="62">
        <f ca="1">AVERAGE(OFFSET($R$3,0,0,'Données projet'!$E$9+1,1))-AVERAGE(OFFSET($H$3,0,0,'Données projet'!$E$9+1,1))</f>
        <v>219.48219097225825</v>
      </c>
      <c r="T122" s="62">
        <f t="shared" si="88"/>
        <v>168.03826591942982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>
        <f>AI122*VLOOKUP('Données projet'!$B$10,Paramètres!$A$1:$I$89,3,0)*VLOOKUP('Données projet'!$B$10,Paramètres!$A$1:$I$89,5,0)</f>
        <v>0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155.60948448168716</v>
      </c>
      <c r="AO122" s="62">
        <f t="shared" si="90"/>
        <v>317.1378745393755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16.954735506605402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1.0691096439904783E-11</v>
      </c>
      <c r="AX122" s="23">
        <f t="shared" si="60"/>
        <v>16.954735506616093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59.27999999999998</v>
      </c>
      <c r="D123" s="12">
        <f t="shared" si="86"/>
        <v>16.986102715383467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588.72079289067926</v>
      </c>
      <c r="H123" s="70">
        <f t="shared" si="56"/>
        <v>426.1634622292928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>
        <f>VLOOKUP(A123,'Données projet'!$A$35:$I$55,2,0)</f>
        <v>524.95000000000005</v>
      </c>
      <c r="L123" s="13">
        <f>VLOOKUP(A123,'Données projet'!$A$35:$I$55,9,0)</f>
        <v>7.828000000000003</v>
      </c>
      <c r="M123" s="13">
        <f t="array" ref="M123">INDEX(L:L,MIN(IF(ISNUMBER(L123:L319),ROW(L123:L319),"")))</f>
        <v>7.828000000000003</v>
      </c>
      <c r="N123" s="14">
        <f>IF('Données projet'!$A$36&gt;35,N122+M123-V122,IF(A123&lt;'Données projet'!$A$36,$K$205^A123,IF(A123='Données projet'!$A$36,'Données projet'!$B$36,N122+M123-V122)))</f>
        <v>524.9499999999997</v>
      </c>
      <c r="O123" s="14">
        <f>N123*VLOOKUP('Données projet'!$B$9,Paramètres!$A$1:$I$89,3,0)*VLOOKUP('Données projet'!$B$9,Paramètres!$A$1:$I$89,5,0)</f>
        <v>245.67659999999987</v>
      </c>
      <c r="P123" s="14">
        <f t="shared" si="87"/>
        <v>59.659211963131973</v>
      </c>
      <c r="Q123" s="22">
        <f t="shared" si="107"/>
        <v>531.79320583578794</v>
      </c>
      <c r="R123" s="62">
        <f t="shared" si="55"/>
        <v>825.12653916912132</v>
      </c>
      <c r="S123" s="62">
        <f ca="1">AVERAGE(OFFSET($R$3,0,0,'Données projet'!$E$9+1,1))-AVERAGE(OFFSET($H$3,0,0,'Données projet'!$E$9+1,1))</f>
        <v>219.48219097225825</v>
      </c>
      <c r="T123" s="62">
        <f t="shared" si="88"/>
        <v>168.03826591942982</v>
      </c>
      <c r="U123" s="16">
        <f>IF(ISNA(VLOOKUP(A123,'Données projet'!$A$35:$I$55,3,0)),0,VLOOKUP(A123,'Données projet'!$A$35:$I$55,3,0))</f>
        <v>17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>
        <f>AI123*VLOOKUP('Données projet'!$B$10,Paramètres!$A$1:$I$89,3,0)*VLOOKUP('Données projet'!$B$10,Paramètres!$A$1:$I$89,5,0)</f>
        <v>0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155.60948448168716</v>
      </c>
      <c r="AO123" s="62">
        <f t="shared" si="90"/>
        <v>317.1378745393755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16.622263484688403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7.5597467909760283E-12</v>
      </c>
      <c r="AX123" s="23">
        <f t="shared" si="60"/>
        <v>16.622263484695964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59.77399999999998</v>
      </c>
      <c r="D124" s="12">
        <f t="shared" si="86"/>
        <v>17.111116577949474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593.49914551399581</v>
      </c>
      <c r="H124" s="70">
        <f t="shared" si="56"/>
        <v>427.24157803992864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>
        <f>VLOOKUP(A124,'Données projet'!$A$35:$I$55,2,0)</f>
        <v>538.28</v>
      </c>
      <c r="L124" s="13">
        <f>VLOOKUP(A124,'Données projet'!$A$35:$I$55,9,0)</f>
        <v>13.329999999999927</v>
      </c>
      <c r="M124" s="13">
        <f t="array" ref="M124">INDEX(L:L,MIN(IF(ISNUMBER(L124:L320),ROW(L124:L320),"")))</f>
        <v>13.329999999999927</v>
      </c>
      <c r="N124" s="14">
        <f>IF('Données projet'!$A$36&gt;35,N123+M124-V123,IF(A124&lt;'Données projet'!$A$36,$K$205^A124,IF(A124='Données projet'!$A$36,'Données projet'!$B$36,N123+M124-V123)))</f>
        <v>538.27999999999963</v>
      </c>
      <c r="O124" s="14">
        <f>N124*VLOOKUP('Données projet'!$B$9,Paramètres!$A$1:$I$89,3,0)*VLOOKUP('Données projet'!$B$9,Paramètres!$A$1:$I$89,5,0)</f>
        <v>251.91503999999983</v>
      </c>
      <c r="P124" s="14">
        <f t="shared" si="87"/>
        <v>60.995835543729605</v>
      </c>
      <c r="Q124" s="22">
        <f t="shared" si="107"/>
        <v>544.98644157199544</v>
      </c>
      <c r="R124" s="62">
        <f t="shared" si="55"/>
        <v>838.31977490532881</v>
      </c>
      <c r="S124" s="62">
        <f ca="1">AVERAGE(OFFSET($R$3,0,0,'Données projet'!$E$9+1,1))-AVERAGE(OFFSET($H$3,0,0,'Données projet'!$E$9+1,1))</f>
        <v>219.48219097225825</v>
      </c>
      <c r="T124" s="62">
        <f t="shared" si="88"/>
        <v>168.03826591942982</v>
      </c>
      <c r="U124" s="16">
        <f>IF(ISNA(VLOOKUP(A124,'Données projet'!$A$35:$I$55,3,0)),0,VLOOKUP(A124,'Données projet'!$A$35:$I$55,3,0))</f>
        <v>18</v>
      </c>
      <c r="V124" s="16">
        <f>IF(ISNA(VLOOKUP(A124,'Données projet'!$A$35:$I$55,4,0)),0,VLOOKUP(A124,'Données projet'!$A$35:$I$55,4,0))</f>
        <v>268.81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>
        <f>AI124*VLOOKUP('Données projet'!$B$10,Paramètres!$A$1:$I$89,3,0)*VLOOKUP('Données projet'!$B$10,Paramètres!$A$1:$I$89,5,0)</f>
        <v>0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155.60948448168716</v>
      </c>
      <c r="AO124" s="62">
        <f t="shared" si="90"/>
        <v>317.1378745393755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16.296311036333289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5.3455482199523914E-12</v>
      </c>
      <c r="AX124" s="23">
        <f t="shared" si="60"/>
        <v>16.296311036338636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60.267999999999979</v>
      </c>
      <c r="D125" s="12">
        <f t="shared" si="86"/>
        <v>17.236010235624839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598.27657023991094</v>
      </c>
      <c r="H125" s="70">
        <f t="shared" si="56"/>
        <v>428.31948449371316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>
        <f>VLOOKUP(A125,'Données projet'!$A$35:$I$55,2,0)</f>
        <v>280.02999999999997</v>
      </c>
      <c r="L125" s="13">
        <f>VLOOKUP(A125,'Données projet'!$A$35:$I$55,9,0)</f>
        <v>10.560000000000002</v>
      </c>
      <c r="M125" s="13">
        <f t="array" ref="M125">INDEX(L:L,MIN(IF(ISNUMBER(L125:L321),ROW(L125:L321),"")))</f>
        <v>10.560000000000002</v>
      </c>
      <c r="N125" s="14">
        <f>IF('Données projet'!$A$36&gt;35,N124+M125-V124,IF(A125&lt;'Données projet'!$A$36,$K$205^A125,IF(A125='Données projet'!$A$36,'Données projet'!$B$36,N124+M125-V124)))</f>
        <v>280.02999999999969</v>
      </c>
      <c r="O125" s="14">
        <f>N125*VLOOKUP('Données projet'!$B$9,Paramètres!$A$1:$I$89,3,0)*VLOOKUP('Données projet'!$B$9,Paramètres!$A$1:$I$89,5,0)</f>
        <v>131.05403999999984</v>
      </c>
      <c r="P125" s="14">
        <f t="shared" si="87"/>
        <v>34.239802442901187</v>
      </c>
      <c r="Q125" s="22">
        <f t="shared" si="107"/>
        <v>287.88677558805261</v>
      </c>
      <c r="R125" s="62">
        <f t="shared" si="55"/>
        <v>581.22010892138587</v>
      </c>
      <c r="S125" s="62">
        <f ca="1">AVERAGE(OFFSET($R$3,0,0,'Données projet'!$E$9+1,1))-AVERAGE(OFFSET($H$3,0,0,'Données projet'!$E$9+1,1))</f>
        <v>219.48219097225825</v>
      </c>
      <c r="T125" s="62">
        <f t="shared" si="88"/>
        <v>168.03826591942982</v>
      </c>
      <c r="U125" s="16">
        <f>IF(ISNA(VLOOKUP(A125,'Données projet'!$A$35:$I$55,3,0)),0,VLOOKUP(A125,'Données projet'!$A$35:$I$55,3,0))</f>
        <v>19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>
        <f>AI125*VLOOKUP('Données projet'!$B$10,Paramètres!$A$1:$I$89,3,0)*VLOOKUP('Données projet'!$B$10,Paramètres!$A$1:$I$89,5,0)</f>
        <v>0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155.60948448168716</v>
      </c>
      <c r="AO125" s="62">
        <f t="shared" si="90"/>
        <v>317.1378745393755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15.976750316679055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3.7798733954880142E-12</v>
      </c>
      <c r="AX125" s="23">
        <f t="shared" si="60"/>
        <v>15.976750316682836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60.761999999999979</v>
      </c>
      <c r="D126" s="12">
        <f t="shared" si="86"/>
        <v>17.360784787882967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603.05307555558772</v>
      </c>
      <c r="H126" s="70">
        <f t="shared" si="56"/>
        <v>429.39718350556279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8.516666666666671</v>
      </c>
      <c r="N126" s="14">
        <f>IF('Données projet'!$A$36&gt;35,N125+M126-V125,IF(A126&lt;'Données projet'!$A$36,$K$205^A126,IF(A126='Données projet'!$A$36,'Données projet'!$B$36,N125+M126-V125)))</f>
        <v>288.54666666666634</v>
      </c>
      <c r="O126" s="14">
        <f>N126*VLOOKUP('Données projet'!$B$9,Paramètres!$A$1:$I$89,3,0)*VLOOKUP('Données projet'!$B$9,Paramètres!$A$1:$I$89,5,0)</f>
        <v>135.03983999999986</v>
      </c>
      <c r="P126" s="14">
        <f t="shared" si="87"/>
        <v>35.158327939856818</v>
      </c>
      <c r="Q126" s="22">
        <f t="shared" si="107"/>
        <v>296.42847582858366</v>
      </c>
      <c r="R126" s="62">
        <f t="shared" si="55"/>
        <v>589.76180916191697</v>
      </c>
      <c r="S126" s="62">
        <f ca="1">AVERAGE(OFFSET($R$3,0,0,'Données projet'!$E$9+1,1))-AVERAGE(OFFSET($H$3,0,0,'Données projet'!$E$9+1,1))</f>
        <v>219.48219097225825</v>
      </c>
      <c r="T126" s="62">
        <f t="shared" si="88"/>
        <v>168.03826591942982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>
        <f>AI126*VLOOKUP('Données projet'!$B$10,Paramètres!$A$1:$I$89,3,0)*VLOOKUP('Données projet'!$B$10,Paramètres!$A$1:$I$89,5,0)</f>
        <v>0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155.60948448168716</v>
      </c>
      <c r="AO126" s="62">
        <f t="shared" si="90"/>
        <v>317.1378745393755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15.663455987824447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2.6727741099761957E-12</v>
      </c>
      <c r="AX126" s="23">
        <f t="shared" si="60"/>
        <v>15.66345598782712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61.255999999999979</v>
      </c>
      <c r="D127" s="12">
        <f t="shared" si="86"/>
        <v>17.485441315287559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607.82866980221968</v>
      </c>
      <c r="H127" s="70">
        <f t="shared" si="56"/>
        <v>430.47467695745911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8.516666666666671</v>
      </c>
      <c r="N127" s="14">
        <f>IF('Données projet'!$A$36&gt;35,N126+M127-V126,IF(A127&lt;'Données projet'!$A$36,$K$205^A127,IF(A127='Données projet'!$A$36,'Données projet'!$B$36,N126+M127-V126)))</f>
        <v>297.06333333333299</v>
      </c>
      <c r="O127" s="14">
        <f>N127*VLOOKUP('Données projet'!$B$9,Paramètres!$A$1:$I$89,3,0)*VLOOKUP('Données projet'!$B$9,Paramètres!$A$1:$I$89,5,0)</f>
        <v>139.02563999999984</v>
      </c>
      <c r="P127" s="14">
        <f t="shared" si="87"/>
        <v>36.073702653091566</v>
      </c>
      <c r="Q127" s="22">
        <f t="shared" si="107"/>
        <v>304.9646884541342</v>
      </c>
      <c r="R127" s="62">
        <f t="shared" si="55"/>
        <v>598.29802178746752</v>
      </c>
      <c r="S127" s="62">
        <f ca="1">AVERAGE(OFFSET($R$3,0,0,'Données projet'!$E$9+1,1))-AVERAGE(OFFSET($H$3,0,0,'Données projet'!$E$9+1,1))</f>
        <v>219.48219097225825</v>
      </c>
      <c r="T127" s="62">
        <f t="shared" si="88"/>
        <v>168.03826591942982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>
        <f>AI127*VLOOKUP('Données projet'!$B$10,Paramètres!$A$1:$I$89,3,0)*VLOOKUP('Données projet'!$B$10,Paramètres!$A$1:$I$89,5,0)</f>
        <v>0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155.60948448168716</v>
      </c>
      <c r="AO127" s="62">
        <f t="shared" si="90"/>
        <v>317.1378745393755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15.356305169668007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1.8899366977440071E-12</v>
      </c>
      <c r="AX127" s="23">
        <f t="shared" si="60"/>
        <v>15.356305169669897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61.749999999999979</v>
      </c>
      <c r="D128" s="12">
        <f t="shared" si="86"/>
        <v>17.609980879967505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612.60336117869633</v>
      </c>
      <c r="H128" s="70">
        <f t="shared" si="56"/>
        <v>431.5519666992767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8.516666666666671</v>
      </c>
      <c r="N128" s="14">
        <f>IF('Données projet'!$A$36&gt;35,N127+M128-V127,IF(A128&lt;'Données projet'!$A$36,$K$205^A128,IF(A128='Données projet'!$A$36,'Données projet'!$B$36,N127+M128-V127)))</f>
        <v>305.57999999999964</v>
      </c>
      <c r="O128" s="14">
        <f>N128*VLOOKUP('Données projet'!$B$9,Paramètres!$A$1:$I$89,3,0)*VLOOKUP('Données projet'!$B$9,Paramètres!$A$1:$I$89,5,0)</f>
        <v>143.01143999999982</v>
      </c>
      <c r="P128" s="14">
        <f t="shared" si="87"/>
        <v>36.986027288561935</v>
      </c>
      <c r="Q128" s="22">
        <f t="shared" si="107"/>
        <v>313.49558886091171</v>
      </c>
      <c r="R128" s="62">
        <f t="shared" si="55"/>
        <v>606.82892219424502</v>
      </c>
      <c r="S128" s="62">
        <f ca="1">AVERAGE(OFFSET($R$3,0,0,'Données projet'!$E$9+1,1))-AVERAGE(OFFSET($H$3,0,0,'Données projet'!$E$9+1,1))</f>
        <v>219.48219097225825</v>
      </c>
      <c r="T128" s="62">
        <f t="shared" si="88"/>
        <v>168.03826591942982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>
        <f>AI128*VLOOKUP('Données projet'!$B$10,Paramètres!$A$1:$I$89,3,0)*VLOOKUP('Données projet'!$B$10,Paramètres!$A$1:$I$89,5,0)</f>
        <v>0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155.60948448168716</v>
      </c>
      <c r="AO128" s="62">
        <f t="shared" si="90"/>
        <v>317.1378745393755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15.055177391712114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1.3363870549880978E-12</v>
      </c>
      <c r="AX128" s="23">
        <f t="shared" si="60"/>
        <v>15.05517739171345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62.243999999999978</v>
      </c>
      <c r="D129" s="12">
        <f t="shared" si="86"/>
        <v>17.734404526076432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617.37715774515129</v>
      </c>
      <c r="H129" s="70">
        <f t="shared" si="56"/>
        <v>432.62905454958309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8.516666666666671</v>
      </c>
      <c r="N129" s="14">
        <f>IF('Données projet'!$A$36&gt;35,N128+M129-V128,IF(A129&lt;'Données projet'!$A$36,$K$205^A129,IF(A129='Données projet'!$A$36,'Données projet'!$B$36,N128+M129-V128)))</f>
        <v>314.09666666666629</v>
      </c>
      <c r="O129" s="14">
        <f>N129*VLOOKUP('Données projet'!$B$9,Paramètres!$A$1:$I$89,3,0)*VLOOKUP('Données projet'!$B$9,Paramètres!$A$1:$I$89,5,0)</f>
        <v>146.99723999999983</v>
      </c>
      <c r="P129" s="14">
        <f t="shared" si="87"/>
        <v>37.895396619373926</v>
      </c>
      <c r="Q129" s="22">
        <f t="shared" si="107"/>
        <v>322.02134211207596</v>
      </c>
      <c r="R129" s="62">
        <f t="shared" si="55"/>
        <v>615.35467544540927</v>
      </c>
      <c r="S129" s="62">
        <f ca="1">AVERAGE(OFFSET($R$3,0,0,'Données projet'!$E$9+1,1))-AVERAGE(OFFSET($H$3,0,0,'Données projet'!$E$9+1,1))</f>
        <v>219.48219097225825</v>
      </c>
      <c r="T129" s="62">
        <f t="shared" si="88"/>
        <v>168.03826591942982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>
        <f>AI129*VLOOKUP('Données projet'!$B$10,Paramètres!$A$1:$I$89,3,0)*VLOOKUP('Données projet'!$B$10,Paramètres!$A$1:$I$89,5,0)</f>
        <v>0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155.60948448168716</v>
      </c>
      <c r="AO129" s="62">
        <f t="shared" si="90"/>
        <v>317.1378745393755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14.759954545812127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9.4496834887200354E-13</v>
      </c>
      <c r="AX129" s="23">
        <f t="shared" si="60"/>
        <v>14.759954545813072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62.737999999999978</v>
      </c>
      <c r="D130" s="12">
        <f t="shared" si="86"/>
        <v>17.858713280237058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622.15006742639116</v>
      </c>
      <c r="H130" s="70">
        <f t="shared" si="56"/>
        <v>433.70594229641279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8.516666666666671</v>
      </c>
      <c r="N130" s="14">
        <f>IF('Données projet'!$A$36&gt;35,N129+M130-V129,IF(A130&lt;'Données projet'!$A$36,$K$205^A130,IF(A130='Données projet'!$A$36,'Données projet'!$B$36,N129+M130-V129)))</f>
        <v>322.61333333333295</v>
      </c>
      <c r="O130" s="14">
        <f>N130*VLOOKUP('Données projet'!$B$9,Paramètres!$A$1:$I$89,3,0)*VLOOKUP('Données projet'!$B$9,Paramètres!$A$1:$I$89,5,0)</f>
        <v>150.98303999999982</v>
      </c>
      <c r="P130" s="14">
        <f t="shared" si="87"/>
        <v>38.801899986570255</v>
      </c>
      <c r="Q130" s="22">
        <f t="shared" si="107"/>
        <v>330.54210380994283</v>
      </c>
      <c r="R130" s="62">
        <f t="shared" si="55"/>
        <v>623.87543714327614</v>
      </c>
      <c r="S130" s="62">
        <f ca="1">AVERAGE(OFFSET($R$3,0,0,'Données projet'!$E$9+1,1))-AVERAGE(OFFSET($H$3,0,0,'Données projet'!$E$9+1,1))</f>
        <v>219.48219097225825</v>
      </c>
      <c r="T130" s="62">
        <f t="shared" si="88"/>
        <v>168.03826591942982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>
        <f>AI130*VLOOKUP('Données projet'!$B$10,Paramètres!$A$1:$I$89,3,0)*VLOOKUP('Données projet'!$B$10,Paramètres!$A$1:$I$89,5,0)</f>
        <v>0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155.60948448168716</v>
      </c>
      <c r="AO130" s="62">
        <f t="shared" si="90"/>
        <v>317.1378745393755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14.470520839852083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6.6819352749404892E-13</v>
      </c>
      <c r="AX130" s="23">
        <f t="shared" si="60"/>
        <v>14.470520839852751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63.231999999999978</v>
      </c>
      <c r="D131" s="12">
        <f t="shared" si="86"/>
        <v>17.982908151971163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626.92209801521585</v>
      </c>
      <c r="H131" s="70">
        <f t="shared" si="56"/>
        <v>434.78263169801642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8.516666666666671</v>
      </c>
      <c r="N131" s="14">
        <f>IF('Données projet'!$A$36&gt;35,N130+M131-V130,IF(A131&lt;'Données projet'!$A$36,$K$205^A131,IF(A131='Données projet'!$A$36,'Données projet'!$B$36,N130+M131-V130)))</f>
        <v>331.1299999999996</v>
      </c>
      <c r="O131" s="14">
        <f>N131*VLOOKUP('Données projet'!$B$9,Paramètres!$A$1:$I$89,3,0)*VLOOKUP('Données projet'!$B$9,Paramètres!$A$1:$I$89,5,0)</f>
        <v>154.9688399999998</v>
      </c>
      <c r="P131" s="14">
        <f t="shared" si="87"/>
        <v>39.70562174554874</v>
      </c>
      <c r="Q131" s="22">
        <f t="shared" ref="Q131:Q153" si="108">(O131+P131)*0.475*44/12</f>
        <v>339.05802087349701</v>
      </c>
      <c r="R131" s="62">
        <f t="shared" ref="R131:R194" si="109">Q131+(I131+J131)*44/12</f>
        <v>632.39135420683033</v>
      </c>
      <c r="S131" s="62">
        <f ca="1">AVERAGE(OFFSET($R$3,0,0,'Données projet'!$E$9+1,1))-AVERAGE(OFFSET($H$3,0,0,'Données projet'!$E$9+1,1))</f>
        <v>219.48219097225825</v>
      </c>
      <c r="T131" s="62">
        <f t="shared" si="88"/>
        <v>168.03826591942982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>
        <f>AI131*VLOOKUP('Données projet'!$B$10,Paramètres!$A$1:$I$89,3,0)*VLOOKUP('Données projet'!$B$10,Paramètres!$A$1:$I$89,5,0)</f>
        <v>0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155.60948448168716</v>
      </c>
      <c r="AO131" s="62">
        <f t="shared" si="90"/>
        <v>317.1378745393755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14.186762752328788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4.7248417443600177E-13</v>
      </c>
      <c r="AX131" s="23">
        <f t="shared" si="60"/>
        <v>14.18676275232926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63.725999999999978</v>
      </c>
      <c r="D132" s="12">
        <f t="shared" si="86"/>
        <v>18.106990134115833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631.69325717563095</v>
      </c>
      <c r="H132" s="70">
        <f t="shared" ref="H132:H195" si="110">(B132+E132+F132)*44/12+(C132+D132)*0.475*44/12</f>
        <v>435.85912448358499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8.516666666666671</v>
      </c>
      <c r="N132" s="14">
        <f>IF('Données projet'!$A$36&gt;35,N131+M132-V131,IF(A132&lt;'Données projet'!$A$36,$K$205^A132,IF(A132='Données projet'!$A$36,'Données projet'!$B$36,N131+M132-V131)))</f>
        <v>339.64666666666625</v>
      </c>
      <c r="O132" s="14">
        <f>N132*VLOOKUP('Données projet'!$B$9,Paramètres!$A$1:$I$89,3,0)*VLOOKUP('Données projet'!$B$9,Paramètres!$A$1:$I$89,5,0)</f>
        <v>158.95463999999981</v>
      </c>
      <c r="P132" s="14">
        <f t="shared" si="87"/>
        <v>40.606641665261066</v>
      </c>
      <c r="Q132" s="22">
        <f t="shared" si="108"/>
        <v>347.56923223366266</v>
      </c>
      <c r="R132" s="62">
        <f t="shared" si="109"/>
        <v>640.90256556699592</v>
      </c>
      <c r="S132" s="62">
        <f ca="1">AVERAGE(OFFSET($R$3,0,0,'Données projet'!$E$9+1,1))-AVERAGE(OFFSET($H$3,0,0,'Données projet'!$E$9+1,1))</f>
        <v>219.48219097225825</v>
      </c>
      <c r="T132" s="62">
        <f t="shared" si="88"/>
        <v>168.03826591942982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>
        <f>AI132*VLOOKUP('Données projet'!$B$10,Paramètres!$A$1:$I$89,3,0)*VLOOKUP('Données projet'!$B$10,Paramètres!$A$1:$I$89,5,0)</f>
        <v>0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155.60948448168716</v>
      </c>
      <c r="AO132" s="62">
        <f t="shared" si="90"/>
        <v>317.1378745393755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13.908568987826479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3.3409676374702446E-13</v>
      </c>
      <c r="AX132" s="23">
        <f t="shared" ref="AX132:AX153" si="114">SUM(AU132:AW132)</f>
        <v>13.908568987826813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64.219999999999985</v>
      </c>
      <c r="D133" s="12">
        <f t="shared" ref="D133:D196" si="140">IFERROR(EXP(-1.0587+0.8836*LN(C133)+0.284),0)</f>
        <v>18.230960203226296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636.46355244595725</v>
      </c>
      <c r="H133" s="70">
        <f t="shared" si="110"/>
        <v>436.93542235395239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8.516666666666671</v>
      </c>
      <c r="N133" s="14">
        <f>IF('Données projet'!$A$36&gt;35,N132+M133-V132,IF(A133&lt;'Données projet'!$A$36,$K$205^A133,IF(A133='Données projet'!$A$36,'Données projet'!$B$36,N132+M133-V132)))</f>
        <v>348.1633333333329</v>
      </c>
      <c r="O133" s="14">
        <f>N133*VLOOKUP('Données projet'!$B$9,Paramètres!$A$1:$I$89,3,0)*VLOOKUP('Données projet'!$B$9,Paramètres!$A$1:$I$89,5,0)</f>
        <v>162.9404399999998</v>
      </c>
      <c r="P133" s="14">
        <f t="shared" ref="P133:P196" si="141">EXP(-1.0587+0.8836*LN(O133)+0.284)</f>
        <v>41.505035286244862</v>
      </c>
      <c r="Q133" s="22">
        <f t="shared" si="108"/>
        <v>356.07586945687609</v>
      </c>
      <c r="R133" s="62">
        <f t="shared" si="109"/>
        <v>649.40920279020941</v>
      </c>
      <c r="S133" s="62">
        <f ca="1">AVERAGE(OFFSET($R$3,0,0,'Données projet'!$E$9+1,1))-AVERAGE(OFFSET($H$3,0,0,'Données projet'!$E$9+1,1))</f>
        <v>219.48219097225825</v>
      </c>
      <c r="T133" s="62">
        <f t="shared" ref="T133:T196" si="142">$T$3</f>
        <v>168.03826591942982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>
        <f>AI133*VLOOKUP('Données projet'!$B$10,Paramètres!$A$1:$I$89,3,0)*VLOOKUP('Données projet'!$B$10,Paramètres!$A$1:$I$89,5,0)</f>
        <v>0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155.60948448168716</v>
      </c>
      <c r="AO133" s="62">
        <f t="shared" ref="AO133:AO196" si="144">$AO$3</f>
        <v>317.1378745393755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13.635830433364619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2.3624208721800089E-13</v>
      </c>
      <c r="AX133" s="23">
        <f t="shared" si="114"/>
        <v>13.635830433364855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64.713999999999984</v>
      </c>
      <c r="D134" s="12">
        <f t="shared" si="140"/>
        <v>18.354819319966147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641.23299124184393</v>
      </c>
      <c r="H134" s="70">
        <f t="shared" si="110"/>
        <v>438.01152698227429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>
        <f>VLOOKUP(A134,'Données projet'!$A$35:$I$55,2,0)</f>
        <v>356.68</v>
      </c>
      <c r="L134" s="13">
        <f>VLOOKUP(A134,'Données projet'!$A$35:$I$55,9,0)</f>
        <v>8.516666666666671</v>
      </c>
      <c r="M134" s="13">
        <f t="array" ref="M134">INDEX(L:L,MIN(IF(ISNUMBER(L134:L330),ROW(L134:L330),"")))</f>
        <v>8.516666666666671</v>
      </c>
      <c r="N134" s="14">
        <f>IF('Données projet'!$A$36&gt;35,N133+M134-V133,IF(A134&lt;'Données projet'!$A$36,$K$205^A134,IF(A134='Données projet'!$A$36,'Données projet'!$B$36,N133+M134-V133)))</f>
        <v>356.67999999999955</v>
      </c>
      <c r="O134" s="14">
        <f>N134*VLOOKUP('Données projet'!$B$9,Paramètres!$A$1:$I$89,3,0)*VLOOKUP('Données projet'!$B$9,Paramètres!$A$1:$I$89,5,0)</f>
        <v>166.92623999999978</v>
      </c>
      <c r="P134" s="14">
        <f t="shared" si="141"/>
        <v>42.400874242636554</v>
      </c>
      <c r="Q134" s="22">
        <f t="shared" si="108"/>
        <v>364.57805730592491</v>
      </c>
      <c r="R134" s="62">
        <f t="shared" si="109"/>
        <v>657.91139063925823</v>
      </c>
      <c r="S134" s="62">
        <f ca="1">AVERAGE(OFFSET($R$3,0,0,'Données projet'!$E$9+1,1))-AVERAGE(OFFSET($H$3,0,0,'Données projet'!$E$9+1,1))</f>
        <v>219.48219097225825</v>
      </c>
      <c r="T134" s="62">
        <f t="shared" si="142"/>
        <v>168.03826591942982</v>
      </c>
      <c r="U134" s="16">
        <f>IF(ISNA(VLOOKUP(A134,'Données projet'!$A$35:$I$55,3,0)),0,VLOOKUP(A134,'Données projet'!$A$35:$I$55,3,0))</f>
        <v>20</v>
      </c>
      <c r="V134" s="16">
        <f>IF(ISNA(VLOOKUP(A134,'Données projet'!$A$35:$I$55,4,0)),0,VLOOKUP(A134,'Données projet'!$A$35:$I$55,4,0))</f>
        <v>356.68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>
        <f>AI134*VLOOKUP('Données projet'!$B$10,Paramètres!$A$1:$I$89,3,0)*VLOOKUP('Données projet'!$B$10,Paramètres!$A$1:$I$89,5,0)</f>
        <v>0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155.60948448168716</v>
      </c>
      <c r="AO134" s="62">
        <f t="shared" si="144"/>
        <v>317.1378745393755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13.368440115601665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1.6704838187351223E-13</v>
      </c>
      <c r="AX134" s="23">
        <f t="shared" si="114"/>
        <v>13.368440115601832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65.207999999999984</v>
      </c>
      <c r="D135" s="12">
        <f t="shared" si="140"/>
        <v>18.47856842948519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646.00158085918383</v>
      </c>
      <c r="H135" s="70">
        <f t="shared" si="110"/>
        <v>439.08744001468665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-4.5474735088646412E-13</v>
      </c>
      <c r="O135" s="14">
        <f>N135*VLOOKUP('Données projet'!$B$9,Paramètres!$A$1:$I$89,3,0)*VLOOKUP('Données projet'!$B$9,Paramètres!$A$1:$I$89,5,0)</f>
        <v>-2.1282176021486519E-13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219.48219097225825</v>
      </c>
      <c r="T135" s="62">
        <f t="shared" si="142"/>
        <v>168.03826591942982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>
        <f>AI135*VLOOKUP('Données projet'!$B$10,Paramètres!$A$1:$I$89,3,0)*VLOOKUP('Données projet'!$B$10,Paramètres!$A$1:$I$89,5,0)</f>
        <v>0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155.60948448168716</v>
      </c>
      <c r="AO135" s="62">
        <f t="shared" si="144"/>
        <v>317.1378745393755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13.106293158878051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1.1812104360900044E-13</v>
      </c>
      <c r="AX135" s="23">
        <f t="shared" si="114"/>
        <v>13.106293158878168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65.701999999999984</v>
      </c>
      <c r="D136" s="12">
        <f t="shared" si="140"/>
        <v>18.60220846178558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650.76932847694115</v>
      </c>
      <c r="H136" s="70">
        <f t="shared" si="110"/>
        <v>440.16316307094314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-4.5474735088646412E-13</v>
      </c>
      <c r="O136" s="14">
        <f>N136*VLOOKUP('Données projet'!$B$9,Paramètres!$A$1:$I$89,3,0)*VLOOKUP('Données projet'!$B$9,Paramètres!$A$1:$I$89,5,0)</f>
        <v>-2.1282176021486519E-13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219.48219097225825</v>
      </c>
      <c r="T136" s="62">
        <f t="shared" si="142"/>
        <v>168.03826591942982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>
        <f>AI136*VLOOKUP('Données projet'!$B$10,Paramètres!$A$1:$I$89,3,0)*VLOOKUP('Données projet'!$B$10,Paramètres!$A$1:$I$89,5,0)</f>
        <v>0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155.60948448168716</v>
      </c>
      <c r="AO136" s="62">
        <f t="shared" si="144"/>
        <v>317.1378745393755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12.849286744081933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8.3524190936756116E-14</v>
      </c>
      <c r="AX136" s="23">
        <f t="shared" si="114"/>
        <v>12.849286744082017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66.195999999999984</v>
      </c>
      <c r="D137" s="12">
        <f t="shared" si="140"/>
        <v>18.725740332076615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655.53624115988953</v>
      </c>
      <c r="H137" s="70">
        <f t="shared" si="110"/>
        <v>441.23869774503339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-4.5474735088646412E-13</v>
      </c>
      <c r="O137" s="14">
        <f>N137*VLOOKUP('Données projet'!$B$9,Paramètres!$A$1:$I$89,3,0)*VLOOKUP('Données projet'!$B$9,Paramètres!$A$1:$I$89,5,0)</f>
        <v>-2.1282176021486519E-13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219.48219097225825</v>
      </c>
      <c r="T137" s="62">
        <f t="shared" si="142"/>
        <v>168.03826591942982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>
        <f>AI137*VLOOKUP('Données projet'!$B$10,Paramètres!$A$1:$I$89,3,0)*VLOOKUP('Données projet'!$B$10,Paramètres!$A$1:$I$89,5,0)</f>
        <v>0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155.60948448168716</v>
      </c>
      <c r="AO137" s="62">
        <f t="shared" si="144"/>
        <v>317.1378745393755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12.597320068321531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5.9060521804500221E-14</v>
      </c>
      <c r="AX137" s="23">
        <f t="shared" si="114"/>
        <v>12.59732006832159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66.689999999999984</v>
      </c>
      <c r="D138" s="12">
        <f t="shared" si="140"/>
        <v>18.849164941118623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660.30232586126647</v>
      </c>
      <c r="H138" s="70">
        <f t="shared" si="110"/>
        <v>442.31404560578153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-4.5474735088646412E-13</v>
      </c>
      <c r="O138" s="14">
        <f>N138*VLOOKUP('Données projet'!$B$9,Paramètres!$A$1:$I$89,3,0)*VLOOKUP('Données projet'!$B$9,Paramètres!$A$1:$I$89,5,0)</f>
        <v>-2.1282176021486519E-13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219.48219097225825</v>
      </c>
      <c r="T138" s="62">
        <f t="shared" si="142"/>
        <v>168.03826591942982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>
        <f>AI138*VLOOKUP('Données projet'!$B$10,Paramètres!$A$1:$I$89,3,0)*VLOOKUP('Données projet'!$B$10,Paramètres!$A$1:$I$89,5,0)</f>
        <v>0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155.60948448168716</v>
      </c>
      <c r="AO138" s="62">
        <f t="shared" si="144"/>
        <v>317.1378745393755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12.350294305388294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4.1762095468378058E-14</v>
      </c>
      <c r="AX138" s="23">
        <f t="shared" si="114"/>
        <v>12.350294305388337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67.183999999999983</v>
      </c>
      <c r="D139" s="12">
        <f t="shared" si="140"/>
        <v>18.972483175556398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665.06758942534759</v>
      </c>
      <c r="H139" s="70">
        <f t="shared" si="110"/>
        <v>443.38920819742737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-4.5474735088646412E-13</v>
      </c>
      <c r="O139" s="14">
        <f>N139*VLOOKUP('Données projet'!$B$9,Paramètres!$A$1:$I$89,3,0)*VLOOKUP('Données projet'!$B$9,Paramètres!$A$1:$I$89,5,0)</f>
        <v>-2.1282176021486519E-13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219.48219097225825</v>
      </c>
      <c r="T139" s="62">
        <f t="shared" si="142"/>
        <v>168.03826591942982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>
        <f>AI139*VLOOKUP('Données projet'!$B$10,Paramètres!$A$1:$I$89,3,0)*VLOOKUP('Données projet'!$B$10,Paramètres!$A$1:$I$89,5,0)</f>
        <v>0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155.60948448168716</v>
      </c>
      <c r="AO139" s="62">
        <f t="shared" si="144"/>
        <v>317.1378745393755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12.10811256699534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2.9530260902250111E-14</v>
      </c>
      <c r="AX139" s="23">
        <f t="shared" si="114"/>
        <v>12.10811256699537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67.677999999999983</v>
      </c>
      <c r="D140" s="12">
        <f t="shared" si="140"/>
        <v>19.09569590824248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669.83203858994182</v>
      </c>
      <c r="H140" s="70">
        <f t="shared" si="110"/>
        <v>444.4641870401889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-4.5474735088646412E-13</v>
      </c>
      <c r="O140" s="14">
        <f>N140*VLOOKUP('Données projet'!$B$9,Paramètres!$A$1:$I$89,3,0)*VLOOKUP('Données projet'!$B$9,Paramètres!$A$1:$I$89,5,0)</f>
        <v>-2.1282176021486519E-13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219.48219097225825</v>
      </c>
      <c r="T140" s="62">
        <f t="shared" si="142"/>
        <v>168.03826591942982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>
        <f>AI140*VLOOKUP('Données projet'!$B$10,Paramètres!$A$1:$I$89,3,0)*VLOOKUP('Données projet'!$B$10,Paramètres!$A$1:$I$89,5,0)</f>
        <v>0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155.60948448168716</v>
      </c>
      <c r="AO140" s="62">
        <f t="shared" si="144"/>
        <v>317.1378745393755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11.870679864775997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2.0881047734189029E-14</v>
      </c>
      <c r="AX140" s="23">
        <f t="shared" si="114"/>
        <v>11.870679864776019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68.171999999999983</v>
      </c>
      <c r="D141" s="12">
        <f t="shared" si="140"/>
        <v>19.21880399855084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674.59567998881346</v>
      </c>
      <c r="H141" s="70">
        <f t="shared" si="110"/>
        <v>445.5389836308093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-4.5474735088646412E-13</v>
      </c>
      <c r="O141" s="14">
        <f>N141*VLOOKUP('Données projet'!$B$9,Paramètres!$A$1:$I$89,3,0)*VLOOKUP('Données projet'!$B$9,Paramètres!$A$1:$I$89,5,0)</f>
        <v>-2.1282176021486519E-13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219.48219097225825</v>
      </c>
      <c r="T141" s="62">
        <f t="shared" si="142"/>
        <v>168.03826591942982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>
        <f>AI141*VLOOKUP('Données projet'!$B$10,Paramètres!$A$1:$I$89,3,0)*VLOOKUP('Données projet'!$B$10,Paramètres!$A$1:$I$89,5,0)</f>
        <v>0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155.60948448168716</v>
      </c>
      <c r="AO141" s="62">
        <f t="shared" si="144"/>
        <v>317.1378745393755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11.637903073027527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1.4765130451125055E-14</v>
      </c>
      <c r="AX141" s="23">
        <f t="shared" si="114"/>
        <v>11.637903073027541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68.665999999999983</v>
      </c>
      <c r="D142" s="12">
        <f t="shared" si="140"/>
        <v>19.341808292681065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679.35852015402918</v>
      </c>
      <c r="H142" s="70">
        <f t="shared" si="110"/>
        <v>446.61359944308612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-4.5474735088646412E-13</v>
      </c>
      <c r="O142" s="14">
        <f>N142*VLOOKUP('Données projet'!$B$9,Paramètres!$A$1:$I$89,3,0)*VLOOKUP('Données projet'!$B$9,Paramètres!$A$1:$I$89,5,0)</f>
        <v>-2.1282176021486519E-13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219.48219097225825</v>
      </c>
      <c r="T142" s="62">
        <f t="shared" si="142"/>
        <v>168.03826591942982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>
        <f>AI142*VLOOKUP('Données projet'!$B$10,Paramètres!$A$1:$I$89,3,0)*VLOOKUP('Données projet'!$B$10,Paramètres!$A$1:$I$89,5,0)</f>
        <v>0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155.60948448168716</v>
      </c>
      <c r="AO142" s="62">
        <f t="shared" si="144"/>
        <v>317.1378745393755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11.40969089218542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1.0440523867094514E-14</v>
      </c>
      <c r="AX142" s="23">
        <f t="shared" si="114"/>
        <v>11.409690892185431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69.159999999999982</v>
      </c>
      <c r="D143" s="12">
        <f t="shared" si="140"/>
        <v>19.464709623953723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684.12056551823923</v>
      </c>
      <c r="H143" s="70">
        <f t="shared" si="110"/>
        <v>447.68803592838606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-4.5474735088646412E-13</v>
      </c>
      <c r="O143" s="14">
        <f>N143*VLOOKUP('Données projet'!$B$9,Paramètres!$A$1:$I$89,3,0)*VLOOKUP('Données projet'!$B$9,Paramètres!$A$1:$I$89,5,0)</f>
        <v>-2.1282176021486519E-13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219.48219097225825</v>
      </c>
      <c r="T143" s="62">
        <f t="shared" si="142"/>
        <v>168.03826591942982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>
        <f>AI143*VLOOKUP('Données projet'!$B$10,Paramètres!$A$1:$I$89,3,0)*VLOOKUP('Données projet'!$B$10,Paramètres!$A$1:$I$89,5,0)</f>
        <v>0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155.60948448168716</v>
      </c>
      <c r="AO143" s="62">
        <f t="shared" si="144"/>
        <v>317.1378745393755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11.185953813013942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7.3825652255625277E-15</v>
      </c>
      <c r="AX143" s="23">
        <f t="shared" si="114"/>
        <v>11.185953813013949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69.653999999999982</v>
      </c>
      <c r="D144" s="12">
        <f t="shared" si="140"/>
        <v>19.587508813096782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688.8818224168873</v>
      </c>
      <c r="H144" s="70">
        <f t="shared" si="110"/>
        <v>448.76229451614353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-4.5474735088646412E-13</v>
      </c>
      <c r="O144" s="14">
        <f>N144*VLOOKUP('Données projet'!$B$9,Paramètres!$A$1:$I$89,3,0)*VLOOKUP('Données projet'!$B$9,Paramètres!$A$1:$I$89,5,0)</f>
        <v>-2.1282176021486519E-13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219.48219097225825</v>
      </c>
      <c r="T144" s="62">
        <f t="shared" si="142"/>
        <v>168.03826591942982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>
        <f>AI144*VLOOKUP('Données projet'!$B$10,Paramètres!$A$1:$I$89,3,0)*VLOOKUP('Données projet'!$B$10,Paramètres!$A$1:$I$89,5,0)</f>
        <v>0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155.60948448168716</v>
      </c>
      <c r="AO144" s="62">
        <f t="shared" si="144"/>
        <v>317.1378745393755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10.966604081498874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5.2202619335472572E-15</v>
      </c>
      <c r="AX144" s="23">
        <f t="shared" si="114"/>
        <v>10.966604081498879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70.147999999999982</v>
      </c>
      <c r="D145" s="12">
        <f t="shared" si="140"/>
        <v>19.710206668524005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693.64229709036078</v>
      </c>
      <c r="H145" s="70">
        <f t="shared" si="110"/>
        <v>449.83637661434591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-4.5474735088646412E-13</v>
      </c>
      <c r="O145" s="14">
        <f>N145*VLOOKUP('Données projet'!$B$9,Paramètres!$A$1:$I$89,3,0)*VLOOKUP('Données projet'!$B$9,Paramètres!$A$1:$I$89,5,0)</f>
        <v>-2.1282176021486519E-13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219.48219097225825</v>
      </c>
      <c r="T145" s="62">
        <f t="shared" si="142"/>
        <v>168.03826591942982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>
        <f>AI145*VLOOKUP('Données projet'!$B$10,Paramètres!$A$1:$I$89,3,0)*VLOOKUP('Données projet'!$B$10,Paramètres!$A$1:$I$89,5,0)</f>
        <v>0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155.60948448168716</v>
      </c>
      <c r="AO145" s="62">
        <f t="shared" si="144"/>
        <v>317.1378745393755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10.75155566442869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3.6912826127812638E-15</v>
      </c>
      <c r="AX145" s="23">
        <f t="shared" si="114"/>
        <v>10.751555664428693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70.641999999999982</v>
      </c>
      <c r="D146" s="12">
        <f t="shared" si="140"/>
        <v>19.832803986604944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698.40199568607306</v>
      </c>
      <c r="H146" s="70">
        <f t="shared" si="110"/>
        <v>450.91028361000355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-4.5474735088646412E-13</v>
      </c>
      <c r="O146" s="14">
        <f>N146*VLOOKUP('Données projet'!$B$9,Paramètres!$A$1:$I$89,3,0)*VLOOKUP('Données projet'!$B$9,Paramètres!$A$1:$I$89,5,0)</f>
        <v>-2.1282176021486519E-13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219.48219097225825</v>
      </c>
      <c r="T146" s="62">
        <f t="shared" si="142"/>
        <v>168.03826591942982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>
        <f>AI146*VLOOKUP('Données projet'!$B$10,Paramètres!$A$1:$I$89,3,0)*VLOOKUP('Données projet'!$B$10,Paramètres!$A$1:$I$89,5,0)</f>
        <v>0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155.60948448168716</v>
      </c>
      <c r="AO146" s="62">
        <f t="shared" si="144"/>
        <v>317.1378745393755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10.54072421565067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2.6101309667736286E-15</v>
      </c>
      <c r="AX146" s="23">
        <f t="shared" si="114"/>
        <v>10.540724215650672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71.135999999999981</v>
      </c>
      <c r="D147" s="12">
        <f t="shared" si="140"/>
        <v>19.955301551927469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703.16092426049261</v>
      </c>
      <c r="H147" s="70">
        <f t="shared" si="110"/>
        <v>451.98401686960693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-4.5474735088646412E-13</v>
      </c>
      <c r="O147" s="14">
        <f>N147*VLOOKUP('Données projet'!$B$9,Paramètres!$A$1:$I$89,3,0)*VLOOKUP('Données projet'!$B$9,Paramètres!$A$1:$I$89,5,0)</f>
        <v>-2.1282176021486519E-13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219.48219097225825</v>
      </c>
      <c r="T147" s="62">
        <f t="shared" si="142"/>
        <v>168.03826591942982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>
        <f>AI147*VLOOKUP('Données projet'!$B$10,Paramètres!$A$1:$I$89,3,0)*VLOOKUP('Données projet'!$B$10,Paramètres!$A$1:$I$89,5,0)</f>
        <v>0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155.60948448168716</v>
      </c>
      <c r="AO147" s="62">
        <f t="shared" si="144"/>
        <v>317.1378745393755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10.3340270429887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1.8456413063906319E-15</v>
      </c>
      <c r="AX147" s="23">
        <f t="shared" si="114"/>
        <v>10.334027042988701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71.629999999999981</v>
      </c>
      <c r="D148" s="12">
        <f t="shared" si="140"/>
        <v>20.077700137552494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707.91908878110689</v>
      </c>
      <c r="H148" s="70">
        <f t="shared" si="110"/>
        <v>453.05757773957055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-4.5474735088646412E-13</v>
      </c>
      <c r="O148" s="14">
        <f>N148*VLOOKUP('Données projet'!$B$9,Paramètres!$A$1:$I$89,3,0)*VLOOKUP('Données projet'!$B$9,Paramètres!$A$1:$I$89,5,0)</f>
        <v>-2.1282176021486519E-13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219.48219097225825</v>
      </c>
      <c r="T148" s="62">
        <f t="shared" si="142"/>
        <v>168.03826591942982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>
        <f>AI148*VLOOKUP('Données projet'!$B$10,Paramètres!$A$1:$I$89,3,0)*VLOOKUP('Données projet'!$B$10,Paramètres!$A$1:$I$89,5,0)</f>
        <v>0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155.60948448168716</v>
      </c>
      <c r="AO148" s="62">
        <f t="shared" si="144"/>
        <v>317.1378745393755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10.131383075809804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1.3050654833868143E-15</v>
      </c>
      <c r="AX148" s="23">
        <f t="shared" si="114"/>
        <v>10.131383075809806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72.123999999999981</v>
      </c>
      <c r="D149" s="12">
        <f t="shared" si="140"/>
        <v>20.200000505261777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712.67649512833634</v>
      </c>
      <c r="H149" s="70">
        <f t="shared" si="110"/>
        <v>454.13096754666418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-4.5474735088646412E-13</v>
      </c>
      <c r="O149" s="14">
        <f>N149*VLOOKUP('Données projet'!$B$9,Paramètres!$A$1:$I$89,3,0)*VLOOKUP('Données projet'!$B$9,Paramètres!$A$1:$I$89,5,0)</f>
        <v>-2.1282176021486519E-13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219.48219097225825</v>
      </c>
      <c r="T149" s="62">
        <f t="shared" si="142"/>
        <v>168.03826591942982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>
        <f>AI149*VLOOKUP('Données projet'!$B$10,Paramètres!$A$1:$I$89,3,0)*VLOOKUP('Données projet'!$B$10,Paramètres!$A$1:$I$89,5,0)</f>
        <v>0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155.60948448168716</v>
      </c>
      <c r="AO149" s="62">
        <f t="shared" si="144"/>
        <v>317.1378745393755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9.9327128332266721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9.2282065319531596E-16</v>
      </c>
      <c r="AX149" s="23">
        <f t="shared" si="114"/>
        <v>9.9327128332266739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72.617999999999981</v>
      </c>
      <c r="D150" s="12">
        <f t="shared" si="140"/>
        <v>20.322203405798444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717.43314909739138</v>
      </c>
      <c r="H150" s="70">
        <f t="shared" si="110"/>
        <v>455.20418759843221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-4.5474735088646412E-13</v>
      </c>
      <c r="O150" s="14">
        <f>N150*VLOOKUP('Données projet'!$B$9,Paramètres!$A$1:$I$89,3,0)*VLOOKUP('Données projet'!$B$9,Paramètres!$A$1:$I$89,5,0)</f>
        <v>-2.1282176021486519E-13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219.48219097225825</v>
      </c>
      <c r="T150" s="62">
        <f t="shared" si="142"/>
        <v>168.03826591942982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>
        <f>AI150*VLOOKUP('Données projet'!$B$10,Paramètres!$A$1:$I$89,3,0)*VLOOKUP('Données projet'!$B$10,Paramètres!$A$1:$I$89,5,0)</f>
        <v>0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155.60948448168716</v>
      </c>
      <c r="AO150" s="62">
        <f t="shared" si="144"/>
        <v>317.1378745393755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9.7379383929237129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6.5253274169340715E-16</v>
      </c>
      <c r="AX150" s="23">
        <f t="shared" si="114"/>
        <v>9.7379383929237129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73.111999999999981</v>
      </c>
      <c r="D151" s="12">
        <f t="shared" si="140"/>
        <v>20.444309579101066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722.18905640007824</v>
      </c>
      <c r="H151" s="70">
        <f t="shared" si="110"/>
        <v>456.27723918360095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-4.5474735088646412E-13</v>
      </c>
      <c r="O151" s="14">
        <f>N151*VLOOKUP('Données projet'!$B$9,Paramètres!$A$1:$I$89,3,0)*VLOOKUP('Données projet'!$B$9,Paramètres!$A$1:$I$89,5,0)</f>
        <v>-2.1282176021486519E-13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219.48219097225825</v>
      </c>
      <c r="T151" s="62">
        <f t="shared" si="142"/>
        <v>168.03826591942982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>
        <f>AI151*VLOOKUP('Données projet'!$B$10,Paramètres!$A$1:$I$89,3,0)*VLOOKUP('Données projet'!$B$10,Paramètres!$A$1:$I$89,5,0)</f>
        <v>0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155.60948448168716</v>
      </c>
      <c r="AO151" s="62">
        <f t="shared" si="144"/>
        <v>317.1378745393755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9.5469833605944157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4.6141032659765798E-16</v>
      </c>
      <c r="AX151" s="23">
        <f t="shared" si="114"/>
        <v>9.5469833605944157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73.60599999999998</v>
      </c>
      <c r="D152" s="12">
        <f t="shared" si="140"/>
        <v>20.566319754530966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726.94422266655465</v>
      </c>
      <c r="H152" s="70">
        <f t="shared" si="110"/>
        <v>457.35012357247467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-4.5474735088646412E-13</v>
      </c>
      <c r="O152" s="14">
        <f>N152*VLOOKUP('Données projet'!$B$9,Paramètres!$A$1:$I$89,3,0)*VLOOKUP('Données projet'!$B$9,Paramètres!$A$1:$I$89,5,0)</f>
        <v>-2.1282176021486519E-13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219.48219097225825</v>
      </c>
      <c r="T152" s="62">
        <f t="shared" si="142"/>
        <v>168.03826591942982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>
        <f>AI152*VLOOKUP('Données projet'!$B$10,Paramètres!$A$1:$I$89,3,0)*VLOOKUP('Données projet'!$B$10,Paramètres!$A$1:$I$89,5,0)</f>
        <v>0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155.60948448168716</v>
      </c>
      <c r="AO152" s="62">
        <f t="shared" si="144"/>
        <v>317.1378745393755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9.359772839978028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3.2626637084670358E-16</v>
      </c>
      <c r="AX152" s="23">
        <f t="shared" si="114"/>
        <v>9.359772839978028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74.09999999999998</v>
      </c>
      <c r="D153" s="12">
        <f t="shared" si="140"/>
        <v>20.688234651093431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731.69865344703669</v>
      </c>
      <c r="H153" s="70">
        <f t="shared" si="110"/>
        <v>458.42284201732099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-4.5474735088646412E-13</v>
      </c>
      <c r="O153" s="14">
        <f>N153*VLOOKUP('Données projet'!$B$9,Paramètres!$A$1:$I$89,3,0)*VLOOKUP('Données projet'!$B$9,Paramètres!$A$1:$I$89,5,0)</f>
        <v>-2.1282176021486519E-13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219.48219097225825</v>
      </c>
      <c r="T153" s="62">
        <f t="shared" si="142"/>
        <v>168.03826591942982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>
        <f>AI153*VLOOKUP('Données projet'!$B$10,Paramètres!$A$1:$I$89,3,0)*VLOOKUP('Données projet'!$B$10,Paramètres!$A$1:$I$89,5,0)</f>
        <v>0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155.60948448168716</v>
      </c>
      <c r="AO153" s="62">
        <f t="shared" si="144"/>
        <v>317.1378745393755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9.1762334034837849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2.3070516329882899E-16</v>
      </c>
      <c r="AX153" s="23">
        <f t="shared" si="114"/>
        <v>9.1762334034837849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74.59399999999998</v>
      </c>
      <c r="D154" s="12">
        <f t="shared" si="140"/>
        <v>20.810054977652769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736.45235421345978</v>
      </c>
      <c r="H154" s="70">
        <f t="shared" si="110"/>
        <v>459.49539575274514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-4.5474735088646412E-13</v>
      </c>
      <c r="O154" s="14">
        <f>N154*VLOOKUP('Données projet'!$B$9,Paramètres!$A$1:$I$89,3,0)*VLOOKUP('Données projet'!$B$9,Paramètres!$A$1:$I$89,5,0)</f>
        <v>-2.1282176021486519E-13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219.48219097225825</v>
      </c>
      <c r="T154" s="62">
        <f t="shared" si="142"/>
        <v>168.03826591942982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>
        <f>AI154*VLOOKUP('Données projet'!$B$10,Paramètres!$A$1:$I$89,3,0)*VLOOKUP('Données projet'!$B$10,Paramètres!$A$1:$I$89,5,0)</f>
        <v>0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155.60948448168716</v>
      </c>
      <c r="AO154" s="62">
        <f t="shared" si="144"/>
        <v>317.1378745393755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8.9962930633911906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1.6313318542335179E-16</v>
      </c>
      <c r="AX154" s="23">
        <f t="shared" ref="AX154:AX203" si="166">SUM(AU154:AW154)</f>
        <v>8.9962930633911906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75.08799999999998</v>
      </c>
      <c r="D155" s="12">
        <f t="shared" si="140"/>
        <v>20.931781433141548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741.20533036109248</v>
      </c>
      <c r="H155" s="70">
        <f t="shared" si="110"/>
        <v>460.56778599605479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-4.5474735088646412E-13</v>
      </c>
      <c r="O155" s="14">
        <f>N155*VLOOKUP('Données projet'!$B$9,Paramètres!$A$1:$I$89,3,0)*VLOOKUP('Données projet'!$B$9,Paramètres!$A$1:$I$89,5,0)</f>
        <v>-2.1282176021486519E-13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219.48219097225825</v>
      </c>
      <c r="T155" s="62">
        <f t="shared" si="142"/>
        <v>168.03826591942982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>
        <f>AI155*VLOOKUP('Données projet'!$B$10,Paramètres!$A$1:$I$89,3,0)*VLOOKUP('Données projet'!$B$10,Paramètres!$A$1:$I$89,5,0)</f>
        <v>0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155.60948448168716</v>
      </c>
      <c r="AO155" s="62">
        <f t="shared" si="144"/>
        <v>317.1378745393755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8.8198812436150416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1.153525816494145E-16</v>
      </c>
      <c r="AX155" s="23">
        <f t="shared" si="166"/>
        <v>8.8198812436150416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75.581999999999979</v>
      </c>
      <c r="D156" s="12">
        <f t="shared" si="140"/>
        <v>21.053414706764119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745.95758721010895</v>
      </c>
      <c r="H156" s="70">
        <f t="shared" si="110"/>
        <v>461.64001394761408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-4.5474735088646412E-13</v>
      </c>
      <c r="O156" s="14">
        <f>N156*VLOOKUP('Données projet'!$B$9,Paramètres!$A$1:$I$89,3,0)*VLOOKUP('Données projet'!$B$9,Paramètres!$A$1:$I$89,5,0)</f>
        <v>-2.1282176021486519E-13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219.48219097225825</v>
      </c>
      <c r="T156" s="62">
        <f t="shared" si="142"/>
        <v>168.03826591942982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>
        <f>AI156*VLOOKUP('Données projet'!$B$10,Paramètres!$A$1:$I$89,3,0)*VLOOKUP('Données projet'!$B$10,Paramètres!$A$1:$I$89,5,0)</f>
        <v>0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155.60948448168716</v>
      </c>
      <c r="AO156" s="62">
        <f t="shared" si="144"/>
        <v>317.1378745393755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8.6469287520241185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8.1566592711675894E-17</v>
      </c>
      <c r="AX156" s="23">
        <f t="shared" si="166"/>
        <v>8.6469287520241185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76.075999999999979</v>
      </c>
      <c r="D157" s="12">
        <f t="shared" si="140"/>
        <v>21.174955478194743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750.70913000711732</v>
      </c>
      <c r="H157" s="70">
        <f t="shared" si="110"/>
        <v>462.71208079118912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-4.5474735088646412E-13</v>
      </c>
      <c r="O157" s="14">
        <f>N157*VLOOKUP('Données projet'!$B$9,Paramètres!$A$1:$I$89,3,0)*VLOOKUP('Données projet'!$B$9,Paramètres!$A$1:$I$89,5,0)</f>
        <v>-2.1282176021486519E-13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219.48219097225825</v>
      </c>
      <c r="T157" s="62">
        <f t="shared" si="142"/>
        <v>168.03826591942982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>
        <f>AI157*VLOOKUP('Données projet'!$B$10,Paramètres!$A$1:$I$89,3,0)*VLOOKUP('Données projet'!$B$10,Paramètres!$A$1:$I$89,5,0)</f>
        <v>0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155.60948448168716</v>
      </c>
      <c r="AO157" s="62">
        <f t="shared" si="144"/>
        <v>317.1378745393755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8.4773677533026888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5.7676290824707248E-17</v>
      </c>
      <c r="AX157" s="23">
        <f t="shared" si="166"/>
        <v>8.4773677533026888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76.569999999999979</v>
      </c>
      <c r="D158" s="12">
        <f t="shared" si="140"/>
        <v>21.296404417770301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755.4599639266479</v>
      </c>
      <c r="H158" s="70">
        <f t="shared" si="110"/>
        <v>463.78398769428327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-4.5474735088646412E-13</v>
      </c>
      <c r="O158" s="14">
        <f>N158*VLOOKUP('Données projet'!$B$9,Paramètres!$A$1:$I$89,3,0)*VLOOKUP('Données projet'!$B$9,Paramètres!$A$1:$I$89,5,0)</f>
        <v>-2.1282176021486519E-13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219.48219097225825</v>
      </c>
      <c r="T158" s="62">
        <f t="shared" si="142"/>
        <v>168.03826591942982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>
        <f>AI158*VLOOKUP('Données projet'!$B$10,Paramètres!$A$1:$I$89,3,0)*VLOOKUP('Données projet'!$B$10,Paramètres!$A$1:$I$89,5,0)</f>
        <v>0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155.60948448168716</v>
      </c>
      <c r="AO158" s="62">
        <f t="shared" si="144"/>
        <v>317.1378745393755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8.3111317423441893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4.0783296355837947E-17</v>
      </c>
      <c r="AX158" s="23">
        <f t="shared" si="166"/>
        <v>8.3111317423441893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77.063999999999979</v>
      </c>
      <c r="D159" s="12">
        <f t="shared" si="140"/>
        <v>21.417762186678065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760.21009407260237</v>
      </c>
      <c r="H159" s="70">
        <f t="shared" si="110"/>
        <v>464.85573580846426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-4.5474735088646412E-13</v>
      </c>
      <c r="O159" s="14">
        <f>N159*VLOOKUP('Données projet'!$B$9,Paramètres!$A$1:$I$89,3,0)*VLOOKUP('Données projet'!$B$9,Paramètres!$A$1:$I$89,5,0)</f>
        <v>-2.1282176021486519E-13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219.48219097225825</v>
      </c>
      <c r="T159" s="62">
        <f t="shared" si="142"/>
        <v>168.03826591942982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>
        <f>AI159*VLOOKUP('Données projet'!$B$10,Paramètres!$A$1:$I$89,3,0)*VLOOKUP('Données projet'!$B$10,Paramètres!$A$1:$I$89,5,0)</f>
        <v>0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155.60948448168716</v>
      </c>
      <c r="AO159" s="62">
        <f t="shared" si="144"/>
        <v>317.1378745393755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8.1481555181666323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2.8838145412353624E-17</v>
      </c>
      <c r="AX159" s="23">
        <f t="shared" si="166"/>
        <v>8.1481555181666323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77.557999999999979</v>
      </c>
      <c r="D160" s="12">
        <f t="shared" si="140"/>
        <v>21.539029437138336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764.95952547966419</v>
      </c>
      <c r="H160" s="70">
        <f t="shared" si="110"/>
        <v>465.92732626968257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-4.5474735088646412E-13</v>
      </c>
      <c r="O160" s="14">
        <f>N160*VLOOKUP('Données projet'!$B$9,Paramètres!$A$1:$I$89,3,0)*VLOOKUP('Données projet'!$B$9,Paramètres!$A$1:$I$89,5,0)</f>
        <v>-2.1282176021486519E-13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219.48219097225825</v>
      </c>
      <c r="T160" s="62">
        <f t="shared" si="142"/>
        <v>168.03826591942982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>
        <f>AI160*VLOOKUP('Données projet'!$B$10,Paramètres!$A$1:$I$89,3,0)*VLOOKUP('Données projet'!$B$10,Paramètres!$A$1:$I$89,5,0)</f>
        <v>0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155.60948448168716</v>
      </c>
      <c r="AO160" s="62">
        <f t="shared" si="144"/>
        <v>317.1378745393755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7.9883751583395153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2.0391648177918974E-17</v>
      </c>
      <c r="AX160" s="23">
        <f t="shared" si="166"/>
        <v>7.9883751583395153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78.051999999999978</v>
      </c>
      <c r="D161" s="12">
        <f t="shared" si="140"/>
        <v>21.660206812582402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769.70826311467101</v>
      </c>
      <c r="H161" s="70">
        <f t="shared" si="110"/>
        <v>466.99876019858095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-4.5474735088646412E-13</v>
      </c>
      <c r="O161" s="14">
        <f>N161*VLOOKUP('Données projet'!$B$9,Paramètres!$A$1:$I$89,3,0)*VLOOKUP('Données projet'!$B$9,Paramètres!$A$1:$I$89,5,0)</f>
        <v>-2.1282176021486519E-13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219.48219097225825</v>
      </c>
      <c r="T161" s="62">
        <f t="shared" si="142"/>
        <v>168.03826591942982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>
        <f>AI161*VLOOKUP('Données projet'!$B$10,Paramètres!$A$1:$I$89,3,0)*VLOOKUP('Données projet'!$B$10,Paramètres!$A$1:$I$89,5,0)</f>
        <v>0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155.60948448168716</v>
      </c>
      <c r="AO161" s="62">
        <f t="shared" si="144"/>
        <v>317.1378745393755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7.831727993912212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1.4419072706176812E-17</v>
      </c>
      <c r="AX161" s="23">
        <f t="shared" si="166"/>
        <v>7.831727993912212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78.545999999999978</v>
      </c>
      <c r="D162" s="12">
        <f t="shared" si="140"/>
        <v>21.781294947825838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774.45631187795368</v>
      </c>
      <c r="H162" s="70">
        <f t="shared" si="110"/>
        <v>468.0700387007966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-4.5474735088646412E-13</v>
      </c>
      <c r="O162" s="14">
        <f>N162*VLOOKUP('Données projet'!$B$9,Paramètres!$A$1:$I$89,3,0)*VLOOKUP('Données projet'!$B$9,Paramètres!$A$1:$I$89,5,0)</f>
        <v>-2.1282176021486519E-13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219.48219097225825</v>
      </c>
      <c r="T162" s="62">
        <f t="shared" si="142"/>
        <v>168.03826591942982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>
        <f>AI162*VLOOKUP('Données projet'!$B$10,Paramètres!$A$1:$I$89,3,0)*VLOOKUP('Données projet'!$B$10,Paramètres!$A$1:$I$89,5,0)</f>
        <v>0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155.60948448168716</v>
      </c>
      <c r="AO162" s="62">
        <f t="shared" si="144"/>
        <v>317.1378745393755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7.6781525848339918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1.0195824088959487E-17</v>
      </c>
      <c r="AX162" s="23">
        <f t="shared" si="166"/>
        <v>7.6781525848339918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79.039999999999978</v>
      </c>
      <c r="D163" s="12">
        <f t="shared" si="140"/>
        <v>21.902294469237312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779.20367660463887</v>
      </c>
      <c r="H163" s="70">
        <f t="shared" si="110"/>
        <v>469.14116286725493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-4.5474735088646412E-13</v>
      </c>
      <c r="O163" s="14">
        <f>N163*VLOOKUP('Données projet'!$B$9,Paramètres!$A$1:$I$89,3,0)*VLOOKUP('Données projet'!$B$9,Paramètres!$A$1:$I$89,5,0)</f>
        <v>-2.1282176021486519E-13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219.48219097225825</v>
      </c>
      <c r="T163" s="62">
        <f t="shared" si="142"/>
        <v>168.03826591942982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>
        <f>AI163*VLOOKUP('Données projet'!$B$10,Paramètres!$A$1:$I$89,3,0)*VLOOKUP('Données projet'!$B$10,Paramètres!$A$1:$I$89,5,0)</f>
        <v>0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155.60948448168716</v>
      </c>
      <c r="AO163" s="62">
        <f t="shared" si="144"/>
        <v>317.1378745393755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7.5275886958560454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7.2095363530884059E-18</v>
      </c>
      <c r="AX163" s="23">
        <f t="shared" si="166"/>
        <v>7.5275886958560454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79.533999999999978</v>
      </c>
      <c r="D164" s="12">
        <f t="shared" si="140"/>
        <v>22.023205994903069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783.95036206591828</v>
      </c>
      <c r="H164" s="70">
        <f t="shared" si="110"/>
        <v>470.21213377445611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-4.5474735088646412E-13</v>
      </c>
      <c r="O164" s="14">
        <f>N164*VLOOKUP('Données projet'!$B$9,Paramètres!$A$1:$I$89,3,0)*VLOOKUP('Données projet'!$B$9,Paramètres!$A$1:$I$89,5,0)</f>
        <v>-2.1282176021486519E-13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219.48219097225825</v>
      </c>
      <c r="T164" s="62">
        <f t="shared" si="142"/>
        <v>168.03826591942982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>
        <f>AI164*VLOOKUP('Données projet'!$B$10,Paramètres!$A$1:$I$89,3,0)*VLOOKUP('Données projet'!$B$10,Paramètres!$A$1:$I$89,5,0)</f>
        <v>0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155.60948448168716</v>
      </c>
      <c r="AO164" s="62">
        <f t="shared" si="144"/>
        <v>317.1378745393755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7.3799772729060518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5.0979120444797434E-18</v>
      </c>
      <c r="AX164" s="23">
        <f t="shared" si="166"/>
        <v>7.3799772729060518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80.027999999999977</v>
      </c>
      <c r="D165" s="12">
        <f t="shared" si="140"/>
        <v>22.144030134787155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788.69637297028669</v>
      </c>
      <c r="H165" s="70">
        <f t="shared" si="110"/>
        <v>471.28295248475422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-4.5474735088646412E-13</v>
      </c>
      <c r="O165" s="14">
        <f>N165*VLOOKUP('Données projet'!$B$9,Paramètres!$A$1:$I$89,3,0)*VLOOKUP('Données projet'!$B$9,Paramètres!$A$1:$I$89,5,0)</f>
        <v>-2.1282176021486519E-13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219.48219097225825</v>
      </c>
      <c r="T165" s="62">
        <f t="shared" si="142"/>
        <v>168.03826591942982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>
        <f>AI165*VLOOKUP('Données projet'!$B$10,Paramètres!$A$1:$I$89,3,0)*VLOOKUP('Données projet'!$B$10,Paramètres!$A$1:$I$89,5,0)</f>
        <v>0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155.60948448168716</v>
      </c>
      <c r="AO165" s="62">
        <f t="shared" si="144"/>
        <v>317.1378745393755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7.2352604199260302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3.604768176544203E-18</v>
      </c>
      <c r="AX165" s="23">
        <f t="shared" si="166"/>
        <v>7.2352604199260302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80.521999999999977</v>
      </c>
      <c r="D166" s="12">
        <f t="shared" si="140"/>
        <v>22.264767490887625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793.44171396474633</v>
      </c>
      <c r="H166" s="70">
        <f t="shared" si="110"/>
        <v>472.3536200466292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-4.5474735088646412E-13</v>
      </c>
      <c r="O166" s="14">
        <f>N166*VLOOKUP('Données projet'!$B$9,Paramètres!$A$1:$I$89,3,0)*VLOOKUP('Données projet'!$B$9,Paramètres!$A$1:$I$89,5,0)</f>
        <v>-2.1282176021486519E-13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219.48219097225825</v>
      </c>
      <c r="T166" s="62">
        <f t="shared" si="142"/>
        <v>168.03826591942982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>
        <f>AI166*VLOOKUP('Données projet'!$B$10,Paramètres!$A$1:$I$89,3,0)*VLOOKUP('Données projet'!$B$10,Paramètres!$A$1:$I$89,5,0)</f>
        <v>0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155.60948448168716</v>
      </c>
      <c r="AO166" s="62">
        <f t="shared" si="144"/>
        <v>317.1378745393755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7.0933813761643822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2.5489560222398717E-18</v>
      </c>
      <c r="AX166" s="23">
        <f t="shared" si="166"/>
        <v>7.0933813761643822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81.015999999999977</v>
      </c>
      <c r="D167" s="12">
        <f t="shared" si="140"/>
        <v>22.385418657388872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798.18638963598414</v>
      </c>
      <c r="H167" s="70">
        <f t="shared" si="110"/>
        <v>473.42413749495222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-4.5474735088646412E-13</v>
      </c>
      <c r="O167" s="14">
        <f>N167*VLOOKUP('Données projet'!$B$9,Paramètres!$A$1:$I$89,3,0)*VLOOKUP('Données projet'!$B$9,Paramètres!$A$1:$I$89,5,0)</f>
        <v>-2.1282176021486519E-13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219.48219097225825</v>
      </c>
      <c r="T167" s="62">
        <f t="shared" si="142"/>
        <v>168.03826591942982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>
        <f>AI167*VLOOKUP('Données projet'!$B$10,Paramètres!$A$1:$I$89,3,0)*VLOOKUP('Données projet'!$B$10,Paramètres!$A$1:$I$89,5,0)</f>
        <v>0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155.60948448168716</v>
      </c>
      <c r="AO167" s="62">
        <f t="shared" si="144"/>
        <v>317.1378745393755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6.954284493913228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1.8023840882721015E-18</v>
      </c>
      <c r="AX167" s="23">
        <f t="shared" si="166"/>
        <v>6.954284493913228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81.509999999999977</v>
      </c>
      <c r="D168" s="12">
        <f t="shared" si="140"/>
        <v>22.505984220809903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802.93040451151501</v>
      </c>
      <c r="H168" s="70">
        <f t="shared" si="110"/>
        <v>474.49450585124384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-4.5474735088646412E-13</v>
      </c>
      <c r="O168" s="14">
        <f>N168*VLOOKUP('Données projet'!$B$9,Paramètres!$A$1:$I$89,3,0)*VLOOKUP('Données projet'!$B$9,Paramètres!$A$1:$I$89,5,0)</f>
        <v>-2.1282176021486519E-13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219.48219097225825</v>
      </c>
      <c r="T168" s="62">
        <f t="shared" si="142"/>
        <v>168.03826591942982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>
        <f>AI168*VLOOKUP('Données projet'!$B$10,Paramètres!$A$1:$I$89,3,0)*VLOOKUP('Données projet'!$B$10,Paramètres!$A$1:$I$89,5,0)</f>
        <v>0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155.60948448168716</v>
      </c>
      <c r="AO168" s="62">
        <f t="shared" si="144"/>
        <v>317.1378745393755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6.8179152166822981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1.2744780111199358E-18</v>
      </c>
      <c r="AX168" s="23">
        <f t="shared" si="166"/>
        <v>6.8179152166822981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82.003999999999976</v>
      </c>
      <c r="D169" s="12">
        <f t="shared" si="140"/>
        <v>22.626464760149261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807.67376306080121</v>
      </c>
      <c r="H169" s="70">
        <f t="shared" si="110"/>
        <v>475.56472612392656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-4.5474735088646412E-13</v>
      </c>
      <c r="O169" s="14">
        <f>N169*VLOOKUP('Données projet'!$B$9,Paramètres!$A$1:$I$89,3,0)*VLOOKUP('Données projet'!$B$9,Paramètres!$A$1:$I$89,5,0)</f>
        <v>-2.1282176021486519E-13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219.48219097225825</v>
      </c>
      <c r="T169" s="62">
        <f t="shared" si="142"/>
        <v>168.03826591942982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>
        <f>AI169*VLOOKUP('Données projet'!$B$10,Paramètres!$A$1:$I$89,3,0)*VLOOKUP('Données projet'!$B$10,Paramètres!$A$1:$I$89,5,0)</f>
        <v>0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155.60948448168716</v>
      </c>
      <c r="AO169" s="62">
        <f t="shared" si="144"/>
        <v>317.1378745393755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6.6842200578008208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9.0119204413605074E-19</v>
      </c>
      <c r="AX169" s="23">
        <f t="shared" si="166"/>
        <v>6.6842200578008208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82.497999999999976</v>
      </c>
      <c r="D170" s="12">
        <f t="shared" si="140"/>
        <v>22.746860847025957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812.41646969634064</v>
      </c>
      <c r="H170" s="70">
        <f t="shared" si="110"/>
        <v>476.63479930857011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-4.5474735088646412E-13</v>
      </c>
      <c r="O170" s="14">
        <f>N170*VLOOKUP('Données projet'!$B$9,Paramètres!$A$1:$I$89,3,0)*VLOOKUP('Données projet'!$B$9,Paramètres!$A$1:$I$89,5,0)</f>
        <v>-2.1282176021486519E-13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219.48219097225825</v>
      </c>
      <c r="T170" s="62">
        <f t="shared" si="142"/>
        <v>168.03826591942982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>
        <f>AI170*VLOOKUP('Données projet'!$B$10,Paramètres!$A$1:$I$89,3,0)*VLOOKUP('Données projet'!$B$10,Paramètres!$A$1:$I$89,5,0)</f>
        <v>0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155.60948448168716</v>
      </c>
      <c r="AO170" s="62">
        <f t="shared" si="144"/>
        <v>317.1378745393755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6.5531465794390149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6.3723900555996792E-19</v>
      </c>
      <c r="AX170" s="23">
        <f t="shared" si="166"/>
        <v>6.5531465794390149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82.991999999999976</v>
      </c>
      <c r="D171" s="12">
        <f t="shared" si="140"/>
        <v>22.867173045817303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817.1585287747298</v>
      </c>
      <c r="H171" s="70">
        <f t="shared" si="110"/>
        <v>477.70472638813175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-4.5474735088646412E-13</v>
      </c>
      <c r="O171" s="14">
        <f>N171*VLOOKUP('Données projet'!$B$9,Paramètres!$A$1:$I$89,3,0)*VLOOKUP('Données projet'!$B$9,Paramètres!$A$1:$I$89,5,0)</f>
        <v>-2.1282176021486519E-13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219.48219097225825</v>
      </c>
      <c r="T171" s="62">
        <f t="shared" si="142"/>
        <v>168.03826591942982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>
        <f>AI171*VLOOKUP('Données projet'!$B$10,Paramètres!$A$1:$I$89,3,0)*VLOOKUP('Données projet'!$B$10,Paramètres!$A$1:$I$89,5,0)</f>
        <v>0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155.60948448168716</v>
      </c>
      <c r="AO171" s="62">
        <f t="shared" si="144"/>
        <v>317.1378745393755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6.4246433720409559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4.5059602206802537E-19</v>
      </c>
      <c r="AX171" s="23">
        <f t="shared" si="166"/>
        <v>6.4246433720409559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83.485999999999976</v>
      </c>
      <c r="D172" s="12">
        <f t="shared" si="140"/>
        <v>22.987401913793153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821.89994459770139</v>
      </c>
      <c r="H172" s="70">
        <f t="shared" si="110"/>
        <v>478.77450833318966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-4.5474735088646412E-13</v>
      </c>
      <c r="O172" s="14">
        <f>N172*VLOOKUP('Données projet'!$B$9,Paramètres!$A$1:$I$89,3,0)*VLOOKUP('Données projet'!$B$9,Paramètres!$A$1:$I$89,5,0)</f>
        <v>-2.1282176021486519E-13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219.48219097225825</v>
      </c>
      <c r="T172" s="62">
        <f t="shared" si="142"/>
        <v>168.03826591942982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>
        <f>AI172*VLOOKUP('Données projet'!$B$10,Paramètres!$A$1:$I$89,3,0)*VLOOKUP('Données projet'!$B$10,Paramètres!$A$1:$I$89,5,0)</f>
        <v>0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155.60948448168716</v>
      </c>
      <c r="AO172" s="62">
        <f t="shared" si="144"/>
        <v>317.1378745393755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6.2986600341607559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3.1861950277998396E-19</v>
      </c>
      <c r="AX172" s="23">
        <f t="shared" si="166"/>
        <v>6.2986600341607559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83.979999999999976</v>
      </c>
      <c r="D173" s="12">
        <f t="shared" si="140"/>
        <v>23.10754800124684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826.64072141313329</v>
      </c>
      <c r="H173" s="70">
        <f t="shared" si="110"/>
        <v>479.84414610217152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-4.5474735088646412E-13</v>
      </c>
      <c r="O173" s="14">
        <f>N173*VLOOKUP('Données projet'!$B$9,Paramètres!$A$1:$I$89,3,0)*VLOOKUP('Données projet'!$B$9,Paramètres!$A$1:$I$89,5,0)</f>
        <v>-2.1282176021486519E-13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219.48219097225825</v>
      </c>
      <c r="T173" s="62">
        <f t="shared" si="142"/>
        <v>168.03826591942982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>
        <f>AI173*VLOOKUP('Données projet'!$B$10,Paramètres!$A$1:$I$89,3,0)*VLOOKUP('Données projet'!$B$10,Paramètres!$A$1:$I$89,5,0)</f>
        <v>0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155.60948448168716</v>
      </c>
      <c r="AO173" s="62">
        <f t="shared" si="144"/>
        <v>317.1378745393755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6.1751471526941382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2.2529801103401269E-19</v>
      </c>
      <c r="AX173" s="23">
        <f t="shared" si="166"/>
        <v>6.1751471526941382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84.473999999999975</v>
      </c>
      <c r="D174" s="12">
        <f t="shared" si="140"/>
        <v>23.22761185162317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831.38086341603832</v>
      </c>
      <c r="H174" s="70">
        <f t="shared" si="110"/>
        <v>480.91364064157693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-4.5474735088646412E-13</v>
      </c>
      <c r="O174" s="14">
        <f>N174*VLOOKUP('Données projet'!$B$9,Paramètres!$A$1:$I$89,3,0)*VLOOKUP('Données projet'!$B$9,Paramètres!$A$1:$I$89,5,0)</f>
        <v>-2.1282176021486519E-13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219.48219097225825</v>
      </c>
      <c r="T174" s="62">
        <f t="shared" si="142"/>
        <v>168.03826591942982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>
        <f>AI174*VLOOKUP('Données projet'!$B$10,Paramètres!$A$1:$I$89,3,0)*VLOOKUP('Données projet'!$B$10,Paramètres!$A$1:$I$89,5,0)</f>
        <v>0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155.60948448168716</v>
      </c>
      <c r="AO174" s="62">
        <f t="shared" si="144"/>
        <v>317.1378745393755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6.054056283497661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1.5930975138999198E-19</v>
      </c>
      <c r="AX174" s="23">
        <f t="shared" si="166"/>
        <v>6.054056283497661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84.967999999999975</v>
      </c>
      <c r="D175" s="12">
        <f t="shared" si="140"/>
        <v>23.347594001643046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836.12037474952513</v>
      </c>
      <c r="H175" s="70">
        <f t="shared" si="110"/>
        <v>481.98299288619489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-4.5474735088646412E-13</v>
      </c>
      <c r="O175" s="14">
        <f>N175*VLOOKUP('Données projet'!$B$9,Paramètres!$A$1:$I$89,3,0)*VLOOKUP('Données projet'!$B$9,Paramètres!$A$1:$I$89,5,0)</f>
        <v>-2.1282176021486519E-13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219.48219097225825</v>
      </c>
      <c r="T175" s="62">
        <f t="shared" si="142"/>
        <v>168.03826591942982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>
        <f>AI175*VLOOKUP('Données projet'!$B$10,Paramètres!$A$1:$I$89,3,0)*VLOOKUP('Données projet'!$B$10,Paramètres!$A$1:$I$89,5,0)</f>
        <v>0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155.60948448168716</v>
      </c>
      <c r="AO175" s="62">
        <f t="shared" si="144"/>
        <v>317.1378745393755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5.9353399323879898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1.1264900551700634E-19</v>
      </c>
      <c r="AX175" s="23">
        <f t="shared" si="166"/>
        <v>5.9353399323879898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85.461999999999975</v>
      </c>
      <c r="D176" s="12">
        <f t="shared" si="140"/>
        <v>23.467494981425435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840.85925950573994</v>
      </c>
      <c r="H176" s="70">
        <f t="shared" si="110"/>
        <v>483.05220375931589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-4.5474735088646412E-13</v>
      </c>
      <c r="O176" s="14">
        <f>N176*VLOOKUP('Données projet'!$B$9,Paramètres!$A$1:$I$89,3,0)*VLOOKUP('Données projet'!$B$9,Paramètres!$A$1:$I$89,5,0)</f>
        <v>-2.1282176021486519E-13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219.48219097225825</v>
      </c>
      <c r="T176" s="62">
        <f t="shared" si="142"/>
        <v>168.03826591942982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>
        <f>AI176*VLOOKUP('Données projet'!$B$10,Paramètres!$A$1:$I$89,3,0)*VLOOKUP('Données projet'!$B$10,Paramètres!$A$1:$I$89,5,0)</f>
        <v>0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155.60948448168716</v>
      </c>
      <c r="AO176" s="62">
        <f t="shared" si="144"/>
        <v>317.1378745393755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5.8189515365137554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7.965487569499599E-20</v>
      </c>
      <c r="AX176" s="23">
        <f t="shared" si="166"/>
        <v>5.8189515365137554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85.955999999999975</v>
      </c>
      <c r="D177" s="12">
        <f t="shared" si="140"/>
        <v>23.587315314606048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845.59752172678338</v>
      </c>
      <c r="H177" s="70">
        <f t="shared" si="110"/>
        <v>484.1212741729388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-4.5474735088646412E-13</v>
      </c>
      <c r="O177" s="14">
        <f>N177*VLOOKUP('Données projet'!$B$9,Paramètres!$A$1:$I$89,3,0)*VLOOKUP('Données projet'!$B$9,Paramètres!$A$1:$I$89,5,0)</f>
        <v>-2.1282176021486519E-13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219.48219097225825</v>
      </c>
      <c r="T177" s="62">
        <f t="shared" si="142"/>
        <v>168.03826591942982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>
        <f>AI177*VLOOKUP('Données projet'!$B$10,Paramètres!$A$1:$I$89,3,0)*VLOOKUP('Données projet'!$B$10,Paramètres!$A$1:$I$89,5,0)</f>
        <v>0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155.60948448168716</v>
      </c>
      <c r="AO177" s="62">
        <f t="shared" si="144"/>
        <v>317.1378745393755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5.7048454460927029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5.6324502758503171E-20</v>
      </c>
      <c r="AX177" s="23">
        <f t="shared" si="166"/>
        <v>5.7048454460927029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86.449999999999974</v>
      </c>
      <c r="D178" s="12">
        <f t="shared" si="140"/>
        <v>23.707055518453593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850.33516540560652</v>
      </c>
      <c r="H178" s="70">
        <f t="shared" si="110"/>
        <v>485.19020502797326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-4.5474735088646412E-13</v>
      </c>
      <c r="O178" s="14">
        <f>N178*VLOOKUP('Données projet'!$B$9,Paramètres!$A$1:$I$89,3,0)*VLOOKUP('Données projet'!$B$9,Paramètres!$A$1:$I$89,5,0)</f>
        <v>-2.1282176021486519E-13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219.48219097225825</v>
      </c>
      <c r="T178" s="62">
        <f t="shared" si="142"/>
        <v>168.03826591942982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>
        <f>AI178*VLOOKUP('Données projet'!$B$10,Paramètres!$A$1:$I$89,3,0)*VLOOKUP('Données projet'!$B$10,Paramètres!$A$1:$I$89,5,0)</f>
        <v>0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155.60948448168716</v>
      </c>
      <c r="AO178" s="62">
        <f t="shared" si="144"/>
        <v>317.1378745393755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5.5929769065069639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3.9827437847497995E-20</v>
      </c>
      <c r="AX178" s="23">
        <f t="shared" si="166"/>
        <v>5.5929769065069639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86.943999999999974</v>
      </c>
      <c r="D179" s="12">
        <f t="shared" si="140"/>
        <v>23.82671610398301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855.07219448688613</v>
      </c>
      <c r="H179" s="70">
        <f t="shared" si="110"/>
        <v>486.25899721443699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-4.5474735088646412E-13</v>
      </c>
      <c r="O179" s="14">
        <f>N179*VLOOKUP('Données projet'!$B$9,Paramètres!$A$1:$I$89,3,0)*VLOOKUP('Données projet'!$B$9,Paramètres!$A$1:$I$89,5,0)</f>
        <v>-2.1282176021486519E-13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219.48219097225825</v>
      </c>
      <c r="T179" s="62">
        <f t="shared" si="142"/>
        <v>168.03826591942982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>
        <f>AI179*VLOOKUP('Données projet'!$B$10,Paramètres!$A$1:$I$89,3,0)*VLOOKUP('Données projet'!$B$10,Paramètres!$A$1:$I$89,5,0)</f>
        <v>0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155.60948448168716</v>
      </c>
      <c r="AO179" s="62">
        <f t="shared" si="144"/>
        <v>317.1378745393755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5.4833020407494297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2.8162251379251586E-20</v>
      </c>
      <c r="AX179" s="23">
        <f t="shared" si="166"/>
        <v>5.4833020407494297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87.437999999999974</v>
      </c>
      <c r="D180" s="12">
        <f t="shared" si="140"/>
        <v>23.946297576066275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859.80861286787979</v>
      </c>
      <c r="H180" s="70">
        <f t="shared" si="110"/>
        <v>487.32765161164866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-4.5474735088646412E-13</v>
      </c>
      <c r="O180" s="14">
        <f>N180*VLOOKUP('Données projet'!$B$9,Paramètres!$A$1:$I$89,3,0)*VLOOKUP('Données projet'!$B$9,Paramètres!$A$1:$I$89,5,0)</f>
        <v>-2.1282176021486519E-13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219.48219097225825</v>
      </c>
      <c r="T180" s="62">
        <f t="shared" si="142"/>
        <v>168.03826591942982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>
        <f>AI180*VLOOKUP('Données projet'!$B$10,Paramètres!$A$1:$I$89,3,0)*VLOOKUP('Données projet'!$B$10,Paramètres!$A$1:$I$89,5,0)</f>
        <v>0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155.60948448168716</v>
      </c>
      <c r="AO180" s="62">
        <f t="shared" si="144"/>
        <v>317.1378745393755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5.3757778322143377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1.9913718923748998E-20</v>
      </c>
      <c r="AX180" s="23">
        <f t="shared" si="166"/>
        <v>5.3757778322143377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87.931999999999974</v>
      </c>
      <c r="D181" s="12">
        <f t="shared" si="140"/>
        <v>24.065800433540435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864.54442439925936</v>
      </c>
      <c r="H181" s="70">
        <f t="shared" si="110"/>
        <v>488.39616908841617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-4.5474735088646412E-13</v>
      </c>
      <c r="O181" s="14">
        <f>N181*VLOOKUP('Données projet'!$B$9,Paramètres!$A$1:$I$89,3,0)*VLOOKUP('Données projet'!$B$9,Paramètres!$A$1:$I$89,5,0)</f>
        <v>-2.1282176021486519E-13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219.48219097225825</v>
      </c>
      <c r="T181" s="62">
        <f t="shared" si="142"/>
        <v>168.03826591942982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>
        <f>AI181*VLOOKUP('Données projet'!$B$10,Paramètres!$A$1:$I$89,3,0)*VLOOKUP('Données projet'!$B$10,Paramètres!$A$1:$I$89,5,0)</f>
        <v>0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155.60948448168716</v>
      </c>
      <c r="AO181" s="62">
        <f t="shared" si="144"/>
        <v>317.1378745393755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5.2703621078253278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1.4081125689625793E-20</v>
      </c>
      <c r="AX181" s="23">
        <f t="shared" si="166"/>
        <v>5.2703621078253278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88.425999999999974</v>
      </c>
      <c r="D182" s="12">
        <f t="shared" si="140"/>
        <v>24.185225169313263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869.27963288592673</v>
      </c>
      <c r="H182" s="70">
        <f t="shared" si="110"/>
        <v>489.46455050322049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-4.5474735088646412E-13</v>
      </c>
      <c r="O182" s="14">
        <f>N182*VLOOKUP('Données projet'!$B$9,Paramètres!$A$1:$I$89,3,0)*VLOOKUP('Données projet'!$B$9,Paramètres!$A$1:$I$89,5,0)</f>
        <v>-2.1282176021486519E-13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219.48219097225825</v>
      </c>
      <c r="T182" s="62">
        <f t="shared" si="142"/>
        <v>168.03826591942982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>
        <f>AI182*VLOOKUP('Données projet'!$B$10,Paramètres!$A$1:$I$89,3,0)*VLOOKUP('Données projet'!$B$10,Paramètres!$A$1:$I$89,5,0)</f>
        <v>0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155.60948448168716</v>
      </c>
      <c r="AO182" s="62">
        <f t="shared" si="144"/>
        <v>317.1378745393755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5.1670135214943436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9.9568594618744988E-21</v>
      </c>
      <c r="AX182" s="23">
        <f t="shared" si="166"/>
        <v>5.1670135214943436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88.919999999999973</v>
      </c>
      <c r="D183" s="12">
        <f t="shared" si="140"/>
        <v>24.30457227046648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874.01424208781134</v>
      </c>
      <c r="H183" s="70">
        <f t="shared" si="110"/>
        <v>490.53279670439571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-4.5474735088646412E-13</v>
      </c>
      <c r="O183" s="14">
        <f>N183*VLOOKUP('Données projet'!$B$9,Paramètres!$A$1:$I$89,3,0)*VLOOKUP('Données projet'!$B$9,Paramètres!$A$1:$I$89,5,0)</f>
        <v>-2.1282176021486519E-13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219.48219097225825</v>
      </c>
      <c r="T183" s="62">
        <f t="shared" si="142"/>
        <v>168.03826591942982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>
        <f>AI183*VLOOKUP('Données projet'!$B$10,Paramètres!$A$1:$I$89,3,0)*VLOOKUP('Données projet'!$B$10,Paramètres!$A$1:$I$89,5,0)</f>
        <v>0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155.60948448168716</v>
      </c>
      <c r="AO183" s="62">
        <f t="shared" si="144"/>
        <v>317.1378745393755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5.0656915379048959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7.0405628448128964E-21</v>
      </c>
      <c r="AX183" s="23">
        <f t="shared" si="166"/>
        <v>5.0656915379048959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89.413999999999973</v>
      </c>
      <c r="D184" s="12">
        <f t="shared" si="140"/>
        <v>24.42384221835654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878.74825572064674</v>
      </c>
      <c r="H184" s="70">
        <f t="shared" si="110"/>
        <v>491.6009085303042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-4.5474735088646412E-13</v>
      </c>
      <c r="O184" s="14">
        <f>N184*VLOOKUP('Données projet'!$B$9,Paramètres!$A$1:$I$89,3,0)*VLOOKUP('Données projet'!$B$9,Paramètres!$A$1:$I$89,5,0)</f>
        <v>-2.1282176021486519E-13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219.48219097225825</v>
      </c>
      <c r="T184" s="62">
        <f t="shared" si="142"/>
        <v>168.03826591942982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>
        <f>AI184*VLOOKUP('Données projet'!$B$10,Paramètres!$A$1:$I$89,3,0)*VLOOKUP('Données projet'!$B$10,Paramètres!$A$1:$I$89,5,0)</f>
        <v>0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155.60948448168716</v>
      </c>
      <c r="AO184" s="62">
        <f t="shared" si="144"/>
        <v>317.1378745393755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4.9663564166133298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4.9784297309372494E-21</v>
      </c>
      <c r="AX184" s="23">
        <f t="shared" si="166"/>
        <v>4.9663564166133298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89.907999999999973</v>
      </c>
      <c r="D185" s="12">
        <f t="shared" si="140"/>
        <v>24.543035488713222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883.48167745673345</v>
      </c>
      <c r="H185" s="70">
        <f t="shared" si="110"/>
        <v>492.66888680950876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-4.5474735088646412E-13</v>
      </c>
      <c r="O185" s="14">
        <f>N185*VLOOKUP('Données projet'!$B$9,Paramètres!$A$1:$I$89,3,0)*VLOOKUP('Données projet'!$B$9,Paramètres!$A$1:$I$89,5,0)</f>
        <v>-2.1282176021486519E-13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219.48219097225825</v>
      </c>
      <c r="T185" s="62">
        <f t="shared" si="142"/>
        <v>168.03826591942982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>
        <f>AI185*VLOOKUP('Données projet'!$B$10,Paramètres!$A$1:$I$89,3,0)*VLOOKUP('Données projet'!$B$10,Paramètres!$A$1:$I$89,5,0)</f>
        <v>0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155.60948448168716</v>
      </c>
      <c r="AO185" s="62">
        <f t="shared" si="144"/>
        <v>317.1378745393755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4.8689691964618502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3.5202814224064482E-21</v>
      </c>
      <c r="AX185" s="23">
        <f t="shared" si="166"/>
        <v>4.8689691964618502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90.401999999999973</v>
      </c>
      <c r="D186" s="12">
        <f t="shared" si="140"/>
        <v>24.662152551735971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888.21451092568088</v>
      </c>
      <c r="H186" s="70">
        <f t="shared" si="110"/>
        <v>493.7367323609401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-4.5474735088646412E-13</v>
      </c>
      <c r="O186" s="14">
        <f>N186*VLOOKUP('Données projet'!$B$9,Paramètres!$A$1:$I$89,3,0)*VLOOKUP('Données projet'!$B$9,Paramètres!$A$1:$I$89,5,0)</f>
        <v>-2.1282176021486519E-13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219.48219097225825</v>
      </c>
      <c r="T186" s="62">
        <f t="shared" si="142"/>
        <v>168.03826591942982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>
        <f>AI186*VLOOKUP('Données projet'!$B$10,Paramètres!$A$1:$I$89,3,0)*VLOOKUP('Données projet'!$B$10,Paramètres!$A$1:$I$89,5,0)</f>
        <v>0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155.60948448168716</v>
      </c>
      <c r="AO186" s="62">
        <f t="shared" si="144"/>
        <v>317.1378745393755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4.7734916802972016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2.4892148654686247E-21</v>
      </c>
      <c r="AX186" s="23">
        <f t="shared" si="166"/>
        <v>4.7734916802972016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90.895999999999972</v>
      </c>
      <c r="D187" s="12">
        <f t="shared" si="140"/>
        <v>24.781193872187952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892.94675971513482</v>
      </c>
      <c r="H187" s="70">
        <f t="shared" si="110"/>
        <v>494.80444599406064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-4.5474735088646412E-13</v>
      </c>
      <c r="O187" s="14">
        <f>N187*VLOOKUP('Données projet'!$B$9,Paramètres!$A$1:$I$89,3,0)*VLOOKUP('Données projet'!$B$9,Paramètres!$A$1:$I$89,5,0)</f>
        <v>-2.1282176021486519E-13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219.48219097225825</v>
      </c>
      <c r="T187" s="62">
        <f t="shared" si="142"/>
        <v>168.03826591942982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>
        <f>AI187*VLOOKUP('Données projet'!$B$10,Paramètres!$A$1:$I$89,3,0)*VLOOKUP('Données projet'!$B$10,Paramètres!$A$1:$I$89,5,0)</f>
        <v>0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155.60948448168716</v>
      </c>
      <c r="AO187" s="62">
        <f t="shared" si="144"/>
        <v>317.1378745393755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4.6798864199890078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1.7601407112032241E-21</v>
      </c>
      <c r="AX187" s="23">
        <f t="shared" si="166"/>
        <v>4.6798864199890078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91.389999999999972</v>
      </c>
      <c r="D188" s="12">
        <f t="shared" si="140"/>
        <v>24.900159909488185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897.67842737148749</v>
      </c>
      <c r="H188" s="70">
        <f t="shared" si="110"/>
        <v>495.8720285090252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-4.5474735088646412E-13</v>
      </c>
      <c r="O188" s="14">
        <f>N188*VLOOKUP('Données projet'!$B$9,Paramètres!$A$1:$I$89,3,0)*VLOOKUP('Données projet'!$B$9,Paramètres!$A$1:$I$89,5,0)</f>
        <v>-2.1282176021486519E-13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219.48219097225825</v>
      </c>
      <c r="T188" s="62">
        <f t="shared" si="142"/>
        <v>168.03826591942982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>
        <f>AI188*VLOOKUP('Données projet'!$B$10,Paramètres!$A$1:$I$89,3,0)*VLOOKUP('Données projet'!$B$10,Paramètres!$A$1:$I$89,5,0)</f>
        <v>0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155.60948448168716</v>
      </c>
      <c r="AO188" s="62">
        <f t="shared" si="144"/>
        <v>317.1378745393755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4.5881167017418862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1.2446074327343123E-21</v>
      </c>
      <c r="AX188" s="23">
        <f t="shared" si="166"/>
        <v>4.5881167017418862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91.883999999999972</v>
      </c>
      <c r="D189" s="12">
        <f t="shared" si="140"/>
        <v>25.019051117801563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902.40951740057335</v>
      </c>
      <c r="H189" s="70">
        <f t="shared" si="110"/>
        <v>496.93948069683768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-4.5474735088646412E-13</v>
      </c>
      <c r="O189" s="14">
        <f>N189*VLOOKUP('Données projet'!$B$9,Paramètres!$A$1:$I$89,3,0)*VLOOKUP('Données projet'!$B$9,Paramètres!$A$1:$I$89,5,0)</f>
        <v>-2.1282176021486519E-13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219.48219097225825</v>
      </c>
      <c r="T189" s="62">
        <f t="shared" si="142"/>
        <v>168.03826591942982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>
        <f>AI189*VLOOKUP('Données projet'!$B$10,Paramètres!$A$1:$I$89,3,0)*VLOOKUP('Données projet'!$B$10,Paramètres!$A$1:$I$89,5,0)</f>
        <v>0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155.60948448168716</v>
      </c>
      <c r="AO189" s="62">
        <f t="shared" si="144"/>
        <v>317.1378745393755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4.4981465316955891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8.8007035560161205E-22</v>
      </c>
      <c r="AX189" s="23">
        <f t="shared" si="166"/>
        <v>4.4981465316955891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92.377999999999972</v>
      </c>
      <c r="D190" s="12">
        <f t="shared" si="140"/>
        <v>25.137867946126693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907.14003326834609</v>
      </c>
      <c r="H190" s="70">
        <f t="shared" si="110"/>
        <v>498.0068033395039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-4.5474735088646412E-13</v>
      </c>
      <c r="O190" s="14">
        <f>N190*VLOOKUP('Données projet'!$B$9,Paramètres!$A$1:$I$89,3,0)*VLOOKUP('Données projet'!$B$9,Paramètres!$A$1:$I$89,5,0)</f>
        <v>-2.1282176021486519E-13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219.48219097225825</v>
      </c>
      <c r="T190" s="62">
        <f t="shared" si="142"/>
        <v>168.03826591942982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>
        <f>AI190*VLOOKUP('Données projet'!$B$10,Paramètres!$A$1:$I$89,3,0)*VLOOKUP('Données projet'!$B$10,Paramètres!$A$1:$I$89,5,0)</f>
        <v>0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155.60948448168716</v>
      </c>
      <c r="AO190" s="62">
        <f t="shared" si="144"/>
        <v>317.1378745393755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4.4099406218075154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6.2230371636715617E-22</v>
      </c>
      <c r="AX190" s="23">
        <f t="shared" si="166"/>
        <v>4.4099406218075154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92.871999999999971</v>
      </c>
      <c r="D191" s="12">
        <f t="shared" si="140"/>
        <v>25.256610838382159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911.86997840154629</v>
      </c>
      <c r="H191" s="70">
        <f t="shared" si="110"/>
        <v>499.0739972101822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-4.5474735088646412E-13</v>
      </c>
      <c r="O191" s="14">
        <f>N191*VLOOKUP('Données projet'!$B$9,Paramètres!$A$1:$I$89,3,0)*VLOOKUP('Données projet'!$B$9,Paramètres!$A$1:$I$89,5,0)</f>
        <v>-2.1282176021486519E-13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219.48219097225825</v>
      </c>
      <c r="T191" s="62">
        <f t="shared" si="142"/>
        <v>168.03826591942982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>
        <f>AI191*VLOOKUP('Données projet'!$B$10,Paramètres!$A$1:$I$89,3,0)*VLOOKUP('Données projet'!$B$10,Paramètres!$A$1:$I$89,5,0)</f>
        <v>0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155.60948448168716</v>
      </c>
      <c r="AO191" s="62">
        <f t="shared" si="144"/>
        <v>317.1378745393755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4.3234643760120539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4.4003517780080603E-22</v>
      </c>
      <c r="AX191" s="23">
        <f t="shared" si="166"/>
        <v>4.3234643760120539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93.365999999999971</v>
      </c>
      <c r="D192" s="12">
        <f t="shared" si="140"/>
        <v>25.375280233490678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916.59935618834879</v>
      </c>
      <c r="H192" s="70">
        <f t="shared" si="110"/>
        <v>500.14106307332952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-4.5474735088646412E-13</v>
      </c>
      <c r="O192" s="14">
        <f>N192*VLOOKUP('Données projet'!$B$9,Paramètres!$A$1:$I$89,3,0)*VLOOKUP('Données projet'!$B$9,Paramètres!$A$1:$I$89,5,0)</f>
        <v>-2.1282176021486519E-13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219.48219097225825</v>
      </c>
      <c r="T192" s="62">
        <f t="shared" si="142"/>
        <v>168.03826591942982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>
        <f>AI192*VLOOKUP('Données projet'!$B$10,Paramètres!$A$1:$I$89,3,0)*VLOOKUP('Données projet'!$B$10,Paramètres!$A$1:$I$89,5,0)</f>
        <v>0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155.60948448168716</v>
      </c>
      <c r="AO192" s="62">
        <f t="shared" si="144"/>
        <v>317.1378745393755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4.2386838766513399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3.1115185818357809E-22</v>
      </c>
      <c r="AX192" s="23">
        <f t="shared" si="166"/>
        <v>4.2386838766513399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93.859999999999971</v>
      </c>
      <c r="D193" s="12">
        <f t="shared" si="140"/>
        <v>25.493876565461285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921.3281699789992</v>
      </c>
      <c r="H193" s="70">
        <f t="shared" si="110"/>
        <v>501.20800168484499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-4.5474735088646412E-13</v>
      </c>
      <c r="O193" s="14">
        <f>N193*VLOOKUP('Données projet'!$B$9,Paramètres!$A$1:$I$89,3,0)*VLOOKUP('Données projet'!$B$9,Paramètres!$A$1:$I$89,5,0)</f>
        <v>-2.1282176021486519E-13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219.48219097225825</v>
      </c>
      <c r="T193" s="62">
        <f t="shared" si="142"/>
        <v>168.03826591942982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>
        <f>AI193*VLOOKUP('Données projet'!$B$10,Paramètres!$A$1:$I$89,3,0)*VLOOKUP('Données projet'!$B$10,Paramètres!$A$1:$I$89,5,0)</f>
        <v>0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155.60948448168716</v>
      </c>
      <c r="AO193" s="62">
        <f t="shared" si="144"/>
        <v>317.1378745393755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4.1555658711720902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2.2001758890040301E-22</v>
      </c>
      <c r="AX193" s="23">
        <f t="shared" si="166"/>
        <v>4.1555658711720902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94.353999999999971</v>
      </c>
      <c r="D194" s="12">
        <f t="shared" si="140"/>
        <v>25.612400263470157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926.05642308643598</v>
      </c>
      <c r="H194" s="70">
        <f t="shared" si="110"/>
        <v>502.27481379221047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-4.5474735088646412E-13</v>
      </c>
      <c r="O194" s="14">
        <f>N194*VLOOKUP('Données projet'!$B$9,Paramètres!$A$1:$I$89,3,0)*VLOOKUP('Données projet'!$B$9,Paramètres!$A$1:$I$89,5,0)</f>
        <v>-2.1282176021486519E-13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219.48219097225825</v>
      </c>
      <c r="T194" s="62">
        <f t="shared" si="142"/>
        <v>168.03826591942982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>
        <f>AI194*VLOOKUP('Données projet'!$B$10,Paramètres!$A$1:$I$89,3,0)*VLOOKUP('Données projet'!$B$10,Paramètres!$A$1:$I$89,5,0)</f>
        <v>0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155.60948448168716</v>
      </c>
      <c r="AO194" s="62">
        <f t="shared" si="144"/>
        <v>317.1378745393755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4.0740777590833117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1.5557592909178904E-22</v>
      </c>
      <c r="AX194" s="23">
        <f t="shared" si="166"/>
        <v>4.0740777590833117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94.847999999999971</v>
      </c>
      <c r="D195" s="12">
        <f t="shared" si="140"/>
        <v>25.730851751939202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930.78411878689894</v>
      </c>
      <c r="H195" s="70">
        <f t="shared" si="110"/>
        <v>503.34150013462738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-4.5474735088646412E-13</v>
      </c>
      <c r="O195" s="14">
        <f>N195*VLOOKUP('Données projet'!$B$9,Paramètres!$A$1:$I$89,3,0)*VLOOKUP('Données projet'!$B$9,Paramètres!$A$1:$I$89,5,0)</f>
        <v>-2.1282176021486519E-13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219.48219097225825</v>
      </c>
      <c r="T195" s="62">
        <f t="shared" si="142"/>
        <v>168.03826591942982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>
        <f>AI195*VLOOKUP('Données projet'!$B$10,Paramètres!$A$1:$I$89,3,0)*VLOOKUP('Données projet'!$B$10,Paramètres!$A$1:$I$89,5,0)</f>
        <v>0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155.60948448168716</v>
      </c>
      <c r="AO195" s="62">
        <f t="shared" si="144"/>
        <v>317.1378745393755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3.9941875791697532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1.1000879445020151E-22</v>
      </c>
      <c r="AX195" s="23">
        <f t="shared" si="166"/>
        <v>3.9941875791697532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95.34199999999997</v>
      </c>
      <c r="D196" s="12">
        <f t="shared" si="140"/>
        <v>25.849231450613374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935.511260320524</v>
      </c>
      <c r="H196" s="70">
        <f t="shared" ref="H196:H203" si="192">(B196+E196+F196)*44/12+(C196+D196)*0.475*44/12</f>
        <v>504.40806144315155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-4.5474735088646412E-13</v>
      </c>
      <c r="O196" s="14">
        <f>N196*VLOOKUP('Données projet'!$B$9,Paramètres!$A$1:$I$89,3,0)*VLOOKUP('Données projet'!$B$9,Paramètres!$A$1:$I$89,5,0)</f>
        <v>-2.1282176021486519E-13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219.48219097225825</v>
      </c>
      <c r="T196" s="62">
        <f t="shared" si="142"/>
        <v>168.03826591942982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>
        <f>AI196*VLOOKUP('Données projet'!$B$10,Paramètres!$A$1:$I$89,3,0)*VLOOKUP('Données projet'!$B$10,Paramètres!$A$1:$I$89,5,0)</f>
        <v>0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155.60948448168716</v>
      </c>
      <c r="AO196" s="62">
        <f t="shared" si="144"/>
        <v>317.1378745393755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3.9158639969561015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7.7787964545894522E-23</v>
      </c>
      <c r="AX196" s="23">
        <f t="shared" si="166"/>
        <v>3.9158639969561015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95.83599999999997</v>
      </c>
      <c r="D197" s="12">
        <f t="shared" ref="D197:D203" si="202">IFERROR(EXP(-1.0587+0.8836*LN(C197)+0.284),0)</f>
        <v>25.967539774636116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940.23785089192768</v>
      </c>
      <c r="H197" s="70">
        <f t="shared" si="192"/>
        <v>505.4744984408245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-4.5474735088646412E-13</v>
      </c>
      <c r="O197" s="14">
        <f>N197*VLOOKUP('Données projet'!$B$9,Paramètres!$A$1:$I$89,3,0)*VLOOKUP('Données projet'!$B$9,Paramètres!$A$1:$I$89,5,0)</f>
        <v>-2.1282176021486519E-13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219.48219097225825</v>
      </c>
      <c r="T197" s="62">
        <f t="shared" ref="T197:T203" si="204">$T$3</f>
        <v>168.03826591942982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>
        <f>AI197*VLOOKUP('Données projet'!$B$10,Paramètres!$A$1:$I$89,3,0)*VLOOKUP('Données projet'!$B$10,Paramètres!$A$1:$I$89,5,0)</f>
        <v>0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155.60948448168716</v>
      </c>
      <c r="AO197" s="62">
        <f t="shared" ref="AO197:AO203" si="205">$AO$3</f>
        <v>317.1378745393755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3.8390762924169914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5.5004397225100753E-23</v>
      </c>
      <c r="AX197" s="23">
        <f t="shared" si="166"/>
        <v>3.8390762924169914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96.32999999999997</v>
      </c>
      <c r="D198" s="12">
        <f t="shared" si="202"/>
        <v>26.08577713462325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944.96389367077575</v>
      </c>
      <c r="H198" s="70">
        <f t="shared" si="192"/>
        <v>506.5408118428021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-4.5474735088646412E-13</v>
      </c>
      <c r="O198" s="14">
        <f>N198*VLOOKUP('Données projet'!$B$9,Paramètres!$A$1:$I$89,3,0)*VLOOKUP('Données projet'!$B$9,Paramètres!$A$1:$I$89,5,0)</f>
        <v>-2.1282176021486519E-13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219.48219097225825</v>
      </c>
      <c r="T198" s="62">
        <f t="shared" si="204"/>
        <v>168.03826591942982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>
        <f>AI198*VLOOKUP('Données projet'!$B$10,Paramètres!$A$1:$I$89,3,0)*VLOOKUP('Données projet'!$B$10,Paramètres!$A$1:$I$89,5,0)</f>
        <v>0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155.60948448168716</v>
      </c>
      <c r="AO198" s="62">
        <f t="shared" si="205"/>
        <v>317.1378745393755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3.7637943479280183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3.8893982272947261E-23</v>
      </c>
      <c r="AX198" s="23">
        <f t="shared" si="166"/>
        <v>3.7637943479280183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96.82399999999997</v>
      </c>
      <c r="D199" s="12">
        <f t="shared" si="202"/>
        <v>26.203943936735264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949.68939179234212</v>
      </c>
      <c r="H199" s="70">
        <f t="shared" si="192"/>
        <v>507.60700235648051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-4.5474735088646412E-13</v>
      </c>
      <c r="O199" s="14">
        <f>N199*VLOOKUP('Données projet'!$B$9,Paramètres!$A$1:$I$89,3,0)*VLOOKUP('Données projet'!$B$9,Paramètres!$A$1:$I$89,5,0)</f>
        <v>-2.1282176021486519E-13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219.48219097225825</v>
      </c>
      <c r="T199" s="62">
        <f t="shared" si="204"/>
        <v>168.03826591942982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>
        <f>AI199*VLOOKUP('Données projet'!$B$10,Paramètres!$A$1:$I$89,3,0)*VLOOKUP('Données projet'!$B$10,Paramètres!$A$1:$I$89,5,0)</f>
        <v>0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155.60948448168716</v>
      </c>
      <c r="AO199" s="62">
        <f t="shared" si="205"/>
        <v>317.1378745393755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3.6899886364530219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2.7502198612550377E-23</v>
      </c>
      <c r="AX199" s="23">
        <f t="shared" si="166"/>
        <v>3.6899886364530219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97.317999999999969</v>
      </c>
      <c r="D200" s="12">
        <f t="shared" si="202"/>
        <v>26.32204058274829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954.4143483580566</v>
      </c>
      <c r="H200" s="70">
        <f t="shared" si="192"/>
        <v>508.67307068161983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-4.5474735088646412E-13</v>
      </c>
      <c r="O200" s="14">
        <f>N200*VLOOKUP('Données projet'!$B$9,Paramètres!$A$1:$I$89,3,0)*VLOOKUP('Données projet'!$B$9,Paramètres!$A$1:$I$89,5,0)</f>
        <v>-2.1282176021486519E-13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219.48219097225825</v>
      </c>
      <c r="T200" s="62">
        <f t="shared" si="204"/>
        <v>168.03826591942982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>
        <f>AI200*VLOOKUP('Données projet'!$B$10,Paramètres!$A$1:$I$89,3,0)*VLOOKUP('Données projet'!$B$10,Paramètres!$A$1:$I$89,5,0)</f>
        <v>0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155.60948448168716</v>
      </c>
      <c r="AO200" s="62">
        <f t="shared" si="205"/>
        <v>317.1378745393755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3.6176302099630111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1.944699113647363E-23</v>
      </c>
      <c r="AX200" s="23">
        <f t="shared" si="166"/>
        <v>3.6176302099630111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97.811999999999969</v>
      </c>
      <c r="D201" s="12">
        <f t="shared" si="202"/>
        <v>26.44006747012326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959.13876643603896</v>
      </c>
      <c r="H201" s="70">
        <f t="shared" si="192"/>
        <v>509.73901751046458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-4.5474735088646412E-13</v>
      </c>
      <c r="O201" s="14">
        <f>N201*VLOOKUP('Données projet'!$B$9,Paramètres!$A$1:$I$89,3,0)*VLOOKUP('Données projet'!$B$9,Paramètres!$A$1:$I$89,5,0)</f>
        <v>-2.1282176021486519E-13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219.48219097225825</v>
      </c>
      <c r="T201" s="62">
        <f t="shared" si="204"/>
        <v>168.03826591942982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>
        <f>AI201*VLOOKUP('Données projet'!$B$10,Paramètres!$A$1:$I$89,3,0)*VLOOKUP('Données projet'!$B$10,Paramètres!$A$1:$I$89,5,0)</f>
        <v>0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155.60948448168716</v>
      </c>
      <c r="AO201" s="62">
        <f t="shared" si="205"/>
        <v>317.1378745393755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3.5466906880821871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1.3751099306275188E-23</v>
      </c>
      <c r="AX201" s="23">
        <f t="shared" si="166"/>
        <v>3.5466906880821871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98.305999999999969</v>
      </c>
      <c r="D202" s="12">
        <f t="shared" si="202"/>
        <v>26.558024992073921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963.86264906162307</v>
      </c>
      <c r="H202" s="70">
        <f t="shared" si="192"/>
        <v>510.80484352786198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-4.5474735088646412E-13</v>
      </c>
      <c r="O202" s="14">
        <f>N202*VLOOKUP('Données projet'!$B$9,Paramètres!$A$1:$I$89,3,0)*VLOOKUP('Données projet'!$B$9,Paramètres!$A$1:$I$89,5,0)</f>
        <v>-2.1282176021486519E-13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219.48219097225825</v>
      </c>
      <c r="T202" s="62">
        <f t="shared" si="204"/>
        <v>168.03826591942982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>
        <f>AI202*VLOOKUP('Données projet'!$B$10,Paramètres!$A$1:$I$89,3,0)*VLOOKUP('Données projet'!$B$10,Paramètres!$A$1:$I$89,5,0)</f>
        <v>0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155.60948448168716</v>
      </c>
      <c r="AO202" s="62">
        <f t="shared" si="205"/>
        <v>317.1378745393755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3.47714224695661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9.7234955682368152E-24</v>
      </c>
      <c r="AX202" s="23">
        <f t="shared" si="166"/>
        <v>3.47714224695661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98.799999999999969</v>
      </c>
      <c r="D203" s="12">
        <f t="shared" si="202"/>
        <v>26.675913537633271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968.58599923787062</v>
      </c>
      <c r="H203" s="70">
        <f t="shared" si="192"/>
        <v>511.87054941137785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-4.5474735088646412E-13</v>
      </c>
      <c r="O203" s="14">
        <f>N203*VLOOKUP('Données projet'!$B$9,Paramètres!$A$1:$I$89,3,0)*VLOOKUP('Données projet'!$B$9,Paramètres!$A$1:$I$89,5,0)</f>
        <v>-2.1282176021486519E-13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219.48219097225825</v>
      </c>
      <c r="T203" s="62">
        <f t="shared" si="204"/>
        <v>168.03826591942982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>
        <f>AI203*VLOOKUP('Données projet'!$B$10,Paramètres!$A$1:$I$89,3,0)*VLOOKUP('Données projet'!$B$10,Paramètres!$A$1:$I$89,5,0)</f>
        <v>0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155.60948448168716</v>
      </c>
      <c r="AO203" s="62">
        <f t="shared" si="205"/>
        <v>317.1378745393755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3.408957608341145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6.8755496531375942E-24</v>
      </c>
      <c r="AX203" s="23">
        <f t="shared" si="166"/>
        <v>3.408957608341145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1.1922168590978506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1.4261938757879591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33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34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33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35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35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34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33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34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22" sqref="G22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37" t="s">
        <v>191</v>
      </c>
      <c r="C2" s="338"/>
      <c r="D2" s="338"/>
      <c r="E2" s="338"/>
      <c r="F2" s="338"/>
      <c r="G2" s="339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36"/>
      <c r="C4" s="336"/>
      <c r="D4" s="336"/>
      <c r="E4" s="336"/>
      <c r="F4" s="336"/>
      <c r="G4" s="336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46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4" workbookViewId="0">
      <selection activeCell="N27" sqref="N27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37" t="s">
        <v>271</v>
      </c>
      <c r="B2" s="338"/>
      <c r="C2" s="338"/>
      <c r="D2" s="338"/>
      <c r="E2" s="338"/>
      <c r="F2" s="338"/>
      <c r="G2" s="338"/>
      <c r="H2" s="338"/>
      <c r="I2" s="338"/>
      <c r="J2" s="338"/>
      <c r="K2" s="338"/>
      <c r="L2" s="339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Cèdre de l'Atlas</v>
      </c>
      <c r="B6" s="155">
        <f>'Données projet'!D9</f>
        <v>1.6</v>
      </c>
      <c r="C6" s="156">
        <f ca="1">IF(OR('Données projet'!B9="",'Données projet'!C9="",'Données projet'!C9=0%),0,Calculateur!S3)</f>
        <v>219.48219097225825</v>
      </c>
      <c r="D6" s="156">
        <f>IF(OR('Données projet'!B9="",'Données projet'!C9="",'Données projet'!C9=0%),0,Calculateur!T3)</f>
        <v>168.03826591942982</v>
      </c>
      <c r="E6" s="156">
        <f ca="1">MIN(C6,D6)</f>
        <v>168.03826591942982</v>
      </c>
      <c r="F6" s="156">
        <f ca="1">E6*B6</f>
        <v>268.86122547108772</v>
      </c>
      <c r="G6" s="156">
        <f ca="1">F6*(100%-'Données projet'!$C$24)*(100%-'Données projet'!$C$25)*(100%-'Données projet'!$C$26)*(100%-'Données projet'!$C$27)</f>
        <v>205.6788374853821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0</v>
      </c>
      <c r="K6" s="160">
        <f>J6*(100%-'Données projet'!$C$24)*(100%-'Données projet'!$C$25)*(100%-'Données projet'!$C$26)*(100%-'Données projet'!$C$27)</f>
        <v>0</v>
      </c>
      <c r="L6" s="161">
        <f ca="1">G6+I6+K6</f>
        <v>205.6788374853821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Pin maritime</v>
      </c>
      <c r="B7" s="163">
        <f>'Données projet'!D10</f>
        <v>1.6</v>
      </c>
      <c r="C7" s="156">
        <f ca="1">IF(OR('Données projet'!B10="",'Données projet'!C10="",'Données projet'!C10=0%),0,Calculateur!AN3)</f>
        <v>155.60948448168716</v>
      </c>
      <c r="D7" s="156">
        <f>IF(OR('Données projet'!B10="",'Données projet'!C10="",'Données projet'!C10=0%),0,Calculateur!AO3)</f>
        <v>317.1378745393755</v>
      </c>
      <c r="E7" s="156">
        <f t="shared" ref="E7:E15" ca="1" si="0">MIN(C7,D7)</f>
        <v>155.60948448168716</v>
      </c>
      <c r="F7" s="156">
        <f t="shared" ref="F7:F15" ca="1" si="1">E7*B7</f>
        <v>248.97517517069946</v>
      </c>
      <c r="G7" s="156">
        <f ca="1">F7*(100%-'Données projet'!$C$24)*(100%-'Données projet'!$C$25)*(100%-'Données projet'!$C$26)*(100%-'Données projet'!$C$27)</f>
        <v>190.46600900558511</v>
      </c>
      <c r="H7" s="164">
        <f>IF(OR('Données projet'!B10="",'Données projet'!C10="",'Données projet'!C10=0%),0,AVERAGE(Calculateur!$AX$3:$AX$33)*B7)</f>
        <v>15.49437117562247</v>
      </c>
      <c r="I7" s="158">
        <f>H7*(100%-'Données projet'!$C$24)*(100%-'Données projet'!$C$25)*(100%-'Données projet'!$C$26)*(100%-'Données projet'!$C$27)</f>
        <v>11.853193949351189</v>
      </c>
      <c r="J7" s="159">
        <f>IF(OR('Données projet'!B10="",'Données projet'!C10="",'Données projet'!C10=0%),0,SUM(Calculateur!$AQ$3:$AQ$33)*VLOOKUP('Données projet'!$B$10,Paramètres!$A$1:$I$89,9,0)*B7)</f>
        <v>113.28</v>
      </c>
      <c r="K7" s="160">
        <f>J7*(100%-'Données projet'!$C$24)*(100%-'Données projet'!$C$25)*(100%-'Données projet'!$C$26)*(100%-'Données projet'!$C$27)</f>
        <v>86.659199999999998</v>
      </c>
      <c r="L7" s="161">
        <f t="shared" ref="L7:L15" ca="1" si="2">G7+I7+K7</f>
        <v>288.97840295493631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517.83640064178712</v>
      </c>
      <c r="G16" s="175">
        <f t="shared" ca="1" si="3"/>
        <v>396.14484649096721</v>
      </c>
      <c r="H16" s="176">
        <f t="shared" si="3"/>
        <v>15.49437117562247</v>
      </c>
      <c r="I16" s="176">
        <f t="shared" si="3"/>
        <v>11.853193949351189</v>
      </c>
      <c r="J16" s="177">
        <f t="shared" si="3"/>
        <v>113.28</v>
      </c>
      <c r="K16" s="177">
        <f t="shared" si="3"/>
        <v>86.659199999999998</v>
      </c>
      <c r="L16" s="178">
        <f t="shared" ca="1" si="3"/>
        <v>494.65724044031845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40" t="s">
        <v>246</v>
      </c>
      <c r="G17" s="341"/>
      <c r="H17" s="341"/>
      <c r="I17" s="341"/>
      <c r="J17" s="341"/>
      <c r="K17" s="341"/>
      <c r="L17" s="34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42"/>
      <c r="G18" s="342"/>
      <c r="H18" s="342"/>
      <c r="I18" s="342"/>
      <c r="J18" s="342"/>
      <c r="K18" s="342"/>
      <c r="L18" s="34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Cèdre de l'Atlas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Pin maritime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cellWatches>
    <cellWatch r="L16"/>
  </cellWatche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F1" zoomScale="90" zoomScaleNormal="90" workbookViewId="0">
      <selection activeCell="T25" sqref="T25:V25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37" t="s">
        <v>272</v>
      </c>
      <c r="C2" s="338"/>
      <c r="D2" s="338"/>
      <c r="E2" s="338"/>
      <c r="F2" s="338"/>
      <c r="G2" s="338"/>
      <c r="H2" s="338"/>
      <c r="I2" s="338"/>
      <c r="J2" s="338"/>
      <c r="K2" s="338"/>
      <c r="L2" s="338"/>
      <c r="M2" s="338"/>
      <c r="N2" s="338"/>
      <c r="O2" s="338"/>
      <c r="P2" s="339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60" t="s">
        <v>315</v>
      </c>
      <c r="I4" s="360"/>
      <c r="K4" s="357" t="s">
        <v>253</v>
      </c>
      <c r="L4" s="35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49" t="s">
        <v>310</v>
      </c>
      <c r="S7" s="350"/>
      <c r="T7" s="350"/>
      <c r="U7" s="350"/>
      <c r="V7" s="35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Cèdre de l'Atlas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648.01312396870117</v>
      </c>
      <c r="U10" s="190">
        <f>'Données projet'!D9</f>
        <v>1.6</v>
      </c>
      <c r="V10" s="189">
        <f>U10*T10</f>
        <v>1036.8209983499219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Pin maritime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3904.828645014763</v>
      </c>
      <c r="U11" s="190">
        <f>'Données projet'!D10</f>
        <v>1.6</v>
      </c>
      <c r="V11" s="189">
        <f t="shared" ref="V11" si="0">U11*T11</f>
        <v>6247.7258320236215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Cèdre de l'Atlas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61" t="s">
        <v>318</v>
      </c>
      <c r="H15" s="203">
        <v>5</v>
      </c>
      <c r="I15" s="204">
        <v>3609</v>
      </c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61"/>
      <c r="H16" s="203"/>
      <c r="I16" s="204"/>
      <c r="J16" s="216"/>
      <c r="K16" s="225"/>
      <c r="L16" s="357" t="s">
        <v>254</v>
      </c>
      <c r="M16" s="358"/>
      <c r="N16" s="2">
        <v>60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61"/>
      <c r="J17" s="216"/>
      <c r="K17" s="225"/>
      <c r="L17" s="315" t="s">
        <v>289</v>
      </c>
      <c r="M17" s="317"/>
      <c r="N17" s="187">
        <f>VLOOKUP(N16,Calculateur!$A$2:$H$153,3,0)/VLOOKUP('Scénario référence'!$G$15,Paramètres!A1:I89,3,0)/VLOOKUP('Scénario référence'!$G$15,Paramètres!A1:I89,5,0)</f>
        <v>59.999999999999979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61"/>
      <c r="J18" s="216"/>
      <c r="K18" s="225"/>
      <c r="L18" s="315" t="s">
        <v>255</v>
      </c>
      <c r="M18" s="317"/>
      <c r="N18" s="205">
        <v>20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61"/>
      <c r="H19" s="232" t="s">
        <v>178</v>
      </c>
      <c r="I19" s="232" t="s">
        <v>287</v>
      </c>
      <c r="J19" s="260"/>
      <c r="K19" s="183"/>
      <c r="L19" s="357" t="s">
        <v>288</v>
      </c>
      <c r="M19" s="358"/>
      <c r="N19" s="191">
        <f>N17*N18</f>
        <v>1199.9999999999995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61"/>
      <c r="H20" s="203">
        <v>0</v>
      </c>
      <c r="I20" s="204">
        <v>3733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1700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2</v>
      </c>
      <c r="I22" s="204">
        <v>900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30</v>
      </c>
      <c r="B23" s="193">
        <f>'Données projet'!D36</f>
        <v>0</v>
      </c>
      <c r="C23" s="206"/>
      <c r="D23" s="194">
        <f>B23*C23</f>
        <v>0</v>
      </c>
      <c r="E23" s="206"/>
      <c r="F23" s="261"/>
      <c r="H23" s="203">
        <v>3</v>
      </c>
      <c r="I23" s="204">
        <v>900</v>
      </c>
      <c r="K23" s="225"/>
      <c r="L23" s="359" t="s">
        <v>260</v>
      </c>
      <c r="M23" s="359"/>
      <c r="N23" s="359"/>
      <c r="O23" s="25"/>
      <c r="P23" s="25"/>
      <c r="Q23" s="265"/>
      <c r="R23" s="25"/>
      <c r="S23" s="185" t="s">
        <v>264</v>
      </c>
      <c r="T23" s="35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-5760.4846298354059</v>
      </c>
      <c r="U23" s="354"/>
      <c r="V23" s="35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40</v>
      </c>
      <c r="B24" s="193">
        <f>'Données projet'!D37</f>
        <v>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55">
        <f ca="1">'Scénario référence'!$B$8*$M$30*'Données projet'!$C$5+('Scénario référence'!B9+'Scénario référence'!B10+'Scénario référence'!F8+'Scénario référence'!F9)*$N$19/(1+M4)^N16*'Données projet'!$C$5</f>
        <v>273.74979179804092</v>
      </c>
      <c r="U24" s="355"/>
      <c r="V24" s="35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51</v>
      </c>
      <c r="B25" s="193">
        <f>'Données projet'!D38</f>
        <v>182.39</v>
      </c>
      <c r="C25" s="206">
        <v>18</v>
      </c>
      <c r="D25" s="194">
        <f t="shared" si="2"/>
        <v>3283.0199999999995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56">
        <f ca="1">T23-T24</f>
        <v>-6034.2344216334468</v>
      </c>
      <c r="U25" s="356"/>
      <c r="V25" s="35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53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43" t="s">
        <v>258</v>
      </c>
      <c r="M26" s="344"/>
      <c r="N26" s="344"/>
      <c r="O26" s="344"/>
      <c r="P26" s="345"/>
      <c r="Q26" s="265"/>
      <c r="R26" s="25"/>
      <c r="S26" s="198" t="s">
        <v>265</v>
      </c>
      <c r="T26" s="353" t="str">
        <f ca="1">IF(T25&lt;0,"Votre projet est additionnel","Votre projet n'est pas additionnel")</f>
        <v>Votre projet est additionnel</v>
      </c>
      <c r="U26" s="353"/>
      <c r="V26" s="35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61</v>
      </c>
      <c r="B27" s="193">
        <f>'Données projet'!D40</f>
        <v>100.16</v>
      </c>
      <c r="C27" s="206">
        <v>18</v>
      </c>
      <c r="D27" s="194">
        <f t="shared" si="2"/>
        <v>1802.8799999999999</v>
      </c>
      <c r="E27" s="206"/>
      <c r="F27" s="264"/>
      <c r="G27" s="259"/>
      <c r="H27" s="203"/>
      <c r="I27" s="204"/>
      <c r="K27" s="225"/>
      <c r="L27" s="346"/>
      <c r="M27" s="347"/>
      <c r="N27" s="347"/>
      <c r="O27" s="347"/>
      <c r="P27" s="348"/>
      <c r="Q27" s="265"/>
      <c r="R27" s="25"/>
      <c r="S27" s="352" t="s">
        <v>267</v>
      </c>
      <c r="T27" s="352"/>
      <c r="U27" s="352"/>
      <c r="V27" s="35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62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73</v>
      </c>
      <c r="B29" s="193">
        <f>'Données projet'!D42</f>
        <v>79.39</v>
      </c>
      <c r="C29" s="206">
        <v>20</v>
      </c>
      <c r="D29" s="194">
        <f t="shared" si="2"/>
        <v>1587.8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74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84</v>
      </c>
      <c r="B31" s="193">
        <f>'Données projet'!D44</f>
        <v>79.099999999999994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85</v>
      </c>
      <c r="B32" s="193">
        <f>'Données projet'!D45</f>
        <v>0</v>
      </c>
      <c r="C32" s="206">
        <v>20</v>
      </c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86</v>
      </c>
      <c r="B33" s="193">
        <f>'Données projet'!D46</f>
        <v>90.8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97</v>
      </c>
      <c r="B34" s="193">
        <f>'Données projet'!D47</f>
        <v>0</v>
      </c>
      <c r="C34" s="206">
        <v>23</v>
      </c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98</v>
      </c>
      <c r="B35" s="193">
        <f>'Données projet'!D48</f>
        <v>87.99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108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109</v>
      </c>
      <c r="B37" s="193">
        <f>'Données projet'!D50</f>
        <v>88.62</v>
      </c>
      <c r="C37" s="206">
        <v>25</v>
      </c>
      <c r="D37" s="194">
        <f t="shared" si="2"/>
        <v>2215.5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110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120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121</v>
      </c>
      <c r="B40" s="193">
        <f>'Données projet'!D53</f>
        <v>268.81</v>
      </c>
      <c r="C40" s="206">
        <v>30</v>
      </c>
      <c r="D40" s="194">
        <f t="shared" si="2"/>
        <v>8064.3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122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131</v>
      </c>
      <c r="B42" s="193">
        <f>'Données projet'!D55</f>
        <v>356.68</v>
      </c>
      <c r="C42" s="206">
        <v>50</v>
      </c>
      <c r="D42" s="194">
        <f t="shared" si="2"/>
        <v>17834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Pin maritime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13</v>
      </c>
      <c r="B54" s="193">
        <f>'Données projet'!D62</f>
        <v>28</v>
      </c>
      <c r="C54" s="204">
        <v>10</v>
      </c>
      <c r="D54" s="191">
        <f>B54*C54</f>
        <v>280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18</v>
      </c>
      <c r="B55" s="193">
        <f>'Données projet'!D63</f>
        <v>40</v>
      </c>
      <c r="C55" s="204">
        <v>12</v>
      </c>
      <c r="D55" s="191">
        <f t="shared" ref="D55:D73" si="4">B55*C55</f>
        <v>480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23</v>
      </c>
      <c r="B56" s="193">
        <f>'Données projet'!D64</f>
        <v>52</v>
      </c>
      <c r="C56" s="204">
        <v>25</v>
      </c>
      <c r="D56" s="191">
        <f t="shared" si="4"/>
        <v>1300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30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34</v>
      </c>
      <c r="B58" s="193">
        <f>'Données projet'!D66</f>
        <v>325</v>
      </c>
      <c r="C58" s="204">
        <v>45</v>
      </c>
      <c r="D58" s="191">
        <f t="shared" si="4"/>
        <v>14625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str">
        <f>IF(O67+1&lt;=MIN('Données projet'!$E$9:$E$18),O67+1,"STOP")</f>
        <v>STOP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D9BA4-452E-4D8D-AC7D-78402E44DFD8}">
  <dimension ref="B1:M28"/>
  <sheetViews>
    <sheetView workbookViewId="0">
      <selection activeCell="D12" sqref="D12"/>
    </sheetView>
  </sheetViews>
  <sheetFormatPr baseColWidth="10" defaultRowHeight="15" x14ac:dyDescent="0.25"/>
  <cols>
    <col min="1" max="1" width="1.85546875" style="302" customWidth="1"/>
    <col min="2" max="2" width="23" style="302" bestFit="1" customWidth="1"/>
    <col min="3" max="12" width="16.7109375" style="302" customWidth="1"/>
    <col min="13" max="16384" width="11.42578125" style="302"/>
  </cols>
  <sheetData>
    <row r="1" spans="2:13" ht="30.75" customHeight="1" thickBot="1" x14ac:dyDescent="0.3">
      <c r="B1" s="362" t="s">
        <v>324</v>
      </c>
      <c r="C1" s="363"/>
      <c r="D1" s="364"/>
    </row>
    <row r="2" spans="2:13" ht="27.75" customHeight="1" thickBot="1" x14ac:dyDescent="0.3"/>
    <row r="3" spans="2:13" ht="24.95" customHeight="1" x14ac:dyDescent="0.25">
      <c r="B3" s="307" t="s">
        <v>325</v>
      </c>
      <c r="C3" s="292" t="str">
        <f>'Données projet'!B9</f>
        <v>Cèdre de l'Atlas</v>
      </c>
      <c r="D3" s="292" t="str">
        <f>'Données projet'!B10</f>
        <v>Pin maritime</v>
      </c>
      <c r="E3" s="292">
        <f>'Données projet'!B11</f>
        <v>0</v>
      </c>
      <c r="F3" s="292">
        <f>'Données projet'!B12</f>
        <v>0</v>
      </c>
      <c r="G3" s="292">
        <f>'Données projet'!B13</f>
        <v>0</v>
      </c>
      <c r="H3" s="292">
        <f>'Données projet'!B14</f>
        <v>0</v>
      </c>
      <c r="I3" s="292">
        <f>'Données projet'!B15</f>
        <v>0</v>
      </c>
      <c r="J3" s="292">
        <f>'Données projet'!B16</f>
        <v>0</v>
      </c>
      <c r="K3" s="292">
        <f>'Données projet'!B17</f>
        <v>0</v>
      </c>
      <c r="L3" s="295">
        <f>'Données projet'!B18</f>
        <v>0</v>
      </c>
      <c r="M3" s="298" t="s">
        <v>328</v>
      </c>
    </row>
    <row r="4" spans="2:13" ht="24.95" customHeight="1" x14ac:dyDescent="0.25">
      <c r="B4" s="308" t="s">
        <v>326</v>
      </c>
      <c r="C4" s="300">
        <f>'Données projet'!$D$9</f>
        <v>1.6</v>
      </c>
      <c r="D4" s="300">
        <f>'Données projet'!$D$10</f>
        <v>1.6</v>
      </c>
      <c r="E4" s="300">
        <f>'Données projet'!$D$11</f>
        <v>0</v>
      </c>
      <c r="F4" s="300">
        <f>'Données projet'!$D$12</f>
        <v>0</v>
      </c>
      <c r="G4" s="300">
        <f>'Données projet'!$D$13</f>
        <v>0</v>
      </c>
      <c r="H4" s="300">
        <f>'Données projet'!$D$14</f>
        <v>0</v>
      </c>
      <c r="I4" s="300">
        <f>'Données projet'!$D$15</f>
        <v>0</v>
      </c>
      <c r="J4" s="300">
        <f>'Données projet'!$D$16</f>
        <v>0</v>
      </c>
      <c r="K4" s="300">
        <f>'Données projet'!$D$17</f>
        <v>0</v>
      </c>
      <c r="L4" s="301">
        <f>'Données projet'!$D$18</f>
        <v>0</v>
      </c>
      <c r="M4" s="304">
        <f>IF(SUM(C4:L4)=0,"",SUM(C4:L4))</f>
        <v>3.2</v>
      </c>
    </row>
    <row r="5" spans="2:13" ht="24.95" customHeight="1" x14ac:dyDescent="0.25">
      <c r="B5" s="308" t="s">
        <v>327</v>
      </c>
      <c r="C5" s="292"/>
      <c r="D5" s="293"/>
      <c r="E5" s="293"/>
      <c r="F5" s="293"/>
      <c r="G5" s="293"/>
      <c r="H5" s="293"/>
      <c r="I5" s="293"/>
      <c r="J5" s="293"/>
      <c r="K5" s="293"/>
      <c r="L5" s="296"/>
      <c r="M5" s="299"/>
    </row>
    <row r="6" spans="2:13" ht="24.95" customHeight="1" x14ac:dyDescent="0.25">
      <c r="B6" s="308" t="s">
        <v>329</v>
      </c>
      <c r="C6" s="288"/>
      <c r="D6" s="288"/>
      <c r="E6" s="288"/>
      <c r="F6" s="288"/>
      <c r="G6" s="288"/>
      <c r="H6" s="288"/>
      <c r="I6" s="288"/>
      <c r="J6" s="288"/>
      <c r="K6" s="288"/>
      <c r="L6" s="297"/>
      <c r="M6" s="305" t="str">
        <f>IF(SUM(C6:L6)=0,"",SUM(C6:L6))</f>
        <v/>
      </c>
    </row>
    <row r="7" spans="2:13" ht="24.95" customHeight="1" x14ac:dyDescent="0.25">
      <c r="B7" s="308" t="s">
        <v>249</v>
      </c>
      <c r="C7" s="288"/>
      <c r="D7" s="288"/>
      <c r="E7" s="288"/>
      <c r="F7" s="288"/>
      <c r="G7" s="288"/>
      <c r="H7" s="288"/>
      <c r="I7" s="288"/>
      <c r="J7" s="288"/>
      <c r="K7" s="288"/>
      <c r="L7" s="297"/>
      <c r="M7" s="306" t="str">
        <f>IF(SUM(C7:L7)=0,"",SUM(C7:L7))</f>
        <v/>
      </c>
    </row>
    <row r="8" spans="2:13" ht="24.95" customHeight="1" x14ac:dyDescent="0.25">
      <c r="B8" s="308" t="s">
        <v>330</v>
      </c>
      <c r="C8" s="294"/>
      <c r="D8" s="294"/>
      <c r="E8" s="294"/>
      <c r="F8" s="294"/>
      <c r="G8" s="294"/>
      <c r="H8" s="294"/>
      <c r="I8" s="288"/>
      <c r="J8" s="288"/>
      <c r="K8" s="288"/>
      <c r="L8" s="297"/>
      <c r="M8" s="306"/>
    </row>
    <row r="9" spans="2:13" ht="24.95" customHeight="1" thickBot="1" x14ac:dyDescent="0.3">
      <c r="B9" s="309" t="s">
        <v>331</v>
      </c>
      <c r="C9" s="310" t="str">
        <f>IF(C7=0,"",IFERROR((C7-C4)*REE!L6/REE!$B$6,""))</f>
        <v/>
      </c>
      <c r="D9" s="310" t="str">
        <f>IF(D7=0,"",IFERROR((D7-D4)*REE!L7/REE!$B$6,""))</f>
        <v/>
      </c>
      <c r="E9" s="310" t="str">
        <f>IF(E7=0,"",IFERROR((E7-E4)*REE!L8/REE!$B$6,""))</f>
        <v/>
      </c>
      <c r="F9" s="310" t="str">
        <f>IF(F7=0,"",IFERROR((F7-F4)*REE!L9/REE!$B$6,""))</f>
        <v/>
      </c>
      <c r="G9" s="310" t="str">
        <f>IF(G7=0,"",IFERROR((G7-G4)*REE!L10/REE!$B$6,""))</f>
        <v/>
      </c>
      <c r="H9" s="310" t="str">
        <f>IF(H7=0,"",IFERROR((H7-H4)*REE!L11/REE!$B$6,""))</f>
        <v/>
      </c>
      <c r="I9" s="310" t="str">
        <f>IF(I7=0,"",IFERROR((I7-I4)*REE!L12/REE!$B$6,""))</f>
        <v/>
      </c>
      <c r="J9" s="310" t="str">
        <f>IF(J7=0,"",IFERROR((J7-J4)*REE!L13/REE!$B$6,""))</f>
        <v/>
      </c>
      <c r="K9" s="310" t="str">
        <f>IF(K7=0,"",IFERROR((K7-K4)*REE!L14/REE!$B$6,""))</f>
        <v/>
      </c>
      <c r="L9" s="310" t="str">
        <f>IF(L7=0,"",IFERROR((L7-L4)*REE!L15/REE!$B$6,""))</f>
        <v/>
      </c>
      <c r="M9" s="311" t="str">
        <f>IF(SUM(C9:L9)=0,"",SUM(C9:L9))</f>
        <v/>
      </c>
    </row>
    <row r="12" spans="2:13" x14ac:dyDescent="0.25">
      <c r="D12" s="303"/>
    </row>
    <row r="13" spans="2:13" x14ac:dyDescent="0.25">
      <c r="D13" s="303"/>
    </row>
    <row r="14" spans="2:13" x14ac:dyDescent="0.25">
      <c r="D14" s="303"/>
    </row>
    <row r="15" spans="2:13" x14ac:dyDescent="0.25">
      <c r="D15" s="303"/>
    </row>
    <row r="16" spans="2:13" x14ac:dyDescent="0.25">
      <c r="D16" s="303"/>
    </row>
    <row r="17" spans="4:4" x14ac:dyDescent="0.25">
      <c r="D17" s="303"/>
    </row>
    <row r="18" spans="4:4" x14ac:dyDescent="0.25">
      <c r="D18" s="303"/>
    </row>
    <row r="19" spans="4:4" x14ac:dyDescent="0.25">
      <c r="D19" s="303"/>
    </row>
    <row r="20" spans="4:4" x14ac:dyDescent="0.25">
      <c r="D20" s="303"/>
    </row>
    <row r="21" spans="4:4" x14ac:dyDescent="0.25">
      <c r="D21" s="303"/>
    </row>
    <row r="22" spans="4:4" x14ac:dyDescent="0.25">
      <c r="D22" s="303"/>
    </row>
    <row r="23" spans="4:4" x14ac:dyDescent="0.25">
      <c r="D23" s="303"/>
    </row>
    <row r="24" spans="4:4" x14ac:dyDescent="0.25">
      <c r="D24" s="303"/>
    </row>
    <row r="25" spans="4:4" x14ac:dyDescent="0.25">
      <c r="D25" s="303"/>
    </row>
    <row r="26" spans="4:4" x14ac:dyDescent="0.25">
      <c r="D26" s="303"/>
    </row>
    <row r="27" spans="4:4" x14ac:dyDescent="0.25">
      <c r="D27" s="303"/>
    </row>
    <row r="28" spans="4:4" x14ac:dyDescent="0.25">
      <c r="D28" s="303"/>
    </row>
  </sheetData>
  <mergeCells count="1">
    <mergeCell ref="B1:D1"/>
  </mergeCells>
  <conditionalFormatting sqref="C9:M9">
    <cfRule type="cellIs" dxfId="0" priority="1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8</vt:i4>
      </vt:variant>
      <vt:variant>
        <vt:lpstr>Plages nommées</vt:lpstr>
      </vt:variant>
      <vt:variant>
        <vt:i4>5</vt:i4>
      </vt:variant>
    </vt:vector>
  </HeadingPairs>
  <TitlesOfParts>
    <vt:vector size="13" baseType="lpstr">
      <vt:lpstr>Accueil</vt:lpstr>
      <vt:lpstr>Données projet</vt:lpstr>
      <vt:lpstr>Calculateur</vt:lpstr>
      <vt:lpstr>Paramètres</vt:lpstr>
      <vt:lpstr>Scénario référence</vt:lpstr>
      <vt:lpstr>REE</vt:lpstr>
      <vt:lpstr>VAN</vt:lpstr>
      <vt:lpstr>vérification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2025-03-12T14:54:26Z</dcterms:modified>
</cp:coreProperties>
</file>