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BC\2. Dossiers agences\Quercy\ISSEPTS (46) - Ponty SWC A9\Dossier déposé le 21-02-25\"/>
    </mc:Choice>
  </mc:AlternateContent>
  <xr:revisionPtr revIDLastSave="0" documentId="13_ncr:1_{D4273B02-686C-4314-AA0A-CB321DF5D716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Q4" i="2" l="1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B35" i="2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EV168" i="2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AA195" i="2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90" i="2" a="1"/>
  <c r="AH90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AH151" i="2" a="1"/>
  <c r="AH151" i="2" s="1"/>
  <c r="AH163" i="2" a="1"/>
  <c r="AH163" i="2" s="1"/>
  <c r="AH62" i="2" a="1"/>
  <c r="AH62" i="2" s="1"/>
  <c r="AH199" i="2" a="1"/>
  <c r="AH199" i="2" s="1"/>
  <c r="AH166" i="2" a="1"/>
  <c r="AH166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<sst xmlns="http://schemas.openxmlformats.org/spreadsheetml/2006/main" count="1167" uniqueCount="324">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</sst>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1.4291543668766262</c:v>
                </c:pt>
                <c:pt idx="2">
                  <c:v>1.6668584822322881</c:v>
                </c:pt>
                <c:pt idx="3">
                  <c:v>1.9442470068561069</c:v>
                </c:pt>
                <c:pt idx="4">
                  <c:v>2.2679686856822596</c:v>
                </c:pt>
                <c:pt idx="5">
                  <c:v>2.6457899024890454</c:v>
                </c:pt>
                <c:pt idx="6">
                  <c:v>3.0867831349357764</c:v>
                </c:pt>
                <c:pt idx="7">
                  <c:v>3.6015472779597215</c:v>
                </c:pt>
                <c:pt idx="8">
                  <c:v>4.2024652388357486</c:v>
                </c:pt>
                <c:pt idx="9">
                  <c:v>4.9040051255561234</c:v>
                </c:pt>
                <c:pt idx="10">
                  <c:v>5.7230724249731315</c:v>
                </c:pt>
                <c:pt idx="11">
                  <c:v>6.6794218250620458</c:v>
                </c:pt>
                <c:pt idx="12">
                  <c:v>7.796138807971313</c:v>
                </c:pt>
                <c:pt idx="13">
                  <c:v>9.1002028638425916</c:v>
                </c:pt>
                <c:pt idx="14">
                  <c:v>10.623146192580593</c:v>
                </c:pt>
                <c:pt idx="15">
                  <c:v>12.401824122043109</c:v>
                </c:pt>
                <c:pt idx="16">
                  <c:v>14.479316235310385</c:v>
                </c:pt>
                <c:pt idx="17">
                  <c:v>16.905980435651845</c:v>
                </c:pt>
                <c:pt idx="18">
                  <c:v>19.740685966201656</c:v>
                </c:pt>
                <c:pt idx="19">
                  <c:v>23.052255836662599</c:v>
                </c:pt>
                <c:pt idx="20">
                  <c:v>26.921154302242531</c:v>
                </c:pt>
                <c:pt idx="21">
                  <c:v>31.44146112011536</c:v>
                </c:pt>
                <c:pt idx="22">
                  <c:v>36.723181427825928</c:v>
                </c:pt>
                <c:pt idx="23">
                  <c:v>42.894948424090153</c:v>
                </c:pt>
                <c:pt idx="24">
                  <c:v>50.10718579373664</c:v>
                </c:pt>
                <c:pt idx="25">
                  <c:v>58.535808249179098</c:v>
                </c:pt>
                <c:pt idx="26">
                  <c:v>68.386551946749833</c:v>
                </c:pt>
                <c:pt idx="27">
                  <c:v>79.900042212465777</c:v>
                </c:pt>
                <c:pt idx="28">
                  <c:v>93.357724370818289</c:v>
                </c:pt>
                <c:pt idx="29">
                  <c:v>109.08880497181222</c:v>
                </c:pt>
                <c:pt idx="30">
                  <c:v>127.47837589447978</c:v>
                </c:pt>
                <c:pt idx="31">
                  <c:v>139.20491345322381</c:v>
                </c:pt>
                <c:pt idx="32">
                  <c:v>150.90772576875966</c:v>
                </c:pt>
                <c:pt idx="33">
                  <c:v>162.58891377420599</c:v>
                </c:pt>
                <c:pt idx="34">
                  <c:v>174.25025135592981</c:v>
                </c:pt>
                <c:pt idx="35">
                  <c:v>185.89325523453124</c:v>
                </c:pt>
                <c:pt idx="36">
                  <c:v>197.51923637647113</c:v>
                </c:pt>
                <c:pt idx="37">
                  <c:v>209.12933864077536</c:v>
                </c:pt>
                <c:pt idx="38">
                  <c:v>220.72456837792924</c:v>
                </c:pt>
                <c:pt idx="39">
                  <c:v>232.30581747323103</c:v>
                </c:pt>
                <c:pt idx="40">
                  <c:v>243.87388154779401</c:v>
                </c:pt>
                <c:pt idx="41">
                  <c:v>258.00255288669382</c:v>
                </c:pt>
                <c:pt idx="42">
                  <c:v>272.11373779568225</c:v>
                </c:pt>
                <c:pt idx="43">
                  <c:v>286.20847096468577</c:v>
                </c:pt>
                <c:pt idx="44">
                  <c:v>300.28767681781193</c:v>
                </c:pt>
                <c:pt idx="45">
                  <c:v>314.35218599299907</c:v>
                </c:pt>
                <c:pt idx="46">
                  <c:v>328.4027487162594</c:v>
                </c:pt>
                <c:pt idx="47">
                  <c:v>342.44004576622433</c:v>
                </c:pt>
                <c:pt idx="48">
                  <c:v>356.46469754614213</c:v>
                </c:pt>
                <c:pt idx="49">
                  <c:v>370.47727165310999</c:v>
                </c:pt>
                <c:pt idx="50">
                  <c:v>384.47828924204532</c:v>
                </c:pt>
                <c:pt idx="51">
                  <c:v>398.46823041409999</c:v>
                </c:pt>
                <c:pt idx="52">
                  <c:v>241.33082718470476</c:v>
                </c:pt>
                <c:pt idx="53">
                  <c:v>255.77049425815801</c:v>
                </c:pt>
                <c:pt idx="54">
                  <c:v>268.35675110936791</c:v>
                </c:pt>
                <c:pt idx="55">
                  <c:v>280.92971810753903</c:v>
                </c:pt>
                <c:pt idx="56">
                  <c:v>293.49007404369604</c:v>
                </c:pt>
                <c:pt idx="57">
                  <c:v>306.03843484047462</c:v>
                </c:pt>
                <c:pt idx="58">
                  <c:v>318.57536176891358</c:v>
                </c:pt>
                <c:pt idx="59">
                  <c:v>331.1013683034725</c:v>
                </c:pt>
                <c:pt idx="60">
                  <c:v>343.61692588499881</c:v>
                </c:pt>
                <c:pt idx="61">
                  <c:v>356.12246879986373</c:v>
                </c:pt>
                <c:pt idx="62">
                  <c:v>267.97615726748086</c:v>
                </c:pt>
                <c:pt idx="63">
                  <c:v>279.86722227622391</c:v>
                </c:pt>
                <c:pt idx="64">
                  <c:v>291.74695985475154</c:v>
                </c:pt>
                <c:pt idx="65">
                  <c:v>303.61589643315932</c:v>
                </c:pt>
                <c:pt idx="66">
                  <c:v>315.47451390422663</c:v>
                </c:pt>
                <c:pt idx="67">
                  <c:v>327.32325495972344</c:v>
                </c:pt>
                <c:pt idx="68">
                  <c:v>339.16252761326604</c:v>
                </c:pt>
                <c:pt idx="69">
                  <c:v>350.9927090583721</c:v>
                </c:pt>
                <c:pt idx="70">
                  <c:v>362.81414897900578</c:v>
                </c:pt>
                <c:pt idx="71">
                  <c:v>374.62717240598425</c:v>
                </c:pt>
                <c:pt idx="72">
                  <c:v>386.43208219419353</c:v>
                </c:pt>
                <c:pt idx="73">
                  <c:v>398.22916118123521</c:v>
                </c:pt>
                <c:pt idx="74">
                  <c:v>307.25569142242267</c:v>
                </c:pt>
                <c:pt idx="75">
                  <c:v>318.23326278049223</c:v>
                </c:pt>
                <c:pt idx="76">
                  <c:v>329.20245117741962</c:v>
                </c:pt>
                <c:pt idx="77">
                  <c:v>340.16357542957968</c:v>
                </c:pt>
                <c:pt idx="78">
                  <c:v>351.11693212089489</c:v>
                </c:pt>
                <c:pt idx="79">
                  <c:v>362.06279781328067</c:v>
                </c:pt>
                <c:pt idx="80">
                  <c:v>373.00143097573113</c:v>
                </c:pt>
                <c:pt idx="81">
                  <c:v>383.9330736752288</c:v>
                </c:pt>
                <c:pt idx="82">
                  <c:v>394.8579530649688</c:v>
                </c:pt>
                <c:pt idx="83">
                  <c:v>405.77628269924503</c:v>
                </c:pt>
                <c:pt idx="84">
                  <c:v>416.68826369940484</c:v>
                </c:pt>
                <c:pt idx="85">
                  <c:v>427.82085325710779</c:v>
                </c:pt>
                <c:pt idx="86">
                  <c:v>343.72560367250827</c:v>
                </c:pt>
                <c:pt idx="87">
                  <c:v>353.75117904981204</c:v>
                </c:pt>
                <c:pt idx="88">
                  <c:v>363.77052988768446</c:v>
                </c:pt>
                <c:pt idx="89">
                  <c:v>373.78385187929661</c:v>
                </c:pt>
                <c:pt idx="90">
                  <c:v>383.79132937262239</c:v>
                </c:pt>
                <c:pt idx="91">
                  <c:v>393.79313631323038</c:v>
                </c:pt>
                <c:pt idx="92">
                  <c:v>403.78943708626599</c:v>
                </c:pt>
                <c:pt idx="93">
                  <c:v>413.78038727068468</c:v>
                </c:pt>
                <c:pt idx="94">
                  <c:v>423.76613431682154</c:v>
                </c:pt>
                <c:pt idx="95">
                  <c:v>433.74681815675325</c:v>
                </c:pt>
                <c:pt idx="96">
                  <c:v>443.7225717555396</c:v>
                </c:pt>
                <c:pt idx="97">
                  <c:v>453.69352161030378</c:v>
                </c:pt>
                <c:pt idx="98">
                  <c:v>373.57800283389651</c:v>
                </c:pt>
                <c:pt idx="99">
                  <c:v>382.58319390824619</c:v>
                </c:pt>
                <c:pt idx="100">
                  <c:v>391.58377731754786</c:v>
                </c:pt>
                <c:pt idx="101">
                  <c:v>400.57987395870708</c:v>
                </c:pt>
                <c:pt idx="102">
                  <c:v>409.57159885272853</c:v>
                </c:pt>
                <c:pt idx="103">
                  <c:v>418.55906155583148</c:v>
                </c:pt>
                <c:pt idx="104">
                  <c:v>427.54236653340143</c:v>
                </c:pt>
                <c:pt idx="105">
                  <c:v>436.5216135008647</c:v>
                </c:pt>
                <c:pt idx="106">
                  <c:v>445.49689773504787</c:v>
                </c:pt>
                <c:pt idx="107">
                  <c:v>454.46831035913175</c:v>
                </c:pt>
                <c:pt idx="108">
                  <c:v>463.43593860392735</c:v>
                </c:pt>
                <c:pt idx="109">
                  <c:v>472.52888821143864</c:v>
                </c:pt>
                <c:pt idx="110">
                  <c:v>390.52746513559879</c:v>
                </c:pt>
                <c:pt idx="111">
                  <c:v>398.52998946091208</c:v>
                </c:pt>
                <c:pt idx="112">
                  <c:v>406.52903470256086</c:v>
                </c:pt>
                <c:pt idx="113">
                  <c:v>414.52467901301725</c:v>
                </c:pt>
                <c:pt idx="114">
                  <c:v>422.51699728208285</c:v>
                </c:pt>
                <c:pt idx="115">
                  <c:v>430.50606133358792</c:v>
                </c:pt>
                <c:pt idx="116">
                  <c:v>438.49194010672244</c:v>
                </c:pt>
                <c:pt idx="117">
                  <c:v>446.47469982346485</c:v>
                </c:pt>
                <c:pt idx="118">
                  <c:v>454.45440414340845</c:v>
                </c:pt>
                <c:pt idx="119">
                  <c:v>462.43111430714339</c:v>
                </c:pt>
                <c:pt idx="120">
                  <c:v>470.40488926922853</c:v>
                </c:pt>
                <c:pt idx="121">
                  <c:v>478.54247742621436</c:v>
                </c:pt>
                <c:pt idx="122">
                  <c:v>254.93553089946852</c:v>
                </c:pt>
                <c:pt idx="123">
                  <c:v>260.17231820961695</c:v>
                </c:pt>
                <c:pt idx="124">
                  <c:v>265.40672458234792</c:v>
                </c:pt>
                <c:pt idx="125">
                  <c:v>270.63880367852397</c:v>
                </c:pt>
                <c:pt idx="126">
                  <c:v>275.86860691154823</c:v>
                </c:pt>
                <c:pt idx="127">
                  <c:v>281.09618358328902</c:v>
                </c:pt>
                <c:pt idx="128">
                  <c:v>286.32158100935152</c:v>
                </c:pt>
                <c:pt idx="129">
                  <c:v>291.54484463471567</c:v>
                </c:pt>
                <c:pt idx="130">
                  <c:v>296.7660181406435</c:v>
                </c:pt>
                <c:pt idx="131">
                  <c:v>301.98514354366256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3.113945541916562</c:v>
                </c:pt>
                <c:pt idx="2">
                  <c:v>3.5503730087223722</c:v>
                </c:pt>
                <c:pt idx="3">
                  <c:v>4.0481828196530492</c:v>
                </c:pt>
                <c:pt idx="4">
                  <c:v>4.6160369143549937</c:v>
                </c:pt>
                <c:pt idx="5">
                  <c:v>5.2638233537442369</c:v>
                </c:pt>
                <c:pt idx="6">
                  <c:v>6.0028303815790593</c:v>
                </c:pt>
                <c:pt idx="7">
                  <c:v>6.8459452618662198</c:v>
                </c:pt>
                <c:pt idx="8">
                  <c:v>7.8078814273157144</c:v>
                </c:pt>
                <c:pt idx="9">
                  <c:v>8.9054379796212881</c:v>
                </c:pt>
                <c:pt idx="10">
                  <c:v>10.157796160352767</c:v>
                </c:pt>
                <c:pt idx="11">
                  <c:v>11.586858072102316</c:v>
                </c:pt>
                <c:pt idx="12">
                  <c:v>13.217633685126408</c:v>
                </c:pt>
                <c:pt idx="13">
                  <c:v>15.078683028676075</c:v>
                </c:pt>
                <c:pt idx="14">
                  <c:v>17.202621454074428</c:v>
                </c:pt>
                <c:pt idx="15">
                  <c:v>19.626696986187671</c:v>
                </c:pt>
                <c:pt idx="16">
                  <c:v>22.393450071609919</c:v>
                </c:pt>
                <c:pt idx="17">
                  <c:v>25.551467508941673</c:v>
                </c:pt>
                <c:pt idx="18">
                  <c:v>29.156244035638881</c:v>
                </c:pt>
                <c:pt idx="19">
                  <c:v>33.271166977534087</c:v>
                </c:pt>
                <c:pt idx="20">
                  <c:v>37.968641576163897</c:v>
                </c:pt>
                <c:pt idx="21">
                  <c:v>43.331377135382525</c:v>
                </c:pt>
                <c:pt idx="22">
                  <c:v>49.453857018052851</c:v>
                </c:pt>
                <c:pt idx="23">
                  <c:v>56.444018828116505</c:v>
                </c:pt>
                <c:pt idx="24">
                  <c:v>64.425174892809764</c:v>
                </c:pt>
                <c:pt idx="25">
                  <c:v>73.538207482585321</c:v>
                </c:pt>
                <c:pt idx="26">
                  <c:v>84.960675105658922</c:v>
                </c:pt>
                <c:pt idx="27">
                  <c:v>96.34440998362345</c:v>
                </c:pt>
                <c:pt idx="28">
                  <c:v>107.69464401429015</c:v>
                </c:pt>
                <c:pt idx="29">
                  <c:v>119.01541177700146</c:v>
                </c:pt>
                <c:pt idx="30">
                  <c:v>130.30991517841116</c:v>
                </c:pt>
                <c:pt idx="31">
                  <c:v>142.04989216192442</c:v>
                </c:pt>
                <c:pt idx="32">
                  <c:v>153.76661212101567</c:v>
                </c:pt>
                <c:pt idx="33">
                  <c:v>165.46209858933358</c:v>
                </c:pt>
                <c:pt idx="34">
                  <c:v>177.13806521004514</c:v>
                </c:pt>
                <c:pt idx="35">
                  <c:v>188.79598094832463</c:v>
                </c:pt>
                <c:pt idx="36">
                  <c:v>171.06890310603498</c:v>
                </c:pt>
                <c:pt idx="37">
                  <c:v>183.6686363162344</c:v>
                </c:pt>
                <c:pt idx="38">
                  <c:v>196.24816859291039</c:v>
                </c:pt>
                <c:pt idx="39">
                  <c:v>208.80897802102797</c:v>
                </c:pt>
                <c:pt idx="40">
                  <c:v>221.35235015777684</c:v>
                </c:pt>
                <c:pt idx="41">
                  <c:v>201.83298159430865</c:v>
                </c:pt>
                <c:pt idx="42">
                  <c:v>214.85048322218776</c:v>
                </c:pt>
                <c:pt idx="43">
                  <c:v>227.84983423962134</c:v>
                </c:pt>
                <c:pt idx="44">
                  <c:v>240.83221650658706</c:v>
                </c:pt>
                <c:pt idx="45">
                  <c:v>253.79867396956936</c:v>
                </c:pt>
                <c:pt idx="46">
                  <c:v>234.34307827690756</c:v>
                </c:pt>
                <c:pt idx="47">
                  <c:v>247.31737533025003</c:v>
                </c:pt>
                <c:pt idx="48">
                  <c:v>260.2762250512057</c:v>
                </c:pt>
                <c:pt idx="49">
                  <c:v>273.220505160855</c:v>
                </c:pt>
                <c:pt idx="50">
                  <c:v>286.1510033812761</c:v>
                </c:pt>
                <c:pt idx="51">
                  <c:v>266.75013513037203</c:v>
                </c:pt>
                <c:pt idx="52">
                  <c:v>279.68743091813337</c:v>
                </c:pt>
                <c:pt idx="53">
                  <c:v>292.61130907849321</c:v>
                </c:pt>
                <c:pt idx="54">
                  <c:v>305.52244588564616</c:v>
                </c:pt>
                <c:pt idx="55">
                  <c:v>318.42145576976316</c:v>
                </c:pt>
                <c:pt idx="56">
                  <c:v>299.06843040054582</c:v>
                </c:pt>
                <c:pt idx="57">
                  <c:v>311.97343047900409</c:v>
                </c:pt>
                <c:pt idx="58">
                  <c:v>324.86659020772589</c:v>
                </c:pt>
                <c:pt idx="59">
                  <c:v>337.74844580317341</c:v>
                </c:pt>
                <c:pt idx="60">
                  <c:v>350.61948923031764</c:v>
                </c:pt>
                <c:pt idx="61">
                  <c:v>330.38874000448038</c:v>
                </c:pt>
                <c:pt idx="62">
                  <c:v>342.34646391464599</c:v>
                </c:pt>
                <c:pt idx="63">
                  <c:v>354.2950085801815</c:v>
                </c:pt>
                <c:pt idx="64">
                  <c:v>366.23472727218876</c:v>
                </c:pt>
                <c:pt idx="65">
                  <c:v>378.1659483420197</c:v>
                </c:pt>
                <c:pt idx="66">
                  <c:v>357.96969251255558</c:v>
                </c:pt>
                <c:pt idx="67">
                  <c:v>369.90676266594755</c:v>
                </c:pt>
                <c:pt idx="68">
                  <c:v>381.83543161175339</c:v>
                </c:pt>
                <c:pt idx="69">
                  <c:v>393.75599884288954</c:v>
                </c:pt>
                <c:pt idx="70">
                  <c:v>405.66874423568044</c:v>
                </c:pt>
                <c:pt idx="71">
                  <c:v>384.58704033593887</c:v>
                </c:pt>
                <c:pt idx="72">
                  <c:v>395.58923125880557</c:v>
                </c:pt>
                <c:pt idx="73">
                  <c:v>406.5847929109529</c:v>
                </c:pt>
                <c:pt idx="74">
                  <c:v>417.5739298853004</c:v>
                </c:pt>
                <c:pt idx="75">
                  <c:v>428.55683512546528</c:v>
                </c:pt>
                <c:pt idx="76">
                  <c:v>407.04280051298883</c:v>
                </c:pt>
                <c:pt idx="77">
                  <c:v>417.5739298853004</c:v>
                </c:pt>
                <c:pt idx="78">
                  <c:v>428.0993360823731</c:v>
                </c:pt>
                <c:pt idx="79">
                  <c:v>438.61917968565234</c:v>
                </c:pt>
                <c:pt idx="80">
                  <c:v>449.13361294375363</c:v>
                </c:pt>
                <c:pt idx="81">
                  <c:v>427.18430644135742</c:v>
                </c:pt>
                <c:pt idx="82">
                  <c:v>437.24733617095688</c:v>
                </c:pt>
                <c:pt idx="83">
                  <c:v>447.30539808561895</c:v>
                </c:pt>
                <c:pt idx="84">
                  <c:v>457.35861966649327</c:v>
                </c:pt>
                <c:pt idx="85">
                  <c:v>467.40712233198559</c:v>
                </c:pt>
                <c:pt idx="86">
                  <c:v>445.01990443229937</c:v>
                </c:pt>
                <c:pt idx="87">
                  <c:v>454.61730495685151</c:v>
                </c:pt>
                <c:pt idx="88">
                  <c:v>464.21037620075771</c:v>
                </c:pt>
                <c:pt idx="89">
                  <c:v>473.79922026656226</c:v>
                </c:pt>
                <c:pt idx="90">
                  <c:v>483.38393478600642</c:v>
                </c:pt>
                <c:pt idx="91">
                  <c:v>460.09958341480274</c:v>
                </c:pt>
                <c:pt idx="92">
                  <c:v>468.77701352901067</c:v>
                </c:pt>
                <c:pt idx="93">
                  <c:v>477.45102185302625</c:v>
                </c:pt>
                <c:pt idx="94">
                  <c:v>486.12167933752715</c:v>
                </c:pt>
                <c:pt idx="95">
                  <c:v>494.7890541949734</c:v>
                </c:pt>
                <c:pt idx="96">
                  <c:v>471.0599761045417</c:v>
                </c:pt>
                <c:pt idx="97">
                  <c:v>479.27669956446039</c:v>
                </c:pt>
                <c:pt idx="98">
                  <c:v>487.49042873157424</c:v>
                </c:pt>
                <c:pt idx="99">
                  <c:v>495.70122118881278</c:v>
                </c:pt>
                <c:pt idx="100">
                  <c:v>503.90913245527821</c:v>
                </c:pt>
                <c:pt idx="101">
                  <c:v>482.01493909873852</c:v>
                </c:pt>
                <c:pt idx="102">
                  <c:v>489.77149658248118</c:v>
                </c:pt>
                <c:pt idx="103">
                  <c:v>497.52544854631611</c:v>
                </c:pt>
                <c:pt idx="104">
                  <c:v>505.27684133920411</c:v>
                </c:pt>
                <c:pt idx="105">
                  <c:v>513.02571977154423</c:v>
                </c:pt>
                <c:pt idx="106">
                  <c:v>490.2276830686622</c:v>
                </c:pt>
                <c:pt idx="107">
                  <c:v>497.06940501240143</c:v>
                </c:pt>
                <c:pt idx="108">
                  <c:v>503.90913245527821</c:v>
                </c:pt>
                <c:pt idx="109">
                  <c:v>510.74689630015109</c:v>
                </c:pt>
                <c:pt idx="110">
                  <c:v>517.58272655457995</c:v>
                </c:pt>
                <c:pt idx="111">
                  <c:v>494.33295733654887</c:v>
                </c:pt>
                <c:pt idx="112">
                  <c:v>500.71750586625194</c:v>
                </c:pt>
                <c:pt idx="113">
                  <c:v>507.10033142900039</c:v>
                </c:pt>
                <c:pt idx="114">
                  <c:v>513.48145878156095</c:v>
                </c:pt>
                <c:pt idx="115">
                  <c:v>519.86091201489637</c:v>
                </c:pt>
                <c:pt idx="116">
                  <c:v>495.70122118881301</c:v>
                </c:pt>
                <c:pt idx="117">
                  <c:v>501.17347881997517</c:v>
                </c:pt>
                <c:pt idx="118">
                  <c:v>506.64447192492509</c:v>
                </c:pt>
                <c:pt idx="119">
                  <c:v>512.11421609335628</c:v>
                </c:pt>
                <c:pt idx="120">
                  <c:v>517.58272655458006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4" zoomScale="90" zoomScaleNormal="90" workbookViewId="0">
      <selection activeCell="K19" sqref="K19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1.1000000000000001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164</v>
      </c>
      <c r="C9" s="35">
        <v>0.7</v>
      </c>
      <c r="D9" s="36">
        <f t="shared" ref="D9:D18" si="0">C9*$C$5</f>
        <v>0.77</v>
      </c>
      <c r="E9" s="37">
        <v>131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52</v>
      </c>
      <c r="C10" s="35">
        <v>0.3</v>
      </c>
      <c r="D10" s="36">
        <f t="shared" si="0"/>
        <v>0.33</v>
      </c>
      <c r="E10" s="37">
        <v>120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/>
      <c r="C11" s="35"/>
      <c r="D11" s="36">
        <f t="shared" si="0"/>
        <v>0</v>
      </c>
      <c r="E11" s="37"/>
      <c r="F11" s="38" t="str">
        <f t="array" ref="F11">IF(E11="","",IF(INDEX(A:A,MAX(IF(ISNUMBER($A$88:$A$107),ROW($A$88:$A$107),"")))&lt;&gt;E11,"Corrigez : révolution incorrecte","OK"))</f>
        <v/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1.1000000000000001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0.05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Cèdre de l'Atlas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30</v>
      </c>
      <c r="B36" s="63">
        <v>121.43</v>
      </c>
      <c r="C36" s="63">
        <v>1</v>
      </c>
      <c r="D36" s="63">
        <v>0</v>
      </c>
      <c r="E36" s="54">
        <v>0.7</v>
      </c>
      <c r="F36" s="54">
        <v>0.15</v>
      </c>
      <c r="G36" s="54">
        <v>0.15</v>
      </c>
      <c r="H36" s="54"/>
      <c r="I36" s="52">
        <f>IFERROR(B36/A36,"")</f>
        <v>4.0476666666666672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40</v>
      </c>
      <c r="B37" s="63">
        <v>236.24</v>
      </c>
      <c r="C37" s="63">
        <v>2</v>
      </c>
      <c r="D37" s="63">
        <v>0</v>
      </c>
      <c r="E37" s="54"/>
      <c r="F37" s="54"/>
      <c r="G37" s="54"/>
      <c r="H37" s="54"/>
      <c r="I37" s="56">
        <f t="shared" ref="I37:I55" si="1">IF(A37&lt;&gt;0,(B37-(B36-D36))/(A37-A36),"")</f>
        <v>11.481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51</v>
      </c>
      <c r="B38" s="63">
        <v>390.67</v>
      </c>
      <c r="C38" s="63">
        <v>3</v>
      </c>
      <c r="D38" s="63">
        <v>171.3</v>
      </c>
      <c r="E38" s="54"/>
      <c r="F38" s="54"/>
      <c r="G38" s="54"/>
      <c r="H38" s="54"/>
      <c r="I38" s="56">
        <f t="shared" si="1"/>
        <v>14.039090909090909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53</v>
      </c>
      <c r="B39" s="63">
        <v>248.06</v>
      </c>
      <c r="C39" s="63">
        <v>4</v>
      </c>
      <c r="D39" s="63">
        <v>0</v>
      </c>
      <c r="E39" s="54"/>
      <c r="F39" s="54"/>
      <c r="G39" s="54"/>
      <c r="H39" s="54"/>
      <c r="I39" s="52">
        <f t="shared" si="1"/>
        <v>14.344999999999999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61</v>
      </c>
      <c r="B40" s="63">
        <v>348.21</v>
      </c>
      <c r="C40" s="63">
        <v>5</v>
      </c>
      <c r="D40" s="63">
        <v>100.2</v>
      </c>
      <c r="E40" s="54"/>
      <c r="F40" s="54"/>
      <c r="G40" s="54"/>
      <c r="H40" s="54"/>
      <c r="I40" s="52">
        <f t="shared" si="1"/>
        <v>12.518749999999997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62</v>
      </c>
      <c r="B41" s="63">
        <v>260.2</v>
      </c>
      <c r="C41" s="63">
        <v>6</v>
      </c>
      <c r="D41" s="63">
        <v>0</v>
      </c>
      <c r="E41" s="54"/>
      <c r="F41" s="54"/>
      <c r="G41" s="54"/>
      <c r="H41" s="54"/>
      <c r="I41" s="56">
        <f t="shared" si="1"/>
        <v>12.189999999999998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73</v>
      </c>
      <c r="B42" s="63">
        <v>390.43</v>
      </c>
      <c r="C42" s="63">
        <v>7</v>
      </c>
      <c r="D42" s="63">
        <v>102.1</v>
      </c>
      <c r="E42" s="54"/>
      <c r="F42" s="54"/>
      <c r="G42" s="54"/>
      <c r="H42" s="54"/>
      <c r="I42" s="56">
        <f t="shared" si="1"/>
        <v>11.839090909090912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74</v>
      </c>
      <c r="B43" s="63">
        <v>299.35000000000002</v>
      </c>
      <c r="C43" s="63">
        <v>8</v>
      </c>
      <c r="D43" s="63">
        <v>0</v>
      </c>
      <c r="E43" s="54"/>
      <c r="F43" s="54"/>
      <c r="G43" s="54"/>
      <c r="H43" s="54"/>
      <c r="I43" s="52">
        <f t="shared" si="1"/>
        <v>11.019999999999982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84</v>
      </c>
      <c r="B44" s="63">
        <v>408.97</v>
      </c>
      <c r="C44" s="63">
        <v>9</v>
      </c>
      <c r="D44" s="63">
        <v>0</v>
      </c>
      <c r="E44" s="54"/>
      <c r="F44" s="54"/>
      <c r="G44" s="54"/>
      <c r="H44" s="54"/>
      <c r="I44" s="52">
        <f t="shared" si="1"/>
        <v>10.962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85</v>
      </c>
      <c r="B45" s="63">
        <v>420.16</v>
      </c>
      <c r="C45" s="63">
        <v>10</v>
      </c>
      <c r="D45" s="63">
        <v>94.69</v>
      </c>
      <c r="E45" s="54"/>
      <c r="F45" s="54"/>
      <c r="G45" s="54"/>
      <c r="H45" s="54"/>
      <c r="I45" s="52">
        <f t="shared" si="1"/>
        <v>11.189999999999998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86</v>
      </c>
      <c r="B46" s="63">
        <v>335.8</v>
      </c>
      <c r="C46" s="63">
        <v>11</v>
      </c>
      <c r="D46" s="63">
        <v>0</v>
      </c>
      <c r="E46" s="54"/>
      <c r="F46" s="54"/>
      <c r="G46" s="54"/>
      <c r="H46" s="54"/>
      <c r="I46" s="52">
        <f t="shared" si="1"/>
        <v>10.329999999999984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>
        <v>97</v>
      </c>
      <c r="B47" s="63">
        <v>446.19</v>
      </c>
      <c r="C47" s="63">
        <v>12</v>
      </c>
      <c r="D47" s="63">
        <v>89.6</v>
      </c>
      <c r="E47" s="54"/>
      <c r="F47" s="54"/>
      <c r="G47" s="54"/>
      <c r="H47" s="54"/>
      <c r="I47" s="52">
        <f t="shared" si="1"/>
        <v>10.035454545454543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>
        <v>98</v>
      </c>
      <c r="B48" s="63">
        <v>365.7</v>
      </c>
      <c r="C48" s="63">
        <v>13</v>
      </c>
      <c r="D48" s="63">
        <v>0</v>
      </c>
      <c r="E48" s="54"/>
      <c r="F48" s="54"/>
      <c r="G48" s="54"/>
      <c r="H48" s="54"/>
      <c r="I48" s="52">
        <f t="shared" si="1"/>
        <v>9.1099999999999568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>
        <v>108</v>
      </c>
      <c r="B49" s="63">
        <v>456</v>
      </c>
      <c r="C49" s="63">
        <v>14</v>
      </c>
      <c r="D49" s="63">
        <v>0</v>
      </c>
      <c r="E49" s="54"/>
      <c r="F49" s="54"/>
      <c r="G49" s="54"/>
      <c r="H49" s="54"/>
      <c r="I49" s="52">
        <f t="shared" si="1"/>
        <v>9.0300000000000011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>
        <v>109</v>
      </c>
      <c r="B50" s="53">
        <v>465.16</v>
      </c>
      <c r="C50" s="53">
        <v>15</v>
      </c>
      <c r="D50" s="53">
        <v>91.09</v>
      </c>
      <c r="E50" s="54"/>
      <c r="F50" s="54"/>
      <c r="G50" s="54"/>
      <c r="H50" s="54"/>
      <c r="I50" s="52">
        <f t="shared" si="1"/>
        <v>9.160000000000025</v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>
        <v>110</v>
      </c>
      <c r="B51" s="53">
        <v>382.7</v>
      </c>
      <c r="C51" s="53">
        <v>16</v>
      </c>
      <c r="D51" s="53">
        <v>0</v>
      </c>
      <c r="E51" s="54"/>
      <c r="F51" s="54"/>
      <c r="G51" s="54"/>
      <c r="H51" s="54"/>
      <c r="I51" s="52">
        <f t="shared" si="1"/>
        <v>8.6299999999999386</v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>
        <v>120</v>
      </c>
      <c r="B52" s="53">
        <v>463.02</v>
      </c>
      <c r="C52" s="53">
        <v>17</v>
      </c>
      <c r="D52" s="53">
        <v>0</v>
      </c>
      <c r="E52" s="54"/>
      <c r="F52" s="54"/>
      <c r="G52" s="54"/>
      <c r="H52" s="54"/>
      <c r="I52" s="52">
        <f t="shared" si="1"/>
        <v>8.032</v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>
        <v>121</v>
      </c>
      <c r="B53" s="53">
        <v>471.22</v>
      </c>
      <c r="C53" s="53">
        <v>18</v>
      </c>
      <c r="D53" s="53">
        <v>233.54</v>
      </c>
      <c r="E53" s="54"/>
      <c r="F53" s="54"/>
      <c r="G53" s="54"/>
      <c r="H53" s="54"/>
      <c r="I53" s="52">
        <f t="shared" si="1"/>
        <v>8.2000000000000455</v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>
        <v>122</v>
      </c>
      <c r="B54" s="53">
        <v>247.23</v>
      </c>
      <c r="C54" s="53">
        <v>19</v>
      </c>
      <c r="D54" s="53">
        <v>0</v>
      </c>
      <c r="E54" s="54"/>
      <c r="F54" s="54"/>
      <c r="G54" s="54"/>
      <c r="H54" s="54"/>
      <c r="I54" s="52">
        <f t="shared" si="1"/>
        <v>9.5499999999999545</v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>
        <v>131</v>
      </c>
      <c r="B55" s="53">
        <v>294.08999999999997</v>
      </c>
      <c r="C55" s="53">
        <v>20</v>
      </c>
      <c r="D55" s="53">
        <v>294.08999999999997</v>
      </c>
      <c r="E55" s="54"/>
      <c r="F55" s="54"/>
      <c r="G55" s="54"/>
      <c r="H55" s="54"/>
      <c r="I55" s="52">
        <f t="shared" si="1"/>
        <v>5.2066666666666652</v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Cormier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25</v>
      </c>
      <c r="B62" s="63">
        <v>30</v>
      </c>
      <c r="C62" s="63">
        <v>1</v>
      </c>
      <c r="D62" s="63">
        <v>0</v>
      </c>
      <c r="E62" s="54"/>
      <c r="F62" s="54"/>
      <c r="G62" s="54"/>
      <c r="H62" s="54">
        <v>1</v>
      </c>
      <c r="I62" s="56">
        <f>IFERROR(B62/A62,"")</f>
        <v>1.2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54</v>
      </c>
      <c r="C63" s="63">
        <v>2</v>
      </c>
      <c r="D63" s="63">
        <v>0</v>
      </c>
      <c r="E63" s="54"/>
      <c r="F63" s="54"/>
      <c r="G63" s="54"/>
      <c r="H63" s="54">
        <v>1</v>
      </c>
      <c r="I63" s="52">
        <f>IF(A63&lt;&gt;0,(B63-(B62-D62))/(A63-A62),"")</f>
        <v>4.8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35</v>
      </c>
      <c r="B64" s="63">
        <v>79</v>
      </c>
      <c r="C64" s="63">
        <v>3</v>
      </c>
      <c r="D64" s="63">
        <v>13</v>
      </c>
      <c r="E64" s="54"/>
      <c r="F64" s="54"/>
      <c r="G64" s="54"/>
      <c r="H64" s="54"/>
      <c r="I64" s="52">
        <f>IF(A64&lt;&gt;0,(B64-(B63-D63))/(A64-A63),"")</f>
        <v>5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40</v>
      </c>
      <c r="B65" s="63">
        <v>93</v>
      </c>
      <c r="C65" s="63">
        <v>4</v>
      </c>
      <c r="D65" s="63">
        <v>14</v>
      </c>
      <c r="E65" s="54"/>
      <c r="F65" s="54"/>
      <c r="G65" s="54"/>
      <c r="H65" s="54"/>
      <c r="I65" s="52">
        <f>IF(A65&lt;&gt;0,(B65-(B64-D64))/(A65-A64),"")</f>
        <v>5.4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45</v>
      </c>
      <c r="B66" s="63">
        <v>107</v>
      </c>
      <c r="C66" s="63">
        <v>5</v>
      </c>
      <c r="D66" s="63">
        <v>14</v>
      </c>
      <c r="E66" s="54"/>
      <c r="F66" s="54"/>
      <c r="G66" s="54"/>
      <c r="H66" s="54"/>
      <c r="I66" s="52">
        <f t="shared" ref="I66:I81" si="2">IF(A66&lt;&gt;0,(B66-(B65-D65))/(A66-A65),"")</f>
        <v>5.6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>
        <v>50</v>
      </c>
      <c r="B67" s="63">
        <v>121</v>
      </c>
      <c r="C67" s="63">
        <v>6</v>
      </c>
      <c r="D67" s="63">
        <v>14</v>
      </c>
      <c r="E67" s="54"/>
      <c r="F67" s="54"/>
      <c r="G67" s="54"/>
      <c r="H67" s="54"/>
      <c r="I67" s="52">
        <f t="shared" si="2"/>
        <v>5.6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>
        <v>55</v>
      </c>
      <c r="B68" s="63">
        <v>135</v>
      </c>
      <c r="C68" s="63">
        <v>7</v>
      </c>
      <c r="D68" s="63">
        <v>14</v>
      </c>
      <c r="E68" s="54"/>
      <c r="F68" s="54"/>
      <c r="G68" s="54"/>
      <c r="H68" s="54"/>
      <c r="I68" s="52">
        <f t="shared" si="2"/>
        <v>5.6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>
        <v>60</v>
      </c>
      <c r="B69" s="53">
        <v>149</v>
      </c>
      <c r="C69" s="53">
        <v>8</v>
      </c>
      <c r="D69" s="53">
        <v>14</v>
      </c>
      <c r="E69" s="54"/>
      <c r="F69" s="54"/>
      <c r="G69" s="54"/>
      <c r="H69" s="54"/>
      <c r="I69" s="52">
        <f t="shared" si="2"/>
        <v>5.6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>
        <v>65</v>
      </c>
      <c r="B70" s="53">
        <v>161</v>
      </c>
      <c r="C70" s="53">
        <v>9</v>
      </c>
      <c r="D70" s="53">
        <v>14</v>
      </c>
      <c r="E70" s="54"/>
      <c r="F70" s="54"/>
      <c r="G70" s="54"/>
      <c r="H70" s="54"/>
      <c r="I70" s="52">
        <f t="shared" si="2"/>
        <v>5.2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>
        <v>70</v>
      </c>
      <c r="B71" s="53">
        <v>173</v>
      </c>
      <c r="C71" s="53">
        <v>10</v>
      </c>
      <c r="D71" s="53">
        <v>14</v>
      </c>
      <c r="E71" s="54"/>
      <c r="F71" s="54"/>
      <c r="G71" s="54"/>
      <c r="H71" s="54"/>
      <c r="I71" s="52">
        <f t="shared" si="2"/>
        <v>5.2</v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>
        <v>75</v>
      </c>
      <c r="B72" s="53">
        <v>183</v>
      </c>
      <c r="C72" s="53">
        <v>11</v>
      </c>
      <c r="D72" s="53">
        <v>14</v>
      </c>
      <c r="E72" s="54"/>
      <c r="F72" s="54"/>
      <c r="G72" s="54"/>
      <c r="H72" s="54"/>
      <c r="I72" s="52">
        <f t="shared" si="2"/>
        <v>4.8</v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>
        <v>80</v>
      </c>
      <c r="B73" s="53">
        <v>192</v>
      </c>
      <c r="C73" s="53">
        <v>12</v>
      </c>
      <c r="D73" s="53">
        <v>14</v>
      </c>
      <c r="E73" s="54"/>
      <c r="F73" s="54"/>
      <c r="G73" s="54"/>
      <c r="H73" s="54"/>
      <c r="I73" s="52">
        <f t="shared" si="2"/>
        <v>4.5999999999999996</v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>
        <v>85</v>
      </c>
      <c r="B74" s="53">
        <v>200</v>
      </c>
      <c r="C74" s="53">
        <v>13</v>
      </c>
      <c r="D74" s="53">
        <v>14</v>
      </c>
      <c r="E74" s="54"/>
      <c r="F74" s="54"/>
      <c r="G74" s="54"/>
      <c r="H74" s="54"/>
      <c r="I74" s="52">
        <f t="shared" si="2"/>
        <v>4.4000000000000004</v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>
        <v>90</v>
      </c>
      <c r="B75" s="53">
        <v>207</v>
      </c>
      <c r="C75" s="53">
        <v>14</v>
      </c>
      <c r="D75" s="53">
        <v>14</v>
      </c>
      <c r="E75" s="54"/>
      <c r="F75" s="54"/>
      <c r="G75" s="54"/>
      <c r="H75" s="54"/>
      <c r="I75" s="52">
        <f t="shared" si="2"/>
        <v>4.2</v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>
        <v>95</v>
      </c>
      <c r="B76" s="53">
        <v>212</v>
      </c>
      <c r="C76" s="53">
        <v>15</v>
      </c>
      <c r="D76" s="53">
        <v>14</v>
      </c>
      <c r="E76" s="54"/>
      <c r="F76" s="54"/>
      <c r="G76" s="54"/>
      <c r="H76" s="54"/>
      <c r="I76" s="52">
        <f t="shared" si="2"/>
        <v>3.8</v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>
        <v>100</v>
      </c>
      <c r="B77" s="53">
        <v>216</v>
      </c>
      <c r="C77" s="53">
        <v>16</v>
      </c>
      <c r="D77" s="53">
        <v>13</v>
      </c>
      <c r="E77" s="54"/>
      <c r="F77" s="54"/>
      <c r="G77" s="54"/>
      <c r="H77" s="54"/>
      <c r="I77" s="52">
        <f t="shared" si="2"/>
        <v>3.6</v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>
        <v>105</v>
      </c>
      <c r="B78" s="53">
        <v>220</v>
      </c>
      <c r="C78" s="53">
        <v>17</v>
      </c>
      <c r="D78" s="53">
        <v>13</v>
      </c>
      <c r="E78" s="54"/>
      <c r="F78" s="54"/>
      <c r="G78" s="54"/>
      <c r="H78" s="54"/>
      <c r="I78" s="52">
        <f t="shared" si="2"/>
        <v>3.4</v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>
        <v>110</v>
      </c>
      <c r="B79" s="53">
        <v>222</v>
      </c>
      <c r="C79" s="53">
        <v>18</v>
      </c>
      <c r="D79" s="53">
        <v>13</v>
      </c>
      <c r="E79" s="54"/>
      <c r="F79" s="54"/>
      <c r="G79" s="54"/>
      <c r="H79" s="54"/>
      <c r="I79" s="52">
        <f t="shared" si="2"/>
        <v>3</v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>
        <v>115</v>
      </c>
      <c r="B80" s="53">
        <v>223</v>
      </c>
      <c r="C80" s="53">
        <v>19</v>
      </c>
      <c r="D80" s="53">
        <v>13</v>
      </c>
      <c r="E80" s="54"/>
      <c r="F80" s="54"/>
      <c r="G80" s="54"/>
      <c r="H80" s="54"/>
      <c r="I80" s="52">
        <f t="shared" si="2"/>
        <v>2.8</v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>
        <v>120</v>
      </c>
      <c r="B81" s="53">
        <v>222</v>
      </c>
      <c r="C81" s="53">
        <v>20</v>
      </c>
      <c r="D81" s="53">
        <v>222</v>
      </c>
      <c r="E81" s="54"/>
      <c r="F81" s="54"/>
      <c r="G81" s="54"/>
      <c r="H81" s="54"/>
      <c r="I81" s="52">
        <f t="shared" si="2"/>
        <v>2.4</v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/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/>
      <c r="B88" s="63"/>
      <c r="C88" s="63"/>
      <c r="D88" s="63"/>
      <c r="E88" s="54"/>
      <c r="F88" s="54"/>
      <c r="G88" s="54"/>
      <c r="H88" s="93"/>
      <c r="I88" s="56" t="str">
        <f>IFERROR(B88/A88,"")</f>
        <v/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/>
      <c r="B89" s="63"/>
      <c r="C89" s="63"/>
      <c r="D89" s="63"/>
      <c r="E89" s="54"/>
      <c r="F89" s="54"/>
      <c r="G89" s="54"/>
      <c r="H89" s="93"/>
      <c r="I89" s="56" t="str">
        <f t="shared" ref="I89:I107" si="3">IF(A89&lt;&gt;0,(B89-(B88-D88))/(A89-A88),"")</f>
        <v/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/>
      <c r="B90" s="63"/>
      <c r="C90" s="63"/>
      <c r="D90" s="63"/>
      <c r="E90" s="93"/>
      <c r="F90" s="93"/>
      <c r="G90" s="93"/>
      <c r="H90" s="93"/>
      <c r="I90" s="56" t="str">
        <f t="shared" si="3"/>
        <v/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/>
      <c r="B91" s="63"/>
      <c r="C91" s="63"/>
      <c r="D91" s="63"/>
      <c r="E91" s="93"/>
      <c r="F91" s="93"/>
      <c r="G91" s="93"/>
      <c r="H91" s="93"/>
      <c r="I91" s="56" t="str">
        <f t="shared" si="3"/>
        <v/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/>
      <c r="B92" s="63"/>
      <c r="C92" s="63"/>
      <c r="D92" s="63"/>
      <c r="E92" s="93"/>
      <c r="F92" s="93"/>
      <c r="G92" s="93"/>
      <c r="H92" s="93"/>
      <c r="I92" s="56" t="str">
        <f t="shared" si="3"/>
        <v/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/>
      <c r="B93" s="63"/>
      <c r="C93" s="63"/>
      <c r="D93" s="63"/>
      <c r="E93" s="93"/>
      <c r="F93" s="93"/>
      <c r="G93" s="93"/>
      <c r="H93" s="93"/>
      <c r="I93" s="56" t="str">
        <f t="shared" si="3"/>
        <v/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/>
      <c r="B94" s="63"/>
      <c r="C94" s="63"/>
      <c r="D94" s="63"/>
      <c r="E94" s="93"/>
      <c r="F94" s="93"/>
      <c r="G94" s="93"/>
      <c r="H94" s="93"/>
      <c r="I94" s="56" t="str">
        <f t="shared" si="3"/>
        <v/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/>
      <c r="B95" s="63"/>
      <c r="C95" s="63"/>
      <c r="D95" s="63"/>
      <c r="E95" s="93"/>
      <c r="F95" s="93"/>
      <c r="G95" s="93"/>
      <c r="H95" s="93"/>
      <c r="I95" s="56" t="str">
        <f t="shared" si="3"/>
        <v/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/>
      <c r="B96" s="63"/>
      <c r="C96" s="63"/>
      <c r="D96" s="63"/>
      <c r="E96" s="93"/>
      <c r="F96" s="93"/>
      <c r="G96" s="93"/>
      <c r="H96" s="93"/>
      <c r="I96" s="56" t="str">
        <f t="shared" si="3"/>
        <v/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C23" sqref="C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0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1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Cèdre de l'Atlas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Cormier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/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0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70">
        <f>(B3+E3+F3)*44/12+(C3+D3)*0.475*44/12</f>
        <v>256.66666666666669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256.66666666666669</v>
      </c>
      <c r="S3" s="62">
        <f ca="1">AVERAGE(OFFSET($R$3,0,0,'Données projet'!$E$9+1,1))-AVERAGE(OFFSET($H$3,0,0,'Données projet'!$E$9+1,1))</f>
        <v>302.58171900450355</v>
      </c>
      <c r="T3" s="62">
        <f>IF('Données projet'!E9&gt;30,$R$33-$H$33,LOOKUP('Données projet'!$E$9,$A$3:$A$203,R3:R203)-LOOKUP('Données projet'!$E$9,$A$3:$A$203,$H$3:$H$203))</f>
        <v>164.1450425611464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256.66666666666669</v>
      </c>
      <c r="AN3" s="62">
        <f ca="1">AVERAGE(OFFSET($AM$3,0,0,'Données projet'!$E$10+1,1))-AVERAGE(OFFSET($H$3,0,0,'Données projet'!$E$10+1,1))</f>
        <v>327.4984716935208</v>
      </c>
      <c r="AO3" s="62">
        <f>IF('Données projet'!E10&gt;30,$AM$33-$H$33,LOOKUP('Données projet'!$E$10,$A$3:$A$203,AM3:AM203)-LOOKUP('Données projet'!$E$10,$A$3:$A$203,$H$3:$H$203))</f>
        <v>166.97658184507776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 t="e">
        <f>BD3*VLOOKUP('Données projet'!$B$11,Paramètres!$A$1:$I$89,3,0)*VLOOKUP('Données projet'!$B$11,Paramètres!$A$1:$I$89,5,0)</f>
        <v>#N/A</v>
      </c>
      <c r="BF3" s="13">
        <v>0</v>
      </c>
      <c r="BG3" s="15" t="e">
        <f>(BE3+BF3)*0.475*44/12</f>
        <v>#N/A</v>
      </c>
      <c r="BH3" s="62" t="e">
        <f>BG3+(AY3+AZ3)*44/12</f>
        <v>#N/A</v>
      </c>
      <c r="BI3" s="62" t="e">
        <f ca="1">AVERAGE(OFFSET($BH$3,0,0,'Données projet'!$E$11+1,1))-AVERAGE(OFFSET($H$3,0,0,'Données projet'!$E$11+1,1))</f>
        <v>#N/A</v>
      </c>
      <c r="BJ3" s="62" t="e">
        <f>IF('Données projet'!E11&gt;30,$BH$33-$H$33,LOOKUP('Données projet'!$E$11,$A$3:$A$203,BH3:BH203)-LOOKUP('Données projet'!$E$11,$A$3:$A$203,$H$3:$H$203))</f>
        <v>#N/A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0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0</v>
      </c>
      <c r="H4" s="70">
        <f t="shared" ref="H4:H67" si="1">(B4+E4+F4)*44/12+(C4+D4)*0.475*44/12</f>
        <v>256.66666666666669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4.0476666666666672</v>
      </c>
      <c r="N4" s="14">
        <f>IF('Données projet'!$A$36&gt;35,N3+M4-V3,IF(A4&lt;'Données projet'!$A$36,$K$205^A4,IF(A4='Données projet'!$A$36,'Données projet'!$B$36,N3+M4-V3)))</f>
        <v>1.1734849744378069</v>
      </c>
      <c r="O4" s="14">
        <f>N4*VLOOKUP('Données projet'!$B$9,Paramètres!$A$1:$I$89,3,0)*VLOOKUP('Données projet'!$B$9,Paramètres!$A$1:$I$89,5,0)</f>
        <v>0.5491909680368936</v>
      </c>
      <c r="P4" s="14">
        <f>EXP(-1.0587+0.8836*LN(O4)+0.284)</f>
        <v>0.27137613256212634</v>
      </c>
      <c r="Q4" s="22">
        <f t="shared" ref="Q4:Q34" si="2">(O4+P4)*0.475*44/12</f>
        <v>1.4291543668766262</v>
      </c>
      <c r="R4" s="62">
        <f t="shared" si="0"/>
        <v>259.31804325576547</v>
      </c>
      <c r="S4" s="62">
        <f ca="1">AVERAGE(OFFSET($R$3,0,0,'Données projet'!$E$9+1,1))-AVERAGE(OFFSET($H$3,0,0,'Données projet'!$E$9+1,1))</f>
        <v>302.58171900450355</v>
      </c>
      <c r="T4" s="62">
        <f>$T$3</f>
        <v>164.1450425611464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1.2</v>
      </c>
      <c r="AI4" s="14">
        <f>IF('Données projet'!$A$62&gt;35,AI3+AH4-AQ3,IF(A4&lt;'Données projet'!$A$62,$AF$205^A4,IF(A4='Données projet'!$A$62,'Données projet'!$B$62,AI3+AH4-AQ3)))</f>
        <v>1.1457367676485573</v>
      </c>
      <c r="AJ4" s="14">
        <f>AI4*VLOOKUP('Données projet'!$B$10,Paramètres!$A$1:$I$89,3,0)*VLOOKUP('Données projet'!$B$10,Paramètres!$A$1:$I$89,5,0)</f>
        <v>1.233271056696907</v>
      </c>
      <c r="AK4" s="14">
        <f>EXP(-1.0587+0.8836*LN(AJ4)+0.284)</f>
        <v>0.55464025923604754</v>
      </c>
      <c r="AL4" s="22">
        <f t="shared" ref="AL4:AL67" si="4">(AJ4+AK4)*0.475*44/12</f>
        <v>3.113945541916562</v>
      </c>
      <c r="AM4" s="62">
        <f t="shared" ref="AM4:AM67" si="5">AL4+(AD4+AE4)*44/12</f>
        <v>261.00283443080542</v>
      </c>
      <c r="AN4" s="62">
        <f ca="1">AVERAGE(OFFSET($AM$3,0,0,'Données projet'!$E$10+1,1))-AVERAGE(OFFSET($H$3,0,0,'Données projet'!$E$10+1,1))</f>
        <v>327.4984716935208</v>
      </c>
      <c r="AO4" s="62">
        <f>$AO$3</f>
        <v>166.97658184507776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0</v>
      </c>
      <c r="BD4" s="13">
        <f>IF('Données projet'!$A$88&gt;35,BD3+BC4-BL3,IF(A4&lt;'Données projet'!$A$88,$BA$205^A4,IF(A4='Données projet'!$A$88,'Données projet'!$B$88,BD3+BC4-BL3)))</f>
        <v>0</v>
      </c>
      <c r="BE4" s="14" t="e">
        <f>BD4*VLOOKUP('Données projet'!$B$11,Paramètres!$A$1:$I$89,3,0)*VLOOKUP('Données projet'!$B$11,Paramètres!$A$1:$I$89,5,0)</f>
        <v>#N/A</v>
      </c>
      <c r="BF4" s="14" t="e">
        <f>EXP(-1.0587+0.8836*LN(BE4)+0.284)</f>
        <v>#N/A</v>
      </c>
      <c r="BG4" s="22" t="e">
        <f t="shared" ref="BG4:BG67" si="7">(BE4+BF4)*0.475*44/12</f>
        <v>#N/A</v>
      </c>
      <c r="BH4" s="62" t="e">
        <f t="shared" ref="BH4:BH67" si="8">BG4+(AY4+AZ4)*44/12</f>
        <v>#N/A</v>
      </c>
      <c r="BI4" s="62" t="e">
        <f ca="1">AVERAGE(OFFSET($BH$3,0,0,'Données projet'!$E$11+1,1))-AVERAGE(OFFSET($H$3,0,0,'Données projet'!$E$11+1,1))</f>
        <v>#N/A</v>
      </c>
      <c r="BJ4" s="62" t="e">
        <f>$BJ$3</f>
        <v>#N/A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 t="e">
        <f>EXP(-LN(2)/35)*BP3+(1-EXP(-LN(2)/35))/(LN(2)/35)*BL4*BM4*VLOOKUP('Données projet'!$B$11,Paramètres!$A$1:$I$89,3,0)*0.475*44/12</f>
        <v>#N/A</v>
      </c>
      <c r="BQ4" s="23" t="e">
        <f>EXP(-LN(2)/25)*BQ3+(1-EXP(-LN(2)/25))/(LN(2)/25)*Calculateur!BL4*Calculateur!BN4*VLOOKUP('Données projet'!$B$11,Paramètres!$A$1:$I$89,3,0)*0.475*44/12</f>
        <v>#N/A</v>
      </c>
      <c r="BR4" s="23" t="e">
        <f>EXP(-LN(2)/2)*BR3+(1-EXP(-LN(2)/2))/(LN(2)/2)*BL4*BO4*VLOOKUP('Données projet'!$B$11,Paramètres!$A$1:$I$89,3,0)*0.475*44/12</f>
        <v>#N/A</v>
      </c>
      <c r="BS4" s="24" t="e">
        <f t="shared" ref="BS4:BS67" si="9">SUM(BP4:BR4)</f>
        <v>#N/A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0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0</v>
      </c>
      <c r="H5" s="70">
        <f t="shared" si="1"/>
        <v>256.66666666666669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4.0476666666666672</v>
      </c>
      <c r="N5" s="14">
        <f>IF('Données projet'!$A$36&gt;35,N4+M5-V4,IF(A5&lt;'Données projet'!$A$36,$K$205^A5,IF(A5='Données projet'!$A$36,'Données projet'!$B$36,N4+M5-V4)))</f>
        <v>1.3770669852313002</v>
      </c>
      <c r="O5" s="14">
        <f>N5*VLOOKUP('Données projet'!$B$9,Paramètres!$A$1:$I$89,3,0)*VLOOKUP('Données projet'!$B$9,Paramètres!$A$1:$I$89,5,0)</f>
        <v>0.64446734908824854</v>
      </c>
      <c r="P5" s="14">
        <f t="shared" ref="P5:P68" si="33">EXP(-1.0587+0.8836*LN(O5)+0.284)</f>
        <v>0.31258058329392635</v>
      </c>
      <c r="Q5" s="22">
        <f t="shared" si="2"/>
        <v>1.6668584822322881</v>
      </c>
      <c r="R5" s="62">
        <f t="shared" si="0"/>
        <v>260.77796959334341</v>
      </c>
      <c r="S5" s="62">
        <f ca="1">AVERAGE(OFFSET($R$3,0,0,'Données projet'!$E$9+1,1))-AVERAGE(OFFSET($H$3,0,0,'Données projet'!$E$9+1,1))</f>
        <v>302.58171900450355</v>
      </c>
      <c r="T5" s="62">
        <f t="shared" ref="T5:T68" si="34">$T$3</f>
        <v>164.1450425611464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1.2</v>
      </c>
      <c r="AI5" s="14">
        <f>IF('Données projet'!$A$62&gt;35,AI4+AH5-AQ4,IF(A5&lt;'Données projet'!$A$62,$AF$205^A5,IF(A5='Données projet'!$A$62,'Données projet'!$B$62,AI4+AH5-AQ4)))</f>
        <v>1.312712740741764</v>
      </c>
      <c r="AJ5" s="14">
        <f>AI5*VLOOKUP('Données projet'!$B$10,Paramètres!$A$1:$I$89,3,0)*VLOOKUP('Données projet'!$B$10,Paramètres!$A$1:$I$89,5,0)</f>
        <v>1.4130039941344348</v>
      </c>
      <c r="AK5" s="14">
        <f t="shared" ref="AK5:AK68" si="35">EXP(-1.0587+0.8836*LN(AJ5)+0.284)</f>
        <v>0.62548768551477418</v>
      </c>
      <c r="AL5" s="22">
        <f t="shared" si="4"/>
        <v>3.5503730087223722</v>
      </c>
      <c r="AM5" s="62">
        <f t="shared" si="5"/>
        <v>262.66148411983352</v>
      </c>
      <c r="AN5" s="62">
        <f ca="1">AVERAGE(OFFSET($AM$3,0,0,'Données projet'!$E$10+1,1))-AVERAGE(OFFSET($H$3,0,0,'Données projet'!$E$10+1,1))</f>
        <v>327.4984716935208</v>
      </c>
      <c r="AO5" s="62">
        <f t="shared" ref="AO5:AO68" si="36">$AO$3</f>
        <v>166.97658184507776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0</v>
      </c>
      <c r="BD5" s="13">
        <f>IF('Données projet'!$A$88&gt;35,BD4+BC5-BL4,IF(A5&lt;'Données projet'!$A$88,$BA$205^A5,IF(A5='Données projet'!$A$88,'Données projet'!$B$88,BD4+BC5-BL4)))</f>
        <v>0</v>
      </c>
      <c r="BE5" s="14" t="e">
        <f>BD5*VLOOKUP('Données projet'!$B$11,Paramètres!$A$1:$I$89,3,0)*VLOOKUP('Données projet'!$B$11,Paramètres!$A$1:$I$89,5,0)</f>
        <v>#N/A</v>
      </c>
      <c r="BF5" s="14" t="e">
        <f t="shared" ref="BF5:BF68" si="37">EXP(-1.0587+0.8836*LN(BE5)+0.284)</f>
        <v>#N/A</v>
      </c>
      <c r="BG5" s="22" t="e">
        <f t="shared" si="7"/>
        <v>#N/A</v>
      </c>
      <c r="BH5" s="62" t="e">
        <f t="shared" si="8"/>
        <v>#N/A</v>
      </c>
      <c r="BI5" s="62" t="e">
        <f ca="1">AVERAGE(OFFSET($BH$3,0,0,'Données projet'!$E$11+1,1))-AVERAGE(OFFSET($H$3,0,0,'Données projet'!$E$11+1,1))</f>
        <v>#N/A</v>
      </c>
      <c r="BJ5" s="62" t="e">
        <f t="shared" ref="BJ5:BJ68" si="38">$BJ$3</f>
        <v>#N/A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 t="e">
        <f>EXP(-LN(2)/35)*BP4+(1-EXP(-LN(2)/35))/(LN(2)/35)*BL5*BM5*VLOOKUP('Données projet'!$B$11,Paramètres!$A$1:$I$89,3,0)*0.475*44/12</f>
        <v>#N/A</v>
      </c>
      <c r="BQ5" s="23" t="e">
        <f>EXP(-LN(2)/25)*BQ4+(1-EXP(-LN(2)/25))/(LN(2)/25)*Calculateur!BL5*Calculateur!BN5*VLOOKUP('Données projet'!$B$11,Paramètres!$A$1:$I$89,3,0)*0.475*44/12</f>
        <v>#N/A</v>
      </c>
      <c r="BR5" s="23" t="e">
        <f>EXP(-LN(2)/2)*BR4+(1-EXP(-LN(2)/2))/(LN(2)/2)*BL5*BO5*VLOOKUP('Données projet'!$B$11,Paramètres!$A$1:$I$89,3,0)*0.475*44/12</f>
        <v>#N/A</v>
      </c>
      <c r="BS5" s="24" t="e">
        <f t="shared" si="9"/>
        <v>#N/A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0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0</v>
      </c>
      <c r="H6" s="70">
        <f t="shared" si="1"/>
        <v>256.66666666666669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4.0476666666666672</v>
      </c>
      <c r="N6" s="14">
        <f>IF('Données projet'!$A$36&gt;35,N5+M6-V5,IF(A6&lt;'Données projet'!$A$36,$K$205^A6,IF(A6='Données projet'!$A$36,'Données projet'!$B$36,N5+M6-V5)))</f>
        <v>1.6159674159633002</v>
      </c>
      <c r="O6" s="14">
        <f>N6*VLOOKUP('Données projet'!$B$9,Paramètres!$A$1:$I$89,3,0)*VLOOKUP('Données projet'!$B$9,Paramètres!$A$1:$I$89,5,0)</f>
        <v>0.75627275067082456</v>
      </c>
      <c r="P6" s="14">
        <f t="shared" si="33"/>
        <v>0.36004132025134233</v>
      </c>
      <c r="Q6" s="22">
        <f t="shared" si="2"/>
        <v>1.9442470068561069</v>
      </c>
      <c r="R6" s="62">
        <f t="shared" si="0"/>
        <v>262.27758034018944</v>
      </c>
      <c r="S6" s="62">
        <f ca="1">AVERAGE(OFFSET($R$3,0,0,'Données projet'!$E$9+1,1))-AVERAGE(OFFSET($H$3,0,0,'Données projet'!$E$9+1,1))</f>
        <v>302.58171900450355</v>
      </c>
      <c r="T6" s="62">
        <f t="shared" si="34"/>
        <v>164.1450425611464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1.2</v>
      </c>
      <c r="AI6" s="14">
        <f>IF('Données projet'!$A$62&gt;35,AI5+AH6-AQ5,IF(A6&lt;'Données projet'!$A$62,$AF$205^A6,IF(A6='Données projet'!$A$62,'Données projet'!$B$62,AI5+AH6-AQ5)))</f>
        <v>1.5040232524285473</v>
      </c>
      <c r="AJ6" s="14">
        <f>AI6*VLOOKUP('Données projet'!$B$10,Paramètres!$A$1:$I$89,3,0)*VLOOKUP('Données projet'!$B$10,Paramètres!$A$1:$I$89,5,0)</f>
        <v>1.6189306289140883</v>
      </c>
      <c r="AK6" s="14">
        <f t="shared" si="35"/>
        <v>0.70538486562354785</v>
      </c>
      <c r="AL6" s="22">
        <f t="shared" si="4"/>
        <v>4.0481828196530492</v>
      </c>
      <c r="AM6" s="62">
        <f t="shared" si="5"/>
        <v>264.38151615298636</v>
      </c>
      <c r="AN6" s="62">
        <f ca="1">AVERAGE(OFFSET($AM$3,0,0,'Données projet'!$E$10+1,1))-AVERAGE(OFFSET($H$3,0,0,'Données projet'!$E$10+1,1))</f>
        <v>327.4984716935208</v>
      </c>
      <c r="AO6" s="62">
        <f t="shared" si="36"/>
        <v>166.97658184507776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0</v>
      </c>
      <c r="BD6" s="13">
        <f>IF('Données projet'!$A$88&gt;35,BD5+BC6-BL5,IF(A6&lt;'Données projet'!$A$88,$BA$205^A6,IF(A6='Données projet'!$A$88,'Données projet'!$B$88,BD5+BC6-BL5)))</f>
        <v>0</v>
      </c>
      <c r="BE6" s="14" t="e">
        <f>BD6*VLOOKUP('Données projet'!$B$11,Paramètres!$A$1:$I$89,3,0)*VLOOKUP('Données projet'!$B$11,Paramètres!$A$1:$I$89,5,0)</f>
        <v>#N/A</v>
      </c>
      <c r="BF6" s="14" t="e">
        <f t="shared" si="37"/>
        <v>#N/A</v>
      </c>
      <c r="BG6" s="22" t="e">
        <f t="shared" si="7"/>
        <v>#N/A</v>
      </c>
      <c r="BH6" s="62" t="e">
        <f t="shared" si="8"/>
        <v>#N/A</v>
      </c>
      <c r="BI6" s="62" t="e">
        <f ca="1">AVERAGE(OFFSET($BH$3,0,0,'Données projet'!$E$11+1,1))-AVERAGE(OFFSET($H$3,0,0,'Données projet'!$E$11+1,1))</f>
        <v>#N/A</v>
      </c>
      <c r="BJ6" s="62" t="e">
        <f t="shared" si="38"/>
        <v>#N/A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 t="e">
        <f>EXP(-LN(2)/35)*BP5+(1-EXP(-LN(2)/35))/(LN(2)/35)*BL6*BM6*VLOOKUP('Données projet'!$B$11,Paramètres!$A$1:$I$89,3,0)*0.475*44/12</f>
        <v>#N/A</v>
      </c>
      <c r="BQ6" s="23" t="e">
        <f>EXP(-LN(2)/25)*BQ5+(1-EXP(-LN(2)/25))/(LN(2)/25)*Calculateur!BL6*Calculateur!BN6*VLOOKUP('Données projet'!$B$11,Paramètres!$A$1:$I$89,3,0)*0.475*44/12</f>
        <v>#N/A</v>
      </c>
      <c r="BR6" s="23" t="e">
        <f>EXP(-LN(2)/2)*BR5+(1-EXP(-LN(2)/2))/(LN(2)/2)*BL6*BO6*VLOOKUP('Données projet'!$B$11,Paramètres!$A$1:$I$89,3,0)*0.475*44/12</f>
        <v>#N/A</v>
      </c>
      <c r="BS6" s="24" t="e">
        <f t="shared" si="9"/>
        <v>#N/A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0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0</v>
      </c>
      <c r="H7" s="70">
        <f t="shared" si="1"/>
        <v>256.66666666666669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4.0476666666666672</v>
      </c>
      <c r="N7" s="14">
        <f>IF('Données projet'!$A$36&gt;35,N6+M7-V6,IF(A7&lt;'Données projet'!$A$36,$K$205^A7,IF(A7='Données projet'!$A$36,'Données projet'!$B$36,N6+M7-V6)))</f>
        <v>1.8963134818140219</v>
      </c>
      <c r="O7" s="14">
        <f>N7*VLOOKUP('Données projet'!$B$9,Paramètres!$A$1:$I$89,3,0)*VLOOKUP('Données projet'!$B$9,Paramètres!$A$1:$I$89,5,0)</f>
        <v>0.88747470948896223</v>
      </c>
      <c r="P7" s="14">
        <f t="shared" si="33"/>
        <v>0.41470826793625865</v>
      </c>
      <c r="Q7" s="22">
        <f t="shared" si="2"/>
        <v>2.2679686856822596</v>
      </c>
      <c r="R7" s="62">
        <f t="shared" si="0"/>
        <v>263.82352424123781</v>
      </c>
      <c r="S7" s="62">
        <f ca="1">AVERAGE(OFFSET($R$3,0,0,'Données projet'!$E$9+1,1))-AVERAGE(OFFSET($H$3,0,0,'Données projet'!$E$9+1,1))</f>
        <v>302.58171900450355</v>
      </c>
      <c r="T7" s="62">
        <f t="shared" si="34"/>
        <v>164.1450425611464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1.2</v>
      </c>
      <c r="AI7" s="14">
        <f>IF('Données projet'!$A$62&gt;35,AI6+AH7-AQ6,IF(A7&lt;'Données projet'!$A$62,$AF$205^A7,IF(A7='Données projet'!$A$62,'Données projet'!$B$62,AI6+AH7-AQ6)))</f>
        <v>1.7232147397057538</v>
      </c>
      <c r="AJ7" s="14">
        <f>AI7*VLOOKUP('Données projet'!$B$10,Paramètres!$A$1:$I$89,3,0)*VLOOKUP('Données projet'!$B$10,Paramètres!$A$1:$I$89,5,0)</f>
        <v>1.8548683458192732</v>
      </c>
      <c r="AK7" s="14">
        <f t="shared" si="35"/>
        <v>0.79548777725536501</v>
      </c>
      <c r="AL7" s="22">
        <f t="shared" si="4"/>
        <v>4.6160369143549937</v>
      </c>
      <c r="AM7" s="62">
        <f t="shared" si="5"/>
        <v>266.17159246991054</v>
      </c>
      <c r="AN7" s="62">
        <f ca="1">AVERAGE(OFFSET($AM$3,0,0,'Données projet'!$E$10+1,1))-AVERAGE(OFFSET($H$3,0,0,'Données projet'!$E$10+1,1))</f>
        <v>327.4984716935208</v>
      </c>
      <c r="AO7" s="62">
        <f t="shared" si="36"/>
        <v>166.97658184507776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0</v>
      </c>
      <c r="BD7" s="13">
        <f>IF('Données projet'!$A$88&gt;35,BD6+BC7-BL6,IF(A7&lt;'Données projet'!$A$88,$BA$205^A7,IF(A7='Données projet'!$A$88,'Données projet'!$B$88,BD6+BC7-BL6)))</f>
        <v>0</v>
      </c>
      <c r="BE7" s="14" t="e">
        <f>BD7*VLOOKUP('Données projet'!$B$11,Paramètres!$A$1:$I$89,3,0)*VLOOKUP('Données projet'!$B$11,Paramètres!$A$1:$I$89,5,0)</f>
        <v>#N/A</v>
      </c>
      <c r="BF7" s="14" t="e">
        <f t="shared" si="37"/>
        <v>#N/A</v>
      </c>
      <c r="BG7" s="22" t="e">
        <f t="shared" si="7"/>
        <v>#N/A</v>
      </c>
      <c r="BH7" s="62" t="e">
        <f t="shared" si="8"/>
        <v>#N/A</v>
      </c>
      <c r="BI7" s="62" t="e">
        <f ca="1">AVERAGE(OFFSET($BH$3,0,0,'Données projet'!$E$11+1,1))-AVERAGE(OFFSET($H$3,0,0,'Données projet'!$E$11+1,1))</f>
        <v>#N/A</v>
      </c>
      <c r="BJ7" s="62" t="e">
        <f t="shared" si="38"/>
        <v>#N/A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 t="e">
        <f>EXP(-LN(2)/35)*BP6+(1-EXP(-LN(2)/35))/(LN(2)/35)*BL7*BM7*VLOOKUP('Données projet'!$B$11,Paramètres!$A$1:$I$89,3,0)*0.475*44/12</f>
        <v>#N/A</v>
      </c>
      <c r="BQ7" s="23" t="e">
        <f>EXP(-LN(2)/25)*BQ6+(1-EXP(-LN(2)/25))/(LN(2)/25)*Calculateur!BL7*Calculateur!BN7*VLOOKUP('Données projet'!$B$11,Paramètres!$A$1:$I$89,3,0)*0.475*44/12</f>
        <v>#N/A</v>
      </c>
      <c r="BR7" s="23" t="e">
        <f>EXP(-LN(2)/2)*BR6+(1-EXP(-LN(2)/2))/(LN(2)/2)*BL7*BO7*VLOOKUP('Données projet'!$B$11,Paramètres!$A$1:$I$89,3,0)*0.475*44/12</f>
        <v>#N/A</v>
      </c>
      <c r="BS7" s="24" t="e">
        <f t="shared" si="9"/>
        <v>#N/A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0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0</v>
      </c>
      <c r="H8" s="70">
        <f t="shared" si="1"/>
        <v>256.66666666666669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4.0476666666666672</v>
      </c>
      <c r="N8" s="14">
        <f>IF('Données projet'!$A$36&gt;35,N7+M8-V7,IF(A8&lt;'Données projet'!$A$36,$K$205^A8,IF(A8='Données projet'!$A$36,'Données projet'!$B$36,N7+M8-V7)))</f>
        <v>2.2252953777325959</v>
      </c>
      <c r="O8" s="14">
        <f>N8*VLOOKUP('Données projet'!$B$9,Paramètres!$A$1:$I$89,3,0)*VLOOKUP('Données projet'!$B$9,Paramètres!$A$1:$I$89,5,0)</f>
        <v>1.0414382367788548</v>
      </c>
      <c r="P8" s="14">
        <f t="shared" si="33"/>
        <v>0.47767558283208045</v>
      </c>
      <c r="Q8" s="22">
        <f t="shared" si="2"/>
        <v>2.6457899024890454</v>
      </c>
      <c r="R8" s="62">
        <f t="shared" si="0"/>
        <v>265.42356768026684</v>
      </c>
      <c r="S8" s="62">
        <f ca="1">AVERAGE(OFFSET($R$3,0,0,'Données projet'!$E$9+1,1))-AVERAGE(OFFSET($H$3,0,0,'Données projet'!$E$9+1,1))</f>
        <v>302.58171900450355</v>
      </c>
      <c r="T8" s="62">
        <f t="shared" si="34"/>
        <v>164.1450425611464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1.2</v>
      </c>
      <c r="AI8" s="14">
        <f>IF('Données projet'!$A$62&gt;35,AI7+AH8-AQ7,IF(A8&lt;'Données projet'!$A$62,$AF$205^A8,IF(A8='Données projet'!$A$62,'Données projet'!$B$62,AI7+AH8-AQ7)))</f>
        <v>1.9743504858348202</v>
      </c>
      <c r="AJ8" s="14">
        <f>AI8*VLOOKUP('Données projet'!$B$10,Paramètres!$A$1:$I$89,3,0)*VLOOKUP('Données projet'!$B$10,Paramètres!$A$1:$I$89,5,0)</f>
        <v>2.1251908629526004</v>
      </c>
      <c r="AK8" s="14">
        <f t="shared" si="35"/>
        <v>0.89710005785748825</v>
      </c>
      <c r="AL8" s="22">
        <f t="shared" si="4"/>
        <v>5.2638233537442369</v>
      </c>
      <c r="AM8" s="62">
        <f t="shared" si="5"/>
        <v>268.04160113152199</v>
      </c>
      <c r="AN8" s="62">
        <f ca="1">AVERAGE(OFFSET($AM$3,0,0,'Données projet'!$E$10+1,1))-AVERAGE(OFFSET($H$3,0,0,'Données projet'!$E$10+1,1))</f>
        <v>327.4984716935208</v>
      </c>
      <c r="AO8" s="62">
        <f t="shared" si="36"/>
        <v>166.97658184507776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0</v>
      </c>
      <c r="BD8" s="13">
        <f>IF('Données projet'!$A$88&gt;35,BD7+BC8-BL7,IF(A8&lt;'Données projet'!$A$88,$BA$205^A8,IF(A8='Données projet'!$A$88,'Données projet'!$B$88,BD7+BC8-BL7)))</f>
        <v>0</v>
      </c>
      <c r="BE8" s="14" t="e">
        <f>BD8*VLOOKUP('Données projet'!$B$11,Paramètres!$A$1:$I$89,3,0)*VLOOKUP('Données projet'!$B$11,Paramètres!$A$1:$I$89,5,0)</f>
        <v>#N/A</v>
      </c>
      <c r="BF8" s="14" t="e">
        <f t="shared" si="37"/>
        <v>#N/A</v>
      </c>
      <c r="BG8" s="22" t="e">
        <f t="shared" si="7"/>
        <v>#N/A</v>
      </c>
      <c r="BH8" s="62" t="e">
        <f t="shared" si="8"/>
        <v>#N/A</v>
      </c>
      <c r="BI8" s="62" t="e">
        <f ca="1">AVERAGE(OFFSET($BH$3,0,0,'Données projet'!$E$11+1,1))-AVERAGE(OFFSET($H$3,0,0,'Données projet'!$E$11+1,1))</f>
        <v>#N/A</v>
      </c>
      <c r="BJ8" s="62" t="e">
        <f t="shared" si="38"/>
        <v>#N/A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 t="e">
        <f>EXP(-LN(2)/35)*BP7+(1-EXP(-LN(2)/35))/(LN(2)/35)*BL8*BM8*VLOOKUP('Données projet'!$B$11,Paramètres!$A$1:$I$89,3,0)*0.475*44/12</f>
        <v>#N/A</v>
      </c>
      <c r="BQ8" s="23" t="e">
        <f>EXP(-LN(2)/25)*BQ7+(1-EXP(-LN(2)/25))/(LN(2)/25)*Calculateur!BL8*Calculateur!BN8*VLOOKUP('Données projet'!$B$11,Paramètres!$A$1:$I$89,3,0)*0.475*44/12</f>
        <v>#N/A</v>
      </c>
      <c r="BR8" s="23" t="e">
        <f>EXP(-LN(2)/2)*BR7+(1-EXP(-LN(2)/2))/(LN(2)/2)*BL8*BO8*VLOOKUP('Données projet'!$B$11,Paramètres!$A$1:$I$89,3,0)*0.475*44/12</f>
        <v>#N/A</v>
      </c>
      <c r="BS8" s="24" t="e">
        <f t="shared" si="9"/>
        <v>#N/A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0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0</v>
      </c>
      <c r="H9" s="70">
        <f t="shared" si="1"/>
        <v>256.66666666666669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4.0476666666666672</v>
      </c>
      <c r="N9" s="14">
        <f>IF('Données projet'!$A$36&gt;35,N8+M9-V8,IF(A9&lt;'Données projet'!$A$36,$K$205^A9,IF(A9='Données projet'!$A$36,'Données projet'!$B$36,N8+M9-V8)))</f>
        <v>2.6113506894551053</v>
      </c>
      <c r="O9" s="14">
        <f>N9*VLOOKUP('Données projet'!$B$9,Paramètres!$A$1:$I$89,3,0)*VLOOKUP('Données projet'!$B$9,Paramètres!$A$1:$I$89,5,0)</f>
        <v>1.2221121226649894</v>
      </c>
      <c r="P9" s="14">
        <f t="shared" si="33"/>
        <v>0.55020355289622191</v>
      </c>
      <c r="Q9" s="22">
        <f t="shared" si="2"/>
        <v>3.0867831349357764</v>
      </c>
      <c r="R9" s="62">
        <f t="shared" si="0"/>
        <v>267.08678313493579</v>
      </c>
      <c r="S9" s="62">
        <f ca="1">AVERAGE(OFFSET($R$3,0,0,'Données projet'!$E$9+1,1))-AVERAGE(OFFSET($H$3,0,0,'Données projet'!$E$9+1,1))</f>
        <v>302.58171900450355</v>
      </c>
      <c r="T9" s="62">
        <f t="shared" si="34"/>
        <v>164.1450425611464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1.2</v>
      </c>
      <c r="AI9" s="14">
        <f>IF('Données projet'!$A$62&gt;35,AI8+AH9-AQ8,IF(A9&lt;'Données projet'!$A$62,$AF$205^A9,IF(A9='Données projet'!$A$62,'Données projet'!$B$62,AI8+AH9-AQ8)))</f>
        <v>2.2620859438457455</v>
      </c>
      <c r="AJ9" s="14">
        <f>AI9*VLOOKUP('Données projet'!$B$10,Paramètres!$A$1:$I$89,3,0)*VLOOKUP('Données projet'!$B$10,Paramètres!$A$1:$I$89,5,0)</f>
        <v>2.4349093099555601</v>
      </c>
      <c r="AK9" s="14">
        <f t="shared" si="35"/>
        <v>1.0116918660706939</v>
      </c>
      <c r="AL9" s="22">
        <f t="shared" si="4"/>
        <v>6.0028303815790593</v>
      </c>
      <c r="AM9" s="62">
        <f t="shared" si="5"/>
        <v>270.00283038157909</v>
      </c>
      <c r="AN9" s="62">
        <f ca="1">AVERAGE(OFFSET($AM$3,0,0,'Données projet'!$E$10+1,1))-AVERAGE(OFFSET($H$3,0,0,'Données projet'!$E$10+1,1))</f>
        <v>327.4984716935208</v>
      </c>
      <c r="AO9" s="62">
        <f t="shared" si="36"/>
        <v>166.97658184507776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0</v>
      </c>
      <c r="BD9" s="13">
        <f>IF('Données projet'!$A$88&gt;35,BD8+BC9-BL8,IF(A9&lt;'Données projet'!$A$88,$BA$205^A9,IF(A9='Données projet'!$A$88,'Données projet'!$B$88,BD8+BC9-BL8)))</f>
        <v>0</v>
      </c>
      <c r="BE9" s="14" t="e">
        <f>BD9*VLOOKUP('Données projet'!$B$11,Paramètres!$A$1:$I$89,3,0)*VLOOKUP('Données projet'!$B$11,Paramètres!$A$1:$I$89,5,0)</f>
        <v>#N/A</v>
      </c>
      <c r="BF9" s="14" t="e">
        <f t="shared" si="37"/>
        <v>#N/A</v>
      </c>
      <c r="BG9" s="22" t="e">
        <f t="shared" si="7"/>
        <v>#N/A</v>
      </c>
      <c r="BH9" s="62" t="e">
        <f t="shared" si="8"/>
        <v>#N/A</v>
      </c>
      <c r="BI9" s="62" t="e">
        <f ca="1">AVERAGE(OFFSET($BH$3,0,0,'Données projet'!$E$11+1,1))-AVERAGE(OFFSET($H$3,0,0,'Données projet'!$E$11+1,1))</f>
        <v>#N/A</v>
      </c>
      <c r="BJ9" s="62" t="e">
        <f t="shared" si="38"/>
        <v>#N/A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 t="e">
        <f>EXP(-LN(2)/35)*BP8+(1-EXP(-LN(2)/35))/(LN(2)/35)*BL9*BM9*VLOOKUP('Données projet'!$B$11,Paramètres!$A$1:$I$89,3,0)*0.475*44/12</f>
        <v>#N/A</v>
      </c>
      <c r="BQ9" s="23" t="e">
        <f>EXP(-LN(2)/25)*BQ8+(1-EXP(-LN(2)/25))/(LN(2)/25)*Calculateur!BL9*Calculateur!BN9*VLOOKUP('Données projet'!$B$11,Paramètres!$A$1:$I$89,3,0)*0.475*44/12</f>
        <v>#N/A</v>
      </c>
      <c r="BR9" s="23" t="e">
        <f>EXP(-LN(2)/2)*BR8+(1-EXP(-LN(2)/2))/(LN(2)/2)*BL9*BO9*VLOOKUP('Données projet'!$B$11,Paramètres!$A$1:$I$89,3,0)*0.475*44/12</f>
        <v>#N/A</v>
      </c>
      <c r="BS9" s="24" t="e">
        <f t="shared" si="9"/>
        <v>#N/A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0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0</v>
      </c>
      <c r="H10" s="70">
        <f t="shared" si="1"/>
        <v>256.66666666666669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4.0476666666666672</v>
      </c>
      <c r="N10" s="14">
        <f>IF('Données projet'!$A$36&gt;35,N9+M10-V9,IF(A10&lt;'Données projet'!$A$36,$K$205^A10,IF(A10='Données projet'!$A$36,'Données projet'!$B$36,N9+M10-V9)))</f>
        <v>3.0643807970633739</v>
      </c>
      <c r="O10" s="14">
        <f>N10*VLOOKUP('Données projet'!$B$9,Paramètres!$A$1:$I$89,3,0)*VLOOKUP('Données projet'!$B$9,Paramètres!$A$1:$I$89,5,0)</f>
        <v>1.434130213025659</v>
      </c>
      <c r="P10" s="14">
        <f t="shared" si="33"/>
        <v>0.63374382216652581</v>
      </c>
      <c r="Q10" s="22">
        <f t="shared" si="2"/>
        <v>3.6015472779597215</v>
      </c>
      <c r="R10" s="62">
        <f t="shared" si="0"/>
        <v>268.82376950018192</v>
      </c>
      <c r="S10" s="62">
        <f ca="1">AVERAGE(OFFSET($R$3,0,0,'Données projet'!$E$9+1,1))-AVERAGE(OFFSET($H$3,0,0,'Données projet'!$E$9+1,1))</f>
        <v>302.58171900450355</v>
      </c>
      <c r="T10" s="62">
        <f t="shared" si="34"/>
        <v>164.1450425611464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1.2</v>
      </c>
      <c r="AI10" s="14">
        <f>IF('Données projet'!$A$62&gt;35,AI9+AH10-AQ9,IF(A10&lt;'Données projet'!$A$62,$AF$205^A10,IF(A10='Données projet'!$A$62,'Données projet'!$B$62,AI9+AH10-AQ9)))</f>
        <v>2.5917550374450604</v>
      </c>
      <c r="AJ10" s="14">
        <f>AI10*VLOOKUP('Données projet'!$B$10,Paramètres!$A$1:$I$89,3,0)*VLOOKUP('Données projet'!$B$10,Paramètres!$A$1:$I$89,5,0)</f>
        <v>2.7897651223058633</v>
      </c>
      <c r="AK10" s="14">
        <f t="shared" si="35"/>
        <v>1.1409211524498617</v>
      </c>
      <c r="AL10" s="22">
        <f t="shared" si="4"/>
        <v>6.8459452618662198</v>
      </c>
      <c r="AM10" s="62">
        <f t="shared" si="5"/>
        <v>272.06816748408846</v>
      </c>
      <c r="AN10" s="62">
        <f ca="1">AVERAGE(OFFSET($AM$3,0,0,'Données projet'!$E$10+1,1))-AVERAGE(OFFSET($H$3,0,0,'Données projet'!$E$10+1,1))</f>
        <v>327.4984716935208</v>
      </c>
      <c r="AO10" s="62">
        <f t="shared" si="36"/>
        <v>166.97658184507776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0</v>
      </c>
      <c r="BD10" s="13">
        <f>IF('Données projet'!$A$88&gt;35,BD9+BC10-BL9,IF(A10&lt;'Données projet'!$A$88,$BA$205^A10,IF(A10='Données projet'!$A$88,'Données projet'!$B$88,BD9+BC10-BL9)))</f>
        <v>0</v>
      </c>
      <c r="BE10" s="14" t="e">
        <f>BD10*VLOOKUP('Données projet'!$B$11,Paramètres!$A$1:$I$89,3,0)*VLOOKUP('Données projet'!$B$11,Paramètres!$A$1:$I$89,5,0)</f>
        <v>#N/A</v>
      </c>
      <c r="BF10" s="14" t="e">
        <f t="shared" si="37"/>
        <v>#N/A</v>
      </c>
      <c r="BG10" s="22" t="e">
        <f t="shared" si="7"/>
        <v>#N/A</v>
      </c>
      <c r="BH10" s="62" t="e">
        <f t="shared" si="8"/>
        <v>#N/A</v>
      </c>
      <c r="BI10" s="62" t="e">
        <f ca="1">AVERAGE(OFFSET($BH$3,0,0,'Données projet'!$E$11+1,1))-AVERAGE(OFFSET($H$3,0,0,'Données projet'!$E$11+1,1))</f>
        <v>#N/A</v>
      </c>
      <c r="BJ10" s="62" t="e">
        <f t="shared" si="38"/>
        <v>#N/A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 t="e">
        <f>EXP(-LN(2)/35)*BP9+(1-EXP(-LN(2)/35))/(LN(2)/35)*BL10*BM10*VLOOKUP('Données projet'!$B$11,Paramètres!$A$1:$I$89,3,0)*0.475*44/12</f>
        <v>#N/A</v>
      </c>
      <c r="BQ10" s="23" t="e">
        <f>EXP(-LN(2)/25)*BQ9+(1-EXP(-LN(2)/25))/(LN(2)/25)*Calculateur!BL10*Calculateur!BN10*VLOOKUP('Données projet'!$B$11,Paramètres!$A$1:$I$89,3,0)*0.475*44/12</f>
        <v>#N/A</v>
      </c>
      <c r="BR10" s="23" t="e">
        <f>EXP(-LN(2)/2)*BR9+(1-EXP(-LN(2)/2))/(LN(2)/2)*BL10*BO10*VLOOKUP('Données projet'!$B$11,Paramètres!$A$1:$I$89,3,0)*0.475*44/12</f>
        <v>#N/A</v>
      </c>
      <c r="BS10" s="24" t="e">
        <f t="shared" si="9"/>
        <v>#N/A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0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0</v>
      </c>
      <c r="H11" s="70">
        <f t="shared" si="1"/>
        <v>256.66666666666669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4.0476666666666672</v>
      </c>
      <c r="N11" s="14">
        <f>IF('Données projet'!$A$36&gt;35,N10+M11-V10,IF(A11&lt;'Données projet'!$A$36,$K$205^A11,IF(A11='Données projet'!$A$36,'Données projet'!$B$36,N10+M11-V10)))</f>
        <v>3.5960048213096187</v>
      </c>
      <c r="O11" s="14">
        <f>N11*VLOOKUP('Données projet'!$B$9,Paramètres!$A$1:$I$89,3,0)*VLOOKUP('Données projet'!$B$9,Paramètres!$A$1:$I$89,5,0)</f>
        <v>1.6829302563729016</v>
      </c>
      <c r="P11" s="14">
        <f t="shared" si="33"/>
        <v>0.72996844535097327</v>
      </c>
      <c r="Q11" s="22">
        <f t="shared" si="2"/>
        <v>4.2024652388357486</v>
      </c>
      <c r="R11" s="62">
        <f t="shared" si="0"/>
        <v>270.64690968328023</v>
      </c>
      <c r="S11" s="62">
        <f ca="1">AVERAGE(OFFSET($R$3,0,0,'Données projet'!$E$9+1,1))-AVERAGE(OFFSET($H$3,0,0,'Données projet'!$E$9+1,1))</f>
        <v>302.58171900450355</v>
      </c>
      <c r="T11" s="62">
        <f t="shared" si="34"/>
        <v>164.1450425611464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1.2</v>
      </c>
      <c r="AI11" s="14">
        <f>IF('Données projet'!$A$62&gt;35,AI10+AH11-AQ10,IF(A11&lt;'Données projet'!$A$62,$AF$205^A11,IF(A11='Données projet'!$A$62,'Données projet'!$B$62,AI10+AH11-AQ10)))</f>
        <v>2.9694690391391689</v>
      </c>
      <c r="AJ11" s="14">
        <f>AI11*VLOOKUP('Données projet'!$B$10,Paramètres!$A$1:$I$89,3,0)*VLOOKUP('Données projet'!$B$10,Paramètres!$A$1:$I$89,5,0)</f>
        <v>3.1963364737294016</v>
      </c>
      <c r="AK11" s="14">
        <f t="shared" si="35"/>
        <v>1.28665764721742</v>
      </c>
      <c r="AL11" s="22">
        <f t="shared" si="4"/>
        <v>7.8078814273157144</v>
      </c>
      <c r="AM11" s="62">
        <f t="shared" si="5"/>
        <v>274.25232587176015</v>
      </c>
      <c r="AN11" s="62">
        <f ca="1">AVERAGE(OFFSET($AM$3,0,0,'Données projet'!$E$10+1,1))-AVERAGE(OFFSET($H$3,0,0,'Données projet'!$E$10+1,1))</f>
        <v>327.4984716935208</v>
      </c>
      <c r="AO11" s="62">
        <f t="shared" si="36"/>
        <v>166.97658184507776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0</v>
      </c>
      <c r="BD11" s="13">
        <f>IF('Données projet'!$A$88&gt;35,BD10+BC11-BL10,IF(A11&lt;'Données projet'!$A$88,$BA$205^A11,IF(A11='Données projet'!$A$88,'Données projet'!$B$88,BD10+BC11-BL10)))</f>
        <v>0</v>
      </c>
      <c r="BE11" s="14" t="e">
        <f>BD11*VLOOKUP('Données projet'!$B$11,Paramètres!$A$1:$I$89,3,0)*VLOOKUP('Données projet'!$B$11,Paramètres!$A$1:$I$89,5,0)</f>
        <v>#N/A</v>
      </c>
      <c r="BF11" s="14" t="e">
        <f t="shared" si="37"/>
        <v>#N/A</v>
      </c>
      <c r="BG11" s="22" t="e">
        <f t="shared" si="7"/>
        <v>#N/A</v>
      </c>
      <c r="BH11" s="62" t="e">
        <f t="shared" si="8"/>
        <v>#N/A</v>
      </c>
      <c r="BI11" s="62" t="e">
        <f ca="1">AVERAGE(OFFSET($BH$3,0,0,'Données projet'!$E$11+1,1))-AVERAGE(OFFSET($H$3,0,0,'Données projet'!$E$11+1,1))</f>
        <v>#N/A</v>
      </c>
      <c r="BJ11" s="62" t="e">
        <f t="shared" si="38"/>
        <v>#N/A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 t="e">
        <f>EXP(-LN(2)/35)*BP10+(1-EXP(-LN(2)/35))/(LN(2)/35)*BL11*BM11*VLOOKUP('Données projet'!$B$11,Paramètres!$A$1:$I$89,3,0)*0.475*44/12</f>
        <v>#N/A</v>
      </c>
      <c r="BQ11" s="23" t="e">
        <f>EXP(-LN(2)/25)*BQ10+(1-EXP(-LN(2)/25))/(LN(2)/25)*Calculateur!BL11*Calculateur!BN11*VLOOKUP('Données projet'!$B$11,Paramètres!$A$1:$I$89,3,0)*0.475*44/12</f>
        <v>#N/A</v>
      </c>
      <c r="BR11" s="23" t="e">
        <f>EXP(-LN(2)/2)*BR10+(1-EXP(-LN(2)/2))/(LN(2)/2)*BL11*BO11*VLOOKUP('Données projet'!$B$11,Paramètres!$A$1:$I$89,3,0)*0.475*44/12</f>
        <v>#N/A</v>
      </c>
      <c r="BS11" s="24" t="e">
        <f t="shared" si="9"/>
        <v>#N/A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0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0</v>
      </c>
      <c r="H12" s="70">
        <f t="shared" si="1"/>
        <v>256.66666666666669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4.0476666666666672</v>
      </c>
      <c r="N12" s="14">
        <f>IF('Données projet'!$A$36&gt;35,N11+M12-V11,IF(A12&lt;'Données projet'!$A$36,$K$205^A12,IF(A12='Données projet'!$A$36,'Données projet'!$B$36,N11+M12-V11)))</f>
        <v>4.2198576258127485</v>
      </c>
      <c r="O12" s="14">
        <f>N12*VLOOKUP('Données projet'!$B$9,Paramètres!$A$1:$I$89,3,0)*VLOOKUP('Données projet'!$B$9,Paramètres!$A$1:$I$89,5,0)</f>
        <v>1.9748933688803663</v>
      </c>
      <c r="P12" s="14">
        <f t="shared" si="33"/>
        <v>0.84080335392697747</v>
      </c>
      <c r="Q12" s="22">
        <f t="shared" si="2"/>
        <v>4.9040051255561234</v>
      </c>
      <c r="R12" s="62">
        <f t="shared" si="0"/>
        <v>272.57067179222281</v>
      </c>
      <c r="S12" s="62">
        <f ca="1">AVERAGE(OFFSET($R$3,0,0,'Données projet'!$E$9+1,1))-AVERAGE(OFFSET($H$3,0,0,'Données projet'!$E$9+1,1))</f>
        <v>302.58171900450355</v>
      </c>
      <c r="T12" s="62">
        <f t="shared" si="34"/>
        <v>164.1450425611464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1.2</v>
      </c>
      <c r="AI12" s="14">
        <f>IF('Données projet'!$A$62&gt;35,AI11+AH12-AQ11,IF(A12&lt;'Données projet'!$A$62,$AF$205^A12,IF(A12='Données projet'!$A$62,'Données projet'!$B$62,AI11+AH12-AQ11)))</f>
        <v>3.4022298585357786</v>
      </c>
      <c r="AJ12" s="14">
        <f>AI12*VLOOKUP('Données projet'!$B$10,Paramètres!$A$1:$I$89,3,0)*VLOOKUP('Données projet'!$B$10,Paramètres!$A$1:$I$89,5,0)</f>
        <v>3.6621602197279119</v>
      </c>
      <c r="AK12" s="14">
        <f t="shared" si="35"/>
        <v>1.4510099121120625</v>
      </c>
      <c r="AL12" s="22">
        <f t="shared" si="4"/>
        <v>8.9054379796212881</v>
      </c>
      <c r="AM12" s="62">
        <f t="shared" si="5"/>
        <v>276.57210464628798</v>
      </c>
      <c r="AN12" s="62">
        <f ca="1">AVERAGE(OFFSET($AM$3,0,0,'Données projet'!$E$10+1,1))-AVERAGE(OFFSET($H$3,0,0,'Données projet'!$E$10+1,1))</f>
        <v>327.4984716935208</v>
      </c>
      <c r="AO12" s="62">
        <f t="shared" si="36"/>
        <v>166.97658184507776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0</v>
      </c>
      <c r="BD12" s="13">
        <f>IF('Données projet'!$A$88&gt;35,BD11+BC12-BL11,IF(A12&lt;'Données projet'!$A$88,$BA$205^A12,IF(A12='Données projet'!$A$88,'Données projet'!$B$88,BD11+BC12-BL11)))</f>
        <v>0</v>
      </c>
      <c r="BE12" s="14" t="e">
        <f>BD12*VLOOKUP('Données projet'!$B$11,Paramètres!$A$1:$I$89,3,0)*VLOOKUP('Données projet'!$B$11,Paramètres!$A$1:$I$89,5,0)</f>
        <v>#N/A</v>
      </c>
      <c r="BF12" s="14" t="e">
        <f t="shared" si="37"/>
        <v>#N/A</v>
      </c>
      <c r="BG12" s="22" t="e">
        <f t="shared" si="7"/>
        <v>#N/A</v>
      </c>
      <c r="BH12" s="62" t="e">
        <f t="shared" si="8"/>
        <v>#N/A</v>
      </c>
      <c r="BI12" s="62" t="e">
        <f ca="1">AVERAGE(OFFSET($BH$3,0,0,'Données projet'!$E$11+1,1))-AVERAGE(OFFSET($H$3,0,0,'Données projet'!$E$11+1,1))</f>
        <v>#N/A</v>
      </c>
      <c r="BJ12" s="62" t="e">
        <f t="shared" si="38"/>
        <v>#N/A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 t="e">
        <f>EXP(-LN(2)/35)*BP11+(1-EXP(-LN(2)/35))/(LN(2)/35)*BL12*BM12*VLOOKUP('Données projet'!$B$11,Paramètres!$A$1:$I$89,3,0)*0.475*44/12</f>
        <v>#N/A</v>
      </c>
      <c r="BQ12" s="23" t="e">
        <f>EXP(-LN(2)/25)*BQ11+(1-EXP(-LN(2)/25))/(LN(2)/25)*Calculateur!BL12*Calculateur!BN12*VLOOKUP('Données projet'!$B$11,Paramètres!$A$1:$I$89,3,0)*0.475*44/12</f>
        <v>#N/A</v>
      </c>
      <c r="BR12" s="23" t="e">
        <f>EXP(-LN(2)/2)*BR11+(1-EXP(-LN(2)/2))/(LN(2)/2)*BL12*BO12*VLOOKUP('Données projet'!$B$11,Paramètres!$A$1:$I$89,3,0)*0.475*44/12</f>
        <v>#N/A</v>
      </c>
      <c r="BS12" s="24" t="e">
        <f t="shared" si="9"/>
        <v>#N/A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0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0</v>
      </c>
      <c r="H13" s="70">
        <f t="shared" si="1"/>
        <v>256.66666666666669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4.0476666666666672</v>
      </c>
      <c r="N13" s="14">
        <f>IF('Données projet'!$A$36&gt;35,N12+M13-V12,IF(A13&lt;'Données projet'!$A$36,$K$205^A13,IF(A13='Données projet'!$A$36,'Données projet'!$B$36,N12+M13-V12)))</f>
        <v>4.9519395181580572</v>
      </c>
      <c r="O13" s="14">
        <f>N13*VLOOKUP('Données projet'!$B$9,Paramètres!$A$1:$I$89,3,0)*VLOOKUP('Données projet'!$B$9,Paramètres!$A$1:$I$89,5,0)</f>
        <v>2.3175076944979707</v>
      </c>
      <c r="P13" s="14">
        <f t="shared" si="33"/>
        <v>0.96846690357272658</v>
      </c>
      <c r="Q13" s="22">
        <f t="shared" si="2"/>
        <v>5.7230724249731315</v>
      </c>
      <c r="R13" s="62">
        <f t="shared" si="0"/>
        <v>274.61196131386197</v>
      </c>
      <c r="S13" s="62">
        <f ca="1">AVERAGE(OFFSET($R$3,0,0,'Données projet'!$E$9+1,1))-AVERAGE(OFFSET($H$3,0,0,'Données projet'!$E$9+1,1))</f>
        <v>302.58171900450355</v>
      </c>
      <c r="T13" s="62">
        <f t="shared" si="34"/>
        <v>164.1450425611464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1.2</v>
      </c>
      <c r="AI13" s="14">
        <f>IF('Données projet'!$A$62&gt;35,AI12+AH13-AQ12,IF(A13&lt;'Données projet'!$A$62,$AF$205^A13,IF(A13='Données projet'!$A$62,'Données projet'!$B$62,AI12+AH13-AQ12)))</f>
        <v>3.8980598409161908</v>
      </c>
      <c r="AJ13" s="14">
        <f>AI13*VLOOKUP('Données projet'!$B$10,Paramètres!$A$1:$I$89,3,0)*VLOOKUP('Données projet'!$B$10,Paramètres!$A$1:$I$89,5,0)</f>
        <v>4.1958716127621871</v>
      </c>
      <c r="AK13" s="14">
        <f t="shared" si="35"/>
        <v>1.63635584772744</v>
      </c>
      <c r="AL13" s="22">
        <f t="shared" si="4"/>
        <v>10.157796160352767</v>
      </c>
      <c r="AM13" s="62">
        <f t="shared" si="5"/>
        <v>279.0466850492416</v>
      </c>
      <c r="AN13" s="62">
        <f ca="1">AVERAGE(OFFSET($AM$3,0,0,'Données projet'!$E$10+1,1))-AVERAGE(OFFSET($H$3,0,0,'Données projet'!$E$10+1,1))</f>
        <v>327.4984716935208</v>
      </c>
      <c r="AO13" s="62">
        <f t="shared" si="36"/>
        <v>166.97658184507776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0</v>
      </c>
      <c r="BD13" s="13">
        <f>IF('Données projet'!$A$88&gt;35,BD12+BC13-BL12,IF(A13&lt;'Données projet'!$A$88,$BA$205^A13,IF(A13='Données projet'!$A$88,'Données projet'!$B$88,BD12+BC13-BL12)))</f>
        <v>0</v>
      </c>
      <c r="BE13" s="14" t="e">
        <f>BD13*VLOOKUP('Données projet'!$B$11,Paramètres!$A$1:$I$89,3,0)*VLOOKUP('Données projet'!$B$11,Paramètres!$A$1:$I$89,5,0)</f>
        <v>#N/A</v>
      </c>
      <c r="BF13" s="14" t="e">
        <f t="shared" si="37"/>
        <v>#N/A</v>
      </c>
      <c r="BG13" s="22" t="e">
        <f t="shared" si="7"/>
        <v>#N/A</v>
      </c>
      <c r="BH13" s="62" t="e">
        <f t="shared" si="8"/>
        <v>#N/A</v>
      </c>
      <c r="BI13" s="62" t="e">
        <f ca="1">AVERAGE(OFFSET($BH$3,0,0,'Données projet'!$E$11+1,1))-AVERAGE(OFFSET($H$3,0,0,'Données projet'!$E$11+1,1))</f>
        <v>#N/A</v>
      </c>
      <c r="BJ13" s="62" t="e">
        <f t="shared" si="38"/>
        <v>#N/A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 t="e">
        <f>EXP(-LN(2)/35)*BP12+(1-EXP(-LN(2)/35))/(LN(2)/35)*BL13*BM13*VLOOKUP('Données projet'!$B$11,Paramètres!$A$1:$I$89,3,0)*0.475*44/12</f>
        <v>#N/A</v>
      </c>
      <c r="BQ13" s="23" t="e">
        <f>EXP(-LN(2)/25)*BQ12+(1-EXP(-LN(2)/25))/(LN(2)/25)*Calculateur!BL13*Calculateur!BN13*VLOOKUP('Données projet'!$B$11,Paramètres!$A$1:$I$89,3,0)*0.475*44/12</f>
        <v>#N/A</v>
      </c>
      <c r="BR13" s="23" t="e">
        <f>EXP(-LN(2)/2)*BR12+(1-EXP(-LN(2)/2))/(LN(2)/2)*BL13*BO13*VLOOKUP('Données projet'!$B$11,Paramètres!$A$1:$I$89,3,0)*0.475*44/12</f>
        <v>#N/A</v>
      </c>
      <c r="BS13" s="24" t="e">
        <f t="shared" si="9"/>
        <v>#N/A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0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0</v>
      </c>
      <c r="H14" s="70">
        <f t="shared" si="1"/>
        <v>256.66666666666669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4.0476666666666672</v>
      </c>
      <c r="N14" s="14">
        <f>IF('Données projet'!$A$36&gt;35,N13+M14-V13,IF(A14&lt;'Données projet'!$A$36,$K$205^A14,IF(A14='Données projet'!$A$36,'Données projet'!$B$36,N13+M14-V13)))</f>
        <v>5.8110266188832735</v>
      </c>
      <c r="O14" s="14">
        <f>N14*VLOOKUP('Données projet'!$B$9,Paramètres!$A$1:$I$89,3,0)*VLOOKUP('Données projet'!$B$9,Paramètres!$A$1:$I$89,5,0)</f>
        <v>2.719560457637372</v>
      </c>
      <c r="P14" s="14">
        <f t="shared" si="33"/>
        <v>1.1155142744556685</v>
      </c>
      <c r="Q14" s="22">
        <f t="shared" si="2"/>
        <v>6.6794218250620458</v>
      </c>
      <c r="R14" s="62">
        <f t="shared" si="0"/>
        <v>276.79053293617318</v>
      </c>
      <c r="S14" s="62">
        <f ca="1">AVERAGE(OFFSET($R$3,0,0,'Données projet'!$E$9+1,1))-AVERAGE(OFFSET($H$3,0,0,'Données projet'!$E$9+1,1))</f>
        <v>302.58171900450355</v>
      </c>
      <c r="T14" s="62">
        <f t="shared" si="34"/>
        <v>164.1450425611464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1.2</v>
      </c>
      <c r="AI14" s="14">
        <f>IF('Données projet'!$A$62&gt;35,AI13+AH14-AQ13,IF(A14&lt;'Données projet'!$A$62,$AF$205^A14,IF(A14='Données projet'!$A$62,'Données projet'!$B$62,AI13+AH14-AQ13)))</f>
        <v>4.4661504822319662</v>
      </c>
      <c r="AJ14" s="14">
        <f>AI14*VLOOKUP('Données projet'!$B$10,Paramètres!$A$1:$I$89,3,0)*VLOOKUP('Données projet'!$B$10,Paramètres!$A$1:$I$89,5,0)</f>
        <v>4.8073643790744889</v>
      </c>
      <c r="AK14" s="14">
        <f t="shared" si="35"/>
        <v>1.8453770977306692</v>
      </c>
      <c r="AL14" s="22">
        <f t="shared" si="4"/>
        <v>11.586858072102316</v>
      </c>
      <c r="AM14" s="62">
        <f t="shared" si="5"/>
        <v>281.69796918321344</v>
      </c>
      <c r="AN14" s="62">
        <f ca="1">AVERAGE(OFFSET($AM$3,0,0,'Données projet'!$E$10+1,1))-AVERAGE(OFFSET($H$3,0,0,'Données projet'!$E$10+1,1))</f>
        <v>327.4984716935208</v>
      </c>
      <c r="AO14" s="62">
        <f t="shared" si="36"/>
        <v>166.97658184507776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0</v>
      </c>
      <c r="BD14" s="13">
        <f>IF('Données projet'!$A$88&gt;35,BD13+BC14-BL13,IF(A14&lt;'Données projet'!$A$88,$BA$205^A14,IF(A14='Données projet'!$A$88,'Données projet'!$B$88,BD13+BC14-BL13)))</f>
        <v>0</v>
      </c>
      <c r="BE14" s="14" t="e">
        <f>BD14*VLOOKUP('Données projet'!$B$11,Paramètres!$A$1:$I$89,3,0)*VLOOKUP('Données projet'!$B$11,Paramètres!$A$1:$I$89,5,0)</f>
        <v>#N/A</v>
      </c>
      <c r="BF14" s="14" t="e">
        <f t="shared" si="37"/>
        <v>#N/A</v>
      </c>
      <c r="BG14" s="22" t="e">
        <f t="shared" si="7"/>
        <v>#N/A</v>
      </c>
      <c r="BH14" s="62" t="e">
        <f t="shared" si="8"/>
        <v>#N/A</v>
      </c>
      <c r="BI14" s="62" t="e">
        <f ca="1">AVERAGE(OFFSET($BH$3,0,0,'Données projet'!$E$11+1,1))-AVERAGE(OFFSET($H$3,0,0,'Données projet'!$E$11+1,1))</f>
        <v>#N/A</v>
      </c>
      <c r="BJ14" s="62" t="e">
        <f t="shared" si="38"/>
        <v>#N/A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 t="e">
        <f>EXP(-LN(2)/35)*BP13+(1-EXP(-LN(2)/35))/(LN(2)/35)*BL14*BM14*VLOOKUP('Données projet'!$B$11,Paramètres!$A$1:$I$89,3,0)*0.475*44/12</f>
        <v>#N/A</v>
      </c>
      <c r="BQ14" s="23" t="e">
        <f>EXP(-LN(2)/25)*BQ13+(1-EXP(-LN(2)/25))/(LN(2)/25)*Calculateur!BL14*Calculateur!BN14*VLOOKUP('Données projet'!$B$11,Paramètres!$A$1:$I$89,3,0)*0.475*44/12</f>
        <v>#N/A</v>
      </c>
      <c r="BR14" s="23" t="e">
        <f>EXP(-LN(2)/2)*BR13+(1-EXP(-LN(2)/2))/(LN(2)/2)*BL14*BO14*VLOOKUP('Données projet'!$B$11,Paramètres!$A$1:$I$89,3,0)*0.475*44/12</f>
        <v>#N/A</v>
      </c>
      <c r="BS14" s="24" t="e">
        <f t="shared" si="9"/>
        <v>#N/A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0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0</v>
      </c>
      <c r="H15" s="70">
        <f t="shared" si="1"/>
        <v>256.66666666666669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4.0476666666666672</v>
      </c>
      <c r="N15" s="14">
        <f>IF('Données projet'!$A$36&gt;35,N14+M15-V14,IF(A15&lt;'Données projet'!$A$36,$K$205^A15,IF(A15='Données projet'!$A$36,'Données projet'!$B$36,N14+M15-V14)))</f>
        <v>6.8191524233176528</v>
      </c>
      <c r="O15" s="14">
        <f>N15*VLOOKUP('Données projet'!$B$9,Paramètres!$A$1:$I$89,3,0)*VLOOKUP('Données projet'!$B$9,Paramètres!$A$1:$I$89,5,0)</f>
        <v>3.1913633341126615</v>
      </c>
      <c r="P15" s="14">
        <f t="shared" si="33"/>
        <v>1.2848886130479014</v>
      </c>
      <c r="Q15" s="22">
        <f t="shared" si="2"/>
        <v>7.796138807971313</v>
      </c>
      <c r="R15" s="62">
        <f t="shared" si="0"/>
        <v>279.12947214130463</v>
      </c>
      <c r="S15" s="62">
        <f ca="1">AVERAGE(OFFSET($R$3,0,0,'Données projet'!$E$9+1,1))-AVERAGE(OFFSET($H$3,0,0,'Données projet'!$E$9+1,1))</f>
        <v>302.58171900450355</v>
      </c>
      <c r="T15" s="62">
        <f t="shared" si="34"/>
        <v>164.1450425611464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1.2</v>
      </c>
      <c r="AI15" s="14">
        <f>IF('Données projet'!$A$62&gt;35,AI14+AH15-AQ14,IF(A15&lt;'Données projet'!$A$62,$AF$205^A15,IF(A15='Données projet'!$A$62,'Données projet'!$B$62,AI14+AH15-AQ14)))</f>
        <v>5.1170328173444979</v>
      </c>
      <c r="AJ15" s="14">
        <f>AI15*VLOOKUP('Données projet'!$B$10,Paramètres!$A$1:$I$89,3,0)*VLOOKUP('Données projet'!$B$10,Paramètres!$A$1:$I$89,5,0)</f>
        <v>5.5079741245896177</v>
      </c>
      <c r="AK15" s="14">
        <f t="shared" si="35"/>
        <v>2.0810978477317659</v>
      </c>
      <c r="AL15" s="22">
        <f t="shared" si="4"/>
        <v>13.217633685126408</v>
      </c>
      <c r="AM15" s="62">
        <f t="shared" si="5"/>
        <v>284.55096701845974</v>
      </c>
      <c r="AN15" s="62">
        <f ca="1">AVERAGE(OFFSET($AM$3,0,0,'Données projet'!$E$10+1,1))-AVERAGE(OFFSET($H$3,0,0,'Données projet'!$E$10+1,1))</f>
        <v>327.4984716935208</v>
      </c>
      <c r="AO15" s="62">
        <f t="shared" si="36"/>
        <v>166.97658184507776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0</v>
      </c>
      <c r="BD15" s="13">
        <f>IF('Données projet'!$A$88&gt;35,BD14+BC15-BL14,IF(A15&lt;'Données projet'!$A$88,$BA$205^A15,IF(A15='Données projet'!$A$88,'Données projet'!$B$88,BD14+BC15-BL14)))</f>
        <v>0</v>
      </c>
      <c r="BE15" s="14" t="e">
        <f>BD15*VLOOKUP('Données projet'!$B$11,Paramètres!$A$1:$I$89,3,0)*VLOOKUP('Données projet'!$B$11,Paramètres!$A$1:$I$89,5,0)</f>
        <v>#N/A</v>
      </c>
      <c r="BF15" s="14" t="e">
        <f t="shared" si="37"/>
        <v>#N/A</v>
      </c>
      <c r="BG15" s="22" t="e">
        <f t="shared" si="7"/>
        <v>#N/A</v>
      </c>
      <c r="BH15" s="62" t="e">
        <f t="shared" si="8"/>
        <v>#N/A</v>
      </c>
      <c r="BI15" s="62" t="e">
        <f ca="1">AVERAGE(OFFSET($BH$3,0,0,'Données projet'!$E$11+1,1))-AVERAGE(OFFSET($H$3,0,0,'Données projet'!$E$11+1,1))</f>
        <v>#N/A</v>
      </c>
      <c r="BJ15" s="62" t="e">
        <f t="shared" si="38"/>
        <v>#N/A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 t="e">
        <f>EXP(-LN(2)/35)*BP14+(1-EXP(-LN(2)/35))/(LN(2)/35)*BL15*BM15*VLOOKUP('Données projet'!$B$11,Paramètres!$A$1:$I$89,3,0)*0.475*44/12</f>
        <v>#N/A</v>
      </c>
      <c r="BQ15" s="23" t="e">
        <f>EXP(-LN(2)/25)*BQ14+(1-EXP(-LN(2)/25))/(LN(2)/25)*Calculateur!BL15*Calculateur!BN15*VLOOKUP('Données projet'!$B$11,Paramètres!$A$1:$I$89,3,0)*0.475*44/12</f>
        <v>#N/A</v>
      </c>
      <c r="BR15" s="23" t="e">
        <f>EXP(-LN(2)/2)*BR14+(1-EXP(-LN(2)/2))/(LN(2)/2)*BL15*BO15*VLOOKUP('Données projet'!$B$11,Paramètres!$A$1:$I$89,3,0)*0.475*44/12</f>
        <v>#N/A</v>
      </c>
      <c r="BS15" s="24" t="e">
        <f t="shared" si="9"/>
        <v>#N/A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0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0</v>
      </c>
      <c r="H16" s="70">
        <f t="shared" si="1"/>
        <v>256.66666666666669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4.0476666666666672</v>
      </c>
      <c r="N16" s="14">
        <f>IF('Données projet'!$A$36&gt;35,N15+M16-V15,IF(A16&lt;'Données projet'!$A$36,$K$205^A16,IF(A16='Données projet'!$A$36,'Données projet'!$B$36,N15+M16-V15)))</f>
        <v>8.0021729071644234</v>
      </c>
      <c r="O16" s="14">
        <f>N16*VLOOKUP('Données projet'!$B$9,Paramètres!$A$1:$I$89,3,0)*VLOOKUP('Données projet'!$B$9,Paramètres!$A$1:$I$89,5,0)</f>
        <v>3.74501692055295</v>
      </c>
      <c r="P16" s="14">
        <f t="shared" si="33"/>
        <v>1.4799799390695914</v>
      </c>
      <c r="Q16" s="22">
        <f t="shared" si="2"/>
        <v>9.1002028638425916</v>
      </c>
      <c r="R16" s="62">
        <f t="shared" si="0"/>
        <v>281.65575841939813</v>
      </c>
      <c r="S16" s="62">
        <f ca="1">AVERAGE(OFFSET($R$3,0,0,'Données projet'!$E$9+1,1))-AVERAGE(OFFSET($H$3,0,0,'Données projet'!$E$9+1,1))</f>
        <v>302.58171900450355</v>
      </c>
      <c r="T16" s="62">
        <f t="shared" si="34"/>
        <v>164.1450425611464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1.2</v>
      </c>
      <c r="AI16" s="14">
        <f>IF('Données projet'!$A$62&gt;35,AI15+AH16-AQ15,IF(A16&lt;'Données projet'!$A$62,$AF$205^A16,IF(A16='Données projet'!$A$62,'Données projet'!$B$62,AI15+AH16-AQ15)))</f>
        <v>5.8627726400958746</v>
      </c>
      <c r="AJ16" s="14">
        <f>AI16*VLOOKUP('Données projet'!$B$10,Paramètres!$A$1:$I$89,3,0)*VLOOKUP('Données projet'!$B$10,Paramètres!$A$1:$I$89,5,0)</f>
        <v>6.3106884697991985</v>
      </c>
      <c r="AK16" s="14">
        <f t="shared" si="35"/>
        <v>2.346928580158357</v>
      </c>
      <c r="AL16" s="22">
        <f t="shared" si="4"/>
        <v>15.078683028676075</v>
      </c>
      <c r="AM16" s="62">
        <f t="shared" si="5"/>
        <v>287.63423858423164</v>
      </c>
      <c r="AN16" s="62">
        <f ca="1">AVERAGE(OFFSET($AM$3,0,0,'Données projet'!$E$10+1,1))-AVERAGE(OFFSET($H$3,0,0,'Données projet'!$E$10+1,1))</f>
        <v>327.4984716935208</v>
      </c>
      <c r="AO16" s="62">
        <f t="shared" si="36"/>
        <v>166.97658184507776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0</v>
      </c>
      <c r="BD16" s="13">
        <f>IF('Données projet'!$A$88&gt;35,BD15+BC16-BL15,IF(A16&lt;'Données projet'!$A$88,$BA$205^A16,IF(A16='Données projet'!$A$88,'Données projet'!$B$88,BD15+BC16-BL15)))</f>
        <v>0</v>
      </c>
      <c r="BE16" s="14" t="e">
        <f>BD16*VLOOKUP('Données projet'!$B$11,Paramètres!$A$1:$I$89,3,0)*VLOOKUP('Données projet'!$B$11,Paramètres!$A$1:$I$89,5,0)</f>
        <v>#N/A</v>
      </c>
      <c r="BF16" s="14" t="e">
        <f t="shared" si="37"/>
        <v>#N/A</v>
      </c>
      <c r="BG16" s="22" t="e">
        <f t="shared" si="7"/>
        <v>#N/A</v>
      </c>
      <c r="BH16" s="62" t="e">
        <f t="shared" si="8"/>
        <v>#N/A</v>
      </c>
      <c r="BI16" s="62" t="e">
        <f ca="1">AVERAGE(OFFSET($BH$3,0,0,'Données projet'!$E$11+1,1))-AVERAGE(OFFSET($H$3,0,0,'Données projet'!$E$11+1,1))</f>
        <v>#N/A</v>
      </c>
      <c r="BJ16" s="62" t="e">
        <f t="shared" si="38"/>
        <v>#N/A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 t="e">
        <f>EXP(-LN(2)/35)*BP15+(1-EXP(-LN(2)/35))/(LN(2)/35)*BL16*BM16*VLOOKUP('Données projet'!$B$11,Paramètres!$A$1:$I$89,3,0)*0.475*44/12</f>
        <v>#N/A</v>
      </c>
      <c r="BQ16" s="23" t="e">
        <f>EXP(-LN(2)/25)*BQ15+(1-EXP(-LN(2)/25))/(LN(2)/25)*Calculateur!BL16*Calculateur!BN16*VLOOKUP('Données projet'!$B$11,Paramètres!$A$1:$I$89,3,0)*0.475*44/12</f>
        <v>#N/A</v>
      </c>
      <c r="BR16" s="23" t="e">
        <f>EXP(-LN(2)/2)*BR15+(1-EXP(-LN(2)/2))/(LN(2)/2)*BL16*BO16*VLOOKUP('Données projet'!$B$11,Paramètres!$A$1:$I$89,3,0)*0.475*44/12</f>
        <v>#N/A</v>
      </c>
      <c r="BS16" s="24" t="e">
        <f t="shared" si="9"/>
        <v>#N/A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0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0</v>
      </c>
      <c r="H17" s="70">
        <f t="shared" si="1"/>
        <v>256.66666666666669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4.0476666666666672</v>
      </c>
      <c r="N17" s="14">
        <f>IF('Données projet'!$A$36&gt;35,N16+M17-V16,IF(A17&lt;'Données projet'!$A$36,$K$205^A17,IF(A17='Données projet'!$A$36,'Données projet'!$B$36,N16+M17-V16)))</f>
        <v>9.3904296694107554</v>
      </c>
      <c r="O17" s="14">
        <f>N17*VLOOKUP('Données projet'!$B$9,Paramètres!$A$1:$I$89,3,0)*VLOOKUP('Données projet'!$B$9,Paramètres!$A$1:$I$89,5,0)</f>
        <v>4.3947210852842336</v>
      </c>
      <c r="P17" s="14">
        <f t="shared" si="33"/>
        <v>1.704692996580222</v>
      </c>
      <c r="Q17" s="22">
        <f t="shared" si="2"/>
        <v>10.623146192580593</v>
      </c>
      <c r="R17" s="62">
        <f t="shared" si="0"/>
        <v>284.40092397035835</v>
      </c>
      <c r="S17" s="62">
        <f ca="1">AVERAGE(OFFSET($R$3,0,0,'Données projet'!$E$9+1,1))-AVERAGE(OFFSET($H$3,0,0,'Données projet'!$E$9+1,1))</f>
        <v>302.58171900450355</v>
      </c>
      <c r="T17" s="62">
        <f t="shared" si="34"/>
        <v>164.1450425611464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1.2</v>
      </c>
      <c r="AI17" s="14">
        <f>IF('Données projet'!$A$62&gt;35,AI16+AH17-AQ16,IF(A17&lt;'Données projet'!$A$62,$AF$205^A17,IF(A17='Données projet'!$A$62,'Données projet'!$B$62,AI16+AH17-AQ16)))</f>
        <v>6.7171941741218459</v>
      </c>
      <c r="AJ17" s="14">
        <f>AI17*VLOOKUP('Données projet'!$B$10,Paramètres!$A$1:$I$89,3,0)*VLOOKUP('Données projet'!$B$10,Paramètres!$A$1:$I$89,5,0)</f>
        <v>7.2303878090247551</v>
      </c>
      <c r="AK17" s="14">
        <f t="shared" si="35"/>
        <v>2.6467154181950132</v>
      </c>
      <c r="AL17" s="22">
        <f t="shared" si="4"/>
        <v>17.202621454074428</v>
      </c>
      <c r="AM17" s="62">
        <f t="shared" si="5"/>
        <v>290.98039923185218</v>
      </c>
      <c r="AN17" s="62">
        <f ca="1">AVERAGE(OFFSET($AM$3,0,0,'Données projet'!$E$10+1,1))-AVERAGE(OFFSET($H$3,0,0,'Données projet'!$E$10+1,1))</f>
        <v>327.4984716935208</v>
      </c>
      <c r="AO17" s="62">
        <f t="shared" si="36"/>
        <v>166.97658184507776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0</v>
      </c>
      <c r="BD17" s="13">
        <f>IF('Données projet'!$A$88&gt;35,BD16+BC17-BL16,IF(A17&lt;'Données projet'!$A$88,$BA$205^A17,IF(A17='Données projet'!$A$88,'Données projet'!$B$88,BD16+BC17-BL16)))</f>
        <v>0</v>
      </c>
      <c r="BE17" s="14" t="e">
        <f>BD17*VLOOKUP('Données projet'!$B$11,Paramètres!$A$1:$I$89,3,0)*VLOOKUP('Données projet'!$B$11,Paramètres!$A$1:$I$89,5,0)</f>
        <v>#N/A</v>
      </c>
      <c r="BF17" s="14" t="e">
        <f t="shared" si="37"/>
        <v>#N/A</v>
      </c>
      <c r="BG17" s="22" t="e">
        <f t="shared" si="7"/>
        <v>#N/A</v>
      </c>
      <c r="BH17" s="62" t="e">
        <f t="shared" si="8"/>
        <v>#N/A</v>
      </c>
      <c r="BI17" s="62" t="e">
        <f ca="1">AVERAGE(OFFSET($BH$3,0,0,'Données projet'!$E$11+1,1))-AVERAGE(OFFSET($H$3,0,0,'Données projet'!$E$11+1,1))</f>
        <v>#N/A</v>
      </c>
      <c r="BJ17" s="62" t="e">
        <f t="shared" si="38"/>
        <v>#N/A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 t="e">
        <f>EXP(-LN(2)/35)*BP16+(1-EXP(-LN(2)/35))/(LN(2)/35)*BL17*BM17*VLOOKUP('Données projet'!$B$11,Paramètres!$A$1:$I$89,3,0)*0.475*44/12</f>
        <v>#N/A</v>
      </c>
      <c r="BQ17" s="23" t="e">
        <f>EXP(-LN(2)/25)*BQ16+(1-EXP(-LN(2)/25))/(LN(2)/25)*Calculateur!BL17*Calculateur!BN17*VLOOKUP('Données projet'!$B$11,Paramètres!$A$1:$I$89,3,0)*0.475*44/12</f>
        <v>#N/A</v>
      </c>
      <c r="BR17" s="23" t="e">
        <f>EXP(-LN(2)/2)*BR16+(1-EXP(-LN(2)/2))/(LN(2)/2)*BL17*BO17*VLOOKUP('Données projet'!$B$11,Paramètres!$A$1:$I$89,3,0)*0.475*44/12</f>
        <v>#N/A</v>
      </c>
      <c r="BS17" s="24" t="e">
        <f t="shared" si="9"/>
        <v>#N/A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0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0</v>
      </c>
      <c r="H18" s="70">
        <f t="shared" si="1"/>
        <v>256.66666666666669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4.0476666666666672</v>
      </c>
      <c r="N18" s="14">
        <f>IF('Données projet'!$A$36&gt;35,N17+M18-V17,IF(A18&lt;'Données projet'!$A$36,$K$205^A18,IF(A18='Données projet'!$A$36,'Données projet'!$B$36,N17+M18-V17)))</f>
        <v>11.019528120568506</v>
      </c>
      <c r="O18" s="14">
        <f>N18*VLOOKUP('Données projet'!$B$9,Paramètres!$A$1:$I$89,3,0)*VLOOKUP('Données projet'!$B$9,Paramètres!$A$1:$I$89,5,0)</f>
        <v>5.1571391604260608</v>
      </c>
      <c r="P18" s="14">
        <f t="shared" si="33"/>
        <v>1.9635254072541937</v>
      </c>
      <c r="Q18" s="22">
        <f t="shared" si="2"/>
        <v>12.401824122043109</v>
      </c>
      <c r="R18" s="62">
        <f t="shared" si="0"/>
        <v>287.40182412204308</v>
      </c>
      <c r="S18" s="62">
        <f ca="1">AVERAGE(OFFSET($R$3,0,0,'Données projet'!$E$9+1,1))-AVERAGE(OFFSET($H$3,0,0,'Données projet'!$E$9+1,1))</f>
        <v>302.58171900450355</v>
      </c>
      <c r="T18" s="62">
        <f t="shared" si="34"/>
        <v>164.1450425611464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1.2</v>
      </c>
      <c r="AI18" s="14">
        <f>IF('Données projet'!$A$62&gt;35,AI17+AH18-AQ17,IF(A18&lt;'Données projet'!$A$62,$AF$205^A18,IF(A18='Données projet'!$A$62,'Données projet'!$B$62,AI17+AH18-AQ17)))</f>
        <v>7.6961363407260848</v>
      </c>
      <c r="AJ18" s="14">
        <f>AI18*VLOOKUP('Données projet'!$B$10,Paramètres!$A$1:$I$89,3,0)*VLOOKUP('Données projet'!$B$10,Paramètres!$A$1:$I$89,5,0)</f>
        <v>8.284121157157557</v>
      </c>
      <c r="AK18" s="14">
        <f t="shared" si="35"/>
        <v>2.9847957727109624</v>
      </c>
      <c r="AL18" s="22">
        <f t="shared" si="4"/>
        <v>19.626696986187671</v>
      </c>
      <c r="AM18" s="62">
        <f t="shared" si="5"/>
        <v>294.62669698618765</v>
      </c>
      <c r="AN18" s="62">
        <f ca="1">AVERAGE(OFFSET($AM$3,0,0,'Données projet'!$E$10+1,1))-AVERAGE(OFFSET($H$3,0,0,'Données projet'!$E$10+1,1))</f>
        <v>327.4984716935208</v>
      </c>
      <c r="AO18" s="62">
        <f t="shared" si="36"/>
        <v>166.97658184507776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0</v>
      </c>
      <c r="BD18" s="13">
        <f>IF('Données projet'!$A$88&gt;35,BD17+BC18-BL17,IF(A18&lt;'Données projet'!$A$88,$BA$205^A18,IF(A18='Données projet'!$A$88,'Données projet'!$B$88,BD17+BC18-BL17)))</f>
        <v>0</v>
      </c>
      <c r="BE18" s="14" t="e">
        <f>BD18*VLOOKUP('Données projet'!$B$11,Paramètres!$A$1:$I$89,3,0)*VLOOKUP('Données projet'!$B$11,Paramètres!$A$1:$I$89,5,0)</f>
        <v>#N/A</v>
      </c>
      <c r="BF18" s="14" t="e">
        <f t="shared" si="37"/>
        <v>#N/A</v>
      </c>
      <c r="BG18" s="22" t="e">
        <f t="shared" si="7"/>
        <v>#N/A</v>
      </c>
      <c r="BH18" s="62" t="e">
        <f t="shared" si="8"/>
        <v>#N/A</v>
      </c>
      <c r="BI18" s="62" t="e">
        <f ca="1">AVERAGE(OFFSET($BH$3,0,0,'Données projet'!$E$11+1,1))-AVERAGE(OFFSET($H$3,0,0,'Données projet'!$E$11+1,1))</f>
        <v>#N/A</v>
      </c>
      <c r="BJ18" s="62" t="e">
        <f t="shared" si="38"/>
        <v>#N/A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 t="e">
        <f>EXP(-LN(2)/35)*BP17+(1-EXP(-LN(2)/35))/(LN(2)/35)*BL18*BM18*VLOOKUP('Données projet'!$B$11,Paramètres!$A$1:$I$89,3,0)*0.475*44/12</f>
        <v>#N/A</v>
      </c>
      <c r="BQ18" s="23" t="e">
        <f>EXP(-LN(2)/25)*BQ17+(1-EXP(-LN(2)/25))/(LN(2)/25)*Calculateur!BL18*Calculateur!BN18*VLOOKUP('Données projet'!$B$11,Paramètres!$A$1:$I$89,3,0)*0.475*44/12</f>
        <v>#N/A</v>
      </c>
      <c r="BR18" s="23" t="e">
        <f>EXP(-LN(2)/2)*BR17+(1-EXP(-LN(2)/2))/(LN(2)/2)*BL18*BO18*VLOOKUP('Données projet'!$B$11,Paramètres!$A$1:$I$89,3,0)*0.475*44/12</f>
        <v>#N/A</v>
      </c>
      <c r="BS18" s="24" t="e">
        <f t="shared" si="9"/>
        <v>#N/A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0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0</v>
      </c>
      <c r="H19" s="70">
        <f t="shared" si="1"/>
        <v>256.66666666666669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4.0476666666666672</v>
      </c>
      <c r="N19" s="14">
        <f>IF('Données projet'!$A$36&gt;35,N18+M19-V18,IF(A19&lt;'Données projet'!$A$36,$K$205^A19,IF(A19='Données projet'!$A$36,'Données projet'!$B$36,N18+M19-V18)))</f>
        <v>12.931250674882023</v>
      </c>
      <c r="O19" s="14">
        <f>N19*VLOOKUP('Données projet'!$B$9,Paramètres!$A$1:$I$89,3,0)*VLOOKUP('Données projet'!$B$9,Paramètres!$A$1:$I$89,5,0)</f>
        <v>6.0518253158447859</v>
      </c>
      <c r="P19" s="14">
        <f t="shared" si="33"/>
        <v>2.2616576900750531</v>
      </c>
      <c r="Q19" s="22">
        <f t="shared" si="2"/>
        <v>14.479316235310385</v>
      </c>
      <c r="R19" s="62">
        <f t="shared" si="0"/>
        <v>290.70153845753259</v>
      </c>
      <c r="S19" s="62">
        <f ca="1">AVERAGE(OFFSET($R$3,0,0,'Données projet'!$E$9+1,1))-AVERAGE(OFFSET($H$3,0,0,'Données projet'!$E$9+1,1))</f>
        <v>302.58171900450355</v>
      </c>
      <c r="T19" s="62">
        <f t="shared" si="34"/>
        <v>164.1450425611464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1.2</v>
      </c>
      <c r="AI19" s="14">
        <f>IF('Données projet'!$A$62&gt;35,AI18+AH19-AQ18,IF(A19&lt;'Données projet'!$A$62,$AF$205^A19,IF(A19='Données projet'!$A$62,'Données projet'!$B$62,AI18+AH19-AQ18)))</f>
        <v>8.8177463744060987</v>
      </c>
      <c r="AJ19" s="14">
        <f>AI19*VLOOKUP('Données projet'!$B$10,Paramètres!$A$1:$I$89,3,0)*VLOOKUP('Données projet'!$B$10,Paramètres!$A$1:$I$89,5,0)</f>
        <v>9.4914221974107242</v>
      </c>
      <c r="AK19" s="14">
        <f t="shared" si="35"/>
        <v>3.3660610972935361</v>
      </c>
      <c r="AL19" s="22">
        <f t="shared" si="4"/>
        <v>22.393450071609919</v>
      </c>
      <c r="AM19" s="62">
        <f t="shared" si="5"/>
        <v>298.61567229383218</v>
      </c>
      <c r="AN19" s="62">
        <f ca="1">AVERAGE(OFFSET($AM$3,0,0,'Données projet'!$E$10+1,1))-AVERAGE(OFFSET($H$3,0,0,'Données projet'!$E$10+1,1))</f>
        <v>327.4984716935208</v>
      </c>
      <c r="AO19" s="62">
        <f t="shared" si="36"/>
        <v>166.97658184507776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0</v>
      </c>
      <c r="BD19" s="13">
        <f>IF('Données projet'!$A$88&gt;35,BD18+BC19-BL18,IF(A19&lt;'Données projet'!$A$88,$BA$205^A19,IF(A19='Données projet'!$A$88,'Données projet'!$B$88,BD18+BC19-BL18)))</f>
        <v>0</v>
      </c>
      <c r="BE19" s="14" t="e">
        <f>BD19*VLOOKUP('Données projet'!$B$11,Paramètres!$A$1:$I$89,3,0)*VLOOKUP('Données projet'!$B$11,Paramètres!$A$1:$I$89,5,0)</f>
        <v>#N/A</v>
      </c>
      <c r="BF19" s="14" t="e">
        <f t="shared" si="37"/>
        <v>#N/A</v>
      </c>
      <c r="BG19" s="22" t="e">
        <f t="shared" si="7"/>
        <v>#N/A</v>
      </c>
      <c r="BH19" s="62" t="e">
        <f t="shared" si="8"/>
        <v>#N/A</v>
      </c>
      <c r="BI19" s="62" t="e">
        <f ca="1">AVERAGE(OFFSET($BH$3,0,0,'Données projet'!$E$11+1,1))-AVERAGE(OFFSET($H$3,0,0,'Données projet'!$E$11+1,1))</f>
        <v>#N/A</v>
      </c>
      <c r="BJ19" s="62" t="e">
        <f t="shared" si="38"/>
        <v>#N/A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 t="e">
        <f>EXP(-LN(2)/35)*BP18+(1-EXP(-LN(2)/35))/(LN(2)/35)*BL19*BM19*VLOOKUP('Données projet'!$B$11,Paramètres!$A$1:$I$89,3,0)*0.475*44/12</f>
        <v>#N/A</v>
      </c>
      <c r="BQ19" s="23" t="e">
        <f>EXP(-LN(2)/25)*BQ18+(1-EXP(-LN(2)/25))/(LN(2)/25)*Calculateur!BL19*Calculateur!BN19*VLOOKUP('Données projet'!$B$11,Paramètres!$A$1:$I$89,3,0)*0.475*44/12</f>
        <v>#N/A</v>
      </c>
      <c r="BR19" s="23" t="e">
        <f>EXP(-LN(2)/2)*BR18+(1-EXP(-LN(2)/2))/(LN(2)/2)*BL19*BO19*VLOOKUP('Données projet'!$B$11,Paramètres!$A$1:$I$89,3,0)*0.475*44/12</f>
        <v>#N/A</v>
      </c>
      <c r="BS19" s="24" t="e">
        <f t="shared" si="9"/>
        <v>#N/A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0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0</v>
      </c>
      <c r="H20" s="70">
        <f t="shared" si="1"/>
        <v>256.66666666666669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4.0476666666666672</v>
      </c>
      <c r="N20" s="14">
        <f>IF('Données projet'!$A$36&gt;35,N19+M20-V19,IF(A20&lt;'Données projet'!$A$36,$K$205^A20,IF(A20='Données projet'!$A$36,'Données projet'!$B$36,N19+M20-V19)))</f>
        <v>15.174628367662804</v>
      </c>
      <c r="O20" s="14">
        <f>N20*VLOOKUP('Données projet'!$B$9,Paramètres!$A$1:$I$89,3,0)*VLOOKUP('Données projet'!$B$9,Paramètres!$A$1:$I$89,5,0)</f>
        <v>7.1017260760661918</v>
      </c>
      <c r="P20" s="14">
        <f t="shared" si="33"/>
        <v>2.6050569491884543</v>
      </c>
      <c r="Q20" s="22">
        <f t="shared" si="2"/>
        <v>16.905980435651845</v>
      </c>
      <c r="R20" s="62">
        <f t="shared" si="0"/>
        <v>294.35042488009628</v>
      </c>
      <c r="S20" s="62">
        <f ca="1">AVERAGE(OFFSET($R$3,0,0,'Données projet'!$E$9+1,1))-AVERAGE(OFFSET($H$3,0,0,'Données projet'!$E$9+1,1))</f>
        <v>302.58171900450355</v>
      </c>
      <c r="T20" s="62">
        <f t="shared" si="34"/>
        <v>164.1450425611464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1.2</v>
      </c>
      <c r="AI20" s="14">
        <f>IF('Données projet'!$A$62&gt;35,AI19+AH20-AQ19,IF(A20&lt;'Données projet'!$A$62,$AF$205^A20,IF(A20='Données projet'!$A$62,'Données projet'!$B$62,AI19+AH20-AQ19)))</f>
        <v>10.102816228956828</v>
      </c>
      <c r="AJ20" s="14">
        <f>AI20*VLOOKUP('Données projet'!$B$10,Paramètres!$A$1:$I$89,3,0)*VLOOKUP('Données projet'!$B$10,Paramètres!$A$1:$I$89,5,0)</f>
        <v>10.874671388849128</v>
      </c>
      <c r="AK20" s="14">
        <f t="shared" si="35"/>
        <v>3.7960276593470508</v>
      </c>
      <c r="AL20" s="22">
        <f t="shared" si="4"/>
        <v>25.551467508941673</v>
      </c>
      <c r="AM20" s="62">
        <f t="shared" si="5"/>
        <v>302.99591195338616</v>
      </c>
      <c r="AN20" s="62">
        <f ca="1">AVERAGE(OFFSET($AM$3,0,0,'Données projet'!$E$10+1,1))-AVERAGE(OFFSET($H$3,0,0,'Données projet'!$E$10+1,1))</f>
        <v>327.4984716935208</v>
      </c>
      <c r="AO20" s="62">
        <f t="shared" si="36"/>
        <v>166.97658184507776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0</v>
      </c>
      <c r="BD20" s="13">
        <f>IF('Données projet'!$A$88&gt;35,BD19+BC20-BL19,IF(A20&lt;'Données projet'!$A$88,$BA$205^A20,IF(A20='Données projet'!$A$88,'Données projet'!$B$88,BD19+BC20-BL19)))</f>
        <v>0</v>
      </c>
      <c r="BE20" s="14" t="e">
        <f>BD20*VLOOKUP('Données projet'!$B$11,Paramètres!$A$1:$I$89,3,0)*VLOOKUP('Données projet'!$B$11,Paramètres!$A$1:$I$89,5,0)</f>
        <v>#N/A</v>
      </c>
      <c r="BF20" s="14" t="e">
        <f t="shared" si="37"/>
        <v>#N/A</v>
      </c>
      <c r="BG20" s="22" t="e">
        <f t="shared" si="7"/>
        <v>#N/A</v>
      </c>
      <c r="BH20" s="62" t="e">
        <f t="shared" si="8"/>
        <v>#N/A</v>
      </c>
      <c r="BI20" s="62" t="e">
        <f ca="1">AVERAGE(OFFSET($BH$3,0,0,'Données projet'!$E$11+1,1))-AVERAGE(OFFSET($H$3,0,0,'Données projet'!$E$11+1,1))</f>
        <v>#N/A</v>
      </c>
      <c r="BJ20" s="62" t="e">
        <f t="shared" si="38"/>
        <v>#N/A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 t="e">
        <f>EXP(-LN(2)/35)*BP19+(1-EXP(-LN(2)/35))/(LN(2)/35)*BL20*BM20*VLOOKUP('Données projet'!$B$11,Paramètres!$A$1:$I$89,3,0)*0.475*44/12</f>
        <v>#N/A</v>
      </c>
      <c r="BQ20" s="23" t="e">
        <f>EXP(-LN(2)/25)*BQ19+(1-EXP(-LN(2)/25))/(LN(2)/25)*Calculateur!BL20*Calculateur!BN20*VLOOKUP('Données projet'!$B$11,Paramètres!$A$1:$I$89,3,0)*0.475*44/12</f>
        <v>#N/A</v>
      </c>
      <c r="BR20" s="23" t="e">
        <f>EXP(-LN(2)/2)*BR19+(1-EXP(-LN(2)/2))/(LN(2)/2)*BL20*BO20*VLOOKUP('Données projet'!$B$11,Paramètres!$A$1:$I$89,3,0)*0.475*44/12</f>
        <v>#N/A</v>
      </c>
      <c r="BS20" s="24" t="e">
        <f t="shared" si="9"/>
        <v>#N/A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0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0</v>
      </c>
      <c r="H21" s="70">
        <f t="shared" si="1"/>
        <v>256.66666666666669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4.0476666666666672</v>
      </c>
      <c r="N21" s="14">
        <f>IF('Données projet'!$A$36&gt;35,N20+M21-V20,IF(A21&lt;'Données projet'!$A$36,$K$205^A21,IF(A21='Données projet'!$A$36,'Données projet'!$B$36,N20+M21-V20)))</f>
        <v>17.807198382130004</v>
      </c>
      <c r="O21" s="14">
        <f>N21*VLOOKUP('Données projet'!$B$9,Paramètres!$A$1:$I$89,3,0)*VLOOKUP('Données projet'!$B$9,Paramètres!$A$1:$I$89,5,0)</f>
        <v>8.3337688428368413</v>
      </c>
      <c r="P21" s="14">
        <f t="shared" si="33"/>
        <v>3.0005963052215261</v>
      </c>
      <c r="Q21" s="22">
        <f t="shared" si="2"/>
        <v>19.740685966201656</v>
      </c>
      <c r="R21" s="62">
        <f t="shared" si="0"/>
        <v>298.40735263286837</v>
      </c>
      <c r="S21" s="62">
        <f ca="1">AVERAGE(OFFSET($R$3,0,0,'Données projet'!$E$9+1,1))-AVERAGE(OFFSET($H$3,0,0,'Données projet'!$E$9+1,1))</f>
        <v>302.58171900450355</v>
      </c>
      <c r="T21" s="62">
        <f t="shared" si="34"/>
        <v>164.1450425611464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1.2</v>
      </c>
      <c r="AI21" s="14">
        <f>IF('Données projet'!$A$62&gt;35,AI20+AH21-AQ20,IF(A21&lt;'Données projet'!$A$62,$AF$205^A21,IF(A21='Données projet'!$A$62,'Données projet'!$B$62,AI20+AH21-AQ20)))</f>
        <v>11.575168010312384</v>
      </c>
      <c r="AJ21" s="14">
        <f>AI21*VLOOKUP('Données projet'!$B$10,Paramètres!$A$1:$I$89,3,0)*VLOOKUP('Données projet'!$B$10,Paramètres!$A$1:$I$89,5,0)</f>
        <v>12.459510846300249</v>
      </c>
      <c r="AK21" s="14">
        <f t="shared" si="35"/>
        <v>4.2809163511957635</v>
      </c>
      <c r="AL21" s="22">
        <f t="shared" si="4"/>
        <v>29.156244035638881</v>
      </c>
      <c r="AM21" s="62">
        <f t="shared" si="5"/>
        <v>307.82291070230559</v>
      </c>
      <c r="AN21" s="62">
        <f ca="1">AVERAGE(OFFSET($AM$3,0,0,'Données projet'!$E$10+1,1))-AVERAGE(OFFSET($H$3,0,0,'Données projet'!$E$10+1,1))</f>
        <v>327.4984716935208</v>
      </c>
      <c r="AO21" s="62">
        <f t="shared" si="36"/>
        <v>166.97658184507776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0</v>
      </c>
      <c r="BD21" s="13">
        <f>IF('Données projet'!$A$88&gt;35,BD20+BC21-BL20,IF(A21&lt;'Données projet'!$A$88,$BA$205^A21,IF(A21='Données projet'!$A$88,'Données projet'!$B$88,BD20+BC21-BL20)))</f>
        <v>0</v>
      </c>
      <c r="BE21" s="14" t="e">
        <f>BD21*VLOOKUP('Données projet'!$B$11,Paramètres!$A$1:$I$89,3,0)*VLOOKUP('Données projet'!$B$11,Paramètres!$A$1:$I$89,5,0)</f>
        <v>#N/A</v>
      </c>
      <c r="BF21" s="14" t="e">
        <f t="shared" si="37"/>
        <v>#N/A</v>
      </c>
      <c r="BG21" s="22" t="e">
        <f t="shared" si="7"/>
        <v>#N/A</v>
      </c>
      <c r="BH21" s="62" t="e">
        <f t="shared" si="8"/>
        <v>#N/A</v>
      </c>
      <c r="BI21" s="62" t="e">
        <f ca="1">AVERAGE(OFFSET($BH$3,0,0,'Données projet'!$E$11+1,1))-AVERAGE(OFFSET($H$3,0,0,'Données projet'!$E$11+1,1))</f>
        <v>#N/A</v>
      </c>
      <c r="BJ21" s="62" t="e">
        <f t="shared" si="38"/>
        <v>#N/A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 t="e">
        <f>EXP(-LN(2)/35)*BP20+(1-EXP(-LN(2)/35))/(LN(2)/35)*BL21*BM21*VLOOKUP('Données projet'!$B$11,Paramètres!$A$1:$I$89,3,0)*0.475*44/12</f>
        <v>#N/A</v>
      </c>
      <c r="BQ21" s="23" t="e">
        <f>EXP(-LN(2)/25)*BQ20+(1-EXP(-LN(2)/25))/(LN(2)/25)*Calculateur!BL21*Calculateur!BN21*VLOOKUP('Données projet'!$B$11,Paramètres!$A$1:$I$89,3,0)*0.475*44/12</f>
        <v>#N/A</v>
      </c>
      <c r="BR21" s="23" t="e">
        <f>EXP(-LN(2)/2)*BR20+(1-EXP(-LN(2)/2))/(LN(2)/2)*BL21*BO21*VLOOKUP('Données projet'!$B$11,Paramètres!$A$1:$I$89,3,0)*0.475*44/12</f>
        <v>#N/A</v>
      </c>
      <c r="BS21" s="24" t="e">
        <f t="shared" si="9"/>
        <v>#N/A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0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0</v>
      </c>
      <c r="H22" s="70">
        <f t="shared" si="1"/>
        <v>256.66666666666669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4.0476666666666672</v>
      </c>
      <c r="N22" s="14">
        <f>IF('Données projet'!$A$36&gt;35,N21+M22-V21,IF(A22&lt;'Données projet'!$A$36,$K$205^A22,IF(A22='Données projet'!$A$36,'Données projet'!$B$36,N21+M22-V21)))</f>
        <v>20.896479738262784</v>
      </c>
      <c r="O22" s="14">
        <f>N22*VLOOKUP('Données projet'!$B$9,Paramètres!$A$1:$I$89,3,0)*VLOOKUP('Données projet'!$B$9,Paramètres!$A$1:$I$89,5,0)</f>
        <v>9.779552517506982</v>
      </c>
      <c r="P22" s="14">
        <f t="shared" si="33"/>
        <v>3.4561924604811169</v>
      </c>
      <c r="Q22" s="22">
        <f t="shared" si="2"/>
        <v>23.052255836662599</v>
      </c>
      <c r="R22" s="62">
        <f t="shared" si="0"/>
        <v>302.94114472555145</v>
      </c>
      <c r="S22" s="62">
        <f ca="1">AVERAGE(OFFSET($R$3,0,0,'Données projet'!$E$9+1,1))-AVERAGE(OFFSET($H$3,0,0,'Données projet'!$E$9+1,1))</f>
        <v>302.58171900450355</v>
      </c>
      <c r="T22" s="62">
        <f t="shared" si="34"/>
        <v>164.1450425611464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1.2</v>
      </c>
      <c r="AI22" s="14">
        <f>IF('Données projet'!$A$62&gt;35,AI21+AH22-AQ21,IF(A22&lt;'Données projet'!$A$62,$AF$205^A22,IF(A22='Données projet'!$A$62,'Données projet'!$B$62,AI21+AH22-AQ21)))</f>
        <v>13.262095581124292</v>
      </c>
      <c r="AJ22" s="14">
        <f>AI22*VLOOKUP('Données projet'!$B$10,Paramètres!$A$1:$I$89,3,0)*VLOOKUP('Données projet'!$B$10,Paramètres!$A$1:$I$89,5,0)</f>
        <v>14.275319683522188</v>
      </c>
      <c r="AK22" s="14">
        <f t="shared" si="35"/>
        <v>4.8277426959232219</v>
      </c>
      <c r="AL22" s="22">
        <f t="shared" si="4"/>
        <v>33.271166977534087</v>
      </c>
      <c r="AM22" s="62">
        <f t="shared" si="5"/>
        <v>313.16005586642297</v>
      </c>
      <c r="AN22" s="62">
        <f ca="1">AVERAGE(OFFSET($AM$3,0,0,'Données projet'!$E$10+1,1))-AVERAGE(OFFSET($H$3,0,0,'Données projet'!$E$10+1,1))</f>
        <v>327.4984716935208</v>
      </c>
      <c r="AO22" s="62">
        <f t="shared" si="36"/>
        <v>166.97658184507776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0</v>
      </c>
      <c r="BD22" s="13">
        <f>IF('Données projet'!$A$88&gt;35,BD21+BC22-BL21,IF(A22&lt;'Données projet'!$A$88,$BA$205^A22,IF(A22='Données projet'!$A$88,'Données projet'!$B$88,BD21+BC22-BL21)))</f>
        <v>0</v>
      </c>
      <c r="BE22" s="14" t="e">
        <f>BD22*VLOOKUP('Données projet'!$B$11,Paramètres!$A$1:$I$89,3,0)*VLOOKUP('Données projet'!$B$11,Paramètres!$A$1:$I$89,5,0)</f>
        <v>#N/A</v>
      </c>
      <c r="BF22" s="14" t="e">
        <f t="shared" si="37"/>
        <v>#N/A</v>
      </c>
      <c r="BG22" s="22" t="e">
        <f t="shared" si="7"/>
        <v>#N/A</v>
      </c>
      <c r="BH22" s="62" t="e">
        <f t="shared" si="8"/>
        <v>#N/A</v>
      </c>
      <c r="BI22" s="62" t="e">
        <f ca="1">AVERAGE(OFFSET($BH$3,0,0,'Données projet'!$E$11+1,1))-AVERAGE(OFFSET($H$3,0,0,'Données projet'!$E$11+1,1))</f>
        <v>#N/A</v>
      </c>
      <c r="BJ22" s="62" t="e">
        <f t="shared" si="38"/>
        <v>#N/A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 t="e">
        <f>EXP(-LN(2)/35)*BP21+(1-EXP(-LN(2)/35))/(LN(2)/35)*BL22*BM22*VLOOKUP('Données projet'!$B$11,Paramètres!$A$1:$I$89,3,0)*0.475*44/12</f>
        <v>#N/A</v>
      </c>
      <c r="BQ22" s="23" t="e">
        <f>EXP(-LN(2)/25)*BQ21+(1-EXP(-LN(2)/25))/(LN(2)/25)*Calculateur!BL22*Calculateur!BN22*VLOOKUP('Données projet'!$B$11,Paramètres!$A$1:$I$89,3,0)*0.475*44/12</f>
        <v>#N/A</v>
      </c>
      <c r="BR22" s="23" t="e">
        <f>EXP(-LN(2)/2)*BR21+(1-EXP(-LN(2)/2))/(LN(2)/2)*BL22*BO22*VLOOKUP('Données projet'!$B$11,Paramètres!$A$1:$I$89,3,0)*0.475*44/12</f>
        <v>#N/A</v>
      </c>
      <c r="BS22" s="24" t="e">
        <f t="shared" si="9"/>
        <v>#N/A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0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0</v>
      </c>
      <c r="H23" s="70">
        <f t="shared" si="1"/>
        <v>256.66666666666669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4.0476666666666672</v>
      </c>
      <c r="N23" s="14">
        <f>IF('Données projet'!$A$36&gt;35,N22+M23-V22,IF(A23&lt;'Données projet'!$A$36,$K$205^A23,IF(A23='Données projet'!$A$36,'Données projet'!$B$36,N22+M23-V22)))</f>
        <v>24.521704991495451</v>
      </c>
      <c r="O23" s="14">
        <f>N23*VLOOKUP('Données projet'!$B$9,Paramètres!$A$1:$I$89,3,0)*VLOOKUP('Données projet'!$B$9,Paramètres!$A$1:$I$89,5,0)</f>
        <v>11.47615793601987</v>
      </c>
      <c r="P23" s="14">
        <f t="shared" si="33"/>
        <v>3.9809641513921119</v>
      </c>
      <c r="Q23" s="22">
        <f t="shared" si="2"/>
        <v>26.921154302242531</v>
      </c>
      <c r="R23" s="62">
        <f t="shared" si="0"/>
        <v>308.03226541335368</v>
      </c>
      <c r="S23" s="62">
        <f ca="1">AVERAGE(OFFSET($R$3,0,0,'Données projet'!$E$9+1,1))-AVERAGE(OFFSET($H$3,0,0,'Données projet'!$E$9+1,1))</f>
        <v>302.58171900450355</v>
      </c>
      <c r="T23" s="62">
        <f t="shared" si="34"/>
        <v>164.1450425611464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1.2</v>
      </c>
      <c r="AI23" s="14">
        <f>IF('Données projet'!$A$62&gt;35,AI22+AH23-AQ22,IF(A23&lt;'Données projet'!$A$62,$AF$205^A23,IF(A23='Données projet'!$A$62,'Données projet'!$B$62,AI22+AH23-AQ22)))</f>
        <v>15.194870523363559</v>
      </c>
      <c r="AJ23" s="14">
        <f>AI23*VLOOKUP('Données projet'!$B$10,Paramètres!$A$1:$I$89,3,0)*VLOOKUP('Données projet'!$B$10,Paramètres!$A$1:$I$89,5,0)</f>
        <v>16.355758631348532</v>
      </c>
      <c r="AK23" s="14">
        <f t="shared" si="35"/>
        <v>5.4444183501809773</v>
      </c>
      <c r="AL23" s="22">
        <f t="shared" si="4"/>
        <v>37.968641576163897</v>
      </c>
      <c r="AM23" s="62">
        <f t="shared" si="5"/>
        <v>319.07975268727506</v>
      </c>
      <c r="AN23" s="62">
        <f ca="1">AVERAGE(OFFSET($AM$3,0,0,'Données projet'!$E$10+1,1))-AVERAGE(OFFSET($H$3,0,0,'Données projet'!$E$10+1,1))</f>
        <v>327.4984716935208</v>
      </c>
      <c r="AO23" s="62">
        <f t="shared" si="36"/>
        <v>166.97658184507776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0</v>
      </c>
      <c r="BD23" s="13">
        <f>IF('Données projet'!$A$88&gt;35,BD22+BC23-BL22,IF(A23&lt;'Données projet'!$A$88,$BA$205^A23,IF(A23='Données projet'!$A$88,'Données projet'!$B$88,BD22+BC23-BL22)))</f>
        <v>0</v>
      </c>
      <c r="BE23" s="14" t="e">
        <f>BD23*VLOOKUP('Données projet'!$B$11,Paramètres!$A$1:$I$89,3,0)*VLOOKUP('Données projet'!$B$11,Paramètres!$A$1:$I$89,5,0)</f>
        <v>#N/A</v>
      </c>
      <c r="BF23" s="14" t="e">
        <f t="shared" si="37"/>
        <v>#N/A</v>
      </c>
      <c r="BG23" s="22" t="e">
        <f t="shared" si="7"/>
        <v>#N/A</v>
      </c>
      <c r="BH23" s="62" t="e">
        <f t="shared" si="8"/>
        <v>#N/A</v>
      </c>
      <c r="BI23" s="62" t="e">
        <f ca="1">AVERAGE(OFFSET($BH$3,0,0,'Données projet'!$E$11+1,1))-AVERAGE(OFFSET($H$3,0,0,'Données projet'!$E$11+1,1))</f>
        <v>#N/A</v>
      </c>
      <c r="BJ23" s="62" t="e">
        <f t="shared" si="38"/>
        <v>#N/A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 t="e">
        <f>EXP(-LN(2)/35)*BP22+(1-EXP(-LN(2)/35))/(LN(2)/35)*BL23*BM23*VLOOKUP('Données projet'!$B$11,Paramètres!$A$1:$I$89,3,0)*0.475*44/12</f>
        <v>#N/A</v>
      </c>
      <c r="BQ23" s="23" t="e">
        <f>EXP(-LN(2)/25)*BQ22+(1-EXP(-LN(2)/25))/(LN(2)/25)*Calculateur!BL23*Calculateur!BN23*VLOOKUP('Données projet'!$B$11,Paramètres!$A$1:$I$89,3,0)*0.475*44/12</f>
        <v>#N/A</v>
      </c>
      <c r="BR23" s="23" t="e">
        <f>EXP(-LN(2)/2)*BR22+(1-EXP(-LN(2)/2))/(LN(2)/2)*BL23*BO23*VLOOKUP('Données projet'!$B$11,Paramètres!$A$1:$I$89,3,0)*0.475*44/12</f>
        <v>#N/A</v>
      </c>
      <c r="BS23" s="24" t="e">
        <f t="shared" si="9"/>
        <v>#N/A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0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0</v>
      </c>
      <c r="H24" s="70">
        <f t="shared" si="1"/>
        <v>256.66666666666669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4.0476666666666672</v>
      </c>
      <c r="N24" s="14">
        <f>IF('Données projet'!$A$36&gt;35,N23+M24-V23,IF(A24&lt;'Données projet'!$A$36,$K$205^A24,IF(A24='Données projet'!$A$36,'Données projet'!$B$36,N23+M24-V23)))</f>
        <v>28.775852355116477</v>
      </c>
      <c r="O24" s="14">
        <f>N24*VLOOKUP('Données projet'!$B$9,Paramètres!$A$1:$I$89,3,0)*VLOOKUP('Données projet'!$B$9,Paramètres!$A$1:$I$89,5,0)</f>
        <v>13.467098902194511</v>
      </c>
      <c r="P24" s="14">
        <f t="shared" si="33"/>
        <v>4.5854146595942122</v>
      </c>
      <c r="Q24" s="22">
        <f t="shared" si="2"/>
        <v>31.44146112011536</v>
      </c>
      <c r="R24" s="62">
        <f t="shared" si="0"/>
        <v>313.77479445344869</v>
      </c>
      <c r="S24" s="62">
        <f ca="1">AVERAGE(OFFSET($R$3,0,0,'Données projet'!$E$9+1,1))-AVERAGE(OFFSET($H$3,0,0,'Données projet'!$E$9+1,1))</f>
        <v>302.58171900450355</v>
      </c>
      <c r="T24" s="62">
        <f t="shared" si="34"/>
        <v>164.1450425611464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1.2</v>
      </c>
      <c r="AI24" s="14">
        <f>IF('Données projet'!$A$62&gt;35,AI23+AH24-AQ23,IF(A24&lt;'Données projet'!$A$62,$AF$205^A24,IF(A24='Données projet'!$A$62,'Données projet'!$B$62,AI23+AH24-AQ23)))</f>
        <v>17.409321838276906</v>
      </c>
      <c r="AJ24" s="14">
        <f>AI24*VLOOKUP('Données projet'!$B$10,Paramètres!$A$1:$I$89,3,0)*VLOOKUP('Données projet'!$B$10,Paramètres!$A$1:$I$89,5,0)</f>
        <v>18.739394026721261</v>
      </c>
      <c r="AK24" s="14">
        <f t="shared" si="35"/>
        <v>6.1398655725414359</v>
      </c>
      <c r="AL24" s="22">
        <f t="shared" si="4"/>
        <v>43.331377135382525</v>
      </c>
      <c r="AM24" s="62">
        <f t="shared" si="5"/>
        <v>325.66471046871584</v>
      </c>
      <c r="AN24" s="62">
        <f ca="1">AVERAGE(OFFSET($AM$3,0,0,'Données projet'!$E$10+1,1))-AVERAGE(OFFSET($H$3,0,0,'Données projet'!$E$10+1,1))</f>
        <v>327.4984716935208</v>
      </c>
      <c r="AO24" s="62">
        <f t="shared" si="36"/>
        <v>166.97658184507776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0</v>
      </c>
      <c r="BD24" s="13">
        <f>IF('Données projet'!$A$88&gt;35,BD23+BC24-BL23,IF(A24&lt;'Données projet'!$A$88,$BA$205^A24,IF(A24='Données projet'!$A$88,'Données projet'!$B$88,BD23+BC24-BL23)))</f>
        <v>0</v>
      </c>
      <c r="BE24" s="14" t="e">
        <f>BD24*VLOOKUP('Données projet'!$B$11,Paramètres!$A$1:$I$89,3,0)*VLOOKUP('Données projet'!$B$11,Paramètres!$A$1:$I$89,5,0)</f>
        <v>#N/A</v>
      </c>
      <c r="BF24" s="14" t="e">
        <f t="shared" si="37"/>
        <v>#N/A</v>
      </c>
      <c r="BG24" s="22" t="e">
        <f t="shared" si="7"/>
        <v>#N/A</v>
      </c>
      <c r="BH24" s="62" t="e">
        <f t="shared" si="8"/>
        <v>#N/A</v>
      </c>
      <c r="BI24" s="62" t="e">
        <f ca="1">AVERAGE(OFFSET($BH$3,0,0,'Données projet'!$E$11+1,1))-AVERAGE(OFFSET($H$3,0,0,'Données projet'!$E$11+1,1))</f>
        <v>#N/A</v>
      </c>
      <c r="BJ24" s="62" t="e">
        <f t="shared" si="38"/>
        <v>#N/A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 t="e">
        <f>EXP(-LN(2)/35)*BP23+(1-EXP(-LN(2)/35))/(LN(2)/35)*BL24*BM24*VLOOKUP('Données projet'!$B$11,Paramètres!$A$1:$I$89,3,0)*0.475*44/12</f>
        <v>#N/A</v>
      </c>
      <c r="BQ24" s="23" t="e">
        <f>EXP(-LN(2)/25)*BQ23+(1-EXP(-LN(2)/25))/(LN(2)/25)*Calculateur!BL24*Calculateur!BN24*VLOOKUP('Données projet'!$B$11,Paramètres!$A$1:$I$89,3,0)*0.475*44/12</f>
        <v>#N/A</v>
      </c>
      <c r="BR24" s="23" t="e">
        <f>EXP(-LN(2)/2)*BR23+(1-EXP(-LN(2)/2))/(LN(2)/2)*BL24*BO24*VLOOKUP('Données projet'!$B$11,Paramètres!$A$1:$I$89,3,0)*0.475*44/12</f>
        <v>#N/A</v>
      </c>
      <c r="BS24" s="24" t="e">
        <f t="shared" si="9"/>
        <v>#N/A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0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0</v>
      </c>
      <c r="H25" s="70">
        <f t="shared" si="1"/>
        <v>256.66666666666669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4.0476666666666672</v>
      </c>
      <c r="N25" s="14">
        <f>IF('Données projet'!$A$36&gt;35,N24+M25-V24,IF(A25&lt;'Données projet'!$A$36,$K$205^A25,IF(A25='Données projet'!$A$36,'Données projet'!$B$36,N24+M25-V24)))</f>
        <v>33.768030365369967</v>
      </c>
      <c r="O25" s="14">
        <f>N25*VLOOKUP('Données projet'!$B$9,Paramètres!$A$1:$I$89,3,0)*VLOOKUP('Données projet'!$B$9,Paramètres!$A$1:$I$89,5,0)</f>
        <v>15.803438210993145</v>
      </c>
      <c r="P25" s="14">
        <f t="shared" si="33"/>
        <v>5.281642034648538</v>
      </c>
      <c r="Q25" s="22">
        <f t="shared" si="2"/>
        <v>36.723181427825928</v>
      </c>
      <c r="R25" s="62">
        <f t="shared" si="0"/>
        <v>320.27873698338146</v>
      </c>
      <c r="S25" s="62">
        <f ca="1">AVERAGE(OFFSET($R$3,0,0,'Données projet'!$E$9+1,1))-AVERAGE(OFFSET($H$3,0,0,'Données projet'!$E$9+1,1))</f>
        <v>302.58171900450355</v>
      </c>
      <c r="T25" s="62">
        <f t="shared" si="34"/>
        <v>164.1450425611464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1.2</v>
      </c>
      <c r="AI25" s="14">
        <f>IF('Données projet'!$A$62&gt;35,AI24+AH25-AQ24,IF(A25&lt;'Données projet'!$A$62,$AF$205^A25,IF(A25='Données projet'!$A$62,'Données projet'!$B$62,AI24+AH25-AQ24)))</f>
        <v>19.946500129940819</v>
      </c>
      <c r="AJ25" s="14">
        <f>AI25*VLOOKUP('Données projet'!$B$10,Paramètres!$A$1:$I$89,3,0)*VLOOKUP('Données projet'!$B$10,Paramètres!$A$1:$I$89,5,0)</f>
        <v>21.470412739868298</v>
      </c>
      <c r="AK25" s="14">
        <f t="shared" si="35"/>
        <v>6.9241463135591816</v>
      </c>
      <c r="AL25" s="22">
        <f t="shared" si="4"/>
        <v>49.453857018052851</v>
      </c>
      <c r="AM25" s="62">
        <f t="shared" si="5"/>
        <v>333.00941257360842</v>
      </c>
      <c r="AN25" s="62">
        <f ca="1">AVERAGE(OFFSET($AM$3,0,0,'Données projet'!$E$10+1,1))-AVERAGE(OFFSET($H$3,0,0,'Données projet'!$E$10+1,1))</f>
        <v>327.4984716935208</v>
      </c>
      <c r="AO25" s="62">
        <f t="shared" si="36"/>
        <v>166.97658184507776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0</v>
      </c>
      <c r="BD25" s="13">
        <f>IF('Données projet'!$A$88&gt;35,BD24+BC25-BL24,IF(A25&lt;'Données projet'!$A$88,$BA$205^A25,IF(A25='Données projet'!$A$88,'Données projet'!$B$88,BD24+BC25-BL24)))</f>
        <v>0</v>
      </c>
      <c r="BE25" s="14" t="e">
        <f>BD25*VLOOKUP('Données projet'!$B$11,Paramètres!$A$1:$I$89,3,0)*VLOOKUP('Données projet'!$B$11,Paramètres!$A$1:$I$89,5,0)</f>
        <v>#N/A</v>
      </c>
      <c r="BF25" s="14" t="e">
        <f t="shared" si="37"/>
        <v>#N/A</v>
      </c>
      <c r="BG25" s="22" t="e">
        <f t="shared" si="7"/>
        <v>#N/A</v>
      </c>
      <c r="BH25" s="62" t="e">
        <f t="shared" si="8"/>
        <v>#N/A</v>
      </c>
      <c r="BI25" s="62" t="e">
        <f ca="1">AVERAGE(OFFSET($BH$3,0,0,'Données projet'!$E$11+1,1))-AVERAGE(OFFSET($H$3,0,0,'Données projet'!$E$11+1,1))</f>
        <v>#N/A</v>
      </c>
      <c r="BJ25" s="62" t="e">
        <f t="shared" si="38"/>
        <v>#N/A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 t="e">
        <f>EXP(-LN(2)/35)*BP24+(1-EXP(-LN(2)/35))/(LN(2)/35)*BL25*BM25*VLOOKUP('Données projet'!$B$11,Paramètres!$A$1:$I$89,3,0)*0.475*44/12</f>
        <v>#N/A</v>
      </c>
      <c r="BQ25" s="23" t="e">
        <f>EXP(-LN(2)/25)*BQ24+(1-EXP(-LN(2)/25))/(LN(2)/25)*Calculateur!BL25*Calculateur!BN25*VLOOKUP('Données projet'!$B$11,Paramètres!$A$1:$I$89,3,0)*0.475*44/12</f>
        <v>#N/A</v>
      </c>
      <c r="BR25" s="23" t="e">
        <f>EXP(-LN(2)/2)*BR24+(1-EXP(-LN(2)/2))/(LN(2)/2)*BL25*BO25*VLOOKUP('Données projet'!$B$11,Paramètres!$A$1:$I$89,3,0)*0.475*44/12</f>
        <v>#N/A</v>
      </c>
      <c r="BS25" s="24" t="e">
        <f t="shared" si="9"/>
        <v>#N/A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0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0</v>
      </c>
      <c r="H26" s="70">
        <f t="shared" si="1"/>
        <v>256.66666666666669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4.0476666666666672</v>
      </c>
      <c r="N26" s="14">
        <f>IF('Données projet'!$A$36&gt;35,N25+M26-V25,IF(A26&lt;'Données projet'!$A$36,$K$205^A26,IF(A26='Données projet'!$A$36,'Données projet'!$B$36,N25+M26-V25)))</f>
        <v>39.626276250121265</v>
      </c>
      <c r="O26" s="14">
        <f>N26*VLOOKUP('Données projet'!$B$9,Paramètres!$A$1:$I$89,3,0)*VLOOKUP('Données projet'!$B$9,Paramètres!$A$1:$I$89,5,0)</f>
        <v>18.545097285056752</v>
      </c>
      <c r="P26" s="14">
        <f t="shared" si="33"/>
        <v>6.0835812359519474</v>
      </c>
      <c r="Q26" s="22">
        <f t="shared" si="2"/>
        <v>42.894948424090153</v>
      </c>
      <c r="R26" s="62">
        <f t="shared" si="0"/>
        <v>327.67272620186793</v>
      </c>
      <c r="S26" s="62">
        <f ca="1">AVERAGE(OFFSET($R$3,0,0,'Données projet'!$E$9+1,1))-AVERAGE(OFFSET($H$3,0,0,'Données projet'!$E$9+1,1))</f>
        <v>302.58171900450355</v>
      </c>
      <c r="T26" s="62">
        <f t="shared" si="34"/>
        <v>164.1450425611464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1.2</v>
      </c>
      <c r="AI26" s="14">
        <f>IF('Données projet'!$A$62&gt;35,AI25+AH26-AQ25,IF(A26&lt;'Données projet'!$A$62,$AF$205^A26,IF(A26='Données projet'!$A$62,'Données projet'!$B$62,AI25+AH26-AQ25)))</f>
        <v>22.853438584779923</v>
      </c>
      <c r="AJ26" s="14">
        <f>AI26*VLOOKUP('Données projet'!$B$10,Paramètres!$A$1:$I$89,3,0)*VLOOKUP('Données projet'!$B$10,Paramètres!$A$1:$I$89,5,0)</f>
        <v>24.599441292657108</v>
      </c>
      <c r="AK26" s="14">
        <f t="shared" si="35"/>
        <v>7.808607795256683</v>
      </c>
      <c r="AL26" s="22">
        <f t="shared" si="4"/>
        <v>56.444018828116505</v>
      </c>
      <c r="AM26" s="62">
        <f t="shared" si="5"/>
        <v>341.22179660589427</v>
      </c>
      <c r="AN26" s="62">
        <f ca="1">AVERAGE(OFFSET($AM$3,0,0,'Données projet'!$E$10+1,1))-AVERAGE(OFFSET($H$3,0,0,'Données projet'!$E$10+1,1))</f>
        <v>327.4984716935208</v>
      </c>
      <c r="AO26" s="62">
        <f t="shared" si="36"/>
        <v>166.97658184507776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0</v>
      </c>
      <c r="BD26" s="13">
        <f>IF('Données projet'!$A$88&gt;35,BD25+BC26-BL25,IF(A26&lt;'Données projet'!$A$88,$BA$205^A26,IF(A26='Données projet'!$A$88,'Données projet'!$B$88,BD25+BC26-BL25)))</f>
        <v>0</v>
      </c>
      <c r="BE26" s="14" t="e">
        <f>BD26*VLOOKUP('Données projet'!$B$11,Paramètres!$A$1:$I$89,3,0)*VLOOKUP('Données projet'!$B$11,Paramètres!$A$1:$I$89,5,0)</f>
        <v>#N/A</v>
      </c>
      <c r="BF26" s="14" t="e">
        <f t="shared" si="37"/>
        <v>#N/A</v>
      </c>
      <c r="BG26" s="22" t="e">
        <f t="shared" si="7"/>
        <v>#N/A</v>
      </c>
      <c r="BH26" s="62" t="e">
        <f t="shared" si="8"/>
        <v>#N/A</v>
      </c>
      <c r="BI26" s="62" t="e">
        <f ca="1">AVERAGE(OFFSET($BH$3,0,0,'Données projet'!$E$11+1,1))-AVERAGE(OFFSET($H$3,0,0,'Données projet'!$E$11+1,1))</f>
        <v>#N/A</v>
      </c>
      <c r="BJ26" s="62" t="e">
        <f t="shared" si="38"/>
        <v>#N/A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 t="e">
        <f>EXP(-LN(2)/35)*BP25+(1-EXP(-LN(2)/35))/(LN(2)/35)*BL26*BM26*VLOOKUP('Données projet'!$B$11,Paramètres!$A$1:$I$89,3,0)*0.475*44/12</f>
        <v>#N/A</v>
      </c>
      <c r="BQ26" s="23" t="e">
        <f>EXP(-LN(2)/25)*BQ25+(1-EXP(-LN(2)/25))/(LN(2)/25)*Calculateur!BL26*Calculateur!BN26*VLOOKUP('Données projet'!$B$11,Paramètres!$A$1:$I$89,3,0)*0.475*44/12</f>
        <v>#N/A</v>
      </c>
      <c r="BR26" s="23" t="e">
        <f>EXP(-LN(2)/2)*BR25+(1-EXP(-LN(2)/2))/(LN(2)/2)*BL26*BO26*VLOOKUP('Données projet'!$B$11,Paramètres!$A$1:$I$89,3,0)*0.475*44/12</f>
        <v>#N/A</v>
      </c>
      <c r="BS26" s="24" t="e">
        <f t="shared" si="9"/>
        <v>#N/A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0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0</v>
      </c>
      <c r="H27" s="70">
        <f t="shared" si="1"/>
        <v>256.66666666666669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4.0476666666666672</v>
      </c>
      <c r="N27" s="14">
        <f>IF('Données projet'!$A$36&gt;35,N26+M27-V26,IF(A27&lt;'Données projet'!$A$36,$K$205^A27,IF(A27='Données projet'!$A$36,'Données projet'!$B$36,N26+M27-V26)))</f>
        <v>46.500839772439015</v>
      </c>
      <c r="O27" s="14">
        <f>N27*VLOOKUP('Données projet'!$B$9,Paramètres!$A$1:$I$89,3,0)*VLOOKUP('Données projet'!$B$9,Paramètres!$A$1:$I$89,5,0)</f>
        <v>21.762393013501459</v>
      </c>
      <c r="P27" s="14">
        <f t="shared" si="33"/>
        <v>7.0072830403186224</v>
      </c>
      <c r="Q27" s="22">
        <f t="shared" si="2"/>
        <v>50.10718579373664</v>
      </c>
      <c r="R27" s="62">
        <f t="shared" si="0"/>
        <v>336.10718579373662</v>
      </c>
      <c r="S27" s="62">
        <f ca="1">AVERAGE(OFFSET($R$3,0,0,'Données projet'!$E$9+1,1))-AVERAGE(OFFSET($H$3,0,0,'Données projet'!$E$9+1,1))</f>
        <v>302.58171900450355</v>
      </c>
      <c r="T27" s="62">
        <f t="shared" si="34"/>
        <v>164.1450425611464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1.2</v>
      </c>
      <c r="AI27" s="14">
        <f>IF('Données projet'!$A$62&gt;35,AI26+AH27-AQ26,IF(A27&lt;'Données projet'!$A$62,$AF$205^A27,IF(A27='Données projet'!$A$62,'Données projet'!$B$62,AI26+AH27-AQ26)))</f>
        <v>26.184024853780567</v>
      </c>
      <c r="AJ27" s="14">
        <f>AI27*VLOOKUP('Données projet'!$B$10,Paramètres!$A$1:$I$89,3,0)*VLOOKUP('Données projet'!$B$10,Paramètres!$A$1:$I$89,5,0)</f>
        <v>28.184484352609399</v>
      </c>
      <c r="AK27" s="14">
        <f t="shared" si="35"/>
        <v>8.8060466863244411</v>
      </c>
      <c r="AL27" s="22">
        <f t="shared" si="4"/>
        <v>64.425174892809764</v>
      </c>
      <c r="AM27" s="62">
        <f t="shared" si="5"/>
        <v>350.42517489280976</v>
      </c>
      <c r="AN27" s="62">
        <f ca="1">AVERAGE(OFFSET($AM$3,0,0,'Données projet'!$E$10+1,1))-AVERAGE(OFFSET($H$3,0,0,'Données projet'!$E$10+1,1))</f>
        <v>327.4984716935208</v>
      </c>
      <c r="AO27" s="62">
        <f t="shared" si="36"/>
        <v>166.97658184507776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0</v>
      </c>
      <c r="BD27" s="13">
        <f>IF('Données projet'!$A$88&gt;35,BD26+BC27-BL26,IF(A27&lt;'Données projet'!$A$88,$BA$205^A27,IF(A27='Données projet'!$A$88,'Données projet'!$B$88,BD26+BC27-BL26)))</f>
        <v>0</v>
      </c>
      <c r="BE27" s="14" t="e">
        <f>BD27*VLOOKUP('Données projet'!$B$11,Paramètres!$A$1:$I$89,3,0)*VLOOKUP('Données projet'!$B$11,Paramètres!$A$1:$I$89,5,0)</f>
        <v>#N/A</v>
      </c>
      <c r="BF27" s="14" t="e">
        <f t="shared" si="37"/>
        <v>#N/A</v>
      </c>
      <c r="BG27" s="22" t="e">
        <f t="shared" si="7"/>
        <v>#N/A</v>
      </c>
      <c r="BH27" s="62" t="e">
        <f t="shared" si="8"/>
        <v>#N/A</v>
      </c>
      <c r="BI27" s="62" t="e">
        <f ca="1">AVERAGE(OFFSET($BH$3,0,0,'Données projet'!$E$11+1,1))-AVERAGE(OFFSET($H$3,0,0,'Données projet'!$E$11+1,1))</f>
        <v>#N/A</v>
      </c>
      <c r="BJ27" s="62" t="e">
        <f t="shared" si="38"/>
        <v>#N/A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 t="e">
        <f>EXP(-LN(2)/35)*BP26+(1-EXP(-LN(2)/35))/(LN(2)/35)*BL27*BM27*VLOOKUP('Données projet'!$B$11,Paramètres!$A$1:$I$89,3,0)*0.475*44/12</f>
        <v>#N/A</v>
      </c>
      <c r="BQ27" s="23" t="e">
        <f>EXP(-LN(2)/25)*BQ26+(1-EXP(-LN(2)/25))/(LN(2)/25)*Calculateur!BL27*Calculateur!BN27*VLOOKUP('Données projet'!$B$11,Paramètres!$A$1:$I$89,3,0)*0.475*44/12</f>
        <v>#N/A</v>
      </c>
      <c r="BR27" s="23" t="e">
        <f>EXP(-LN(2)/2)*BR26+(1-EXP(-LN(2)/2))/(LN(2)/2)*BL27*BO27*VLOOKUP('Données projet'!$B$11,Paramètres!$A$1:$I$89,3,0)*0.475*44/12</f>
        <v>#N/A</v>
      </c>
      <c r="BS27" s="24" t="e">
        <f t="shared" si="9"/>
        <v>#N/A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0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0</v>
      </c>
      <c r="H28" s="70">
        <f t="shared" si="1"/>
        <v>256.66666666666669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4.0476666666666672</v>
      </c>
      <c r="N28" s="14">
        <f>IF('Données projet'!$A$36&gt;35,N27+M28-V27,IF(A28&lt;'Données projet'!$A$36,$K$205^A28,IF(A28='Données projet'!$A$36,'Données projet'!$B$36,N27+M28-V27)))</f>
        <v>54.568036771697152</v>
      </c>
      <c r="O28" s="14">
        <f>N28*VLOOKUP('Données projet'!$B$9,Paramètres!$A$1:$I$89,3,0)*VLOOKUP('Données projet'!$B$9,Paramètres!$A$1:$I$89,5,0)</f>
        <v>25.537841209154266</v>
      </c>
      <c r="P28" s="14">
        <f t="shared" si="33"/>
        <v>8.0712352975514357</v>
      </c>
      <c r="Q28" s="22">
        <f t="shared" si="2"/>
        <v>58.535808249179098</v>
      </c>
      <c r="R28" s="62">
        <f t="shared" si="0"/>
        <v>345.7580304714013</v>
      </c>
      <c r="S28" s="62">
        <f ca="1">AVERAGE(OFFSET($R$3,0,0,'Données projet'!$E$9+1,1))-AVERAGE(OFFSET($H$3,0,0,'Données projet'!$E$9+1,1))</f>
        <v>302.58171900450355</v>
      </c>
      <c r="T28" s="62">
        <f t="shared" si="34"/>
        <v>164.1450425611464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30</v>
      </c>
      <c r="AG28" s="13">
        <f>VLOOKUP(A28,'Données projet'!$A$61:$I$81,9,0)</f>
        <v>1.2</v>
      </c>
      <c r="AH28" s="13">
        <f t="array" ref="AH28">INDEX(AG:AG,MIN(IF(ISNUMBER(AG28:AG224),ROW(AG28:AG224),"")))</f>
        <v>1.2</v>
      </c>
      <c r="AI28" s="14">
        <f>IF('Données projet'!$A$62&gt;35,AI27+AH28-AQ27,IF(A28&lt;'Données projet'!$A$62,$AF$205^A28,IF(A28='Données projet'!$A$62,'Données projet'!$B$62,AI27+AH28-AQ27)))</f>
        <v>30</v>
      </c>
      <c r="AJ28" s="14">
        <f>AI28*VLOOKUP('Données projet'!$B$10,Paramètres!$A$1:$I$89,3,0)*VLOOKUP('Données projet'!$B$10,Paramètres!$A$1:$I$89,5,0)</f>
        <v>32.292000000000002</v>
      </c>
      <c r="AK28" s="14">
        <f t="shared" si="35"/>
        <v>9.9308942483743401</v>
      </c>
      <c r="AL28" s="22">
        <f t="shared" si="4"/>
        <v>73.538207482585321</v>
      </c>
      <c r="AM28" s="62">
        <f t="shared" si="5"/>
        <v>360.76042970480756</v>
      </c>
      <c r="AN28" s="62">
        <f ca="1">AVERAGE(OFFSET($AM$3,0,0,'Données projet'!$E$10+1,1))-AVERAGE(OFFSET($H$3,0,0,'Données projet'!$E$10+1,1))</f>
        <v>327.4984716935208</v>
      </c>
      <c r="AO28" s="62">
        <f t="shared" si="36"/>
        <v>166.97658184507776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0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 t="e">
        <f>VLOOKUP(A28,'Données projet'!$A$87:$I$107,2,0)</f>
        <v>#N/A</v>
      </c>
      <c r="BB28" s="13" t="e">
        <f>VLOOKUP(A28,'Données projet'!$A$87:$I$107,9,0)</f>
        <v>#N/A</v>
      </c>
      <c r="BC28" s="13">
        <f t="array" ref="BC28">INDEX(BB:BB,MIN(IF(ISNUMBER(BB28:BB224),ROW(BB28:BB224),"")))</f>
        <v>0</v>
      </c>
      <c r="BD28" s="13">
        <f>IF('Données projet'!$A$88&gt;35,BD27+BC28-BL27,IF(A28&lt;'Données projet'!$A$88,$BA$205^A28,IF(A28='Données projet'!$A$88,'Données projet'!$B$88,BD27+BC28-BL27)))</f>
        <v>0</v>
      </c>
      <c r="BE28" s="14" t="e">
        <f>BD28*VLOOKUP('Données projet'!$B$11,Paramètres!$A$1:$I$89,3,0)*VLOOKUP('Données projet'!$B$11,Paramètres!$A$1:$I$89,5,0)</f>
        <v>#N/A</v>
      </c>
      <c r="BF28" s="14" t="e">
        <f t="shared" si="37"/>
        <v>#N/A</v>
      </c>
      <c r="BG28" s="22" t="e">
        <f t="shared" si="7"/>
        <v>#N/A</v>
      </c>
      <c r="BH28" s="62" t="e">
        <f t="shared" si="8"/>
        <v>#N/A</v>
      </c>
      <c r="BI28" s="62" t="e">
        <f ca="1">AVERAGE(OFFSET($BH$3,0,0,'Données projet'!$E$11+1,1))-AVERAGE(OFFSET($H$3,0,0,'Données projet'!$E$11+1,1))</f>
        <v>#N/A</v>
      </c>
      <c r="BJ28" s="62" t="e">
        <f t="shared" si="38"/>
        <v>#N/A</v>
      </c>
      <c r="BK28" s="16">
        <f>IF(ISNA(VLOOKUP(A28,'Données projet'!$A$87:$I$107,3,0)),0,VLOOKUP(A28,'Données projet'!$A$87:$I$107,3,0))</f>
        <v>0</v>
      </c>
      <c r="BL28" s="16">
        <f>IF(ISNA(VLOOKUP(A28,'Données projet'!$A$87:$I$107,4,0)),0,VLOOKUP(A28,'Données projet'!$A$87:$I$107,4,0))</f>
        <v>0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 t="e">
        <f>EXP(-LN(2)/35)*BP27+(1-EXP(-LN(2)/35))/(LN(2)/35)*BL28*BM28*VLOOKUP('Données projet'!$B$11,Paramètres!$A$1:$I$89,3,0)*0.475*44/12</f>
        <v>#N/A</v>
      </c>
      <c r="BQ28" s="23" t="e">
        <f>EXP(-LN(2)/25)*BQ27+(1-EXP(-LN(2)/25))/(LN(2)/25)*Calculateur!BL28*Calculateur!BN28*VLOOKUP('Données projet'!$B$11,Paramètres!$A$1:$I$89,3,0)*0.475*44/12</f>
        <v>#N/A</v>
      </c>
      <c r="BR28" s="23" t="e">
        <f>EXP(-LN(2)/2)*BR27+(1-EXP(-LN(2)/2))/(LN(2)/2)*BL28*BO28*VLOOKUP('Données projet'!$B$11,Paramètres!$A$1:$I$89,3,0)*0.475*44/12</f>
        <v>#N/A</v>
      </c>
      <c r="BS28" s="24" t="e">
        <f t="shared" si="9"/>
        <v>#N/A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0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0</v>
      </c>
      <c r="H29" s="70">
        <f t="shared" si="1"/>
        <v>256.66666666666669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4.0476666666666672</v>
      </c>
      <c r="N29" s="14">
        <f>IF('Données projet'!$A$36&gt;35,N28+M29-V28,IF(A29&lt;'Données projet'!$A$36,$K$205^A29,IF(A29='Données projet'!$A$36,'Données projet'!$B$36,N28+M29-V28)))</f>
        <v>64.034771236156331</v>
      </c>
      <c r="O29" s="14">
        <f>N29*VLOOKUP('Données projet'!$B$9,Paramètres!$A$1:$I$89,3,0)*VLOOKUP('Données projet'!$B$9,Paramètres!$A$1:$I$89,5,0)</f>
        <v>29.96827293852116</v>
      </c>
      <c r="P29" s="14">
        <f t="shared" si="33"/>
        <v>9.2967329639189398</v>
      </c>
      <c r="Q29" s="22">
        <f t="shared" si="2"/>
        <v>68.386551946749833</v>
      </c>
      <c r="R29" s="62">
        <f t="shared" si="0"/>
        <v>356.83099639119428</v>
      </c>
      <c r="S29" s="62">
        <f ca="1">AVERAGE(OFFSET($R$3,0,0,'Données projet'!$E$9+1,1))-AVERAGE(OFFSET($H$3,0,0,'Données projet'!$E$9+1,1))</f>
        <v>302.58171900450355</v>
      </c>
      <c r="T29" s="62">
        <f t="shared" si="34"/>
        <v>164.1450425611464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4.8</v>
      </c>
      <c r="AI29" s="14">
        <f>IF('Données projet'!$A$62&gt;35,AI28+AH29-AQ28,IF(A29&lt;'Données projet'!$A$62,$AF$205^A29,IF(A29='Données projet'!$A$62,'Données projet'!$B$62,AI28+AH29-AQ28)))</f>
        <v>34.799999999999997</v>
      </c>
      <c r="AJ29" s="14">
        <f>AI29*VLOOKUP('Données projet'!$B$10,Paramètres!$A$1:$I$89,3,0)*VLOOKUP('Données projet'!$B$10,Paramètres!$A$1:$I$89,5,0)</f>
        <v>37.45872</v>
      </c>
      <c r="AK29" s="14">
        <f t="shared" si="35"/>
        <v>11.322528864493165</v>
      </c>
      <c r="AL29" s="22">
        <f t="shared" si="4"/>
        <v>84.960675105658922</v>
      </c>
      <c r="AM29" s="62">
        <f t="shared" si="5"/>
        <v>373.40511955010339</v>
      </c>
      <c r="AN29" s="62">
        <f ca="1">AVERAGE(OFFSET($AM$3,0,0,'Données projet'!$E$10+1,1))-AVERAGE(OFFSET($H$3,0,0,'Données projet'!$E$10+1,1))</f>
        <v>327.4984716935208</v>
      </c>
      <c r="AO29" s="62">
        <f t="shared" si="36"/>
        <v>166.97658184507776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0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0</v>
      </c>
      <c r="BD29" s="13">
        <f>IF('Données projet'!$A$88&gt;35,BD28+BC29-BL28,IF(A29&lt;'Données projet'!$A$88,$BA$205^A29,IF(A29='Données projet'!$A$88,'Données projet'!$B$88,BD28+BC29-BL28)))</f>
        <v>0</v>
      </c>
      <c r="BE29" s="14" t="e">
        <f>BD29*VLOOKUP('Données projet'!$B$11,Paramètres!$A$1:$I$89,3,0)*VLOOKUP('Données projet'!$B$11,Paramètres!$A$1:$I$89,5,0)</f>
        <v>#N/A</v>
      </c>
      <c r="BF29" s="14" t="e">
        <f t="shared" si="37"/>
        <v>#N/A</v>
      </c>
      <c r="BG29" s="22" t="e">
        <f t="shared" si="7"/>
        <v>#N/A</v>
      </c>
      <c r="BH29" s="62" t="e">
        <f t="shared" si="8"/>
        <v>#N/A</v>
      </c>
      <c r="BI29" s="62" t="e">
        <f ca="1">AVERAGE(OFFSET($BH$3,0,0,'Données projet'!$E$11+1,1))-AVERAGE(OFFSET($H$3,0,0,'Données projet'!$E$11+1,1))</f>
        <v>#N/A</v>
      </c>
      <c r="BJ29" s="62" t="e">
        <f t="shared" si="38"/>
        <v>#N/A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 t="e">
        <f>EXP(-LN(2)/35)*BP28+(1-EXP(-LN(2)/35))/(LN(2)/35)*BL29*BM29*VLOOKUP('Données projet'!$B$11,Paramètres!$A$1:$I$89,3,0)*0.475*44/12</f>
        <v>#N/A</v>
      </c>
      <c r="BQ29" s="23" t="e">
        <f>EXP(-LN(2)/25)*BQ28+(1-EXP(-LN(2)/25))/(LN(2)/25)*Calculateur!BL29*Calculateur!BN29*VLOOKUP('Données projet'!$B$11,Paramètres!$A$1:$I$89,3,0)*0.475*44/12</f>
        <v>#N/A</v>
      </c>
      <c r="BR29" s="23" t="e">
        <f>EXP(-LN(2)/2)*BR28+(1-EXP(-LN(2)/2))/(LN(2)/2)*BL29*BO29*VLOOKUP('Données projet'!$B$11,Paramètres!$A$1:$I$89,3,0)*0.475*44/12</f>
        <v>#N/A</v>
      </c>
      <c r="BS29" s="24" t="e">
        <f t="shared" si="9"/>
        <v>#N/A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0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0</v>
      </c>
      <c r="H30" s="70">
        <f t="shared" si="1"/>
        <v>256.66666666666669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4.0476666666666672</v>
      </c>
      <c r="N30" s="14">
        <f>IF('Données projet'!$A$36&gt;35,N29+M30-V29,IF(A30&lt;'Données projet'!$A$36,$K$205^A30,IF(A30='Données projet'!$A$36,'Données projet'!$B$36,N29+M30-V29)))</f>
        <v>75.143841887191726</v>
      </c>
      <c r="O30" s="14">
        <f>N30*VLOOKUP('Données projet'!$B$9,Paramètres!$A$1:$I$89,3,0)*VLOOKUP('Données projet'!$B$9,Paramètres!$A$1:$I$89,5,0)</f>
        <v>35.167318003205729</v>
      </c>
      <c r="P30" s="14">
        <f t="shared" si="33"/>
        <v>10.708304319741121</v>
      </c>
      <c r="Q30" s="22">
        <f t="shared" si="2"/>
        <v>79.900042212465777</v>
      </c>
      <c r="R30" s="62">
        <f t="shared" si="0"/>
        <v>369.56670887913248</v>
      </c>
      <c r="S30" s="62">
        <f ca="1">AVERAGE(OFFSET($R$3,0,0,'Données projet'!$E$9+1,1))-AVERAGE(OFFSET($H$3,0,0,'Données projet'!$E$9+1,1))</f>
        <v>302.58171900450355</v>
      </c>
      <c r="T30" s="62">
        <f t="shared" si="34"/>
        <v>164.1450425611464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4.8</v>
      </c>
      <c r="AI30" s="14">
        <f>IF('Données projet'!$A$62&gt;35,AI29+AH30-AQ29,IF(A30&lt;'Données projet'!$A$62,$AF$205^A30,IF(A30='Données projet'!$A$62,'Données projet'!$B$62,AI29+AH30-AQ29)))</f>
        <v>39.599999999999994</v>
      </c>
      <c r="AJ30" s="14">
        <f>AI30*VLOOKUP('Données projet'!$B$10,Paramètres!$A$1:$I$89,3,0)*VLOOKUP('Données projet'!$B$10,Paramètres!$A$1:$I$89,5,0)</f>
        <v>42.62543999999999</v>
      </c>
      <c r="AK30" s="14">
        <f t="shared" si="35"/>
        <v>12.691924583898647</v>
      </c>
      <c r="AL30" s="22">
        <f t="shared" si="4"/>
        <v>96.34440998362345</v>
      </c>
      <c r="AM30" s="62">
        <f t="shared" si="5"/>
        <v>386.01107665029014</v>
      </c>
      <c r="AN30" s="62">
        <f ca="1">AVERAGE(OFFSET($AM$3,0,0,'Données projet'!$E$10+1,1))-AVERAGE(OFFSET($H$3,0,0,'Données projet'!$E$10+1,1))</f>
        <v>327.4984716935208</v>
      </c>
      <c r="AO30" s="62">
        <f t="shared" si="36"/>
        <v>166.97658184507776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0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0</v>
      </c>
      <c r="BD30" s="13">
        <f>IF('Données projet'!$A$88&gt;35,BD29+BC30-BL29,IF(A30&lt;'Données projet'!$A$88,$BA$205^A30,IF(A30='Données projet'!$A$88,'Données projet'!$B$88,BD29+BC30-BL29)))</f>
        <v>0</v>
      </c>
      <c r="BE30" s="14" t="e">
        <f>BD30*VLOOKUP('Données projet'!$B$11,Paramètres!$A$1:$I$89,3,0)*VLOOKUP('Données projet'!$B$11,Paramètres!$A$1:$I$89,5,0)</f>
        <v>#N/A</v>
      </c>
      <c r="BF30" s="14" t="e">
        <f t="shared" si="37"/>
        <v>#N/A</v>
      </c>
      <c r="BG30" s="22" t="e">
        <f t="shared" si="7"/>
        <v>#N/A</v>
      </c>
      <c r="BH30" s="62" t="e">
        <f t="shared" si="8"/>
        <v>#N/A</v>
      </c>
      <c r="BI30" s="62" t="e">
        <f ca="1">AVERAGE(OFFSET($BH$3,0,0,'Données projet'!$E$11+1,1))-AVERAGE(OFFSET($H$3,0,0,'Données projet'!$E$11+1,1))</f>
        <v>#N/A</v>
      </c>
      <c r="BJ30" s="62" t="e">
        <f t="shared" si="38"/>
        <v>#N/A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 t="e">
        <f>EXP(-LN(2)/35)*BP29+(1-EXP(-LN(2)/35))/(LN(2)/35)*BL30*BM30*VLOOKUP('Données projet'!$B$11,Paramètres!$A$1:$I$89,3,0)*0.475*44/12</f>
        <v>#N/A</v>
      </c>
      <c r="BQ30" s="23" t="e">
        <f>EXP(-LN(2)/25)*BQ29+(1-EXP(-LN(2)/25))/(LN(2)/25)*Calculateur!BL30*Calculateur!BN30*VLOOKUP('Données projet'!$B$11,Paramètres!$A$1:$I$89,3,0)*0.475*44/12</f>
        <v>#N/A</v>
      </c>
      <c r="BR30" s="23" t="e">
        <f>EXP(-LN(2)/2)*BR29+(1-EXP(-LN(2)/2))/(LN(2)/2)*BL30*BO30*VLOOKUP('Données projet'!$B$11,Paramètres!$A$1:$I$89,3,0)*0.475*44/12</f>
        <v>#N/A</v>
      </c>
      <c r="BS30" s="24" t="e">
        <f t="shared" si="9"/>
        <v>#N/A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0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0</v>
      </c>
      <c r="H31" s="70">
        <f t="shared" si="1"/>
        <v>256.66666666666669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4.0476666666666672</v>
      </c>
      <c r="N31" s="14">
        <f>IF('Données projet'!$A$36&gt;35,N30+M31-V30,IF(A31&lt;'Données projet'!$A$36,$K$205^A31,IF(A31='Données projet'!$A$36,'Données projet'!$B$36,N30+M31-V30)))</f>
        <v>88.180169376149777</v>
      </c>
      <c r="O31" s="14">
        <f>N31*VLOOKUP('Données projet'!$B$9,Paramètres!$A$1:$I$89,3,0)*VLOOKUP('Données projet'!$B$9,Paramètres!$A$1:$I$89,5,0)</f>
        <v>41.268319268038091</v>
      </c>
      <c r="P31" s="14">
        <f t="shared" si="33"/>
        <v>12.334201901809736</v>
      </c>
      <c r="Q31" s="22">
        <f t="shared" si="2"/>
        <v>93.357724370818289</v>
      </c>
      <c r="R31" s="62">
        <f t="shared" si="0"/>
        <v>384.24661325970715</v>
      </c>
      <c r="S31" s="62">
        <f ca="1">AVERAGE(OFFSET($R$3,0,0,'Données projet'!$E$9+1,1))-AVERAGE(OFFSET($H$3,0,0,'Données projet'!$E$9+1,1))</f>
        <v>302.58171900450355</v>
      </c>
      <c r="T31" s="62">
        <f t="shared" si="34"/>
        <v>164.1450425611464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4.8</v>
      </c>
      <c r="AI31" s="14">
        <f>IF('Données projet'!$A$62&gt;35,AI30+AH31-AQ30,IF(A31&lt;'Données projet'!$A$62,$AF$205^A31,IF(A31='Données projet'!$A$62,'Données projet'!$B$62,AI30+AH31-AQ30)))</f>
        <v>44.399999999999991</v>
      </c>
      <c r="AJ31" s="14">
        <f>AI31*VLOOKUP('Données projet'!$B$10,Paramètres!$A$1:$I$89,3,0)*VLOOKUP('Données projet'!$B$10,Paramètres!$A$1:$I$89,5,0)</f>
        <v>47.792159999999988</v>
      </c>
      <c r="AK31" s="14">
        <f t="shared" si="35"/>
        <v>14.042085367056567</v>
      </c>
      <c r="AL31" s="22">
        <f t="shared" si="4"/>
        <v>107.69464401429015</v>
      </c>
      <c r="AM31" s="62">
        <f t="shared" si="5"/>
        <v>398.58353290317899</v>
      </c>
      <c r="AN31" s="62">
        <f ca="1">AVERAGE(OFFSET($AM$3,0,0,'Données projet'!$E$10+1,1))-AVERAGE(OFFSET($H$3,0,0,'Données projet'!$E$10+1,1))</f>
        <v>327.4984716935208</v>
      </c>
      <c r="AO31" s="62">
        <f t="shared" si="36"/>
        <v>166.97658184507776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0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0</v>
      </c>
      <c r="BD31" s="13">
        <f>IF('Données projet'!$A$88&gt;35,BD30+BC31-BL30,IF(A31&lt;'Données projet'!$A$88,$BA$205^A31,IF(A31='Données projet'!$A$88,'Données projet'!$B$88,BD30+BC31-BL30)))</f>
        <v>0</v>
      </c>
      <c r="BE31" s="14" t="e">
        <f>BD31*VLOOKUP('Données projet'!$B$11,Paramètres!$A$1:$I$89,3,0)*VLOOKUP('Données projet'!$B$11,Paramètres!$A$1:$I$89,5,0)</f>
        <v>#N/A</v>
      </c>
      <c r="BF31" s="14" t="e">
        <f t="shared" si="37"/>
        <v>#N/A</v>
      </c>
      <c r="BG31" s="22" t="e">
        <f t="shared" si="7"/>
        <v>#N/A</v>
      </c>
      <c r="BH31" s="62" t="e">
        <f t="shared" si="8"/>
        <v>#N/A</v>
      </c>
      <c r="BI31" s="62" t="e">
        <f ca="1">AVERAGE(OFFSET($BH$3,0,0,'Données projet'!$E$11+1,1))-AVERAGE(OFFSET($H$3,0,0,'Données projet'!$E$11+1,1))</f>
        <v>#N/A</v>
      </c>
      <c r="BJ31" s="62" t="e">
        <f t="shared" si="38"/>
        <v>#N/A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 t="e">
        <f>EXP(-LN(2)/35)*BP30+(1-EXP(-LN(2)/35))/(LN(2)/35)*BL31*BM31*VLOOKUP('Données projet'!$B$11,Paramètres!$A$1:$I$89,3,0)*0.475*44/12</f>
        <v>#N/A</v>
      </c>
      <c r="BQ31" s="23" t="e">
        <f>EXP(-LN(2)/25)*BQ30+(1-EXP(-LN(2)/25))/(LN(2)/25)*Calculateur!BL31*Calculateur!BN31*VLOOKUP('Données projet'!$B$11,Paramètres!$A$1:$I$89,3,0)*0.475*44/12</f>
        <v>#N/A</v>
      </c>
      <c r="BR31" s="23" t="e">
        <f>EXP(-LN(2)/2)*BR30+(1-EXP(-LN(2)/2))/(LN(2)/2)*BL31*BO31*VLOOKUP('Données projet'!$B$11,Paramètres!$A$1:$I$89,3,0)*0.475*44/12</f>
        <v>#N/A</v>
      </c>
      <c r="BS31" s="24" t="e">
        <f t="shared" si="9"/>
        <v>#N/A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0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0</v>
      </c>
      <c r="H32" s="70">
        <f t="shared" si="1"/>
        <v>256.66666666666669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4.0476666666666672</v>
      </c>
      <c r="N32" s="14">
        <f>IF('Données projet'!$A$36&gt;35,N31+M32-V31,IF(A32&lt;'Données projet'!$A$36,$K$205^A32,IF(A32='Données projet'!$A$36,'Données projet'!$B$36,N31+M32-V31)))</f>
        <v>103.47810380629259</v>
      </c>
      <c r="O32" s="14">
        <f>N32*VLOOKUP('Données projet'!$B$9,Paramètres!$A$1:$I$89,3,0)*VLOOKUP('Données projet'!$B$9,Paramètres!$A$1:$I$89,5,0)</f>
        <v>48.427752581344933</v>
      </c>
      <c r="P32" s="14">
        <f t="shared" si="33"/>
        <v>14.206967976633383</v>
      </c>
      <c r="Q32" s="22">
        <f t="shared" si="2"/>
        <v>109.08880497181222</v>
      </c>
      <c r="R32" s="62">
        <f t="shared" si="0"/>
        <v>401.19991608292338</v>
      </c>
      <c r="S32" s="62">
        <f ca="1">AVERAGE(OFFSET($R$3,0,0,'Données projet'!$E$9+1,1))-AVERAGE(OFFSET($H$3,0,0,'Données projet'!$E$9+1,1))</f>
        <v>302.58171900450355</v>
      </c>
      <c r="T32" s="62">
        <f t="shared" si="34"/>
        <v>164.1450425611464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4.8</v>
      </c>
      <c r="AI32" s="14">
        <f>IF('Données projet'!$A$62&gt;35,AI31+AH32-AQ31,IF(A32&lt;'Données projet'!$A$62,$AF$205^A32,IF(A32='Données projet'!$A$62,'Données projet'!$B$62,AI31+AH32-AQ31)))</f>
        <v>49.199999999999989</v>
      </c>
      <c r="AJ32" s="14">
        <f>AI32*VLOOKUP('Données projet'!$B$10,Paramètres!$A$1:$I$89,3,0)*VLOOKUP('Données projet'!$B$10,Paramètres!$A$1:$I$89,5,0)</f>
        <v>52.958879999999979</v>
      </c>
      <c r="AK32" s="14">
        <f t="shared" si="35"/>
        <v>15.375327718852537</v>
      </c>
      <c r="AL32" s="22">
        <f t="shared" si="4"/>
        <v>119.01541177700146</v>
      </c>
      <c r="AM32" s="62">
        <f t="shared" si="5"/>
        <v>411.12652288811262</v>
      </c>
      <c r="AN32" s="62">
        <f ca="1">AVERAGE(OFFSET($AM$3,0,0,'Données projet'!$E$10+1,1))-AVERAGE(OFFSET($H$3,0,0,'Données projet'!$E$10+1,1))</f>
        <v>327.4984716935208</v>
      </c>
      <c r="AO32" s="62">
        <f t="shared" si="36"/>
        <v>166.97658184507776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0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0</v>
      </c>
      <c r="BD32" s="13">
        <f>IF('Données projet'!$A$88&gt;35,BD31+BC32-BL31,IF(A32&lt;'Données projet'!$A$88,$BA$205^A32,IF(A32='Données projet'!$A$88,'Données projet'!$B$88,BD31+BC32-BL31)))</f>
        <v>0</v>
      </c>
      <c r="BE32" s="14" t="e">
        <f>BD32*VLOOKUP('Données projet'!$B$11,Paramètres!$A$1:$I$89,3,0)*VLOOKUP('Données projet'!$B$11,Paramètres!$A$1:$I$89,5,0)</f>
        <v>#N/A</v>
      </c>
      <c r="BF32" s="14" t="e">
        <f t="shared" si="37"/>
        <v>#N/A</v>
      </c>
      <c r="BG32" s="22" t="e">
        <f t="shared" si="7"/>
        <v>#N/A</v>
      </c>
      <c r="BH32" s="62" t="e">
        <f t="shared" si="8"/>
        <v>#N/A</v>
      </c>
      <c r="BI32" s="62" t="e">
        <f ca="1">AVERAGE(OFFSET($BH$3,0,0,'Données projet'!$E$11+1,1))-AVERAGE(OFFSET($H$3,0,0,'Données projet'!$E$11+1,1))</f>
        <v>#N/A</v>
      </c>
      <c r="BJ32" s="62" t="e">
        <f t="shared" si="38"/>
        <v>#N/A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 t="e">
        <f>EXP(-LN(2)/35)*BP31+(1-EXP(-LN(2)/35))/(LN(2)/35)*BL32*BM32*VLOOKUP('Données projet'!$B$11,Paramètres!$A$1:$I$89,3,0)*0.475*44/12</f>
        <v>#N/A</v>
      </c>
      <c r="BQ32" s="23" t="e">
        <f>EXP(-LN(2)/25)*BQ31+(1-EXP(-LN(2)/25))/(LN(2)/25)*Calculateur!BL32*Calculateur!BN32*VLOOKUP('Données projet'!$B$11,Paramètres!$A$1:$I$89,3,0)*0.475*44/12</f>
        <v>#N/A</v>
      </c>
      <c r="BR32" s="23" t="e">
        <f>EXP(-LN(2)/2)*BR31+(1-EXP(-LN(2)/2))/(LN(2)/2)*BL32*BO32*VLOOKUP('Données projet'!$B$11,Paramètres!$A$1:$I$89,3,0)*0.475*44/12</f>
        <v>#N/A</v>
      </c>
      <c r="BS32" s="24" t="e">
        <f t="shared" si="9"/>
        <v>#N/A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0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0</v>
      </c>
      <c r="H33" s="70">
        <f t="shared" si="1"/>
        <v>256.66666666666669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121.43</v>
      </c>
      <c r="L33" s="13">
        <f>VLOOKUP(A33,'Données projet'!$A$35:$I$55,9,0)</f>
        <v>4.0476666666666672</v>
      </c>
      <c r="M33" s="13">
        <f t="array" ref="M33">INDEX(L:L,MIN(IF(ISNUMBER(L33:L229),ROW(L33:L229),"")))</f>
        <v>4.0476666666666672</v>
      </c>
      <c r="N33" s="14">
        <f>IF('Données projet'!$A$36&gt;35,N32+M33-V32,IF(A33&lt;'Données projet'!$A$36,$K$205^A33,IF(A33='Données projet'!$A$36,'Données projet'!$B$36,N32+M33-V32)))</f>
        <v>121.43</v>
      </c>
      <c r="O33" s="14">
        <f>N33*VLOOKUP('Données projet'!$B$9,Paramètres!$A$1:$I$89,3,0)*VLOOKUP('Données projet'!$B$9,Paramètres!$A$1:$I$89,5,0)</f>
        <v>56.829240000000006</v>
      </c>
      <c r="P33" s="14">
        <f t="shared" si="33"/>
        <v>16.364085872428582</v>
      </c>
      <c r="Q33" s="22">
        <f t="shared" si="2"/>
        <v>127.47837589447978</v>
      </c>
      <c r="R33" s="62">
        <f t="shared" si="0"/>
        <v>420.81170922781308</v>
      </c>
      <c r="S33" s="62">
        <f ca="1">AVERAGE(OFFSET($R$3,0,0,'Données projet'!$E$9+1,1))-AVERAGE(OFFSET($H$3,0,0,'Données projet'!$E$9+1,1))</f>
        <v>302.58171900450355</v>
      </c>
      <c r="T33" s="62">
        <f t="shared" si="34"/>
        <v>164.1450425611464</v>
      </c>
      <c r="U33" s="16">
        <f>IF(ISNA(VLOOKUP(A33,'Données projet'!$A$35:$I$55,3,0)),0,VLOOKUP(A33,'Données projet'!$A$35:$I$55,3,0))</f>
        <v>1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0.38500000000000001</v>
      </c>
      <c r="X33" s="17">
        <f>IF(ISNA(VLOOKUP(A33,'Données projet'!$A$35:$I$55,6,0)),0%,VLOOKUP(A33,'Données projet'!$A$35:$I$55,6,0)*VLOOKUP('Données projet'!$B$9,Paramètres!$A$1:$I$89,7,0))</f>
        <v>8.2500000000000004E-2</v>
      </c>
      <c r="Y33" s="17">
        <f>IF(ISNA(VLOOKUP(A33,'Données projet'!$A$35:$I$55,7,0)),0%,VLOOKUP(A33,'Données projet'!$A$35:$I$55,7,0))</f>
        <v>0.15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54</v>
      </c>
      <c r="AG33" s="13">
        <f>VLOOKUP(A33,'Données projet'!$A$61:$I$81,9,0)</f>
        <v>4.8</v>
      </c>
      <c r="AH33" s="13">
        <f t="array" ref="AH33">INDEX(AG:AG,MIN(IF(ISNUMBER(AG33:AG229),ROW(AG33:AG229),"")))</f>
        <v>4.8</v>
      </c>
      <c r="AI33" s="14">
        <f>IF('Données projet'!$A$62&gt;35,AI32+AH33-AQ32,IF(A33&lt;'Données projet'!$A$62,$AF$205^A33,IF(A33='Données projet'!$A$62,'Données projet'!$B$62,AI32+AH33-AQ32)))</f>
        <v>53.999999999999986</v>
      </c>
      <c r="AJ33" s="14">
        <f>AI33*VLOOKUP('Données projet'!$B$10,Paramètres!$A$1:$I$89,3,0)*VLOOKUP('Données projet'!$B$10,Paramètres!$A$1:$I$89,5,0)</f>
        <v>58.125599999999977</v>
      </c>
      <c r="AK33" s="14">
        <f t="shared" si="35"/>
        <v>16.693490054590161</v>
      </c>
      <c r="AL33" s="22">
        <f t="shared" si="4"/>
        <v>130.30991517841116</v>
      </c>
      <c r="AM33" s="62">
        <f t="shared" si="5"/>
        <v>423.64324851174445</v>
      </c>
      <c r="AN33" s="62">
        <f ca="1">AVERAGE(OFFSET($AM$3,0,0,'Données projet'!$E$10+1,1))-AVERAGE(OFFSET($H$3,0,0,'Données projet'!$E$10+1,1))</f>
        <v>327.4984716935208</v>
      </c>
      <c r="AO33" s="62">
        <f t="shared" si="36"/>
        <v>166.97658184507776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0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0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0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 t="e">
        <f>VLOOKUP(A33,'Données projet'!$A$87:$I$107,2,0)</f>
        <v>#N/A</v>
      </c>
      <c r="BB33" s="13" t="e">
        <f>VLOOKUP(A33,'Données projet'!$A$87:$I$107,9,0)</f>
        <v>#N/A</v>
      </c>
      <c r="BC33" s="13">
        <f t="array" ref="BC33">INDEX(BB:BB,MIN(IF(ISNUMBER(BB33:BB229),ROW(BB33:BB229),"")))</f>
        <v>0</v>
      </c>
      <c r="BD33" s="13">
        <f>IF('Données projet'!$A$88&gt;35,BD32+BC33-BL32,IF(A33&lt;'Données projet'!$A$88,$BA$205^A33,IF(A33='Données projet'!$A$88,'Données projet'!$B$88,BD32+BC33-BL32)))</f>
        <v>0</v>
      </c>
      <c r="BE33" s="14" t="e">
        <f>BD33*VLOOKUP('Données projet'!$B$11,Paramètres!$A$1:$I$89,3,0)*VLOOKUP('Données projet'!$B$11,Paramètres!$A$1:$I$89,5,0)</f>
        <v>#N/A</v>
      </c>
      <c r="BF33" s="14" t="e">
        <f t="shared" si="37"/>
        <v>#N/A</v>
      </c>
      <c r="BG33" s="22" t="e">
        <f t="shared" si="7"/>
        <v>#N/A</v>
      </c>
      <c r="BH33" s="62" t="e">
        <f t="shared" si="8"/>
        <v>#N/A</v>
      </c>
      <c r="BI33" s="62" t="e">
        <f ca="1">AVERAGE(OFFSET($BH$3,0,0,'Données projet'!$E$11+1,1))-AVERAGE(OFFSET($H$3,0,0,'Données projet'!$E$11+1,1))</f>
        <v>#N/A</v>
      </c>
      <c r="BJ33" s="62" t="e">
        <f t="shared" si="38"/>
        <v>#N/A</v>
      </c>
      <c r="BK33" s="16">
        <f>IF(ISNA(VLOOKUP(A33,'Données projet'!$A$87:$I$107,3,0)),0,VLOOKUP(A33,'Données projet'!$A$87:$I$107,3,0))</f>
        <v>0</v>
      </c>
      <c r="BL33" s="16">
        <f>IF(ISNA(VLOOKUP(A33,'Données projet'!$A$87:$I$107,4,0)),0,VLOOKUP(A33,'Données projet'!$A$87:$I$107,4,0))</f>
        <v>0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 t="e">
        <f>EXP(-LN(2)/35)*BP32+(1-EXP(-LN(2)/35))/(LN(2)/35)*BL33*BM33*VLOOKUP('Données projet'!$B$11,Paramètres!$A$1:$I$89,3,0)*0.475*44/12</f>
        <v>#N/A</v>
      </c>
      <c r="BQ33" s="23" t="e">
        <f>EXP(-LN(2)/25)*BQ32+(1-EXP(-LN(2)/25))/(LN(2)/25)*Calculateur!BL33*Calculateur!BN33*VLOOKUP('Données projet'!$B$11,Paramètres!$A$1:$I$89,3,0)*0.475*44/12</f>
        <v>#N/A</v>
      </c>
      <c r="BR33" s="23" t="e">
        <f>EXP(-LN(2)/2)*BR32+(1-EXP(-LN(2)/2))/(LN(2)/2)*BL33*BO33*VLOOKUP('Données projet'!$B$11,Paramètres!$A$1:$I$89,3,0)*0.475*44/12</f>
        <v>#N/A</v>
      </c>
      <c r="BS33" s="24" t="e">
        <f t="shared" si="9"/>
        <v>#N/A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0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0</v>
      </c>
      <c r="H34" s="70">
        <f t="shared" si="1"/>
        <v>256.66666666666669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11.481</v>
      </c>
      <c r="N34" s="14">
        <f>IF('Données projet'!$A$36&gt;35,N33+M34-V33,IF(A34&lt;'Données projet'!$A$36,$K$205^A34,IF(A34='Données projet'!$A$36,'Données projet'!$B$36,N33+M34-V33)))</f>
        <v>132.911</v>
      </c>
      <c r="O34" s="14">
        <f>N34*VLOOKUP('Données projet'!$B$9,Paramètres!$A$1:$I$89,3,0)*VLOOKUP('Données projet'!$B$9,Paramètres!$A$1:$I$89,5,0)</f>
        <v>62.202348000000001</v>
      </c>
      <c r="P34" s="14">
        <f t="shared" si="33"/>
        <v>17.723918097544789</v>
      </c>
      <c r="Q34" s="22">
        <f t="shared" si="2"/>
        <v>139.20491345322381</v>
      </c>
      <c r="R34" s="62">
        <f t="shared" si="0"/>
        <v>432.53824678655712</v>
      </c>
      <c r="S34" s="62">
        <f ca="1">AVERAGE(OFFSET($R$3,0,0,'Données projet'!$E$9+1,1))-AVERAGE(OFFSET($H$3,0,0,'Données projet'!$E$9+1,1))</f>
        <v>302.58171900450355</v>
      </c>
      <c r="T34" s="62">
        <f t="shared" si="34"/>
        <v>164.1450425611464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5</v>
      </c>
      <c r="AI34" s="14">
        <f>IF('Données projet'!$A$62&gt;35,AI33+AH34-AQ33,IF(A34&lt;'Données projet'!$A$62,$AF$205^A34,IF(A34='Données projet'!$A$62,'Données projet'!$B$62,AI33+AH34-AQ33)))</f>
        <v>58.999999999999986</v>
      </c>
      <c r="AJ34" s="14">
        <f>AI34*VLOOKUP('Données projet'!$B$10,Paramètres!$A$1:$I$89,3,0)*VLOOKUP('Données projet'!$B$10,Paramètres!$A$1:$I$89,5,0)</f>
        <v>63.507599999999982</v>
      </c>
      <c r="AK34" s="14">
        <f t="shared" si="35"/>
        <v>18.052146695841799</v>
      </c>
      <c r="AL34" s="22">
        <f t="shared" si="4"/>
        <v>142.04989216192442</v>
      </c>
      <c r="AM34" s="62">
        <f t="shared" si="5"/>
        <v>435.38322549525776</v>
      </c>
      <c r="AN34" s="62">
        <f ca="1">AVERAGE(OFFSET($AM$3,0,0,'Données projet'!$E$10+1,1))-AVERAGE(OFFSET($H$3,0,0,'Données projet'!$E$10+1,1))</f>
        <v>327.4984716935208</v>
      </c>
      <c r="AO34" s="62">
        <f t="shared" si="36"/>
        <v>166.97658184507776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0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0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0</v>
      </c>
      <c r="BD34" s="13">
        <f>IF('Données projet'!$A$88&gt;35,BD33+BC34-BL33,IF(A34&lt;'Données projet'!$A$88,$BA$205^A34,IF(A34='Données projet'!$A$88,'Données projet'!$B$88,BD33+BC34-BL33)))</f>
        <v>0</v>
      </c>
      <c r="BE34" s="14" t="e">
        <f>BD34*VLOOKUP('Données projet'!$B$11,Paramètres!$A$1:$I$89,3,0)*VLOOKUP('Données projet'!$B$11,Paramètres!$A$1:$I$89,5,0)</f>
        <v>#N/A</v>
      </c>
      <c r="BF34" s="14" t="e">
        <f t="shared" si="37"/>
        <v>#N/A</v>
      </c>
      <c r="BG34" s="22" t="e">
        <f t="shared" si="7"/>
        <v>#N/A</v>
      </c>
      <c r="BH34" s="62" t="e">
        <f t="shared" si="8"/>
        <v>#N/A</v>
      </c>
      <c r="BI34" s="62" t="e">
        <f ca="1">AVERAGE(OFFSET($BH$3,0,0,'Données projet'!$E$11+1,1))-AVERAGE(OFFSET($H$3,0,0,'Données projet'!$E$11+1,1))</f>
        <v>#N/A</v>
      </c>
      <c r="BJ34" s="62" t="e">
        <f t="shared" si="38"/>
        <v>#N/A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 t="e">
        <f>EXP(-LN(2)/35)*BP33+(1-EXP(-LN(2)/35))/(LN(2)/35)*BL34*BM34*VLOOKUP('Données projet'!$B$11,Paramètres!$A$1:$I$89,3,0)*0.475*44/12</f>
        <v>#N/A</v>
      </c>
      <c r="BQ34" s="23" t="e">
        <f>EXP(-LN(2)/25)*BQ33+(1-EXP(-LN(2)/25))/(LN(2)/25)*Calculateur!BL34*Calculateur!BN34*VLOOKUP('Données projet'!$B$11,Paramètres!$A$1:$I$89,3,0)*0.475*44/12</f>
        <v>#N/A</v>
      </c>
      <c r="BR34" s="23" t="e">
        <f>EXP(-LN(2)/2)*BR33+(1-EXP(-LN(2)/2))/(LN(2)/2)*BL34*BO34*VLOOKUP('Données projet'!$B$11,Paramètres!$A$1:$I$89,3,0)*0.475*44/12</f>
        <v>#N/A</v>
      </c>
      <c r="BS34" s="24" t="e">
        <f t="shared" si="9"/>
        <v>#N/A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0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0</v>
      </c>
      <c r="H35" s="70">
        <f t="shared" si="1"/>
        <v>256.66666666666669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11.481</v>
      </c>
      <c r="N35" s="14">
        <f>IF('Données projet'!$A$36&gt;35,N34+M35-V34,IF(A35&lt;'Données projet'!$A$36,$K$205^A35,IF(A35='Données projet'!$A$36,'Données projet'!$B$36,N34+M35-V34)))</f>
        <v>144.392</v>
      </c>
      <c r="O35" s="14">
        <f>N35*VLOOKUP('Données projet'!$B$9,Paramètres!$A$1:$I$89,3,0)*VLOOKUP('Données projet'!$B$9,Paramètres!$A$1:$I$89,5,0)</f>
        <v>67.575456000000003</v>
      </c>
      <c r="P35" s="14">
        <f t="shared" si="33"/>
        <v>19.070128173450531</v>
      </c>
      <c r="Q35" s="22">
        <f t="shared" ref="Q35:Q66" si="53">(O35+P35)*0.475*44/12</f>
        <v>150.90772576875966</v>
      </c>
      <c r="R35" s="62">
        <f t="shared" si="0"/>
        <v>444.241059102093</v>
      </c>
      <c r="S35" s="62">
        <f ca="1">AVERAGE(OFFSET($R$3,0,0,'Données projet'!$E$9+1,1))-AVERAGE(OFFSET($H$3,0,0,'Données projet'!$E$9+1,1))</f>
        <v>302.58171900450355</v>
      </c>
      <c r="T35" s="62">
        <f t="shared" si="34"/>
        <v>164.1450425611464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5</v>
      </c>
      <c r="AI35" s="14">
        <f>IF('Données projet'!$A$62&gt;35,AI34+AH35-AQ34,IF(A35&lt;'Données projet'!$A$62,$AF$205^A35,IF(A35='Données projet'!$A$62,'Données projet'!$B$62,AI34+AH35-AQ34)))</f>
        <v>63.999999999999986</v>
      </c>
      <c r="AJ35" s="14">
        <f>AI35*VLOOKUP('Données projet'!$B$10,Paramètres!$A$1:$I$89,3,0)*VLOOKUP('Données projet'!$B$10,Paramètres!$A$1:$I$89,5,0)</f>
        <v>68.889599999999987</v>
      </c>
      <c r="AK35" s="14">
        <f t="shared" si="35"/>
        <v>19.397450021635805</v>
      </c>
      <c r="AL35" s="22">
        <f t="shared" si="4"/>
        <v>153.76661212101567</v>
      </c>
      <c r="AM35" s="62">
        <f t="shared" si="5"/>
        <v>447.09994545434898</v>
      </c>
      <c r="AN35" s="62">
        <f ca="1">AVERAGE(OFFSET($AM$3,0,0,'Données projet'!$E$10+1,1))-AVERAGE(OFFSET($H$3,0,0,'Données projet'!$E$10+1,1))</f>
        <v>327.4984716935208</v>
      </c>
      <c r="AO35" s="62">
        <f t="shared" si="36"/>
        <v>166.97658184507776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0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0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0</v>
      </c>
      <c r="BD35" s="13">
        <f>IF('Données projet'!$A$88&gt;35,BD34+BC35-BL34,IF(A35&lt;'Données projet'!$A$88,$BA$205^A35,IF(A35='Données projet'!$A$88,'Données projet'!$B$88,BD34+BC35-BL34)))</f>
        <v>0</v>
      </c>
      <c r="BE35" s="14" t="e">
        <f>BD35*VLOOKUP('Données projet'!$B$11,Paramètres!$A$1:$I$89,3,0)*VLOOKUP('Données projet'!$B$11,Paramètres!$A$1:$I$89,5,0)</f>
        <v>#N/A</v>
      </c>
      <c r="BF35" s="14" t="e">
        <f t="shared" si="37"/>
        <v>#N/A</v>
      </c>
      <c r="BG35" s="22" t="e">
        <f t="shared" si="7"/>
        <v>#N/A</v>
      </c>
      <c r="BH35" s="62" t="e">
        <f t="shared" si="8"/>
        <v>#N/A</v>
      </c>
      <c r="BI35" s="62" t="e">
        <f ca="1">AVERAGE(OFFSET($BH$3,0,0,'Données projet'!$E$11+1,1))-AVERAGE(OFFSET($H$3,0,0,'Données projet'!$E$11+1,1))</f>
        <v>#N/A</v>
      </c>
      <c r="BJ35" s="62" t="e">
        <f t="shared" si="38"/>
        <v>#N/A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 t="e">
        <f>EXP(-LN(2)/35)*BP34+(1-EXP(-LN(2)/35))/(LN(2)/35)*BL35*BM35*VLOOKUP('Données projet'!$B$11,Paramètres!$A$1:$I$89,3,0)*0.475*44/12</f>
        <v>#N/A</v>
      </c>
      <c r="BQ35" s="23" t="e">
        <f>EXP(-LN(2)/25)*BQ34+(1-EXP(-LN(2)/25))/(LN(2)/25)*Calculateur!BL35*Calculateur!BN35*VLOOKUP('Données projet'!$B$11,Paramètres!$A$1:$I$89,3,0)*0.475*44/12</f>
        <v>#N/A</v>
      </c>
      <c r="BR35" s="23" t="e">
        <f>EXP(-LN(2)/2)*BR34+(1-EXP(-LN(2)/2))/(LN(2)/2)*BL35*BO35*VLOOKUP('Données projet'!$B$11,Paramètres!$A$1:$I$89,3,0)*0.475*44/12</f>
        <v>#N/A</v>
      </c>
      <c r="BS35" s="24" t="e">
        <f t="shared" si="9"/>
        <v>#N/A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0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0</v>
      </c>
      <c r="H36" s="70">
        <f t="shared" si="1"/>
        <v>256.66666666666669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11.481</v>
      </c>
      <c r="N36" s="14">
        <f>IF('Données projet'!$A$36&gt;35,N35+M36-V35,IF(A36&lt;'Données projet'!$A$36,$K$205^A36,IF(A36='Données projet'!$A$36,'Données projet'!$B$36,N35+M36-V35)))</f>
        <v>155.87299999999999</v>
      </c>
      <c r="O36" s="14">
        <f>N36*VLOOKUP('Données projet'!$B$9,Paramètres!$A$1:$I$89,3,0)*VLOOKUP('Données projet'!$B$9,Paramètres!$A$1:$I$89,5,0)</f>
        <v>72.94856399999999</v>
      </c>
      <c r="P36" s="14">
        <f t="shared" si="33"/>
        <v>20.403922377534563</v>
      </c>
      <c r="Q36" s="22">
        <f t="shared" si="53"/>
        <v>162.58891377420599</v>
      </c>
      <c r="R36" s="62">
        <f t="shared" si="0"/>
        <v>455.92224710753931</v>
      </c>
      <c r="S36" s="62">
        <f ca="1">AVERAGE(OFFSET($R$3,0,0,'Données projet'!$E$9+1,1))-AVERAGE(OFFSET($H$3,0,0,'Données projet'!$E$9+1,1))</f>
        <v>302.58171900450355</v>
      </c>
      <c r="T36" s="62">
        <f t="shared" si="34"/>
        <v>164.1450425611464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5</v>
      </c>
      <c r="AI36" s="14">
        <f>IF('Données projet'!$A$62&gt;35,AI35+AH36-AQ35,IF(A36&lt;'Données projet'!$A$62,$AF$205^A36,IF(A36='Données projet'!$A$62,'Données projet'!$B$62,AI35+AH36-AQ35)))</f>
        <v>68.999999999999986</v>
      </c>
      <c r="AJ36" s="14">
        <f>AI36*VLOOKUP('Données projet'!$B$10,Paramètres!$A$1:$I$89,3,0)*VLOOKUP('Données projet'!$B$10,Paramètres!$A$1:$I$89,5,0)</f>
        <v>74.271599999999978</v>
      </c>
      <c r="AK36" s="14">
        <f t="shared" si="35"/>
        <v>20.730561869473863</v>
      </c>
      <c r="AL36" s="22">
        <f t="shared" si="4"/>
        <v>165.46209858933358</v>
      </c>
      <c r="AM36" s="62">
        <f t="shared" si="5"/>
        <v>458.79543192266692</v>
      </c>
      <c r="AN36" s="62">
        <f ca="1">AVERAGE(OFFSET($AM$3,0,0,'Données projet'!$E$10+1,1))-AVERAGE(OFFSET($H$3,0,0,'Données projet'!$E$10+1,1))</f>
        <v>327.4984716935208</v>
      </c>
      <c r="AO36" s="62">
        <f t="shared" si="36"/>
        <v>166.97658184507776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0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0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0</v>
      </c>
      <c r="BD36" s="13">
        <f>IF('Données projet'!$A$88&gt;35,BD35+BC36-BL35,IF(A36&lt;'Données projet'!$A$88,$BA$205^A36,IF(A36='Données projet'!$A$88,'Données projet'!$B$88,BD35+BC36-BL35)))</f>
        <v>0</v>
      </c>
      <c r="BE36" s="14" t="e">
        <f>BD36*VLOOKUP('Données projet'!$B$11,Paramètres!$A$1:$I$89,3,0)*VLOOKUP('Données projet'!$B$11,Paramètres!$A$1:$I$89,5,0)</f>
        <v>#N/A</v>
      </c>
      <c r="BF36" s="14" t="e">
        <f t="shared" si="37"/>
        <v>#N/A</v>
      </c>
      <c r="BG36" s="22" t="e">
        <f t="shared" si="7"/>
        <v>#N/A</v>
      </c>
      <c r="BH36" s="62" t="e">
        <f t="shared" si="8"/>
        <v>#N/A</v>
      </c>
      <c r="BI36" s="62" t="e">
        <f ca="1">AVERAGE(OFFSET($BH$3,0,0,'Données projet'!$E$11+1,1))-AVERAGE(OFFSET($H$3,0,0,'Données projet'!$E$11+1,1))</f>
        <v>#N/A</v>
      </c>
      <c r="BJ36" s="62" t="e">
        <f t="shared" si="38"/>
        <v>#N/A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 t="e">
        <f>EXP(-LN(2)/35)*BP35+(1-EXP(-LN(2)/35))/(LN(2)/35)*BL36*BM36*VLOOKUP('Données projet'!$B$11,Paramètres!$A$1:$I$89,3,0)*0.475*44/12</f>
        <v>#N/A</v>
      </c>
      <c r="BQ36" s="23" t="e">
        <f>EXP(-LN(2)/25)*BQ35+(1-EXP(-LN(2)/25))/(LN(2)/25)*Calculateur!BL36*Calculateur!BN36*VLOOKUP('Données projet'!$B$11,Paramètres!$A$1:$I$89,3,0)*0.475*44/12</f>
        <v>#N/A</v>
      </c>
      <c r="BR36" s="23" t="e">
        <f>EXP(-LN(2)/2)*BR35+(1-EXP(-LN(2)/2))/(LN(2)/2)*BL36*BO36*VLOOKUP('Données projet'!$B$11,Paramètres!$A$1:$I$89,3,0)*0.475*44/12</f>
        <v>#N/A</v>
      </c>
      <c r="BS36" s="24" t="e">
        <f t="shared" si="9"/>
        <v>#N/A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0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0</v>
      </c>
      <c r="H37" s="70">
        <f t="shared" si="1"/>
        <v>256.66666666666669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11.481</v>
      </c>
      <c r="N37" s="14">
        <f>IF('Données projet'!$A$36&gt;35,N36+M37-V36,IF(A37&lt;'Données projet'!$A$36,$K$205^A37,IF(A37='Données projet'!$A$36,'Données projet'!$B$36,N36+M37-V36)))</f>
        <v>167.35399999999998</v>
      </c>
      <c r="O37" s="14">
        <f>N37*VLOOKUP('Données projet'!$B$9,Paramètres!$A$1:$I$89,3,0)*VLOOKUP('Données projet'!$B$9,Paramètres!$A$1:$I$89,5,0)</f>
        <v>78.321671999999992</v>
      </c>
      <c r="P37" s="14">
        <f t="shared" si="33"/>
        <v>21.726319209146318</v>
      </c>
      <c r="Q37" s="22">
        <f t="shared" si="53"/>
        <v>174.25025135592981</v>
      </c>
      <c r="R37" s="62">
        <f t="shared" si="0"/>
        <v>467.58358468926315</v>
      </c>
      <c r="S37" s="62">
        <f ca="1">AVERAGE(OFFSET($R$3,0,0,'Données projet'!$E$9+1,1))-AVERAGE(OFFSET($H$3,0,0,'Données projet'!$E$9+1,1))</f>
        <v>302.58171900450355</v>
      </c>
      <c r="T37" s="62">
        <f t="shared" si="34"/>
        <v>164.1450425611464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5</v>
      </c>
      <c r="AI37" s="14">
        <f>IF('Données projet'!$A$62&gt;35,AI36+AH37-AQ36,IF(A37&lt;'Données projet'!$A$62,$AF$205^A37,IF(A37='Données projet'!$A$62,'Données projet'!$B$62,AI36+AH37-AQ36)))</f>
        <v>73.999999999999986</v>
      </c>
      <c r="AJ37" s="14">
        <f>AI37*VLOOKUP('Données projet'!$B$10,Paramètres!$A$1:$I$89,3,0)*VLOOKUP('Données projet'!$B$10,Paramètres!$A$1:$I$89,5,0)</f>
        <v>79.653599999999983</v>
      </c>
      <c r="AK37" s="14">
        <f t="shared" si="35"/>
        <v>22.052466149308238</v>
      </c>
      <c r="AL37" s="22">
        <f t="shared" si="4"/>
        <v>177.13806521004514</v>
      </c>
      <c r="AM37" s="62">
        <f t="shared" si="5"/>
        <v>470.47139854337843</v>
      </c>
      <c r="AN37" s="62">
        <f ca="1">AVERAGE(OFFSET($AM$3,0,0,'Données projet'!$E$10+1,1))-AVERAGE(OFFSET($H$3,0,0,'Données projet'!$E$10+1,1))</f>
        <v>327.4984716935208</v>
      </c>
      <c r="AO37" s="62">
        <f t="shared" si="36"/>
        <v>166.97658184507776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0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0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0</v>
      </c>
      <c r="BD37" s="13">
        <f>IF('Données projet'!$A$88&gt;35,BD36+BC37-BL36,IF(A37&lt;'Données projet'!$A$88,$BA$205^A37,IF(A37='Données projet'!$A$88,'Données projet'!$B$88,BD36+BC37-BL36)))</f>
        <v>0</v>
      </c>
      <c r="BE37" s="14" t="e">
        <f>BD37*VLOOKUP('Données projet'!$B$11,Paramètres!$A$1:$I$89,3,0)*VLOOKUP('Données projet'!$B$11,Paramètres!$A$1:$I$89,5,0)</f>
        <v>#N/A</v>
      </c>
      <c r="BF37" s="14" t="e">
        <f t="shared" si="37"/>
        <v>#N/A</v>
      </c>
      <c r="BG37" s="22" t="e">
        <f t="shared" si="7"/>
        <v>#N/A</v>
      </c>
      <c r="BH37" s="62" t="e">
        <f t="shared" si="8"/>
        <v>#N/A</v>
      </c>
      <c r="BI37" s="62" t="e">
        <f ca="1">AVERAGE(OFFSET($BH$3,0,0,'Données projet'!$E$11+1,1))-AVERAGE(OFFSET($H$3,0,0,'Données projet'!$E$11+1,1))</f>
        <v>#N/A</v>
      </c>
      <c r="BJ37" s="62" t="e">
        <f t="shared" si="38"/>
        <v>#N/A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 t="e">
        <f>EXP(-LN(2)/35)*BP36+(1-EXP(-LN(2)/35))/(LN(2)/35)*BL37*BM37*VLOOKUP('Données projet'!$B$11,Paramètres!$A$1:$I$89,3,0)*0.475*44/12</f>
        <v>#N/A</v>
      </c>
      <c r="BQ37" s="23" t="e">
        <f>EXP(-LN(2)/25)*BQ36+(1-EXP(-LN(2)/25))/(LN(2)/25)*Calculateur!BL37*Calculateur!BN37*VLOOKUP('Données projet'!$B$11,Paramètres!$A$1:$I$89,3,0)*0.475*44/12</f>
        <v>#N/A</v>
      </c>
      <c r="BR37" s="23" t="e">
        <f>EXP(-LN(2)/2)*BR36+(1-EXP(-LN(2)/2))/(LN(2)/2)*BL37*BO37*VLOOKUP('Données projet'!$B$11,Paramètres!$A$1:$I$89,3,0)*0.475*44/12</f>
        <v>#N/A</v>
      </c>
      <c r="BS37" s="24" t="e">
        <f t="shared" si="9"/>
        <v>#N/A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0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0</v>
      </c>
      <c r="H38" s="70">
        <f t="shared" si="1"/>
        <v>256.66666666666669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11.481</v>
      </c>
      <c r="N38" s="14">
        <f>IF('Données projet'!$A$36&gt;35,N37+M38-V37,IF(A38&lt;'Données projet'!$A$36,$K$205^A38,IF(A38='Données projet'!$A$36,'Données projet'!$B$36,N37+M38-V37)))</f>
        <v>178.83499999999998</v>
      </c>
      <c r="O38" s="14">
        <f>N38*VLOOKUP('Données projet'!$B$9,Paramètres!$A$1:$I$89,3,0)*VLOOKUP('Données projet'!$B$9,Paramètres!$A$1:$I$89,5,0)</f>
        <v>83.69477999999998</v>
      </c>
      <c r="P38" s="14">
        <f t="shared" si="33"/>
        <v>23.038189512649534</v>
      </c>
      <c r="Q38" s="22">
        <f t="shared" si="53"/>
        <v>185.89325523453124</v>
      </c>
      <c r="R38" s="62">
        <f t="shared" si="0"/>
        <v>479.22658856786455</v>
      </c>
      <c r="S38" s="62">
        <f ca="1">AVERAGE(OFFSET($R$3,0,0,'Données projet'!$E$9+1,1))-AVERAGE(OFFSET($H$3,0,0,'Données projet'!$E$9+1,1))</f>
        <v>302.58171900450355</v>
      </c>
      <c r="T38" s="62">
        <f t="shared" si="34"/>
        <v>164.1450425611464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79</v>
      </c>
      <c r="AG38" s="13">
        <f>VLOOKUP(A38,'Données projet'!$A$61:$I$81,9,0)</f>
        <v>5</v>
      </c>
      <c r="AH38" s="13">
        <f t="array" ref="AH38">INDEX(AG:AG,MIN(IF(ISNUMBER(AG38:AG234),ROW(AG38:AG234),"")))</f>
        <v>5</v>
      </c>
      <c r="AI38" s="14">
        <f>IF('Données projet'!$A$62&gt;35,AI37+AH38-AQ37,IF(A38&lt;'Données projet'!$A$62,$AF$205^A38,IF(A38='Données projet'!$A$62,'Données projet'!$B$62,AI37+AH38-AQ37)))</f>
        <v>78.999999999999986</v>
      </c>
      <c r="AJ38" s="14">
        <f>AI38*VLOOKUP('Données projet'!$B$10,Paramètres!$A$1:$I$89,3,0)*VLOOKUP('Données projet'!$B$10,Paramètres!$A$1:$I$89,5,0)</f>
        <v>85.035599999999974</v>
      </c>
      <c r="AK38" s="14">
        <f t="shared" si="35"/>
        <v>23.364006286119412</v>
      </c>
      <c r="AL38" s="22">
        <f t="shared" si="4"/>
        <v>188.79598094832463</v>
      </c>
      <c r="AM38" s="62">
        <f t="shared" si="5"/>
        <v>482.12931428165791</v>
      </c>
      <c r="AN38" s="62">
        <f ca="1">AVERAGE(OFFSET($AM$3,0,0,'Données projet'!$E$10+1,1))-AVERAGE(OFFSET($H$3,0,0,'Données projet'!$E$10+1,1))</f>
        <v>327.4984716935208</v>
      </c>
      <c r="AO38" s="62">
        <f t="shared" si="36"/>
        <v>166.97658184507776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13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0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0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 t="e">
        <f>VLOOKUP(A38,'Données projet'!$A$87:$I$107,2,0)</f>
        <v>#N/A</v>
      </c>
      <c r="BB38" s="13" t="e">
        <f>VLOOKUP(A38,'Données projet'!$A$87:$I$107,9,0)</f>
        <v>#N/A</v>
      </c>
      <c r="BC38" s="13">
        <f t="array" ref="BC38">INDEX(BB:BB,MIN(IF(ISNUMBER(BB38:BB234),ROW(BB38:BB234),"")))</f>
        <v>0</v>
      </c>
      <c r="BD38" s="13">
        <f>IF('Données projet'!$A$88&gt;35,BD37+BC38-BL37,IF(A38&lt;'Données projet'!$A$88,$BA$205^A38,IF(A38='Données projet'!$A$88,'Données projet'!$B$88,BD37+BC38-BL37)))</f>
        <v>0</v>
      </c>
      <c r="BE38" s="14" t="e">
        <f>BD38*VLOOKUP('Données projet'!$B$11,Paramètres!$A$1:$I$89,3,0)*VLOOKUP('Données projet'!$B$11,Paramètres!$A$1:$I$89,5,0)</f>
        <v>#N/A</v>
      </c>
      <c r="BF38" s="14" t="e">
        <f t="shared" si="37"/>
        <v>#N/A</v>
      </c>
      <c r="BG38" s="22" t="e">
        <f t="shared" si="7"/>
        <v>#N/A</v>
      </c>
      <c r="BH38" s="62" t="e">
        <f t="shared" si="8"/>
        <v>#N/A</v>
      </c>
      <c r="BI38" s="62" t="e">
        <f ca="1">AVERAGE(OFFSET($BH$3,0,0,'Données projet'!$E$11+1,1))-AVERAGE(OFFSET($H$3,0,0,'Données projet'!$E$11+1,1))</f>
        <v>#N/A</v>
      </c>
      <c r="BJ38" s="62" t="e">
        <f t="shared" si="38"/>
        <v>#N/A</v>
      </c>
      <c r="BK38" s="16">
        <f>IF(ISNA(VLOOKUP(A38,'Données projet'!$A$87:$I$107,3,0)),0,VLOOKUP(A38,'Données projet'!$A$87:$I$107,3,0))</f>
        <v>0</v>
      </c>
      <c r="BL38" s="16">
        <f>IF(ISNA(VLOOKUP(A38,'Données projet'!$A$87:$I$107,4,0)),0,VLOOKUP(A38,'Données projet'!$A$87:$I$107,4,0))</f>
        <v>0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 t="e">
        <f>EXP(-LN(2)/35)*BP37+(1-EXP(-LN(2)/35))/(LN(2)/35)*BL38*BM38*VLOOKUP('Données projet'!$B$11,Paramètres!$A$1:$I$89,3,0)*0.475*44/12</f>
        <v>#N/A</v>
      </c>
      <c r="BQ38" s="23" t="e">
        <f>EXP(-LN(2)/25)*BQ37+(1-EXP(-LN(2)/25))/(LN(2)/25)*Calculateur!BL38*Calculateur!BN38*VLOOKUP('Données projet'!$B$11,Paramètres!$A$1:$I$89,3,0)*0.475*44/12</f>
        <v>#N/A</v>
      </c>
      <c r="BR38" s="23" t="e">
        <f>EXP(-LN(2)/2)*BR37+(1-EXP(-LN(2)/2))/(LN(2)/2)*BL38*BO38*VLOOKUP('Données projet'!$B$11,Paramètres!$A$1:$I$89,3,0)*0.475*44/12</f>
        <v>#N/A</v>
      </c>
      <c r="BS38" s="24" t="e">
        <f t="shared" si="9"/>
        <v>#N/A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0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0</v>
      </c>
      <c r="H39" s="70">
        <f t="shared" si="1"/>
        <v>256.66666666666669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11.481</v>
      </c>
      <c r="N39" s="14">
        <f>IF('Données projet'!$A$36&gt;35,N38+M39-V38,IF(A39&lt;'Données projet'!$A$36,$K$205^A39,IF(A39='Données projet'!$A$36,'Données projet'!$B$36,N38+M39-V38)))</f>
        <v>190.31599999999997</v>
      </c>
      <c r="O39" s="14">
        <f>N39*VLOOKUP('Données projet'!$B$9,Paramètres!$A$1:$I$89,3,0)*VLOOKUP('Données projet'!$B$9,Paramètres!$A$1:$I$89,5,0)</f>
        <v>89.067887999999996</v>
      </c>
      <c r="P39" s="14">
        <f t="shared" si="33"/>
        <v>24.340285996059997</v>
      </c>
      <c r="Q39" s="22">
        <f t="shared" si="53"/>
        <v>197.51923637647113</v>
      </c>
      <c r="R39" s="62">
        <f t="shared" si="0"/>
        <v>490.85256970980447</v>
      </c>
      <c r="S39" s="62">
        <f ca="1">AVERAGE(OFFSET($R$3,0,0,'Données projet'!$E$9+1,1))-AVERAGE(OFFSET($H$3,0,0,'Données projet'!$E$9+1,1))</f>
        <v>302.58171900450355</v>
      </c>
      <c r="T39" s="62">
        <f t="shared" si="34"/>
        <v>164.1450425611464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5.4</v>
      </c>
      <c r="AI39" s="14">
        <f>IF('Données projet'!$A$62&gt;35,AI38+AH39-AQ38,IF(A39&lt;'Données projet'!$A$62,$AF$205^A39,IF(A39='Données projet'!$A$62,'Données projet'!$B$62,AI38+AH39-AQ38)))</f>
        <v>71.399999999999991</v>
      </c>
      <c r="AJ39" s="14">
        <f>AI39*VLOOKUP('Données projet'!$B$10,Paramètres!$A$1:$I$89,3,0)*VLOOKUP('Données projet'!$B$10,Paramètres!$A$1:$I$89,5,0)</f>
        <v>76.854959999999991</v>
      </c>
      <c r="AK39" s="14">
        <f t="shared" si="35"/>
        <v>21.366419773799993</v>
      </c>
      <c r="AL39" s="22">
        <f t="shared" si="4"/>
        <v>171.06890310603498</v>
      </c>
      <c r="AM39" s="62">
        <f t="shared" si="5"/>
        <v>464.40223643936827</v>
      </c>
      <c r="AN39" s="62">
        <f ca="1">AVERAGE(OFFSET($AM$3,0,0,'Données projet'!$E$10+1,1))-AVERAGE(OFFSET($H$3,0,0,'Données projet'!$E$10+1,1))</f>
        <v>327.4984716935208</v>
      </c>
      <c r="AO39" s="62">
        <f t="shared" si="36"/>
        <v>166.97658184507776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0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0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0</v>
      </c>
      <c r="BD39" s="13">
        <f>IF('Données projet'!$A$88&gt;35,BD38+BC39-BL38,IF(A39&lt;'Données projet'!$A$88,$BA$205^A39,IF(A39='Données projet'!$A$88,'Données projet'!$B$88,BD38+BC39-BL38)))</f>
        <v>0</v>
      </c>
      <c r="BE39" s="14" t="e">
        <f>BD39*VLOOKUP('Données projet'!$B$11,Paramètres!$A$1:$I$89,3,0)*VLOOKUP('Données projet'!$B$11,Paramètres!$A$1:$I$89,5,0)</f>
        <v>#N/A</v>
      </c>
      <c r="BF39" s="14" t="e">
        <f t="shared" si="37"/>
        <v>#N/A</v>
      </c>
      <c r="BG39" s="22" t="e">
        <f t="shared" si="7"/>
        <v>#N/A</v>
      </c>
      <c r="BH39" s="62" t="e">
        <f t="shared" si="8"/>
        <v>#N/A</v>
      </c>
      <c r="BI39" s="62" t="e">
        <f ca="1">AVERAGE(OFFSET($BH$3,0,0,'Données projet'!$E$11+1,1))-AVERAGE(OFFSET($H$3,0,0,'Données projet'!$E$11+1,1))</f>
        <v>#N/A</v>
      </c>
      <c r="BJ39" s="62" t="e">
        <f t="shared" si="38"/>
        <v>#N/A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 t="e">
        <f>EXP(-LN(2)/35)*BP38+(1-EXP(-LN(2)/35))/(LN(2)/35)*BL39*BM39*VLOOKUP('Données projet'!$B$11,Paramètres!$A$1:$I$89,3,0)*0.475*44/12</f>
        <v>#N/A</v>
      </c>
      <c r="BQ39" s="23" t="e">
        <f>EXP(-LN(2)/25)*BQ38+(1-EXP(-LN(2)/25))/(LN(2)/25)*Calculateur!BL39*Calculateur!BN39*VLOOKUP('Données projet'!$B$11,Paramètres!$A$1:$I$89,3,0)*0.475*44/12</f>
        <v>#N/A</v>
      </c>
      <c r="BR39" s="23" t="e">
        <f>EXP(-LN(2)/2)*BR38+(1-EXP(-LN(2)/2))/(LN(2)/2)*BL39*BO39*VLOOKUP('Données projet'!$B$11,Paramètres!$A$1:$I$89,3,0)*0.475*44/12</f>
        <v>#N/A</v>
      </c>
      <c r="BS39" s="24" t="e">
        <f t="shared" si="9"/>
        <v>#N/A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0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0</v>
      </c>
      <c r="H40" s="70">
        <f t="shared" si="1"/>
        <v>256.66666666666669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11.481</v>
      </c>
      <c r="N40" s="14">
        <f>IF('Données projet'!$A$36&gt;35,N39+M40-V39,IF(A40&lt;'Données projet'!$A$36,$K$205^A40,IF(A40='Données projet'!$A$36,'Données projet'!$B$36,N39+M40-V39)))</f>
        <v>201.79699999999997</v>
      </c>
      <c r="O40" s="14">
        <f>N40*VLOOKUP('Données projet'!$B$9,Paramètres!$A$1:$I$89,3,0)*VLOOKUP('Données projet'!$B$9,Paramètres!$A$1:$I$89,5,0)</f>
        <v>94.440995999999984</v>
      </c>
      <c r="P40" s="14">
        <f t="shared" si="33"/>
        <v>25.633265420540909</v>
      </c>
      <c r="Q40" s="22">
        <f t="shared" si="53"/>
        <v>209.12933864077536</v>
      </c>
      <c r="R40" s="62">
        <f t="shared" si="0"/>
        <v>502.46267197410867</v>
      </c>
      <c r="S40" s="62">
        <f ca="1">AVERAGE(OFFSET($R$3,0,0,'Données projet'!$E$9+1,1))-AVERAGE(OFFSET($H$3,0,0,'Données projet'!$E$9+1,1))</f>
        <v>302.58171900450355</v>
      </c>
      <c r="T40" s="62">
        <f t="shared" si="34"/>
        <v>164.1450425611464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5.4</v>
      </c>
      <c r="AI40" s="14">
        <f>IF('Données projet'!$A$62&gt;35,AI39+AH40-AQ39,IF(A40&lt;'Données projet'!$A$62,$AF$205^A40,IF(A40='Données projet'!$A$62,'Données projet'!$B$62,AI39+AH40-AQ39)))</f>
        <v>76.8</v>
      </c>
      <c r="AJ40" s="14">
        <f>AI40*VLOOKUP('Données projet'!$B$10,Paramètres!$A$1:$I$89,3,0)*VLOOKUP('Données projet'!$B$10,Paramètres!$A$1:$I$89,5,0)</f>
        <v>82.667519999999996</v>
      </c>
      <c r="AK40" s="14">
        <f t="shared" si="35"/>
        <v>22.788156353818806</v>
      </c>
      <c r="AL40" s="22">
        <f t="shared" si="4"/>
        <v>183.6686363162344</v>
      </c>
      <c r="AM40" s="62">
        <f t="shared" si="5"/>
        <v>477.00196964956774</v>
      </c>
      <c r="AN40" s="62">
        <f ca="1">AVERAGE(OFFSET($AM$3,0,0,'Données projet'!$E$10+1,1))-AVERAGE(OFFSET($H$3,0,0,'Données projet'!$E$10+1,1))</f>
        <v>327.4984716935208</v>
      </c>
      <c r="AO40" s="62">
        <f t="shared" si="36"/>
        <v>166.97658184507776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0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0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0</v>
      </c>
      <c r="BD40" s="13">
        <f>IF('Données projet'!$A$88&gt;35,BD39+BC40-BL39,IF(A40&lt;'Données projet'!$A$88,$BA$205^A40,IF(A40='Données projet'!$A$88,'Données projet'!$B$88,BD39+BC40-BL39)))</f>
        <v>0</v>
      </c>
      <c r="BE40" s="14" t="e">
        <f>BD40*VLOOKUP('Données projet'!$B$11,Paramètres!$A$1:$I$89,3,0)*VLOOKUP('Données projet'!$B$11,Paramètres!$A$1:$I$89,5,0)</f>
        <v>#N/A</v>
      </c>
      <c r="BF40" s="14" t="e">
        <f t="shared" si="37"/>
        <v>#N/A</v>
      </c>
      <c r="BG40" s="22" t="e">
        <f t="shared" si="7"/>
        <v>#N/A</v>
      </c>
      <c r="BH40" s="62" t="e">
        <f t="shared" si="8"/>
        <v>#N/A</v>
      </c>
      <c r="BI40" s="62" t="e">
        <f ca="1">AVERAGE(OFFSET($BH$3,0,0,'Données projet'!$E$11+1,1))-AVERAGE(OFFSET($H$3,0,0,'Données projet'!$E$11+1,1))</f>
        <v>#N/A</v>
      </c>
      <c r="BJ40" s="62" t="e">
        <f t="shared" si="38"/>
        <v>#N/A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 t="e">
        <f>EXP(-LN(2)/35)*BP39+(1-EXP(-LN(2)/35))/(LN(2)/35)*BL40*BM40*VLOOKUP('Données projet'!$B$11,Paramètres!$A$1:$I$89,3,0)*0.475*44/12</f>
        <v>#N/A</v>
      </c>
      <c r="BQ40" s="23" t="e">
        <f>EXP(-LN(2)/25)*BQ39+(1-EXP(-LN(2)/25))/(LN(2)/25)*Calculateur!BL40*Calculateur!BN40*VLOOKUP('Données projet'!$B$11,Paramètres!$A$1:$I$89,3,0)*0.475*44/12</f>
        <v>#N/A</v>
      </c>
      <c r="BR40" s="23" t="e">
        <f>EXP(-LN(2)/2)*BR39+(1-EXP(-LN(2)/2))/(LN(2)/2)*BL40*BO40*VLOOKUP('Données projet'!$B$11,Paramètres!$A$1:$I$89,3,0)*0.475*44/12</f>
        <v>#N/A</v>
      </c>
      <c r="BS40" s="24" t="e">
        <f t="shared" si="9"/>
        <v>#N/A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0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0</v>
      </c>
      <c r="H41" s="70">
        <f t="shared" si="1"/>
        <v>256.66666666666669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11.481</v>
      </c>
      <c r="N41" s="14">
        <f>IF('Données projet'!$A$36&gt;35,N40+M41-V40,IF(A41&lt;'Données projet'!$A$36,$K$205^A41,IF(A41='Données projet'!$A$36,'Données projet'!$B$36,N40+M41-V40)))</f>
        <v>213.27799999999996</v>
      </c>
      <c r="O41" s="14">
        <f>N41*VLOOKUP('Données projet'!$B$9,Paramètres!$A$1:$I$89,3,0)*VLOOKUP('Données projet'!$B$9,Paramètres!$A$1:$I$89,5,0)</f>
        <v>99.814103999999986</v>
      </c>
      <c r="P41" s="14">
        <f t="shared" si="33"/>
        <v>26.917705594983317</v>
      </c>
      <c r="Q41" s="22">
        <f t="shared" si="53"/>
        <v>220.72456837792924</v>
      </c>
      <c r="R41" s="62">
        <f t="shared" si="0"/>
        <v>514.0579017112625</v>
      </c>
      <c r="S41" s="62">
        <f ca="1">AVERAGE(OFFSET($R$3,0,0,'Données projet'!$E$9+1,1))-AVERAGE(OFFSET($H$3,0,0,'Données projet'!$E$9+1,1))</f>
        <v>302.58171900450355</v>
      </c>
      <c r="T41" s="62">
        <f t="shared" si="34"/>
        <v>164.1450425611464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5.4</v>
      </c>
      <c r="AI41" s="14">
        <f>IF('Données projet'!$A$62&gt;35,AI40+AH41-AQ40,IF(A41&lt;'Données projet'!$A$62,$AF$205^A41,IF(A41='Données projet'!$A$62,'Données projet'!$B$62,AI40+AH41-AQ40)))</f>
        <v>82.2</v>
      </c>
      <c r="AJ41" s="14">
        <f>AI41*VLOOKUP('Données projet'!$B$10,Paramètres!$A$1:$I$89,3,0)*VLOOKUP('Données projet'!$B$10,Paramètres!$A$1:$I$89,5,0)</f>
        <v>88.480080000000001</v>
      </c>
      <c r="AK41" s="14">
        <f t="shared" si="35"/>
        <v>24.1982943117189</v>
      </c>
      <c r="AL41" s="22">
        <f t="shared" si="4"/>
        <v>196.24816859291039</v>
      </c>
      <c r="AM41" s="62">
        <f t="shared" si="5"/>
        <v>489.58150192624373</v>
      </c>
      <c r="AN41" s="62">
        <f ca="1">AVERAGE(OFFSET($AM$3,0,0,'Données projet'!$E$10+1,1))-AVERAGE(OFFSET($H$3,0,0,'Données projet'!$E$10+1,1))</f>
        <v>327.4984716935208</v>
      </c>
      <c r="AO41" s="62">
        <f t="shared" si="36"/>
        <v>166.97658184507776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0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0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0</v>
      </c>
      <c r="BD41" s="13">
        <f>IF('Données projet'!$A$88&gt;35,BD40+BC41-BL40,IF(A41&lt;'Données projet'!$A$88,$BA$205^A41,IF(A41='Données projet'!$A$88,'Données projet'!$B$88,BD40+BC41-BL40)))</f>
        <v>0</v>
      </c>
      <c r="BE41" s="14" t="e">
        <f>BD41*VLOOKUP('Données projet'!$B$11,Paramètres!$A$1:$I$89,3,0)*VLOOKUP('Données projet'!$B$11,Paramètres!$A$1:$I$89,5,0)</f>
        <v>#N/A</v>
      </c>
      <c r="BF41" s="14" t="e">
        <f t="shared" si="37"/>
        <v>#N/A</v>
      </c>
      <c r="BG41" s="22" t="e">
        <f t="shared" si="7"/>
        <v>#N/A</v>
      </c>
      <c r="BH41" s="62" t="e">
        <f t="shared" si="8"/>
        <v>#N/A</v>
      </c>
      <c r="BI41" s="62" t="e">
        <f ca="1">AVERAGE(OFFSET($BH$3,0,0,'Données projet'!$E$11+1,1))-AVERAGE(OFFSET($H$3,0,0,'Données projet'!$E$11+1,1))</f>
        <v>#N/A</v>
      </c>
      <c r="BJ41" s="62" t="e">
        <f t="shared" si="38"/>
        <v>#N/A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 t="e">
        <f>EXP(-LN(2)/35)*BP40+(1-EXP(-LN(2)/35))/(LN(2)/35)*BL41*BM41*VLOOKUP('Données projet'!$B$11,Paramètres!$A$1:$I$89,3,0)*0.475*44/12</f>
        <v>#N/A</v>
      </c>
      <c r="BQ41" s="23" t="e">
        <f>EXP(-LN(2)/25)*BQ40+(1-EXP(-LN(2)/25))/(LN(2)/25)*Calculateur!BL41*Calculateur!BN41*VLOOKUP('Données projet'!$B$11,Paramètres!$A$1:$I$89,3,0)*0.475*44/12</f>
        <v>#N/A</v>
      </c>
      <c r="BR41" s="23" t="e">
        <f>EXP(-LN(2)/2)*BR40+(1-EXP(-LN(2)/2))/(LN(2)/2)*BL41*BO41*VLOOKUP('Données projet'!$B$11,Paramètres!$A$1:$I$89,3,0)*0.475*44/12</f>
        <v>#N/A</v>
      </c>
      <c r="BS41" s="24" t="e">
        <f t="shared" si="9"/>
        <v>#N/A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0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0</v>
      </c>
      <c r="H42" s="70">
        <f t="shared" si="1"/>
        <v>256.66666666666669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11.481</v>
      </c>
      <c r="N42" s="14">
        <f>IF('Données projet'!$A$36&gt;35,N41+M42-V41,IF(A42&lt;'Données projet'!$A$36,$K$205^A42,IF(A42='Données projet'!$A$36,'Données projet'!$B$36,N41+M42-V41)))</f>
        <v>224.75899999999996</v>
      </c>
      <c r="O42" s="14">
        <f>N42*VLOOKUP('Données projet'!$B$9,Paramètres!$A$1:$I$89,3,0)*VLOOKUP('Données projet'!$B$9,Paramètres!$A$1:$I$89,5,0)</f>
        <v>105.18721199999999</v>
      </c>
      <c r="P42" s="14">
        <f t="shared" si="33"/>
        <v>28.194118606639837</v>
      </c>
      <c r="Q42" s="22">
        <f t="shared" si="53"/>
        <v>232.30581747323103</v>
      </c>
      <c r="R42" s="62">
        <f t="shared" si="0"/>
        <v>525.63915080656432</v>
      </c>
      <c r="S42" s="62">
        <f ca="1">AVERAGE(OFFSET($R$3,0,0,'Données projet'!$E$9+1,1))-AVERAGE(OFFSET($H$3,0,0,'Données projet'!$E$9+1,1))</f>
        <v>302.58171900450355</v>
      </c>
      <c r="T42" s="62">
        <f t="shared" si="34"/>
        <v>164.1450425611464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5.4</v>
      </c>
      <c r="AI42" s="14">
        <f>IF('Données projet'!$A$62&gt;35,AI41+AH42-AQ41,IF(A42&lt;'Données projet'!$A$62,$AF$205^A42,IF(A42='Données projet'!$A$62,'Données projet'!$B$62,AI41+AH42-AQ41)))</f>
        <v>87.600000000000009</v>
      </c>
      <c r="AJ42" s="14">
        <f>AI42*VLOOKUP('Données projet'!$B$10,Paramètres!$A$1:$I$89,3,0)*VLOOKUP('Données projet'!$B$10,Paramètres!$A$1:$I$89,5,0)</f>
        <v>94.292640000000006</v>
      </c>
      <c r="AK42" s="14">
        <f t="shared" si="35"/>
        <v>25.597682308724192</v>
      </c>
      <c r="AL42" s="22">
        <f t="shared" si="4"/>
        <v>208.80897802102797</v>
      </c>
      <c r="AM42" s="62">
        <f t="shared" si="5"/>
        <v>502.14231135436125</v>
      </c>
      <c r="AN42" s="62">
        <f ca="1">AVERAGE(OFFSET($AM$3,0,0,'Données projet'!$E$10+1,1))-AVERAGE(OFFSET($H$3,0,0,'Données projet'!$E$10+1,1))</f>
        <v>327.4984716935208</v>
      </c>
      <c r="AO42" s="62">
        <f t="shared" si="36"/>
        <v>166.97658184507776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0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0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0</v>
      </c>
      <c r="BD42" s="13">
        <f>IF('Données projet'!$A$88&gt;35,BD41+BC42-BL41,IF(A42&lt;'Données projet'!$A$88,$BA$205^A42,IF(A42='Données projet'!$A$88,'Données projet'!$B$88,BD41+BC42-BL41)))</f>
        <v>0</v>
      </c>
      <c r="BE42" s="14" t="e">
        <f>BD42*VLOOKUP('Données projet'!$B$11,Paramètres!$A$1:$I$89,3,0)*VLOOKUP('Données projet'!$B$11,Paramètres!$A$1:$I$89,5,0)</f>
        <v>#N/A</v>
      </c>
      <c r="BF42" s="14" t="e">
        <f t="shared" si="37"/>
        <v>#N/A</v>
      </c>
      <c r="BG42" s="22" t="e">
        <f t="shared" si="7"/>
        <v>#N/A</v>
      </c>
      <c r="BH42" s="62" t="e">
        <f t="shared" si="8"/>
        <v>#N/A</v>
      </c>
      <c r="BI42" s="62" t="e">
        <f ca="1">AVERAGE(OFFSET($BH$3,0,0,'Données projet'!$E$11+1,1))-AVERAGE(OFFSET($H$3,0,0,'Données projet'!$E$11+1,1))</f>
        <v>#N/A</v>
      </c>
      <c r="BJ42" s="62" t="e">
        <f t="shared" si="38"/>
        <v>#N/A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 t="e">
        <f>EXP(-LN(2)/35)*BP41+(1-EXP(-LN(2)/35))/(LN(2)/35)*BL42*BM42*VLOOKUP('Données projet'!$B$11,Paramètres!$A$1:$I$89,3,0)*0.475*44/12</f>
        <v>#N/A</v>
      </c>
      <c r="BQ42" s="23" t="e">
        <f>EXP(-LN(2)/25)*BQ41+(1-EXP(-LN(2)/25))/(LN(2)/25)*Calculateur!BL42*Calculateur!BN42*VLOOKUP('Données projet'!$B$11,Paramètres!$A$1:$I$89,3,0)*0.475*44/12</f>
        <v>#N/A</v>
      </c>
      <c r="BR42" s="23" t="e">
        <f>EXP(-LN(2)/2)*BR41+(1-EXP(-LN(2)/2))/(LN(2)/2)*BL42*BO42*VLOOKUP('Données projet'!$B$11,Paramètres!$A$1:$I$89,3,0)*0.475*44/12</f>
        <v>#N/A</v>
      </c>
      <c r="BS42" s="24" t="e">
        <f t="shared" si="9"/>
        <v>#N/A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0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0</v>
      </c>
      <c r="H43" s="70">
        <f t="shared" si="1"/>
        <v>256.66666666666669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236.24</v>
      </c>
      <c r="L43" s="13">
        <f>VLOOKUP(A43,'Données projet'!$A$35:$I$55,9,0)</f>
        <v>11.481</v>
      </c>
      <c r="M43" s="13">
        <f t="array" ref="M43">INDEX(L:L,MIN(IF(ISNUMBER(L43:L239),ROW(L43:L239),"")))</f>
        <v>11.481</v>
      </c>
      <c r="N43" s="14">
        <f>IF('Données projet'!$A$36&gt;35,N42+M43-V42,IF(A43&lt;'Données projet'!$A$36,$K$205^A43,IF(A43='Données projet'!$A$36,'Données projet'!$B$36,N42+M43-V42)))</f>
        <v>236.23999999999995</v>
      </c>
      <c r="O43" s="14">
        <f>N43*VLOOKUP('Données projet'!$B$9,Paramètres!$A$1:$I$89,3,0)*VLOOKUP('Données projet'!$B$9,Paramètres!$A$1:$I$89,5,0)</f>
        <v>110.56031999999998</v>
      </c>
      <c r="P43" s="14">
        <f t="shared" si="33"/>
        <v>29.462961271460717</v>
      </c>
      <c r="Q43" s="22">
        <f t="shared" si="53"/>
        <v>243.87388154779401</v>
      </c>
      <c r="R43" s="62">
        <f t="shared" si="0"/>
        <v>537.20721488112736</v>
      </c>
      <c r="S43" s="62">
        <f ca="1">AVERAGE(OFFSET($R$3,0,0,'Données projet'!$E$9+1,1))-AVERAGE(OFFSET($H$3,0,0,'Données projet'!$E$9+1,1))</f>
        <v>302.58171900450355</v>
      </c>
      <c r="T43" s="62">
        <f t="shared" si="34"/>
        <v>164.1450425611464</v>
      </c>
      <c r="U43" s="16">
        <f>IF(ISNA(VLOOKUP(A43,'Données projet'!$A$35:$I$55,3,0)),0,VLOOKUP(A43,'Données projet'!$A$35:$I$55,3,0))</f>
        <v>2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93</v>
      </c>
      <c r="AG43" s="13">
        <f>VLOOKUP(A43,'Données projet'!$A$61:$I$81,9,0)</f>
        <v>5.4</v>
      </c>
      <c r="AH43" s="13">
        <f t="array" ref="AH43">INDEX(AG:AG,MIN(IF(ISNUMBER(AG43:AG239),ROW(AG43:AG239),"")))</f>
        <v>5.4</v>
      </c>
      <c r="AI43" s="14">
        <f>IF('Données projet'!$A$62&gt;35,AI42+AH43-AQ42,IF(A43&lt;'Données projet'!$A$62,$AF$205^A43,IF(A43='Données projet'!$A$62,'Données projet'!$B$62,AI42+AH43-AQ42)))</f>
        <v>93.000000000000014</v>
      </c>
      <c r="AJ43" s="14">
        <f>AI43*VLOOKUP('Données projet'!$B$10,Paramètres!$A$1:$I$89,3,0)*VLOOKUP('Données projet'!$B$10,Paramètres!$A$1:$I$89,5,0)</f>
        <v>100.10520000000001</v>
      </c>
      <c r="AK43" s="14">
        <f t="shared" si="35"/>
        <v>26.987058463795307</v>
      </c>
      <c r="AL43" s="22">
        <f t="shared" si="4"/>
        <v>221.35235015777684</v>
      </c>
      <c r="AM43" s="62">
        <f t="shared" si="5"/>
        <v>514.68568349111013</v>
      </c>
      <c r="AN43" s="62">
        <f ca="1">AVERAGE(OFFSET($AM$3,0,0,'Données projet'!$E$10+1,1))-AVERAGE(OFFSET($H$3,0,0,'Données projet'!$E$10+1,1))</f>
        <v>327.4984716935208</v>
      </c>
      <c r="AO43" s="62">
        <f t="shared" si="36"/>
        <v>166.97658184507776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14</v>
      </c>
      <c r="AR43" s="17">
        <f>IF(ISNA(VLOOKUP(A43,'Données projet'!$A$61:$I$81,5,0)),0%,VLOOKUP(A43,'Données projet'!$A$61:$I$81,5,0)*VLOOKUP('Données projet'!$B$10,Paramètres!$A$1:$I$89,7,0))</f>
        <v>0</v>
      </c>
      <c r="AS43" s="17">
        <f>IF(ISNA(VLOOKUP(A43,'Données projet'!$A$61:$I$81,6,0)),0%,VLOOKUP(A43,'Données projet'!$A$61:$I$81,6,0)*VLOOKUP('Données projet'!$B$10,Paramètres!$A$1:$I$89,7,0))</f>
        <v>0</v>
      </c>
      <c r="AT43" s="17">
        <f>IF(ISNA(VLOOKUP(A43,'Données projet'!$A$61:$I$81,7,0)),0%,VLOOKUP(A43,'Données projet'!$A$61:$I$81,7,0))</f>
        <v>0</v>
      </c>
      <c r="AU43" s="23">
        <f>EXP(-LN(2)/35)*AU42+(1-EXP(-LN(2)/35))/(LN(2)/35)*AQ43*AR43*VLOOKUP('Données projet'!$B$10,Paramètres!$A$1:$I$89,3,0)*0.475*44/12</f>
        <v>0</v>
      </c>
      <c r="AV43" s="23">
        <f>EXP(-LN(2)/25)*AV42+(1-EXP(-LN(2)/25))/(LN(2)/25)*Calculateur!AQ43*Calculateur!AS43*VLOOKUP('Données projet'!$B$10,Paramètres!$A$1:$I$89,3,0)*0.475*44/12</f>
        <v>0</v>
      </c>
      <c r="AW43" s="23">
        <f>EXP(-LN(2)/2)*AW42+(1-EXP(-LN(2)/2))/(LN(2)/2)*AQ43*AT43*VLOOKUP('Données projet'!$B$10,Paramètres!$A$1:$I$89,3,0)*0.475*44/12</f>
        <v>0</v>
      </c>
      <c r="AX43" s="23">
        <f t="shared" si="6"/>
        <v>0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 t="e">
        <f>VLOOKUP(A43,'Données projet'!$A$87:$I$107,2,0)</f>
        <v>#N/A</v>
      </c>
      <c r="BB43" s="13" t="e">
        <f>VLOOKUP(A43,'Données projet'!$A$87:$I$107,9,0)</f>
        <v>#N/A</v>
      </c>
      <c r="BC43" s="13">
        <f t="array" ref="BC43">INDEX(BB:BB,MIN(IF(ISNUMBER(BB43:BB239),ROW(BB43:BB239),"")))</f>
        <v>0</v>
      </c>
      <c r="BD43" s="13">
        <f>IF('Données projet'!$A$88&gt;35,BD42+BC43-BL42,IF(A43&lt;'Données projet'!$A$88,$BA$205^A43,IF(A43='Données projet'!$A$88,'Données projet'!$B$88,BD42+BC43-BL42)))</f>
        <v>0</v>
      </c>
      <c r="BE43" s="14" t="e">
        <f>BD43*VLOOKUP('Données projet'!$B$11,Paramètres!$A$1:$I$89,3,0)*VLOOKUP('Données projet'!$B$11,Paramètres!$A$1:$I$89,5,0)</f>
        <v>#N/A</v>
      </c>
      <c r="BF43" s="14" t="e">
        <f t="shared" si="37"/>
        <v>#N/A</v>
      </c>
      <c r="BG43" s="22" t="e">
        <f t="shared" si="7"/>
        <v>#N/A</v>
      </c>
      <c r="BH43" s="62" t="e">
        <f t="shared" si="8"/>
        <v>#N/A</v>
      </c>
      <c r="BI43" s="62" t="e">
        <f ca="1">AVERAGE(OFFSET($BH$3,0,0,'Données projet'!$E$11+1,1))-AVERAGE(OFFSET($H$3,0,0,'Données projet'!$E$11+1,1))</f>
        <v>#N/A</v>
      </c>
      <c r="BJ43" s="62" t="e">
        <f t="shared" si="38"/>
        <v>#N/A</v>
      </c>
      <c r="BK43" s="16">
        <f>IF(ISNA(VLOOKUP(A43,'Données projet'!$A$87:$I$107,3,0)),0,VLOOKUP(A43,'Données projet'!$A$87:$I$107,3,0))</f>
        <v>0</v>
      </c>
      <c r="BL43" s="16">
        <f>IF(ISNA(VLOOKUP(A43,'Données projet'!$A$87:$I$107,4,0)),0,VLOOKUP(A43,'Données projet'!$A$87:$I$107,4,0))</f>
        <v>0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 t="e">
        <f>EXP(-LN(2)/35)*BP42+(1-EXP(-LN(2)/35))/(LN(2)/35)*BL43*BM43*VLOOKUP('Données projet'!$B$11,Paramètres!$A$1:$I$89,3,0)*0.475*44/12</f>
        <v>#N/A</v>
      </c>
      <c r="BQ43" s="23" t="e">
        <f>EXP(-LN(2)/25)*BQ42+(1-EXP(-LN(2)/25))/(LN(2)/25)*Calculateur!BL43*Calculateur!BN43*VLOOKUP('Données projet'!$B$11,Paramètres!$A$1:$I$89,3,0)*0.475*44/12</f>
        <v>#N/A</v>
      </c>
      <c r="BR43" s="23" t="e">
        <f>EXP(-LN(2)/2)*BR42+(1-EXP(-LN(2)/2))/(LN(2)/2)*BL43*BO43*VLOOKUP('Données projet'!$B$11,Paramètres!$A$1:$I$89,3,0)*0.475*44/12</f>
        <v>#N/A</v>
      </c>
      <c r="BS43" s="24" t="e">
        <f t="shared" si="9"/>
        <v>#N/A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0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0</v>
      </c>
      <c r="H44" s="70">
        <f t="shared" si="1"/>
        <v>256.66666666666669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14.039090909090909</v>
      </c>
      <c r="N44" s="14">
        <f>IF('Données projet'!$A$36&gt;35,N43+M44-V43,IF(A44&lt;'Données projet'!$A$36,$K$205^A44,IF(A44='Données projet'!$A$36,'Données projet'!$B$36,N43+M44-V43)))</f>
        <v>250.27909090909085</v>
      </c>
      <c r="O44" s="14">
        <f>N44*VLOOKUP('Données projet'!$B$9,Paramètres!$A$1:$I$89,3,0)*VLOOKUP('Données projet'!$B$9,Paramètres!$A$1:$I$89,5,0)</f>
        <v>117.13061454545452</v>
      </c>
      <c r="P44" s="14">
        <f t="shared" si="33"/>
        <v>31.004822518675923</v>
      </c>
      <c r="Q44" s="22">
        <f t="shared" si="53"/>
        <v>258.00255288669382</v>
      </c>
      <c r="R44" s="62">
        <f t="shared" si="0"/>
        <v>551.33588622002708</v>
      </c>
      <c r="S44" s="62">
        <f ca="1">AVERAGE(OFFSET($R$3,0,0,'Données projet'!$E$9+1,1))-AVERAGE(OFFSET($H$3,0,0,'Données projet'!$E$9+1,1))</f>
        <v>302.58171900450355</v>
      </c>
      <c r="T44" s="62">
        <f t="shared" si="34"/>
        <v>164.1450425611464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5.6</v>
      </c>
      <c r="AI44" s="14">
        <f>IF('Données projet'!$A$62&gt;35,AI43+AH44-AQ43,IF(A44&lt;'Données projet'!$A$62,$AF$205^A44,IF(A44='Données projet'!$A$62,'Données projet'!$B$62,AI43+AH44-AQ43)))</f>
        <v>84.600000000000009</v>
      </c>
      <c r="AJ44" s="14">
        <f>AI44*VLOOKUP('Données projet'!$B$10,Paramètres!$A$1:$I$89,3,0)*VLOOKUP('Données projet'!$B$10,Paramètres!$A$1:$I$89,5,0)</f>
        <v>91.06344</v>
      </c>
      <c r="AK44" s="14">
        <f t="shared" si="35"/>
        <v>24.821525508693981</v>
      </c>
      <c r="AL44" s="22">
        <f t="shared" si="4"/>
        <v>201.83298159430865</v>
      </c>
      <c r="AM44" s="62">
        <f t="shared" si="5"/>
        <v>495.16631492764196</v>
      </c>
      <c r="AN44" s="62">
        <f ca="1">AVERAGE(OFFSET($AM$3,0,0,'Données projet'!$E$10+1,1))-AVERAGE(OFFSET($H$3,0,0,'Données projet'!$E$10+1,1))</f>
        <v>327.4984716935208</v>
      </c>
      <c r="AO44" s="62">
        <f t="shared" si="36"/>
        <v>166.97658184507776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0</v>
      </c>
      <c r="AV44" s="23">
        <f>EXP(-LN(2)/25)*AV43+(1-EXP(-LN(2)/25))/(LN(2)/25)*Calculateur!AQ44*Calculateur!AS44*VLOOKUP('Données projet'!$B$10,Paramètres!$A$1:$I$89,3,0)*0.475*44/12</f>
        <v>0</v>
      </c>
      <c r="AW44" s="23">
        <f>EXP(-LN(2)/2)*AW43+(1-EXP(-LN(2)/2))/(LN(2)/2)*AQ44*AT44*VLOOKUP('Données projet'!$B$10,Paramètres!$A$1:$I$89,3,0)*0.475*44/12</f>
        <v>0</v>
      </c>
      <c r="AX44" s="23">
        <f t="shared" si="6"/>
        <v>0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0</v>
      </c>
      <c r="BD44" s="13">
        <f>IF('Données projet'!$A$88&gt;35,BD43+BC44-BL43,IF(A44&lt;'Données projet'!$A$88,$BA$205^A44,IF(A44='Données projet'!$A$88,'Données projet'!$B$88,BD43+BC44-BL43)))</f>
        <v>0</v>
      </c>
      <c r="BE44" s="14" t="e">
        <f>BD44*VLOOKUP('Données projet'!$B$11,Paramètres!$A$1:$I$89,3,0)*VLOOKUP('Données projet'!$B$11,Paramètres!$A$1:$I$89,5,0)</f>
        <v>#N/A</v>
      </c>
      <c r="BF44" s="14" t="e">
        <f t="shared" si="37"/>
        <v>#N/A</v>
      </c>
      <c r="BG44" s="22" t="e">
        <f t="shared" si="7"/>
        <v>#N/A</v>
      </c>
      <c r="BH44" s="62" t="e">
        <f t="shared" si="8"/>
        <v>#N/A</v>
      </c>
      <c r="BI44" s="62" t="e">
        <f ca="1">AVERAGE(OFFSET($BH$3,0,0,'Données projet'!$E$11+1,1))-AVERAGE(OFFSET($H$3,0,0,'Données projet'!$E$11+1,1))</f>
        <v>#N/A</v>
      </c>
      <c r="BJ44" s="62" t="e">
        <f t="shared" si="38"/>
        <v>#N/A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 t="e">
        <f>EXP(-LN(2)/35)*BP43+(1-EXP(-LN(2)/35))/(LN(2)/35)*BL44*BM44*VLOOKUP('Données projet'!$B$11,Paramètres!$A$1:$I$89,3,0)*0.475*44/12</f>
        <v>#N/A</v>
      </c>
      <c r="BQ44" s="23" t="e">
        <f>EXP(-LN(2)/25)*BQ43+(1-EXP(-LN(2)/25))/(LN(2)/25)*Calculateur!BL44*Calculateur!BN44*VLOOKUP('Données projet'!$B$11,Paramètres!$A$1:$I$89,3,0)*0.475*44/12</f>
        <v>#N/A</v>
      </c>
      <c r="BR44" s="23" t="e">
        <f>EXP(-LN(2)/2)*BR43+(1-EXP(-LN(2)/2))/(LN(2)/2)*BL44*BO44*VLOOKUP('Données projet'!$B$11,Paramètres!$A$1:$I$89,3,0)*0.475*44/12</f>
        <v>#N/A</v>
      </c>
      <c r="BS44" s="24" t="e">
        <f t="shared" si="9"/>
        <v>#N/A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0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0</v>
      </c>
      <c r="H45" s="70">
        <f t="shared" si="1"/>
        <v>256.66666666666669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14.039090909090909</v>
      </c>
      <c r="N45" s="14">
        <f>IF('Données projet'!$A$36&gt;35,N44+M45-V44,IF(A45&lt;'Données projet'!$A$36,$K$205^A45,IF(A45='Données projet'!$A$36,'Données projet'!$B$36,N44+M45-V44)))</f>
        <v>264.31818181818176</v>
      </c>
      <c r="O45" s="14">
        <f>N45*VLOOKUP('Données projet'!$B$9,Paramètres!$A$1:$I$89,3,0)*VLOOKUP('Données projet'!$B$9,Paramètres!$A$1:$I$89,5,0)</f>
        <v>123.70090909090906</v>
      </c>
      <c r="P45" s="14">
        <f t="shared" si="33"/>
        <v>32.536643710439606</v>
      </c>
      <c r="Q45" s="22">
        <f t="shared" si="53"/>
        <v>272.11373779568225</v>
      </c>
      <c r="R45" s="62">
        <f t="shared" si="0"/>
        <v>565.44707112901551</v>
      </c>
      <c r="S45" s="62">
        <f ca="1">AVERAGE(OFFSET($R$3,0,0,'Données projet'!$E$9+1,1))-AVERAGE(OFFSET($H$3,0,0,'Données projet'!$E$9+1,1))</f>
        <v>302.58171900450355</v>
      </c>
      <c r="T45" s="62">
        <f t="shared" si="34"/>
        <v>164.1450425611464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5.6</v>
      </c>
      <c r="AI45" s="14">
        <f>IF('Données projet'!$A$62&gt;35,AI44+AH45-AQ44,IF(A45&lt;'Données projet'!$A$62,$AF$205^A45,IF(A45='Données projet'!$A$62,'Données projet'!$B$62,AI44+AH45-AQ44)))</f>
        <v>90.2</v>
      </c>
      <c r="AJ45" s="14">
        <f>AI45*VLOOKUP('Données projet'!$B$10,Paramètres!$A$1:$I$89,3,0)*VLOOKUP('Données projet'!$B$10,Paramètres!$A$1:$I$89,5,0)</f>
        <v>97.091279999999998</v>
      </c>
      <c r="AK45" s="14">
        <f t="shared" si="35"/>
        <v>26.267849122787243</v>
      </c>
      <c r="AL45" s="22">
        <f t="shared" si="4"/>
        <v>214.85048322218776</v>
      </c>
      <c r="AM45" s="62">
        <f t="shared" si="5"/>
        <v>508.18381655552105</v>
      </c>
      <c r="AN45" s="62">
        <f ca="1">AVERAGE(OFFSET($AM$3,0,0,'Données projet'!$E$10+1,1))-AVERAGE(OFFSET($H$3,0,0,'Données projet'!$E$10+1,1))</f>
        <v>327.4984716935208</v>
      </c>
      <c r="AO45" s="62">
        <f t="shared" si="36"/>
        <v>166.97658184507776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0</v>
      </c>
      <c r="AV45" s="23">
        <f>EXP(-LN(2)/25)*AV44+(1-EXP(-LN(2)/25))/(LN(2)/25)*Calculateur!AQ45*Calculateur!AS45*VLOOKUP('Données projet'!$B$10,Paramètres!$A$1:$I$89,3,0)*0.475*44/12</f>
        <v>0</v>
      </c>
      <c r="AW45" s="23">
        <f>EXP(-LN(2)/2)*AW44+(1-EXP(-LN(2)/2))/(LN(2)/2)*AQ45*AT45*VLOOKUP('Données projet'!$B$10,Paramètres!$A$1:$I$89,3,0)*0.475*44/12</f>
        <v>0</v>
      </c>
      <c r="AX45" s="23">
        <f t="shared" si="6"/>
        <v>0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0</v>
      </c>
      <c r="BD45" s="13">
        <f>IF('Données projet'!$A$88&gt;35,BD44+BC45-BL44,IF(A45&lt;'Données projet'!$A$88,$BA$205^A45,IF(A45='Données projet'!$A$88,'Données projet'!$B$88,BD44+BC45-BL44)))</f>
        <v>0</v>
      </c>
      <c r="BE45" s="14" t="e">
        <f>BD45*VLOOKUP('Données projet'!$B$11,Paramètres!$A$1:$I$89,3,0)*VLOOKUP('Données projet'!$B$11,Paramètres!$A$1:$I$89,5,0)</f>
        <v>#N/A</v>
      </c>
      <c r="BF45" s="14" t="e">
        <f t="shared" si="37"/>
        <v>#N/A</v>
      </c>
      <c r="BG45" s="22" t="e">
        <f t="shared" si="7"/>
        <v>#N/A</v>
      </c>
      <c r="BH45" s="62" t="e">
        <f t="shared" si="8"/>
        <v>#N/A</v>
      </c>
      <c r="BI45" s="62" t="e">
        <f ca="1">AVERAGE(OFFSET($BH$3,0,0,'Données projet'!$E$11+1,1))-AVERAGE(OFFSET($H$3,0,0,'Données projet'!$E$11+1,1))</f>
        <v>#N/A</v>
      </c>
      <c r="BJ45" s="62" t="e">
        <f t="shared" si="38"/>
        <v>#N/A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 t="e">
        <f>EXP(-LN(2)/35)*BP44+(1-EXP(-LN(2)/35))/(LN(2)/35)*BL45*BM45*VLOOKUP('Données projet'!$B$11,Paramètres!$A$1:$I$89,3,0)*0.475*44/12</f>
        <v>#N/A</v>
      </c>
      <c r="BQ45" s="23" t="e">
        <f>EXP(-LN(2)/25)*BQ44+(1-EXP(-LN(2)/25))/(LN(2)/25)*Calculateur!BL45*Calculateur!BN45*VLOOKUP('Données projet'!$B$11,Paramètres!$A$1:$I$89,3,0)*0.475*44/12</f>
        <v>#N/A</v>
      </c>
      <c r="BR45" s="23" t="e">
        <f>EXP(-LN(2)/2)*BR44+(1-EXP(-LN(2)/2))/(LN(2)/2)*BL45*BO45*VLOOKUP('Données projet'!$B$11,Paramètres!$A$1:$I$89,3,0)*0.475*44/12</f>
        <v>#N/A</v>
      </c>
      <c r="BS45" s="24" t="e">
        <f t="shared" si="9"/>
        <v>#N/A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0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0</v>
      </c>
      <c r="H46" s="70">
        <f t="shared" si="1"/>
        <v>256.66666666666669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14.039090909090909</v>
      </c>
      <c r="N46" s="14">
        <f>IF('Données projet'!$A$36&gt;35,N45+M46-V45,IF(A46&lt;'Données projet'!$A$36,$K$205^A46,IF(A46='Données projet'!$A$36,'Données projet'!$B$36,N45+M46-V45)))</f>
        <v>278.35727272727269</v>
      </c>
      <c r="O46" s="14">
        <f>N46*VLOOKUP('Données projet'!$B$9,Paramètres!$A$1:$I$89,3,0)*VLOOKUP('Données projet'!$B$9,Paramètres!$A$1:$I$89,5,0)</f>
        <v>130.27120363636362</v>
      </c>
      <c r="P46" s="14">
        <f t="shared" si="33"/>
        <v>34.059018927092339</v>
      </c>
      <c r="Q46" s="22">
        <f t="shared" si="53"/>
        <v>286.20847096468577</v>
      </c>
      <c r="R46" s="62">
        <f t="shared" si="0"/>
        <v>579.54180429801909</v>
      </c>
      <c r="S46" s="62">
        <f ca="1">AVERAGE(OFFSET($R$3,0,0,'Données projet'!$E$9+1,1))-AVERAGE(OFFSET($H$3,0,0,'Données projet'!$E$9+1,1))</f>
        <v>302.58171900450355</v>
      </c>
      <c r="T46" s="62">
        <f t="shared" si="34"/>
        <v>164.1450425611464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5.6</v>
      </c>
      <c r="AI46" s="14">
        <f>IF('Données projet'!$A$62&gt;35,AI45+AH46-AQ45,IF(A46&lt;'Données projet'!$A$62,$AF$205^A46,IF(A46='Données projet'!$A$62,'Données projet'!$B$62,AI45+AH46-AQ45)))</f>
        <v>95.8</v>
      </c>
      <c r="AJ46" s="14">
        <f>AI46*VLOOKUP('Données projet'!$B$10,Paramètres!$A$1:$I$89,3,0)*VLOOKUP('Données projet'!$B$10,Paramètres!$A$1:$I$89,5,0)</f>
        <v>103.11911999999998</v>
      </c>
      <c r="AK46" s="14">
        <f t="shared" si="35"/>
        <v>27.703751333753903</v>
      </c>
      <c r="AL46" s="22">
        <f t="shared" si="4"/>
        <v>227.84983423962134</v>
      </c>
      <c r="AM46" s="62">
        <f t="shared" si="5"/>
        <v>521.18316757295463</v>
      </c>
      <c r="AN46" s="62">
        <f ca="1">AVERAGE(OFFSET($AM$3,0,0,'Données projet'!$E$10+1,1))-AVERAGE(OFFSET($H$3,0,0,'Données projet'!$E$10+1,1))</f>
        <v>327.4984716935208</v>
      </c>
      <c r="AO46" s="62">
        <f t="shared" si="36"/>
        <v>166.97658184507776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0</v>
      </c>
      <c r="AV46" s="23">
        <f>EXP(-LN(2)/25)*AV45+(1-EXP(-LN(2)/25))/(LN(2)/25)*Calculateur!AQ46*Calculateur!AS46*VLOOKUP('Données projet'!$B$10,Paramètres!$A$1:$I$89,3,0)*0.475*44/12</f>
        <v>0</v>
      </c>
      <c r="AW46" s="23">
        <f>EXP(-LN(2)/2)*AW45+(1-EXP(-LN(2)/2))/(LN(2)/2)*AQ46*AT46*VLOOKUP('Données projet'!$B$10,Paramètres!$A$1:$I$89,3,0)*0.475*44/12</f>
        <v>0</v>
      </c>
      <c r="AX46" s="23">
        <f t="shared" si="6"/>
        <v>0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0</v>
      </c>
      <c r="BD46" s="13">
        <f>IF('Données projet'!$A$88&gt;35,BD45+BC46-BL45,IF(A46&lt;'Données projet'!$A$88,$BA$205^A46,IF(A46='Données projet'!$A$88,'Données projet'!$B$88,BD45+BC46-BL45)))</f>
        <v>0</v>
      </c>
      <c r="BE46" s="14" t="e">
        <f>BD46*VLOOKUP('Données projet'!$B$11,Paramètres!$A$1:$I$89,3,0)*VLOOKUP('Données projet'!$B$11,Paramètres!$A$1:$I$89,5,0)</f>
        <v>#N/A</v>
      </c>
      <c r="BF46" s="14" t="e">
        <f t="shared" si="37"/>
        <v>#N/A</v>
      </c>
      <c r="BG46" s="22" t="e">
        <f t="shared" si="7"/>
        <v>#N/A</v>
      </c>
      <c r="BH46" s="62" t="e">
        <f t="shared" si="8"/>
        <v>#N/A</v>
      </c>
      <c r="BI46" s="62" t="e">
        <f ca="1">AVERAGE(OFFSET($BH$3,0,0,'Données projet'!$E$11+1,1))-AVERAGE(OFFSET($H$3,0,0,'Données projet'!$E$11+1,1))</f>
        <v>#N/A</v>
      </c>
      <c r="BJ46" s="62" t="e">
        <f t="shared" si="38"/>
        <v>#N/A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 t="e">
        <f>EXP(-LN(2)/35)*BP45+(1-EXP(-LN(2)/35))/(LN(2)/35)*BL46*BM46*VLOOKUP('Données projet'!$B$11,Paramètres!$A$1:$I$89,3,0)*0.475*44/12</f>
        <v>#N/A</v>
      </c>
      <c r="BQ46" s="23" t="e">
        <f>EXP(-LN(2)/25)*BQ45+(1-EXP(-LN(2)/25))/(LN(2)/25)*Calculateur!BL46*Calculateur!BN46*VLOOKUP('Données projet'!$B$11,Paramètres!$A$1:$I$89,3,0)*0.475*44/12</f>
        <v>#N/A</v>
      </c>
      <c r="BR46" s="23" t="e">
        <f>EXP(-LN(2)/2)*BR45+(1-EXP(-LN(2)/2))/(LN(2)/2)*BL46*BO46*VLOOKUP('Données projet'!$B$11,Paramètres!$A$1:$I$89,3,0)*0.475*44/12</f>
        <v>#N/A</v>
      </c>
      <c r="BS46" s="24" t="e">
        <f t="shared" si="9"/>
        <v>#N/A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0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0</v>
      </c>
      <c r="H47" s="70">
        <f t="shared" si="1"/>
        <v>256.66666666666669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14.039090909090909</v>
      </c>
      <c r="N47" s="14">
        <f>IF('Données projet'!$A$36&gt;35,N46+M47-V46,IF(A47&lt;'Données projet'!$A$36,$K$205^A47,IF(A47='Données projet'!$A$36,'Données projet'!$B$36,N46+M47-V46)))</f>
        <v>292.39636363636362</v>
      </c>
      <c r="O47" s="14">
        <f>N47*VLOOKUP('Données projet'!$B$9,Paramètres!$A$1:$I$89,3,0)*VLOOKUP('Données projet'!$B$9,Paramètres!$A$1:$I$89,5,0)</f>
        <v>136.84149818181817</v>
      </c>
      <c r="P47" s="14">
        <f t="shared" si="33"/>
        <v>35.572478938456648</v>
      </c>
      <c r="Q47" s="22">
        <f t="shared" si="53"/>
        <v>300.28767681781193</v>
      </c>
      <c r="R47" s="62">
        <f t="shared" si="0"/>
        <v>593.62101015114524</v>
      </c>
      <c r="S47" s="62">
        <f ca="1">AVERAGE(OFFSET($R$3,0,0,'Données projet'!$E$9+1,1))-AVERAGE(OFFSET($H$3,0,0,'Données projet'!$E$9+1,1))</f>
        <v>302.58171900450355</v>
      </c>
      <c r="T47" s="62">
        <f t="shared" si="34"/>
        <v>164.1450425611464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5.6</v>
      </c>
      <c r="AI47" s="14">
        <f>IF('Données projet'!$A$62&gt;35,AI46+AH47-AQ46,IF(A47&lt;'Données projet'!$A$62,$AF$205^A47,IF(A47='Données projet'!$A$62,'Données projet'!$B$62,AI46+AH47-AQ46)))</f>
        <v>101.39999999999999</v>
      </c>
      <c r="AJ47" s="14">
        <f>AI47*VLOOKUP('Données projet'!$B$10,Paramètres!$A$1:$I$89,3,0)*VLOOKUP('Données projet'!$B$10,Paramètres!$A$1:$I$89,5,0)</f>
        <v>109.14695999999999</v>
      </c>
      <c r="AK47" s="14">
        <f t="shared" si="35"/>
        <v>29.129910721485377</v>
      </c>
      <c r="AL47" s="22">
        <f t="shared" si="4"/>
        <v>240.83221650658706</v>
      </c>
      <c r="AM47" s="62">
        <f t="shared" si="5"/>
        <v>534.16554983992035</v>
      </c>
      <c r="AN47" s="62">
        <f ca="1">AVERAGE(OFFSET($AM$3,0,0,'Données projet'!$E$10+1,1))-AVERAGE(OFFSET($H$3,0,0,'Données projet'!$E$10+1,1))</f>
        <v>327.4984716935208</v>
      </c>
      <c r="AO47" s="62">
        <f t="shared" si="36"/>
        <v>166.97658184507776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0</v>
      </c>
      <c r="AV47" s="23">
        <f>EXP(-LN(2)/25)*AV46+(1-EXP(-LN(2)/25))/(LN(2)/25)*Calculateur!AQ47*Calculateur!AS47*VLOOKUP('Données projet'!$B$10,Paramètres!$A$1:$I$89,3,0)*0.475*44/12</f>
        <v>0</v>
      </c>
      <c r="AW47" s="23">
        <f>EXP(-LN(2)/2)*AW46+(1-EXP(-LN(2)/2))/(LN(2)/2)*AQ47*AT47*VLOOKUP('Données projet'!$B$10,Paramètres!$A$1:$I$89,3,0)*0.475*44/12</f>
        <v>0</v>
      </c>
      <c r="AX47" s="23">
        <f t="shared" si="6"/>
        <v>0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0</v>
      </c>
      <c r="BD47" s="13">
        <f>IF('Données projet'!$A$88&gt;35,BD46+BC47-BL46,IF(A47&lt;'Données projet'!$A$88,$BA$205^A47,IF(A47='Données projet'!$A$88,'Données projet'!$B$88,BD46+BC47-BL46)))</f>
        <v>0</v>
      </c>
      <c r="BE47" s="14" t="e">
        <f>BD47*VLOOKUP('Données projet'!$B$11,Paramètres!$A$1:$I$89,3,0)*VLOOKUP('Données projet'!$B$11,Paramètres!$A$1:$I$89,5,0)</f>
        <v>#N/A</v>
      </c>
      <c r="BF47" s="14" t="e">
        <f t="shared" si="37"/>
        <v>#N/A</v>
      </c>
      <c r="BG47" s="22" t="e">
        <f t="shared" si="7"/>
        <v>#N/A</v>
      </c>
      <c r="BH47" s="62" t="e">
        <f t="shared" si="8"/>
        <v>#N/A</v>
      </c>
      <c r="BI47" s="62" t="e">
        <f ca="1">AVERAGE(OFFSET($BH$3,0,0,'Données projet'!$E$11+1,1))-AVERAGE(OFFSET($H$3,0,0,'Données projet'!$E$11+1,1))</f>
        <v>#N/A</v>
      </c>
      <c r="BJ47" s="62" t="e">
        <f t="shared" si="38"/>
        <v>#N/A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 t="e">
        <f>EXP(-LN(2)/35)*BP46+(1-EXP(-LN(2)/35))/(LN(2)/35)*BL47*BM47*VLOOKUP('Données projet'!$B$11,Paramètres!$A$1:$I$89,3,0)*0.475*44/12</f>
        <v>#N/A</v>
      </c>
      <c r="BQ47" s="23" t="e">
        <f>EXP(-LN(2)/25)*BQ46+(1-EXP(-LN(2)/25))/(LN(2)/25)*Calculateur!BL47*Calculateur!BN47*VLOOKUP('Données projet'!$B$11,Paramètres!$A$1:$I$89,3,0)*0.475*44/12</f>
        <v>#N/A</v>
      </c>
      <c r="BR47" s="23" t="e">
        <f>EXP(-LN(2)/2)*BR46+(1-EXP(-LN(2)/2))/(LN(2)/2)*BL47*BO47*VLOOKUP('Données projet'!$B$11,Paramètres!$A$1:$I$89,3,0)*0.475*44/12</f>
        <v>#N/A</v>
      </c>
      <c r="BS47" s="24" t="e">
        <f t="shared" si="9"/>
        <v>#N/A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0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0</v>
      </c>
      <c r="H48" s="70">
        <f t="shared" si="1"/>
        <v>256.66666666666669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14.039090909090909</v>
      </c>
      <c r="N48" s="14">
        <f>IF('Données projet'!$A$36&gt;35,N47+M48-V47,IF(A48&lt;'Données projet'!$A$36,$K$205^A48,IF(A48='Données projet'!$A$36,'Données projet'!$B$36,N47+M48-V47)))</f>
        <v>306.43545454545455</v>
      </c>
      <c r="O48" s="14">
        <f>N48*VLOOKUP('Données projet'!$B$9,Paramètres!$A$1:$I$89,3,0)*VLOOKUP('Données projet'!$B$9,Paramètres!$A$1:$I$89,5,0)</f>
        <v>143.41179272727274</v>
      </c>
      <c r="P48" s="14">
        <f t="shared" si="33"/>
        <v>37.077500665836773</v>
      </c>
      <c r="Q48" s="22">
        <f t="shared" si="53"/>
        <v>314.35218599299907</v>
      </c>
      <c r="R48" s="62">
        <f t="shared" si="0"/>
        <v>607.68551932633238</v>
      </c>
      <c r="S48" s="62">
        <f ca="1">AVERAGE(OFFSET($R$3,0,0,'Données projet'!$E$9+1,1))-AVERAGE(OFFSET($H$3,0,0,'Données projet'!$E$9+1,1))</f>
        <v>302.58171900450355</v>
      </c>
      <c r="T48" s="62">
        <f t="shared" si="34"/>
        <v>164.1450425611464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107</v>
      </c>
      <c r="AG48" s="13">
        <f>VLOOKUP(A48,'Données projet'!$A$61:$I$81,9,0)</f>
        <v>5.6</v>
      </c>
      <c r="AH48" s="13">
        <f t="array" ref="AH48">INDEX(AG:AG,MIN(IF(ISNUMBER(AG48:AG244),ROW(AG48:AG244),"")))</f>
        <v>5.6</v>
      </c>
      <c r="AI48" s="14">
        <f>IF('Données projet'!$A$62&gt;35,AI47+AH48-AQ47,IF(A48&lt;'Données projet'!$A$62,$AF$205^A48,IF(A48='Données projet'!$A$62,'Données projet'!$B$62,AI47+AH48-AQ47)))</f>
        <v>106.99999999999999</v>
      </c>
      <c r="AJ48" s="14">
        <f>AI48*VLOOKUP('Données projet'!$B$10,Paramètres!$A$1:$I$89,3,0)*VLOOKUP('Données projet'!$B$10,Paramètres!$A$1:$I$89,5,0)</f>
        <v>115.17479999999998</v>
      </c>
      <c r="AK48" s="14">
        <f t="shared" si="35"/>
        <v>30.546926681092497</v>
      </c>
      <c r="AL48" s="22">
        <f t="shared" si="4"/>
        <v>253.79867396956936</v>
      </c>
      <c r="AM48" s="62">
        <f t="shared" si="5"/>
        <v>547.13200730290271</v>
      </c>
      <c r="AN48" s="62">
        <f ca="1">AVERAGE(OFFSET($AM$3,0,0,'Données projet'!$E$10+1,1))-AVERAGE(OFFSET($H$3,0,0,'Données projet'!$E$10+1,1))</f>
        <v>327.4984716935208</v>
      </c>
      <c r="AO48" s="62">
        <f t="shared" si="36"/>
        <v>166.97658184507776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14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0</v>
      </c>
      <c r="AV48" s="23">
        <f>EXP(-LN(2)/25)*AV47+(1-EXP(-LN(2)/25))/(LN(2)/25)*Calculateur!AQ48*Calculateur!AS48*VLOOKUP('Données projet'!$B$10,Paramètres!$A$1:$I$89,3,0)*0.475*44/12</f>
        <v>0</v>
      </c>
      <c r="AW48" s="23">
        <f>EXP(-LN(2)/2)*AW47+(1-EXP(-LN(2)/2))/(LN(2)/2)*AQ48*AT48*VLOOKUP('Données projet'!$B$10,Paramètres!$A$1:$I$89,3,0)*0.475*44/12</f>
        <v>0</v>
      </c>
      <c r="AX48" s="23">
        <f t="shared" si="6"/>
        <v>0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 t="e">
        <f>VLOOKUP(A48,'Données projet'!$A$87:$I$107,2,0)</f>
        <v>#N/A</v>
      </c>
      <c r="BB48" s="13" t="e">
        <f>VLOOKUP(A48,'Données projet'!$A$87:$I$107,9,0)</f>
        <v>#N/A</v>
      </c>
      <c r="BC48" s="13">
        <f t="array" ref="BC48">INDEX(BB:BB,MIN(IF(ISNUMBER(BB48:BB244),ROW(BB48:BB244),"")))</f>
        <v>0</v>
      </c>
      <c r="BD48" s="13">
        <f>IF('Données projet'!$A$88&gt;35,BD47+BC48-BL47,IF(A48&lt;'Données projet'!$A$88,$BA$205^A48,IF(A48='Données projet'!$A$88,'Données projet'!$B$88,BD47+BC48-BL47)))</f>
        <v>0</v>
      </c>
      <c r="BE48" s="14" t="e">
        <f>BD48*VLOOKUP('Données projet'!$B$11,Paramètres!$A$1:$I$89,3,0)*VLOOKUP('Données projet'!$B$11,Paramètres!$A$1:$I$89,5,0)</f>
        <v>#N/A</v>
      </c>
      <c r="BF48" s="14" t="e">
        <f t="shared" si="37"/>
        <v>#N/A</v>
      </c>
      <c r="BG48" s="22" t="e">
        <f t="shared" si="7"/>
        <v>#N/A</v>
      </c>
      <c r="BH48" s="62" t="e">
        <f t="shared" si="8"/>
        <v>#N/A</v>
      </c>
      <c r="BI48" s="62" t="e">
        <f ca="1">AVERAGE(OFFSET($BH$3,0,0,'Données projet'!$E$11+1,1))-AVERAGE(OFFSET($H$3,0,0,'Données projet'!$E$11+1,1))</f>
        <v>#N/A</v>
      </c>
      <c r="BJ48" s="62" t="e">
        <f t="shared" si="38"/>
        <v>#N/A</v>
      </c>
      <c r="BK48" s="16">
        <f>IF(ISNA(VLOOKUP(A48,'Données projet'!$A$87:$I$107,3,0)),0,VLOOKUP(A48,'Données projet'!$A$87:$I$107,3,0))</f>
        <v>0</v>
      </c>
      <c r="BL48" s="16">
        <f>IF(ISNA(VLOOKUP(A48,'Données projet'!$A$87:$I$107,4,0)),0,VLOOKUP(A48,'Données projet'!$A$87:$I$107,4,0))</f>
        <v>0</v>
      </c>
      <c r="BM48" s="17">
        <f>IF(ISNA(VLOOKUP(A48,'Données projet'!$A$87:$I$107,5,0)),0%,VLOOKUP(A48,'Données projet'!$A$87:$I$107,5,0)*VLOOKUP('Données projet'!$B$11,Paramètres!$A$1:$I$89,7,0))</f>
        <v>0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 t="e">
        <f>EXP(-LN(2)/35)*BP47+(1-EXP(-LN(2)/35))/(LN(2)/35)*BL48*BM48*VLOOKUP('Données projet'!$B$11,Paramètres!$A$1:$I$89,3,0)*0.475*44/12</f>
        <v>#N/A</v>
      </c>
      <c r="BQ48" s="23" t="e">
        <f>EXP(-LN(2)/25)*BQ47+(1-EXP(-LN(2)/25))/(LN(2)/25)*Calculateur!BL48*Calculateur!BN48*VLOOKUP('Données projet'!$B$11,Paramètres!$A$1:$I$89,3,0)*0.475*44/12</f>
        <v>#N/A</v>
      </c>
      <c r="BR48" s="23" t="e">
        <f>EXP(-LN(2)/2)*BR47+(1-EXP(-LN(2)/2))/(LN(2)/2)*BL48*BO48*VLOOKUP('Données projet'!$B$11,Paramètres!$A$1:$I$89,3,0)*0.475*44/12</f>
        <v>#N/A</v>
      </c>
      <c r="BS48" s="24" t="e">
        <f t="shared" si="9"/>
        <v>#N/A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0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0</v>
      </c>
      <c r="H49" s="70">
        <f t="shared" si="1"/>
        <v>256.66666666666669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14.039090909090909</v>
      </c>
      <c r="N49" s="14">
        <f>IF('Données projet'!$A$36&gt;35,N48+M49-V48,IF(A49&lt;'Données projet'!$A$36,$K$205^A49,IF(A49='Données projet'!$A$36,'Données projet'!$B$36,N48+M49-V48)))</f>
        <v>320.47454545454548</v>
      </c>
      <c r="O49" s="14">
        <f>N49*VLOOKUP('Données projet'!$B$9,Paramètres!$A$1:$I$89,3,0)*VLOOKUP('Données projet'!$B$9,Paramètres!$A$1:$I$89,5,0)</f>
        <v>149.98208727272728</v>
      </c>
      <c r="P49" s="14">
        <f t="shared" si="33"/>
        <v>38.574514861010179</v>
      </c>
      <c r="Q49" s="22">
        <f t="shared" si="53"/>
        <v>328.4027487162594</v>
      </c>
      <c r="R49" s="62">
        <f t="shared" si="0"/>
        <v>621.73608204959271</v>
      </c>
      <c r="S49" s="62">
        <f ca="1">AVERAGE(OFFSET($R$3,0,0,'Données projet'!$E$9+1,1))-AVERAGE(OFFSET($H$3,0,0,'Données projet'!$E$9+1,1))</f>
        <v>302.58171900450355</v>
      </c>
      <c r="T49" s="62">
        <f t="shared" si="34"/>
        <v>164.1450425611464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5.6</v>
      </c>
      <c r="AI49" s="14">
        <f>IF('Données projet'!$A$62&gt;35,AI48+AH49-AQ48,IF(A49&lt;'Données projet'!$A$62,$AF$205^A49,IF(A49='Données projet'!$A$62,'Données projet'!$B$62,AI48+AH49-AQ48)))</f>
        <v>98.59999999999998</v>
      </c>
      <c r="AJ49" s="14">
        <f>AI49*VLOOKUP('Données projet'!$B$10,Paramètres!$A$1:$I$89,3,0)*VLOOKUP('Données projet'!$B$10,Paramètres!$A$1:$I$89,5,0)</f>
        <v>106.13303999999997</v>
      </c>
      <c r="AK49" s="14">
        <f t="shared" si="35"/>
        <v>28.418009728368016</v>
      </c>
      <c r="AL49" s="22">
        <f t="shared" si="4"/>
        <v>234.34307827690756</v>
      </c>
      <c r="AM49" s="62">
        <f t="shared" si="5"/>
        <v>527.67641161024085</v>
      </c>
      <c r="AN49" s="62">
        <f ca="1">AVERAGE(OFFSET($AM$3,0,0,'Données projet'!$E$10+1,1))-AVERAGE(OFFSET($H$3,0,0,'Données projet'!$E$10+1,1))</f>
        <v>327.4984716935208</v>
      </c>
      <c r="AO49" s="62">
        <f t="shared" si="36"/>
        <v>166.97658184507776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0</v>
      </c>
      <c r="AV49" s="23">
        <f>EXP(-LN(2)/25)*AV48+(1-EXP(-LN(2)/25))/(LN(2)/25)*Calculateur!AQ49*Calculateur!AS49*VLOOKUP('Données projet'!$B$10,Paramètres!$A$1:$I$89,3,0)*0.475*44/12</f>
        <v>0</v>
      </c>
      <c r="AW49" s="23">
        <f>EXP(-LN(2)/2)*AW48+(1-EXP(-LN(2)/2))/(LN(2)/2)*AQ49*AT49*VLOOKUP('Données projet'!$B$10,Paramètres!$A$1:$I$89,3,0)*0.475*44/12</f>
        <v>0</v>
      </c>
      <c r="AX49" s="23">
        <f t="shared" si="6"/>
        <v>0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0</v>
      </c>
      <c r="BD49" s="13">
        <f>IF('Données projet'!$A$88&gt;35,BD48+BC49-BL48,IF(A49&lt;'Données projet'!$A$88,$BA$205^A49,IF(A49='Données projet'!$A$88,'Données projet'!$B$88,BD48+BC49-BL48)))</f>
        <v>0</v>
      </c>
      <c r="BE49" s="14" t="e">
        <f>BD49*VLOOKUP('Données projet'!$B$11,Paramètres!$A$1:$I$89,3,0)*VLOOKUP('Données projet'!$B$11,Paramètres!$A$1:$I$89,5,0)</f>
        <v>#N/A</v>
      </c>
      <c r="BF49" s="14" t="e">
        <f t="shared" si="37"/>
        <v>#N/A</v>
      </c>
      <c r="BG49" s="22" t="e">
        <f t="shared" si="7"/>
        <v>#N/A</v>
      </c>
      <c r="BH49" s="62" t="e">
        <f t="shared" si="8"/>
        <v>#N/A</v>
      </c>
      <c r="BI49" s="62" t="e">
        <f ca="1">AVERAGE(OFFSET($BH$3,0,0,'Données projet'!$E$11+1,1))-AVERAGE(OFFSET($H$3,0,0,'Données projet'!$E$11+1,1))</f>
        <v>#N/A</v>
      </c>
      <c r="BJ49" s="62" t="e">
        <f t="shared" si="38"/>
        <v>#N/A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 t="e">
        <f>EXP(-LN(2)/35)*BP48+(1-EXP(-LN(2)/35))/(LN(2)/35)*BL49*BM49*VLOOKUP('Données projet'!$B$11,Paramètres!$A$1:$I$89,3,0)*0.475*44/12</f>
        <v>#N/A</v>
      </c>
      <c r="BQ49" s="23" t="e">
        <f>EXP(-LN(2)/25)*BQ48+(1-EXP(-LN(2)/25))/(LN(2)/25)*Calculateur!BL49*Calculateur!BN49*VLOOKUP('Données projet'!$B$11,Paramètres!$A$1:$I$89,3,0)*0.475*44/12</f>
        <v>#N/A</v>
      </c>
      <c r="BR49" s="23" t="e">
        <f>EXP(-LN(2)/2)*BR48+(1-EXP(-LN(2)/2))/(LN(2)/2)*BL49*BO49*VLOOKUP('Données projet'!$B$11,Paramètres!$A$1:$I$89,3,0)*0.475*44/12</f>
        <v>#N/A</v>
      </c>
      <c r="BS49" s="24" t="e">
        <f t="shared" si="9"/>
        <v>#N/A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0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0</v>
      </c>
      <c r="H50" s="70">
        <f t="shared" si="1"/>
        <v>256.66666666666669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14.039090909090909</v>
      </c>
      <c r="N50" s="14">
        <f>IF('Données projet'!$A$36&gt;35,N49+M50-V49,IF(A50&lt;'Données projet'!$A$36,$K$205^A50,IF(A50='Données projet'!$A$36,'Données projet'!$B$36,N49+M50-V49)))</f>
        <v>334.51363636363641</v>
      </c>
      <c r="O50" s="14">
        <f>N50*VLOOKUP('Données projet'!$B$9,Paramètres!$A$1:$I$89,3,0)*VLOOKUP('Données projet'!$B$9,Paramètres!$A$1:$I$89,5,0)</f>
        <v>156.55238181818183</v>
      </c>
      <c r="P50" s="14">
        <f t="shared" si="33"/>
        <v>40.063912401659877</v>
      </c>
      <c r="Q50" s="22">
        <f t="shared" si="53"/>
        <v>342.44004576622433</v>
      </c>
      <c r="R50" s="62">
        <f t="shared" si="0"/>
        <v>635.77337909955759</v>
      </c>
      <c r="S50" s="62">
        <f ca="1">AVERAGE(OFFSET($R$3,0,0,'Données projet'!$E$9+1,1))-AVERAGE(OFFSET($H$3,0,0,'Données projet'!$E$9+1,1))</f>
        <v>302.58171900450355</v>
      </c>
      <c r="T50" s="62">
        <f t="shared" si="34"/>
        <v>164.1450425611464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5.6</v>
      </c>
      <c r="AI50" s="14">
        <f>IF('Données projet'!$A$62&gt;35,AI49+AH50-AQ49,IF(A50&lt;'Données projet'!$A$62,$AF$205^A50,IF(A50='Données projet'!$A$62,'Données projet'!$B$62,AI49+AH50-AQ49)))</f>
        <v>104.19999999999997</v>
      </c>
      <c r="AJ50" s="14">
        <f>AI50*VLOOKUP('Données projet'!$B$10,Paramètres!$A$1:$I$89,3,0)*VLOOKUP('Données projet'!$B$10,Paramètres!$A$1:$I$89,5,0)</f>
        <v>112.16087999999998</v>
      </c>
      <c r="AK50" s="14">
        <f t="shared" si="35"/>
        <v>29.839526888181876</v>
      </c>
      <c r="AL50" s="22">
        <f t="shared" si="4"/>
        <v>247.31737533025003</v>
      </c>
      <c r="AM50" s="62">
        <f t="shared" si="5"/>
        <v>540.65070866358337</v>
      </c>
      <c r="AN50" s="62">
        <f ca="1">AVERAGE(OFFSET($AM$3,0,0,'Données projet'!$E$10+1,1))-AVERAGE(OFFSET($H$3,0,0,'Données projet'!$E$10+1,1))</f>
        <v>327.4984716935208</v>
      </c>
      <c r="AO50" s="62">
        <f t="shared" si="36"/>
        <v>166.97658184507776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0</v>
      </c>
      <c r="AV50" s="23">
        <f>EXP(-LN(2)/25)*AV49+(1-EXP(-LN(2)/25))/(LN(2)/25)*Calculateur!AQ50*Calculateur!AS50*VLOOKUP('Données projet'!$B$10,Paramètres!$A$1:$I$89,3,0)*0.475*44/12</f>
        <v>0</v>
      </c>
      <c r="AW50" s="23">
        <f>EXP(-LN(2)/2)*AW49+(1-EXP(-LN(2)/2))/(LN(2)/2)*AQ50*AT50*VLOOKUP('Données projet'!$B$10,Paramètres!$A$1:$I$89,3,0)*0.475*44/12</f>
        <v>0</v>
      </c>
      <c r="AX50" s="23">
        <f t="shared" si="6"/>
        <v>0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0</v>
      </c>
      <c r="BD50" s="13">
        <f>IF('Données projet'!$A$88&gt;35,BD49+BC50-BL49,IF(A50&lt;'Données projet'!$A$88,$BA$205^A50,IF(A50='Données projet'!$A$88,'Données projet'!$B$88,BD49+BC50-BL49)))</f>
        <v>0</v>
      </c>
      <c r="BE50" s="14" t="e">
        <f>BD50*VLOOKUP('Données projet'!$B$11,Paramètres!$A$1:$I$89,3,0)*VLOOKUP('Données projet'!$B$11,Paramètres!$A$1:$I$89,5,0)</f>
        <v>#N/A</v>
      </c>
      <c r="BF50" s="14" t="e">
        <f t="shared" si="37"/>
        <v>#N/A</v>
      </c>
      <c r="BG50" s="22" t="e">
        <f t="shared" si="7"/>
        <v>#N/A</v>
      </c>
      <c r="BH50" s="62" t="e">
        <f t="shared" si="8"/>
        <v>#N/A</v>
      </c>
      <c r="BI50" s="62" t="e">
        <f ca="1">AVERAGE(OFFSET($BH$3,0,0,'Données projet'!$E$11+1,1))-AVERAGE(OFFSET($H$3,0,0,'Données projet'!$E$11+1,1))</f>
        <v>#N/A</v>
      </c>
      <c r="BJ50" s="62" t="e">
        <f t="shared" si="38"/>
        <v>#N/A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 t="e">
        <f>EXP(-LN(2)/35)*BP49+(1-EXP(-LN(2)/35))/(LN(2)/35)*BL50*BM50*VLOOKUP('Données projet'!$B$11,Paramètres!$A$1:$I$89,3,0)*0.475*44/12</f>
        <v>#N/A</v>
      </c>
      <c r="BQ50" s="23" t="e">
        <f>EXP(-LN(2)/25)*BQ49+(1-EXP(-LN(2)/25))/(LN(2)/25)*Calculateur!BL50*Calculateur!BN50*VLOOKUP('Données projet'!$B$11,Paramètres!$A$1:$I$89,3,0)*0.475*44/12</f>
        <v>#N/A</v>
      </c>
      <c r="BR50" s="23" t="e">
        <f>EXP(-LN(2)/2)*BR49+(1-EXP(-LN(2)/2))/(LN(2)/2)*BL50*BO50*VLOOKUP('Données projet'!$B$11,Paramètres!$A$1:$I$89,3,0)*0.475*44/12</f>
        <v>#N/A</v>
      </c>
      <c r="BS50" s="24" t="e">
        <f t="shared" si="9"/>
        <v>#N/A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0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0</v>
      </c>
      <c r="H51" s="70">
        <f t="shared" si="1"/>
        <v>256.66666666666669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14.039090909090909</v>
      </c>
      <c r="N51" s="14">
        <f>IF('Données projet'!$A$36&gt;35,N50+M51-V50,IF(A51&lt;'Données projet'!$A$36,$K$205^A51,IF(A51='Données projet'!$A$36,'Données projet'!$B$36,N50+M51-V50)))</f>
        <v>348.55272727272734</v>
      </c>
      <c r="O51" s="14">
        <f>N51*VLOOKUP('Données projet'!$B$9,Paramètres!$A$1:$I$89,3,0)*VLOOKUP('Données projet'!$B$9,Paramètres!$A$1:$I$89,5,0)</f>
        <v>163.1226763636364</v>
      </c>
      <c r="P51" s="14">
        <f t="shared" si="33"/>
        <v>41.54604950017729</v>
      </c>
      <c r="Q51" s="22">
        <f t="shared" si="53"/>
        <v>356.46469754614213</v>
      </c>
      <c r="R51" s="62">
        <f t="shared" si="0"/>
        <v>649.79803087947539</v>
      </c>
      <c r="S51" s="62">
        <f ca="1">AVERAGE(OFFSET($R$3,0,0,'Données projet'!$E$9+1,1))-AVERAGE(OFFSET($H$3,0,0,'Données projet'!$E$9+1,1))</f>
        <v>302.58171900450355</v>
      </c>
      <c r="T51" s="62">
        <f t="shared" si="34"/>
        <v>164.1450425611464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5.6</v>
      </c>
      <c r="AI51" s="14">
        <f>IF('Données projet'!$A$62&gt;35,AI50+AH51-AQ50,IF(A51&lt;'Données projet'!$A$62,$AF$205^A51,IF(A51='Données projet'!$A$62,'Données projet'!$B$62,AI50+AH51-AQ50)))</f>
        <v>109.79999999999997</v>
      </c>
      <c r="AJ51" s="14">
        <f>AI51*VLOOKUP('Données projet'!$B$10,Paramètres!$A$1:$I$89,3,0)*VLOOKUP('Données projet'!$B$10,Paramètres!$A$1:$I$89,5,0)</f>
        <v>118.18871999999996</v>
      </c>
      <c r="AK51" s="14">
        <f t="shared" si="35"/>
        <v>31.252174766242543</v>
      </c>
      <c r="AL51" s="22">
        <f t="shared" si="4"/>
        <v>260.2762250512057</v>
      </c>
      <c r="AM51" s="62">
        <f t="shared" si="5"/>
        <v>553.60955838453901</v>
      </c>
      <c r="AN51" s="62">
        <f ca="1">AVERAGE(OFFSET($AM$3,0,0,'Données projet'!$E$10+1,1))-AVERAGE(OFFSET($H$3,0,0,'Données projet'!$E$10+1,1))</f>
        <v>327.4984716935208</v>
      </c>
      <c r="AO51" s="62">
        <f t="shared" si="36"/>
        <v>166.97658184507776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0</v>
      </c>
      <c r="AV51" s="23">
        <f>EXP(-LN(2)/25)*AV50+(1-EXP(-LN(2)/25))/(LN(2)/25)*Calculateur!AQ51*Calculateur!AS51*VLOOKUP('Données projet'!$B$10,Paramètres!$A$1:$I$89,3,0)*0.475*44/12</f>
        <v>0</v>
      </c>
      <c r="AW51" s="23">
        <f>EXP(-LN(2)/2)*AW50+(1-EXP(-LN(2)/2))/(LN(2)/2)*AQ51*AT51*VLOOKUP('Données projet'!$B$10,Paramètres!$A$1:$I$89,3,0)*0.475*44/12</f>
        <v>0</v>
      </c>
      <c r="AX51" s="23">
        <f t="shared" si="6"/>
        <v>0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0</v>
      </c>
      <c r="BD51" s="13">
        <f>IF('Données projet'!$A$88&gt;35,BD50+BC51-BL50,IF(A51&lt;'Données projet'!$A$88,$BA$205^A51,IF(A51='Données projet'!$A$88,'Données projet'!$B$88,BD50+BC51-BL50)))</f>
        <v>0</v>
      </c>
      <c r="BE51" s="14" t="e">
        <f>BD51*VLOOKUP('Données projet'!$B$11,Paramètres!$A$1:$I$89,3,0)*VLOOKUP('Données projet'!$B$11,Paramètres!$A$1:$I$89,5,0)</f>
        <v>#N/A</v>
      </c>
      <c r="BF51" s="14" t="e">
        <f t="shared" si="37"/>
        <v>#N/A</v>
      </c>
      <c r="BG51" s="22" t="e">
        <f t="shared" si="7"/>
        <v>#N/A</v>
      </c>
      <c r="BH51" s="62" t="e">
        <f t="shared" si="8"/>
        <v>#N/A</v>
      </c>
      <c r="BI51" s="62" t="e">
        <f ca="1">AVERAGE(OFFSET($BH$3,0,0,'Données projet'!$E$11+1,1))-AVERAGE(OFFSET($H$3,0,0,'Données projet'!$E$11+1,1))</f>
        <v>#N/A</v>
      </c>
      <c r="BJ51" s="62" t="e">
        <f t="shared" si="38"/>
        <v>#N/A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 t="e">
        <f>EXP(-LN(2)/35)*BP50+(1-EXP(-LN(2)/35))/(LN(2)/35)*BL51*BM51*VLOOKUP('Données projet'!$B$11,Paramètres!$A$1:$I$89,3,0)*0.475*44/12</f>
        <v>#N/A</v>
      </c>
      <c r="BQ51" s="23" t="e">
        <f>EXP(-LN(2)/25)*BQ50+(1-EXP(-LN(2)/25))/(LN(2)/25)*Calculateur!BL51*Calculateur!BN51*VLOOKUP('Données projet'!$B$11,Paramètres!$A$1:$I$89,3,0)*0.475*44/12</f>
        <v>#N/A</v>
      </c>
      <c r="BR51" s="23" t="e">
        <f>EXP(-LN(2)/2)*BR50+(1-EXP(-LN(2)/2))/(LN(2)/2)*BL51*BO51*VLOOKUP('Données projet'!$B$11,Paramètres!$A$1:$I$89,3,0)*0.475*44/12</f>
        <v>#N/A</v>
      </c>
      <c r="BS51" s="24" t="e">
        <f t="shared" si="9"/>
        <v>#N/A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0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0</v>
      </c>
      <c r="H52" s="70">
        <f t="shared" si="1"/>
        <v>256.66666666666669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14.039090909090909</v>
      </c>
      <c r="N52" s="14">
        <f>IF('Données projet'!$A$36&gt;35,N51+M52-V51,IF(A52&lt;'Données projet'!$A$36,$K$205^A52,IF(A52='Données projet'!$A$36,'Données projet'!$B$36,N51+M52-V51)))</f>
        <v>362.59181818181827</v>
      </c>
      <c r="O52" s="14">
        <f>N52*VLOOKUP('Données projet'!$B$9,Paramètres!$A$1:$I$89,3,0)*VLOOKUP('Données projet'!$B$9,Paramètres!$A$1:$I$89,5,0)</f>
        <v>169.69297090909095</v>
      </c>
      <c r="P52" s="14">
        <f t="shared" si="33"/>
        <v>43.021252049632501</v>
      </c>
      <c r="Q52" s="22">
        <f t="shared" si="53"/>
        <v>370.47727165310999</v>
      </c>
      <c r="R52" s="62">
        <f t="shared" si="0"/>
        <v>663.81060498644331</v>
      </c>
      <c r="S52" s="62">
        <f ca="1">AVERAGE(OFFSET($R$3,0,0,'Données projet'!$E$9+1,1))-AVERAGE(OFFSET($H$3,0,0,'Données projet'!$E$9+1,1))</f>
        <v>302.58171900450355</v>
      </c>
      <c r="T52" s="62">
        <f t="shared" si="34"/>
        <v>164.1450425611464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5.6</v>
      </c>
      <c r="AI52" s="14">
        <f>IF('Données projet'!$A$62&gt;35,AI51+AH52-AQ51,IF(A52&lt;'Données projet'!$A$62,$AF$205^A52,IF(A52='Données projet'!$A$62,'Données projet'!$B$62,AI51+AH52-AQ51)))</f>
        <v>115.39999999999996</v>
      </c>
      <c r="AJ52" s="14">
        <f>AI52*VLOOKUP('Données projet'!$B$10,Paramètres!$A$1:$I$89,3,0)*VLOOKUP('Données projet'!$B$10,Paramètres!$A$1:$I$89,5,0)</f>
        <v>124.21655999999994</v>
      </c>
      <c r="AK52" s="14">
        <f t="shared" si="35"/>
        <v>32.656457317237347</v>
      </c>
      <c r="AL52" s="22">
        <f t="shared" si="4"/>
        <v>273.220505160855</v>
      </c>
      <c r="AM52" s="62">
        <f t="shared" si="5"/>
        <v>566.55383849418831</v>
      </c>
      <c r="AN52" s="62">
        <f ca="1">AVERAGE(OFFSET($AM$3,0,0,'Données projet'!$E$10+1,1))-AVERAGE(OFFSET($H$3,0,0,'Données projet'!$E$10+1,1))</f>
        <v>327.4984716935208</v>
      </c>
      <c r="AO52" s="62">
        <f t="shared" si="36"/>
        <v>166.97658184507776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0</v>
      </c>
      <c r="AV52" s="23">
        <f>EXP(-LN(2)/25)*AV51+(1-EXP(-LN(2)/25))/(LN(2)/25)*Calculateur!AQ52*Calculateur!AS52*VLOOKUP('Données projet'!$B$10,Paramètres!$A$1:$I$89,3,0)*0.475*44/12</f>
        <v>0</v>
      </c>
      <c r="AW52" s="23">
        <f>EXP(-LN(2)/2)*AW51+(1-EXP(-LN(2)/2))/(LN(2)/2)*AQ52*AT52*VLOOKUP('Données projet'!$B$10,Paramètres!$A$1:$I$89,3,0)*0.475*44/12</f>
        <v>0</v>
      </c>
      <c r="AX52" s="23">
        <f t="shared" si="6"/>
        <v>0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0</v>
      </c>
      <c r="BD52" s="13">
        <f>IF('Données projet'!$A$88&gt;35,BD51+BC52-BL51,IF(A52&lt;'Données projet'!$A$88,$BA$205^A52,IF(A52='Données projet'!$A$88,'Données projet'!$B$88,BD51+BC52-BL51)))</f>
        <v>0</v>
      </c>
      <c r="BE52" s="14" t="e">
        <f>BD52*VLOOKUP('Données projet'!$B$11,Paramètres!$A$1:$I$89,3,0)*VLOOKUP('Données projet'!$B$11,Paramètres!$A$1:$I$89,5,0)</f>
        <v>#N/A</v>
      </c>
      <c r="BF52" s="14" t="e">
        <f t="shared" si="37"/>
        <v>#N/A</v>
      </c>
      <c r="BG52" s="22" t="e">
        <f t="shared" si="7"/>
        <v>#N/A</v>
      </c>
      <c r="BH52" s="62" t="e">
        <f t="shared" si="8"/>
        <v>#N/A</v>
      </c>
      <c r="BI52" s="62" t="e">
        <f ca="1">AVERAGE(OFFSET($BH$3,0,0,'Données projet'!$E$11+1,1))-AVERAGE(OFFSET($H$3,0,0,'Données projet'!$E$11+1,1))</f>
        <v>#N/A</v>
      </c>
      <c r="BJ52" s="62" t="e">
        <f t="shared" si="38"/>
        <v>#N/A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 t="e">
        <f>EXP(-LN(2)/35)*BP51+(1-EXP(-LN(2)/35))/(LN(2)/35)*BL52*BM52*VLOOKUP('Données projet'!$B$11,Paramètres!$A$1:$I$89,3,0)*0.475*44/12</f>
        <v>#N/A</v>
      </c>
      <c r="BQ52" s="23" t="e">
        <f>EXP(-LN(2)/25)*BQ51+(1-EXP(-LN(2)/25))/(LN(2)/25)*Calculateur!BL52*Calculateur!BN52*VLOOKUP('Données projet'!$B$11,Paramètres!$A$1:$I$89,3,0)*0.475*44/12</f>
        <v>#N/A</v>
      </c>
      <c r="BR52" s="23" t="e">
        <f>EXP(-LN(2)/2)*BR51+(1-EXP(-LN(2)/2))/(LN(2)/2)*BL52*BO52*VLOOKUP('Données projet'!$B$11,Paramètres!$A$1:$I$89,3,0)*0.475*44/12</f>
        <v>#N/A</v>
      </c>
      <c r="BS52" s="24" t="e">
        <f t="shared" si="9"/>
        <v>#N/A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0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0</v>
      </c>
      <c r="H53" s="70">
        <f t="shared" si="1"/>
        <v>256.66666666666669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14.039090909090909</v>
      </c>
      <c r="N53" s="14">
        <f>IF('Données projet'!$A$36&gt;35,N52+M53-V52,IF(A53&lt;'Données projet'!$A$36,$K$205^A53,IF(A53='Données projet'!$A$36,'Données projet'!$B$36,N52+M53-V52)))</f>
        <v>376.6309090909092</v>
      </c>
      <c r="O53" s="14">
        <f>N53*VLOOKUP('Données projet'!$B$9,Paramètres!$A$1:$I$89,3,0)*VLOOKUP('Données projet'!$B$9,Paramètres!$A$1:$I$89,5,0)</f>
        <v>176.26326545454552</v>
      </c>
      <c r="P53" s="14">
        <f t="shared" si="33"/>
        <v>44.48981927772931</v>
      </c>
      <c r="Q53" s="22">
        <f t="shared" si="53"/>
        <v>384.47828924204532</v>
      </c>
      <c r="R53" s="62">
        <f t="shared" si="0"/>
        <v>677.81162257537858</v>
      </c>
      <c r="S53" s="62">
        <f ca="1">AVERAGE(OFFSET($R$3,0,0,'Données projet'!$E$9+1,1))-AVERAGE(OFFSET($H$3,0,0,'Données projet'!$E$9+1,1))</f>
        <v>302.58171900450355</v>
      </c>
      <c r="T53" s="62">
        <f t="shared" si="34"/>
        <v>164.1450425611464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121</v>
      </c>
      <c r="AG53" s="13">
        <f>VLOOKUP(A53,'Données projet'!$A$61:$I$81,9,0)</f>
        <v>5.6</v>
      </c>
      <c r="AH53" s="13">
        <f t="array" ref="AH53">INDEX(AG:AG,MIN(IF(ISNUMBER(AG53:AG249),ROW(AG53:AG249),"")))</f>
        <v>5.6</v>
      </c>
      <c r="AI53" s="14">
        <f>IF('Données projet'!$A$62&gt;35,AI52+AH53-AQ52,IF(A53&lt;'Données projet'!$A$62,$AF$205^A53,IF(A53='Données projet'!$A$62,'Données projet'!$B$62,AI52+AH53-AQ52)))</f>
        <v>120.99999999999996</v>
      </c>
      <c r="AJ53" s="14">
        <f>AI53*VLOOKUP('Données projet'!$B$10,Paramètres!$A$1:$I$89,3,0)*VLOOKUP('Données projet'!$B$10,Paramètres!$A$1:$I$89,5,0)</f>
        <v>130.24439999999996</v>
      </c>
      <c r="AK53" s="14">
        <f t="shared" si="35"/>
        <v>34.052826821785409</v>
      </c>
      <c r="AL53" s="22">
        <f t="shared" si="4"/>
        <v>286.1510033812761</v>
      </c>
      <c r="AM53" s="62">
        <f t="shared" si="5"/>
        <v>579.48433671460941</v>
      </c>
      <c r="AN53" s="62">
        <f ca="1">AVERAGE(OFFSET($AM$3,0,0,'Données projet'!$E$10+1,1))-AVERAGE(OFFSET($H$3,0,0,'Données projet'!$E$10+1,1))</f>
        <v>327.4984716935208</v>
      </c>
      <c r="AO53" s="62">
        <f t="shared" si="36"/>
        <v>166.97658184507776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14</v>
      </c>
      <c r="AR53" s="17">
        <f>IF(ISNA(VLOOKUP(A53,'Données projet'!$A$61:$I$81,5,0)),0%,VLOOKUP(A53,'Données projet'!$A$61:$I$81,5,0)*VLOOKUP('Données projet'!$B$10,Paramètres!$A$1:$I$89,7,0))</f>
        <v>0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0</v>
      </c>
      <c r="AV53" s="23">
        <f>EXP(-LN(2)/25)*AV52+(1-EXP(-LN(2)/25))/(LN(2)/25)*Calculateur!AQ53*Calculateur!AS53*VLOOKUP('Données projet'!$B$10,Paramètres!$A$1:$I$89,3,0)*0.475*44/12</f>
        <v>0</v>
      </c>
      <c r="AW53" s="23">
        <f>EXP(-LN(2)/2)*AW52+(1-EXP(-LN(2)/2))/(LN(2)/2)*AQ53*AT53*VLOOKUP('Données projet'!$B$10,Paramètres!$A$1:$I$89,3,0)*0.475*44/12</f>
        <v>0</v>
      </c>
      <c r="AX53" s="23">
        <f t="shared" si="6"/>
        <v>0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 t="e">
        <f>VLOOKUP(A53,'Données projet'!$A$87:$I$107,2,0)</f>
        <v>#N/A</v>
      </c>
      <c r="BB53" s="13" t="e">
        <f>VLOOKUP(A53,'Données projet'!$A$87:$I$107,9,0)</f>
        <v>#N/A</v>
      </c>
      <c r="BC53" s="13">
        <f t="array" ref="BC53">INDEX(BB:BB,MIN(IF(ISNUMBER(BB53:BB249),ROW(BB53:BB249),"")))</f>
        <v>0</v>
      </c>
      <c r="BD53" s="13">
        <f>IF('Données projet'!$A$88&gt;35,BD52+BC53-BL52,IF(A53&lt;'Données projet'!$A$88,$BA$205^A53,IF(A53='Données projet'!$A$88,'Données projet'!$B$88,BD52+BC53-BL52)))</f>
        <v>0</v>
      </c>
      <c r="BE53" s="14" t="e">
        <f>BD53*VLOOKUP('Données projet'!$B$11,Paramètres!$A$1:$I$89,3,0)*VLOOKUP('Données projet'!$B$11,Paramètres!$A$1:$I$89,5,0)</f>
        <v>#N/A</v>
      </c>
      <c r="BF53" s="14" t="e">
        <f t="shared" si="37"/>
        <v>#N/A</v>
      </c>
      <c r="BG53" s="22" t="e">
        <f t="shared" si="7"/>
        <v>#N/A</v>
      </c>
      <c r="BH53" s="62" t="e">
        <f t="shared" si="8"/>
        <v>#N/A</v>
      </c>
      <c r="BI53" s="62" t="e">
        <f ca="1">AVERAGE(OFFSET($BH$3,0,0,'Données projet'!$E$11+1,1))-AVERAGE(OFFSET($H$3,0,0,'Données projet'!$E$11+1,1))</f>
        <v>#N/A</v>
      </c>
      <c r="BJ53" s="62" t="e">
        <f t="shared" si="38"/>
        <v>#N/A</v>
      </c>
      <c r="BK53" s="16">
        <f>IF(ISNA(VLOOKUP(A53,'Données projet'!$A$87:$I$107,3,0)),0,VLOOKUP(A53,'Données projet'!$A$87:$I$107,3,0))</f>
        <v>0</v>
      </c>
      <c r="BL53" s="16">
        <f>IF(ISNA(VLOOKUP(A53,'Données projet'!$A$87:$I$107,4,0)),0,VLOOKUP(A53,'Données projet'!$A$87:$I$107,4,0))</f>
        <v>0</v>
      </c>
      <c r="BM53" s="17">
        <f>IF(ISNA(VLOOKUP(A53,'Données projet'!$A$87:$I$107,5,0)),0%,VLOOKUP(A53,'Données projet'!$A$87:$I$107,5,0)*VLOOKUP('Données projet'!$B$11,Paramètres!$A$1:$I$89,7,0))</f>
        <v>0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 t="e">
        <f>EXP(-LN(2)/35)*BP52+(1-EXP(-LN(2)/35))/(LN(2)/35)*BL53*BM53*VLOOKUP('Données projet'!$B$11,Paramètres!$A$1:$I$89,3,0)*0.475*44/12</f>
        <v>#N/A</v>
      </c>
      <c r="BQ53" s="23" t="e">
        <f>EXP(-LN(2)/25)*BQ52+(1-EXP(-LN(2)/25))/(LN(2)/25)*Calculateur!BL53*Calculateur!BN53*VLOOKUP('Données projet'!$B$11,Paramètres!$A$1:$I$89,3,0)*0.475*44/12</f>
        <v>#N/A</v>
      </c>
      <c r="BR53" s="23" t="e">
        <f>EXP(-LN(2)/2)*BR52+(1-EXP(-LN(2)/2))/(LN(2)/2)*BL53*BO53*VLOOKUP('Données projet'!$B$11,Paramètres!$A$1:$I$89,3,0)*0.475*44/12</f>
        <v>#N/A</v>
      </c>
      <c r="BS53" s="24" t="e">
        <f t="shared" si="9"/>
        <v>#N/A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0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0</v>
      </c>
      <c r="H54" s="70">
        <f t="shared" si="1"/>
        <v>256.66666666666669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>
        <f>VLOOKUP(A54,'Données projet'!$A$35:$I$55,2,0)</f>
        <v>390.67</v>
      </c>
      <c r="L54" s="13">
        <f>VLOOKUP(A54,'Données projet'!$A$35:$I$55,9,0)</f>
        <v>14.039090909090909</v>
      </c>
      <c r="M54" s="13">
        <f t="array" ref="M54">INDEX(L:L,MIN(IF(ISNUMBER(L54:L250),ROW(L54:L250),"")))</f>
        <v>14.039090909090909</v>
      </c>
      <c r="N54" s="14">
        <f>IF('Données projet'!$A$36&gt;35,N53+M54-V53,IF(A54&lt;'Données projet'!$A$36,$K$205^A54,IF(A54='Données projet'!$A$36,'Données projet'!$B$36,N53+M54-V53)))</f>
        <v>390.67000000000013</v>
      </c>
      <c r="O54" s="14">
        <f>N54*VLOOKUP('Données projet'!$B$9,Paramètres!$A$1:$I$89,3,0)*VLOOKUP('Données projet'!$B$9,Paramètres!$A$1:$I$89,5,0)</f>
        <v>182.83356000000009</v>
      </c>
      <c r="P54" s="14">
        <f t="shared" si="33"/>
        <v>45.95202684063149</v>
      </c>
      <c r="Q54" s="22">
        <f t="shared" si="53"/>
        <v>398.46823041409999</v>
      </c>
      <c r="R54" s="62">
        <f t="shared" si="0"/>
        <v>691.80156374743331</v>
      </c>
      <c r="S54" s="62">
        <f ca="1">AVERAGE(OFFSET($R$3,0,0,'Données projet'!$E$9+1,1))-AVERAGE(OFFSET($H$3,0,0,'Données projet'!$E$9+1,1))</f>
        <v>302.58171900450355</v>
      </c>
      <c r="T54" s="62">
        <f t="shared" si="34"/>
        <v>164.1450425611464</v>
      </c>
      <c r="U54" s="16">
        <f>IF(ISNA(VLOOKUP(A54,'Données projet'!$A$35:$I$55,3,0)),0,VLOOKUP(A54,'Données projet'!$A$35:$I$55,3,0))</f>
        <v>3</v>
      </c>
      <c r="V54" s="16">
        <f>IF(ISNA(VLOOKUP(A54,'Données projet'!$A$35:$I$55,4,0)),0,VLOOKUP(A54,'Données projet'!$A$35:$I$55,4,0))</f>
        <v>171.3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5.6</v>
      </c>
      <c r="AI54" s="14">
        <f>IF('Données projet'!$A$62&gt;35,AI53+AH54-AQ53,IF(A54&lt;'Données projet'!$A$62,$AF$205^A54,IF(A54='Données projet'!$A$62,'Données projet'!$B$62,AI53+AH54-AQ53)))</f>
        <v>112.59999999999995</v>
      </c>
      <c r="AJ54" s="14">
        <f>AI54*VLOOKUP('Données projet'!$B$10,Paramètres!$A$1:$I$89,3,0)*VLOOKUP('Données projet'!$B$10,Paramètres!$A$1:$I$89,5,0)</f>
        <v>121.20263999999995</v>
      </c>
      <c r="AK54" s="14">
        <f t="shared" si="35"/>
        <v>31.955332323658638</v>
      </c>
      <c r="AL54" s="22">
        <f t="shared" si="4"/>
        <v>266.75013513037203</v>
      </c>
      <c r="AM54" s="62">
        <f t="shared" si="5"/>
        <v>560.08346846370534</v>
      </c>
      <c r="AN54" s="62">
        <f ca="1">AVERAGE(OFFSET($AM$3,0,0,'Données projet'!$E$10+1,1))-AVERAGE(OFFSET($H$3,0,0,'Données projet'!$E$10+1,1))</f>
        <v>327.4984716935208</v>
      </c>
      <c r="AO54" s="62">
        <f t="shared" si="36"/>
        <v>166.97658184507776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0</v>
      </c>
      <c r="AV54" s="23">
        <f>EXP(-LN(2)/25)*AV53+(1-EXP(-LN(2)/25))/(LN(2)/25)*Calculateur!AQ54*Calculateur!AS54*VLOOKUP('Données projet'!$B$10,Paramètres!$A$1:$I$89,3,0)*0.475*44/12</f>
        <v>0</v>
      </c>
      <c r="AW54" s="23">
        <f>EXP(-LN(2)/2)*AW53+(1-EXP(-LN(2)/2))/(LN(2)/2)*AQ54*AT54*VLOOKUP('Données projet'!$B$10,Paramètres!$A$1:$I$89,3,0)*0.475*44/12</f>
        <v>0</v>
      </c>
      <c r="AX54" s="23">
        <f t="shared" si="6"/>
        <v>0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0</v>
      </c>
      <c r="BD54" s="13">
        <f>IF('Données projet'!$A$88&gt;35,BD53+BC54-BL53,IF(A54&lt;'Données projet'!$A$88,$BA$205^A54,IF(A54='Données projet'!$A$88,'Données projet'!$B$88,BD53+BC54-BL53)))</f>
        <v>0</v>
      </c>
      <c r="BE54" s="14" t="e">
        <f>BD54*VLOOKUP('Données projet'!$B$11,Paramètres!$A$1:$I$89,3,0)*VLOOKUP('Données projet'!$B$11,Paramètres!$A$1:$I$89,5,0)</f>
        <v>#N/A</v>
      </c>
      <c r="BF54" s="14" t="e">
        <f t="shared" si="37"/>
        <v>#N/A</v>
      </c>
      <c r="BG54" s="22" t="e">
        <f t="shared" si="7"/>
        <v>#N/A</v>
      </c>
      <c r="BH54" s="62" t="e">
        <f t="shared" si="8"/>
        <v>#N/A</v>
      </c>
      <c r="BI54" s="62" t="e">
        <f ca="1">AVERAGE(OFFSET($BH$3,0,0,'Données projet'!$E$11+1,1))-AVERAGE(OFFSET($H$3,0,0,'Données projet'!$E$11+1,1))</f>
        <v>#N/A</v>
      </c>
      <c r="BJ54" s="62" t="e">
        <f t="shared" si="38"/>
        <v>#N/A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 t="e">
        <f>EXP(-LN(2)/35)*BP53+(1-EXP(-LN(2)/35))/(LN(2)/35)*BL54*BM54*VLOOKUP('Données projet'!$B$11,Paramètres!$A$1:$I$89,3,0)*0.475*44/12</f>
        <v>#N/A</v>
      </c>
      <c r="BQ54" s="23" t="e">
        <f>EXP(-LN(2)/25)*BQ53+(1-EXP(-LN(2)/25))/(LN(2)/25)*Calculateur!BL54*Calculateur!BN54*VLOOKUP('Données projet'!$B$11,Paramètres!$A$1:$I$89,3,0)*0.475*44/12</f>
        <v>#N/A</v>
      </c>
      <c r="BR54" s="23" t="e">
        <f>EXP(-LN(2)/2)*BR53+(1-EXP(-LN(2)/2))/(LN(2)/2)*BL54*BO54*VLOOKUP('Données projet'!$B$11,Paramètres!$A$1:$I$89,3,0)*0.475*44/12</f>
        <v>#N/A</v>
      </c>
      <c r="BS54" s="24" t="e">
        <f t="shared" si="9"/>
        <v>#N/A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0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0</v>
      </c>
      <c r="H55" s="70">
        <f t="shared" si="1"/>
        <v>256.66666666666669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14.344999999999999</v>
      </c>
      <c r="N55" s="14">
        <f>IF('Données projet'!$A$36&gt;35,N54+M55-V54,IF(A55&lt;'Données projet'!$A$36,$K$205^A55,IF(A55='Données projet'!$A$36,'Données projet'!$B$36,N54+M55-V54)))</f>
        <v>233.71500000000009</v>
      </c>
      <c r="O55" s="14">
        <f>N55*VLOOKUP('Données projet'!$B$9,Paramètres!$A$1:$I$89,3,0)*VLOOKUP('Données projet'!$B$9,Paramètres!$A$1:$I$89,5,0)</f>
        <v>109.37862000000004</v>
      </c>
      <c r="P55" s="14">
        <f t="shared" si="33"/>
        <v>29.184534364423758</v>
      </c>
      <c r="Q55" s="22">
        <f t="shared" si="53"/>
        <v>241.33082718470476</v>
      </c>
      <c r="R55" s="62">
        <f t="shared" si="0"/>
        <v>534.6641605180381</v>
      </c>
      <c r="S55" s="62">
        <f ca="1">AVERAGE(OFFSET($R$3,0,0,'Données projet'!$E$9+1,1))-AVERAGE(OFFSET($H$3,0,0,'Données projet'!$E$9+1,1))</f>
        <v>302.58171900450355</v>
      </c>
      <c r="T55" s="62">
        <f t="shared" si="34"/>
        <v>164.1450425611464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5.6</v>
      </c>
      <c r="AI55" s="14">
        <f>IF('Données projet'!$A$62&gt;35,AI54+AH55-AQ54,IF(A55&lt;'Données projet'!$A$62,$AF$205^A55,IF(A55='Données projet'!$A$62,'Données projet'!$B$62,AI54+AH55-AQ54)))</f>
        <v>118.19999999999995</v>
      </c>
      <c r="AJ55" s="14">
        <f>AI55*VLOOKUP('Données projet'!$B$10,Paramètres!$A$1:$I$89,3,0)*VLOOKUP('Données projet'!$B$10,Paramètres!$A$1:$I$89,5,0)</f>
        <v>127.23047999999993</v>
      </c>
      <c r="AK55" s="14">
        <f t="shared" si="35"/>
        <v>33.355604737684331</v>
      </c>
      <c r="AL55" s="22">
        <f t="shared" si="4"/>
        <v>279.68743091813337</v>
      </c>
      <c r="AM55" s="62">
        <f t="shared" si="5"/>
        <v>573.02076425146674</v>
      </c>
      <c r="AN55" s="62">
        <f ca="1">AVERAGE(OFFSET($AM$3,0,0,'Données projet'!$E$10+1,1))-AVERAGE(OFFSET($H$3,0,0,'Données projet'!$E$10+1,1))</f>
        <v>327.4984716935208</v>
      </c>
      <c r="AO55" s="62">
        <f t="shared" si="36"/>
        <v>166.97658184507776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0</v>
      </c>
      <c r="AV55" s="23">
        <f>EXP(-LN(2)/25)*AV54+(1-EXP(-LN(2)/25))/(LN(2)/25)*Calculateur!AQ55*Calculateur!AS55*VLOOKUP('Données projet'!$B$10,Paramètres!$A$1:$I$89,3,0)*0.475*44/12</f>
        <v>0</v>
      </c>
      <c r="AW55" s="23">
        <f>EXP(-LN(2)/2)*AW54+(1-EXP(-LN(2)/2))/(LN(2)/2)*AQ55*AT55*VLOOKUP('Données projet'!$B$10,Paramètres!$A$1:$I$89,3,0)*0.475*44/12</f>
        <v>0</v>
      </c>
      <c r="AX55" s="23">
        <f t="shared" si="6"/>
        <v>0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0</v>
      </c>
      <c r="BD55" s="13">
        <f>IF('Données projet'!$A$88&gt;35,BD54+BC55-BL54,IF(A55&lt;'Données projet'!$A$88,$BA$205^A55,IF(A55='Données projet'!$A$88,'Données projet'!$B$88,BD54+BC55-BL54)))</f>
        <v>0</v>
      </c>
      <c r="BE55" s="14" t="e">
        <f>BD55*VLOOKUP('Données projet'!$B$11,Paramètres!$A$1:$I$89,3,0)*VLOOKUP('Données projet'!$B$11,Paramètres!$A$1:$I$89,5,0)</f>
        <v>#N/A</v>
      </c>
      <c r="BF55" s="14" t="e">
        <f t="shared" si="37"/>
        <v>#N/A</v>
      </c>
      <c r="BG55" s="22" t="e">
        <f t="shared" si="7"/>
        <v>#N/A</v>
      </c>
      <c r="BH55" s="62" t="e">
        <f t="shared" si="8"/>
        <v>#N/A</v>
      </c>
      <c r="BI55" s="62" t="e">
        <f ca="1">AVERAGE(OFFSET($BH$3,0,0,'Données projet'!$E$11+1,1))-AVERAGE(OFFSET($H$3,0,0,'Données projet'!$E$11+1,1))</f>
        <v>#N/A</v>
      </c>
      <c r="BJ55" s="62" t="e">
        <f t="shared" si="38"/>
        <v>#N/A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 t="e">
        <f>EXP(-LN(2)/35)*BP54+(1-EXP(-LN(2)/35))/(LN(2)/35)*BL55*BM55*VLOOKUP('Données projet'!$B$11,Paramètres!$A$1:$I$89,3,0)*0.475*44/12</f>
        <v>#N/A</v>
      </c>
      <c r="BQ55" s="23" t="e">
        <f>EXP(-LN(2)/25)*BQ54+(1-EXP(-LN(2)/25))/(LN(2)/25)*Calculateur!BL55*Calculateur!BN55*VLOOKUP('Données projet'!$B$11,Paramètres!$A$1:$I$89,3,0)*0.475*44/12</f>
        <v>#N/A</v>
      </c>
      <c r="BR55" s="23" t="e">
        <f>EXP(-LN(2)/2)*BR54+(1-EXP(-LN(2)/2))/(LN(2)/2)*BL55*BO55*VLOOKUP('Données projet'!$B$11,Paramètres!$A$1:$I$89,3,0)*0.475*44/12</f>
        <v>#N/A</v>
      </c>
      <c r="BS55" s="24" t="e">
        <f t="shared" si="9"/>
        <v>#N/A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0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0</v>
      </c>
      <c r="H56" s="70">
        <f t="shared" si="1"/>
        <v>256.66666666666669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>
        <f>VLOOKUP(A56,'Données projet'!$A$35:$I$55,2,0)</f>
        <v>248.06</v>
      </c>
      <c r="L56" s="13">
        <f>VLOOKUP(A56,'Données projet'!$A$35:$I$55,9,0)</f>
        <v>14.344999999999999</v>
      </c>
      <c r="M56" s="13">
        <f t="array" ref="M56">INDEX(L:L,MIN(IF(ISNUMBER(L56:L252),ROW(L56:L252),"")))</f>
        <v>14.344999999999999</v>
      </c>
      <c r="N56" s="14">
        <f>IF('Données projet'!$A$36&gt;35,N55+M56-V55,IF(A56&lt;'Données projet'!$A$36,$K$205^A56,IF(A56='Données projet'!$A$36,'Données projet'!$B$36,N55+M56-V55)))</f>
        <v>248.06000000000009</v>
      </c>
      <c r="O56" s="14">
        <f>N56*VLOOKUP('Données projet'!$B$9,Paramètres!$A$1:$I$89,3,0)*VLOOKUP('Données projet'!$B$9,Paramètres!$A$1:$I$89,5,0)</f>
        <v>116.09208000000004</v>
      </c>
      <c r="P56" s="14">
        <f t="shared" si="33"/>
        <v>30.761792301334708</v>
      </c>
      <c r="Q56" s="22">
        <f t="shared" si="53"/>
        <v>255.77049425815801</v>
      </c>
      <c r="R56" s="62">
        <f t="shared" si="0"/>
        <v>549.10382759149138</v>
      </c>
      <c r="S56" s="62">
        <f ca="1">AVERAGE(OFFSET($R$3,0,0,'Données projet'!$E$9+1,1))-AVERAGE(OFFSET($H$3,0,0,'Données projet'!$E$9+1,1))</f>
        <v>302.58171900450355</v>
      </c>
      <c r="T56" s="62">
        <f t="shared" si="34"/>
        <v>164.1450425611464</v>
      </c>
      <c r="U56" s="16">
        <f>IF(ISNA(VLOOKUP(A56,'Données projet'!$A$35:$I$55,3,0)),0,VLOOKUP(A56,'Données projet'!$A$35:$I$55,3,0))</f>
        <v>4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5.6</v>
      </c>
      <c r="AI56" s="14">
        <f>IF('Données projet'!$A$62&gt;35,AI55+AH56-AQ55,IF(A56&lt;'Données projet'!$A$62,$AF$205^A56,IF(A56='Données projet'!$A$62,'Données projet'!$B$62,AI55+AH56-AQ55)))</f>
        <v>123.79999999999994</v>
      </c>
      <c r="AJ56" s="14">
        <f>AI56*VLOOKUP('Données projet'!$B$10,Paramètres!$A$1:$I$89,3,0)*VLOOKUP('Données projet'!$B$10,Paramètres!$A$1:$I$89,5,0)</f>
        <v>133.25831999999994</v>
      </c>
      <c r="AK56" s="14">
        <f t="shared" si="35"/>
        <v>34.748173250809565</v>
      </c>
      <c r="AL56" s="22">
        <f t="shared" si="4"/>
        <v>292.61130907849321</v>
      </c>
      <c r="AM56" s="62">
        <f t="shared" si="5"/>
        <v>585.94464241182652</v>
      </c>
      <c r="AN56" s="62">
        <f ca="1">AVERAGE(OFFSET($AM$3,0,0,'Données projet'!$E$10+1,1))-AVERAGE(OFFSET($H$3,0,0,'Données projet'!$E$10+1,1))</f>
        <v>327.4984716935208</v>
      </c>
      <c r="AO56" s="62">
        <f t="shared" si="36"/>
        <v>166.97658184507776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0</v>
      </c>
      <c r="AV56" s="23">
        <f>EXP(-LN(2)/25)*AV55+(1-EXP(-LN(2)/25))/(LN(2)/25)*Calculateur!AQ56*Calculateur!AS56*VLOOKUP('Données projet'!$B$10,Paramètres!$A$1:$I$89,3,0)*0.475*44/12</f>
        <v>0</v>
      </c>
      <c r="AW56" s="23">
        <f>EXP(-LN(2)/2)*AW55+(1-EXP(-LN(2)/2))/(LN(2)/2)*AQ56*AT56*VLOOKUP('Données projet'!$B$10,Paramètres!$A$1:$I$89,3,0)*0.475*44/12</f>
        <v>0</v>
      </c>
      <c r="AX56" s="23">
        <f t="shared" si="6"/>
        <v>0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0</v>
      </c>
      <c r="BD56" s="13">
        <f>IF('Données projet'!$A$88&gt;35,BD55+BC56-BL55,IF(A56&lt;'Données projet'!$A$88,$BA$205^A56,IF(A56='Données projet'!$A$88,'Données projet'!$B$88,BD55+BC56-BL55)))</f>
        <v>0</v>
      </c>
      <c r="BE56" s="14" t="e">
        <f>BD56*VLOOKUP('Données projet'!$B$11,Paramètres!$A$1:$I$89,3,0)*VLOOKUP('Données projet'!$B$11,Paramètres!$A$1:$I$89,5,0)</f>
        <v>#N/A</v>
      </c>
      <c r="BF56" s="14" t="e">
        <f t="shared" si="37"/>
        <v>#N/A</v>
      </c>
      <c r="BG56" s="22" t="e">
        <f t="shared" si="7"/>
        <v>#N/A</v>
      </c>
      <c r="BH56" s="62" t="e">
        <f t="shared" si="8"/>
        <v>#N/A</v>
      </c>
      <c r="BI56" s="62" t="e">
        <f ca="1">AVERAGE(OFFSET($BH$3,0,0,'Données projet'!$E$11+1,1))-AVERAGE(OFFSET($H$3,0,0,'Données projet'!$E$11+1,1))</f>
        <v>#N/A</v>
      </c>
      <c r="BJ56" s="62" t="e">
        <f t="shared" si="38"/>
        <v>#N/A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 t="e">
        <f>EXP(-LN(2)/35)*BP55+(1-EXP(-LN(2)/35))/(LN(2)/35)*BL56*BM56*VLOOKUP('Données projet'!$B$11,Paramètres!$A$1:$I$89,3,0)*0.475*44/12</f>
        <v>#N/A</v>
      </c>
      <c r="BQ56" s="23" t="e">
        <f>EXP(-LN(2)/25)*BQ55+(1-EXP(-LN(2)/25))/(LN(2)/25)*Calculateur!BL56*Calculateur!BN56*VLOOKUP('Données projet'!$B$11,Paramètres!$A$1:$I$89,3,0)*0.475*44/12</f>
        <v>#N/A</v>
      </c>
      <c r="BR56" s="23" t="e">
        <f>EXP(-LN(2)/2)*BR55+(1-EXP(-LN(2)/2))/(LN(2)/2)*BL56*BO56*VLOOKUP('Données projet'!$B$11,Paramètres!$A$1:$I$89,3,0)*0.475*44/12</f>
        <v>#N/A</v>
      </c>
      <c r="BS56" s="24" t="e">
        <f t="shared" si="9"/>
        <v>#N/A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0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0</v>
      </c>
      <c r="H57" s="70">
        <f t="shared" si="1"/>
        <v>256.66666666666669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12.518749999999997</v>
      </c>
      <c r="N57" s="14">
        <f>IF('Données projet'!$A$36&gt;35,N56+M57-V56,IF(A57&lt;'Données projet'!$A$36,$K$205^A57,IF(A57='Données projet'!$A$36,'Données projet'!$B$36,N56+M57-V56)))</f>
        <v>260.57875000000007</v>
      </c>
      <c r="O57" s="14">
        <f>N57*VLOOKUP('Données projet'!$B$9,Paramètres!$A$1:$I$89,3,0)*VLOOKUP('Données projet'!$B$9,Paramètres!$A$1:$I$89,5,0)</f>
        <v>121.95085500000003</v>
      </c>
      <c r="P57" s="14">
        <f t="shared" si="33"/>
        <v>32.129576258967205</v>
      </c>
      <c r="Q57" s="22">
        <f t="shared" si="53"/>
        <v>268.35675110936791</v>
      </c>
      <c r="R57" s="62">
        <f t="shared" si="0"/>
        <v>561.69008444270116</v>
      </c>
      <c r="S57" s="62">
        <f ca="1">AVERAGE(OFFSET($R$3,0,0,'Données projet'!$E$9+1,1))-AVERAGE(OFFSET($H$3,0,0,'Données projet'!$E$9+1,1))</f>
        <v>302.58171900450355</v>
      </c>
      <c r="T57" s="62">
        <f t="shared" si="34"/>
        <v>164.1450425611464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5.6</v>
      </c>
      <c r="AI57" s="14">
        <f>IF('Données projet'!$A$62&gt;35,AI56+AH57-AQ56,IF(A57&lt;'Données projet'!$A$62,$AF$205^A57,IF(A57='Données projet'!$A$62,'Données projet'!$B$62,AI56+AH57-AQ56)))</f>
        <v>129.39999999999995</v>
      </c>
      <c r="AJ57" s="14">
        <f>AI57*VLOOKUP('Données projet'!$B$10,Paramètres!$A$1:$I$89,3,0)*VLOOKUP('Données projet'!$B$10,Paramètres!$A$1:$I$89,5,0)</f>
        <v>139.28615999999994</v>
      </c>
      <c r="AK57" s="14">
        <f t="shared" si="35"/>
        <v>36.133426154438062</v>
      </c>
      <c r="AL57" s="22">
        <f t="shared" si="4"/>
        <v>305.52244588564616</v>
      </c>
      <c r="AM57" s="62">
        <f t="shared" si="5"/>
        <v>598.85577921897948</v>
      </c>
      <c r="AN57" s="62">
        <f ca="1">AVERAGE(OFFSET($AM$3,0,0,'Données projet'!$E$10+1,1))-AVERAGE(OFFSET($H$3,0,0,'Données projet'!$E$10+1,1))</f>
        <v>327.4984716935208</v>
      </c>
      <c r="AO57" s="62">
        <f t="shared" si="36"/>
        <v>166.97658184507776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0</v>
      </c>
      <c r="AV57" s="23">
        <f>EXP(-LN(2)/25)*AV56+(1-EXP(-LN(2)/25))/(LN(2)/25)*Calculateur!AQ57*Calculateur!AS57*VLOOKUP('Données projet'!$B$10,Paramètres!$A$1:$I$89,3,0)*0.475*44/12</f>
        <v>0</v>
      </c>
      <c r="AW57" s="23">
        <f>EXP(-LN(2)/2)*AW56+(1-EXP(-LN(2)/2))/(LN(2)/2)*AQ57*AT57*VLOOKUP('Données projet'!$B$10,Paramètres!$A$1:$I$89,3,0)*0.475*44/12</f>
        <v>0</v>
      </c>
      <c r="AX57" s="23">
        <f t="shared" si="6"/>
        <v>0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0</v>
      </c>
      <c r="BD57" s="13">
        <f>IF('Données projet'!$A$88&gt;35,BD56+BC57-BL56,IF(A57&lt;'Données projet'!$A$88,$BA$205^A57,IF(A57='Données projet'!$A$88,'Données projet'!$B$88,BD56+BC57-BL56)))</f>
        <v>0</v>
      </c>
      <c r="BE57" s="14" t="e">
        <f>BD57*VLOOKUP('Données projet'!$B$11,Paramètres!$A$1:$I$89,3,0)*VLOOKUP('Données projet'!$B$11,Paramètres!$A$1:$I$89,5,0)</f>
        <v>#N/A</v>
      </c>
      <c r="BF57" s="14" t="e">
        <f t="shared" si="37"/>
        <v>#N/A</v>
      </c>
      <c r="BG57" s="22" t="e">
        <f t="shared" si="7"/>
        <v>#N/A</v>
      </c>
      <c r="BH57" s="62" t="e">
        <f t="shared" si="8"/>
        <v>#N/A</v>
      </c>
      <c r="BI57" s="62" t="e">
        <f ca="1">AVERAGE(OFFSET($BH$3,0,0,'Données projet'!$E$11+1,1))-AVERAGE(OFFSET($H$3,0,0,'Données projet'!$E$11+1,1))</f>
        <v>#N/A</v>
      </c>
      <c r="BJ57" s="62" t="e">
        <f t="shared" si="38"/>
        <v>#N/A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 t="e">
        <f>EXP(-LN(2)/35)*BP56+(1-EXP(-LN(2)/35))/(LN(2)/35)*BL57*BM57*VLOOKUP('Données projet'!$B$11,Paramètres!$A$1:$I$89,3,0)*0.475*44/12</f>
        <v>#N/A</v>
      </c>
      <c r="BQ57" s="23" t="e">
        <f>EXP(-LN(2)/25)*BQ56+(1-EXP(-LN(2)/25))/(LN(2)/25)*Calculateur!BL57*Calculateur!BN57*VLOOKUP('Données projet'!$B$11,Paramètres!$A$1:$I$89,3,0)*0.475*44/12</f>
        <v>#N/A</v>
      </c>
      <c r="BR57" s="23" t="e">
        <f>EXP(-LN(2)/2)*BR56+(1-EXP(-LN(2)/2))/(LN(2)/2)*BL57*BO57*VLOOKUP('Données projet'!$B$11,Paramètres!$A$1:$I$89,3,0)*0.475*44/12</f>
        <v>#N/A</v>
      </c>
      <c r="BS57" s="24" t="e">
        <f t="shared" si="9"/>
        <v>#N/A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0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0</v>
      </c>
      <c r="H58" s="70">
        <f t="shared" si="1"/>
        <v>256.66666666666669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12.518749999999997</v>
      </c>
      <c r="N58" s="14">
        <f>IF('Données projet'!$A$36&gt;35,N57+M58-V57,IF(A58&lt;'Données projet'!$A$36,$K$205^A58,IF(A58='Données projet'!$A$36,'Données projet'!$B$36,N57+M58-V57)))</f>
        <v>273.09750000000008</v>
      </c>
      <c r="O58" s="14">
        <f>N58*VLOOKUP('Données projet'!$B$9,Paramètres!$A$1:$I$89,3,0)*VLOOKUP('Données projet'!$B$9,Paramètres!$A$1:$I$89,5,0)</f>
        <v>127.80963000000004</v>
      </c>
      <c r="P58" s="14">
        <f t="shared" si="33"/>
        <v>33.489729678969752</v>
      </c>
      <c r="Q58" s="22">
        <f t="shared" si="53"/>
        <v>280.92971810753903</v>
      </c>
      <c r="R58" s="62">
        <f t="shared" si="0"/>
        <v>574.26305144087235</v>
      </c>
      <c r="S58" s="62">
        <f ca="1">AVERAGE(OFFSET($R$3,0,0,'Données projet'!$E$9+1,1))-AVERAGE(OFFSET($H$3,0,0,'Données projet'!$E$9+1,1))</f>
        <v>302.58171900450355</v>
      </c>
      <c r="T58" s="62">
        <f t="shared" si="34"/>
        <v>164.1450425611464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135</v>
      </c>
      <c r="AG58" s="13">
        <f>VLOOKUP(A58,'Données projet'!$A$61:$I$81,9,0)</f>
        <v>5.6</v>
      </c>
      <c r="AH58" s="13">
        <f t="array" ref="AH58">INDEX(AG:AG,MIN(IF(ISNUMBER(AG58:AG254),ROW(AG58:AG254),"")))</f>
        <v>5.6</v>
      </c>
      <c r="AI58" s="14">
        <f>IF('Données projet'!$A$62&gt;35,AI57+AH58-AQ57,IF(A58&lt;'Données projet'!$A$62,$AF$205^A58,IF(A58='Données projet'!$A$62,'Données projet'!$B$62,AI57+AH58-AQ57)))</f>
        <v>134.99999999999994</v>
      </c>
      <c r="AJ58" s="14">
        <f>AI58*VLOOKUP('Données projet'!$B$10,Paramètres!$A$1:$I$89,3,0)*VLOOKUP('Données projet'!$B$10,Paramètres!$A$1:$I$89,5,0)</f>
        <v>145.31399999999994</v>
      </c>
      <c r="AK58" s="14">
        <f t="shared" si="35"/>
        <v>37.511716231443025</v>
      </c>
      <c r="AL58" s="22">
        <f t="shared" si="4"/>
        <v>318.42145576976316</v>
      </c>
      <c r="AM58" s="62">
        <f t="shared" si="5"/>
        <v>611.75478910309653</v>
      </c>
      <c r="AN58" s="62">
        <f ca="1">AVERAGE(OFFSET($AM$3,0,0,'Données projet'!$E$10+1,1))-AVERAGE(OFFSET($H$3,0,0,'Données projet'!$E$10+1,1))</f>
        <v>327.4984716935208</v>
      </c>
      <c r="AO58" s="62">
        <f t="shared" si="36"/>
        <v>166.97658184507776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14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0</v>
      </c>
      <c r="AV58" s="23">
        <f>EXP(-LN(2)/25)*AV57+(1-EXP(-LN(2)/25))/(LN(2)/25)*Calculateur!AQ58*Calculateur!AS58*VLOOKUP('Données projet'!$B$10,Paramètres!$A$1:$I$89,3,0)*0.475*44/12</f>
        <v>0</v>
      </c>
      <c r="AW58" s="23">
        <f>EXP(-LN(2)/2)*AW57+(1-EXP(-LN(2)/2))/(LN(2)/2)*AQ58*AT58*VLOOKUP('Données projet'!$B$10,Paramètres!$A$1:$I$89,3,0)*0.475*44/12</f>
        <v>0</v>
      </c>
      <c r="AX58" s="23">
        <f t="shared" si="6"/>
        <v>0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 t="e">
        <f>VLOOKUP(A58,'Données projet'!$A$87:$I$107,2,0)</f>
        <v>#N/A</v>
      </c>
      <c r="BB58" s="13" t="e">
        <f>VLOOKUP(A58,'Données projet'!$A$87:$I$107,9,0)</f>
        <v>#N/A</v>
      </c>
      <c r="BC58" s="13">
        <f t="array" ref="BC58">INDEX(BB:BB,MIN(IF(ISNUMBER(BB58:BB254),ROW(BB58:BB254),"")))</f>
        <v>0</v>
      </c>
      <c r="BD58" s="13">
        <f>IF('Données projet'!$A$88&gt;35,BD57+BC58-BL57,IF(A58&lt;'Données projet'!$A$88,$BA$205^A58,IF(A58='Données projet'!$A$88,'Données projet'!$B$88,BD57+BC58-BL57)))</f>
        <v>0</v>
      </c>
      <c r="BE58" s="14" t="e">
        <f>BD58*VLOOKUP('Données projet'!$B$11,Paramètres!$A$1:$I$89,3,0)*VLOOKUP('Données projet'!$B$11,Paramètres!$A$1:$I$89,5,0)</f>
        <v>#N/A</v>
      </c>
      <c r="BF58" s="14" t="e">
        <f t="shared" si="37"/>
        <v>#N/A</v>
      </c>
      <c r="BG58" s="22" t="e">
        <f t="shared" si="7"/>
        <v>#N/A</v>
      </c>
      <c r="BH58" s="62" t="e">
        <f t="shared" si="8"/>
        <v>#N/A</v>
      </c>
      <c r="BI58" s="62" t="e">
        <f ca="1">AVERAGE(OFFSET($BH$3,0,0,'Données projet'!$E$11+1,1))-AVERAGE(OFFSET($H$3,0,0,'Données projet'!$E$11+1,1))</f>
        <v>#N/A</v>
      </c>
      <c r="BJ58" s="62" t="e">
        <f t="shared" si="38"/>
        <v>#N/A</v>
      </c>
      <c r="BK58" s="16">
        <f>IF(ISNA(VLOOKUP(A58,'Données projet'!$A$87:$I$107,3,0)),0,VLOOKUP(A58,'Données projet'!$A$87:$I$107,3,0))</f>
        <v>0</v>
      </c>
      <c r="BL58" s="16">
        <f>IF(ISNA(VLOOKUP(A58,'Données projet'!$A$87:$I$107,4,0)),0,VLOOKUP(A58,'Données projet'!$A$87:$I$107,4,0))</f>
        <v>0</v>
      </c>
      <c r="BM58" s="17">
        <f>IF(ISNA(VLOOKUP(A58,'Données projet'!$A$87:$I$107,5,0)),0%,VLOOKUP(A58,'Données projet'!$A$87:$I$107,5,0)*VLOOKUP('Données projet'!$B$11,Paramètres!$A$1:$I$89,7,0))</f>
        <v>0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 t="e">
        <f>EXP(-LN(2)/35)*BP57+(1-EXP(-LN(2)/35))/(LN(2)/35)*BL58*BM58*VLOOKUP('Données projet'!$B$11,Paramètres!$A$1:$I$89,3,0)*0.475*44/12</f>
        <v>#N/A</v>
      </c>
      <c r="BQ58" s="23" t="e">
        <f>EXP(-LN(2)/25)*BQ57+(1-EXP(-LN(2)/25))/(LN(2)/25)*Calculateur!BL58*Calculateur!BN58*VLOOKUP('Données projet'!$B$11,Paramètres!$A$1:$I$89,3,0)*0.475*44/12</f>
        <v>#N/A</v>
      </c>
      <c r="BR58" s="23" t="e">
        <f>EXP(-LN(2)/2)*BR57+(1-EXP(-LN(2)/2))/(LN(2)/2)*BL58*BO58*VLOOKUP('Données projet'!$B$11,Paramètres!$A$1:$I$89,3,0)*0.475*44/12</f>
        <v>#N/A</v>
      </c>
      <c r="BS58" s="24" t="e">
        <f t="shared" si="9"/>
        <v>#N/A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0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0</v>
      </c>
      <c r="H59" s="70">
        <f t="shared" si="1"/>
        <v>256.66666666666669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12.518749999999997</v>
      </c>
      <c r="N59" s="14">
        <f>IF('Données projet'!$A$36&gt;35,N58+M59-V58,IF(A59&lt;'Données projet'!$A$36,$K$205^A59,IF(A59='Données projet'!$A$36,'Données projet'!$B$36,N58+M59-V58)))</f>
        <v>285.61625000000009</v>
      </c>
      <c r="O59" s="14">
        <f>N59*VLOOKUP('Données projet'!$B$9,Paramètres!$A$1:$I$89,3,0)*VLOOKUP('Données projet'!$B$9,Paramètres!$A$1:$I$89,5,0)</f>
        <v>133.66840500000004</v>
      </c>
      <c r="P59" s="14">
        <f t="shared" si="33"/>
        <v>34.842642297815864</v>
      </c>
      <c r="Q59" s="22">
        <f t="shared" si="53"/>
        <v>293.49007404369604</v>
      </c>
      <c r="R59" s="62">
        <f t="shared" si="0"/>
        <v>586.8234073770293</v>
      </c>
      <c r="S59" s="62">
        <f ca="1">AVERAGE(OFFSET($R$3,0,0,'Données projet'!$E$9+1,1))-AVERAGE(OFFSET($H$3,0,0,'Données projet'!$E$9+1,1))</f>
        <v>302.58171900450355</v>
      </c>
      <c r="T59" s="62">
        <f t="shared" si="34"/>
        <v>164.1450425611464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5.6</v>
      </c>
      <c r="AI59" s="14">
        <f>IF('Données projet'!$A$62&gt;35,AI58+AH59-AQ58,IF(A59&lt;'Données projet'!$A$62,$AF$205^A59,IF(A59='Données projet'!$A$62,'Données projet'!$B$62,AI58+AH59-AQ58)))</f>
        <v>126.59999999999994</v>
      </c>
      <c r="AJ59" s="14">
        <f>AI59*VLOOKUP('Données projet'!$B$10,Paramètres!$A$1:$I$89,3,0)*VLOOKUP('Données projet'!$B$10,Paramètres!$A$1:$I$89,5,0)</f>
        <v>136.27223999999993</v>
      </c>
      <c r="AK59" s="14">
        <f t="shared" si="35"/>
        <v>35.441691330456997</v>
      </c>
      <c r="AL59" s="22">
        <f t="shared" si="4"/>
        <v>299.06843040054582</v>
      </c>
      <c r="AM59" s="62">
        <f t="shared" si="5"/>
        <v>592.40176373387908</v>
      </c>
      <c r="AN59" s="62">
        <f ca="1">AVERAGE(OFFSET($AM$3,0,0,'Données projet'!$E$10+1,1))-AVERAGE(OFFSET($H$3,0,0,'Données projet'!$E$10+1,1))</f>
        <v>327.4984716935208</v>
      </c>
      <c r="AO59" s="62">
        <f t="shared" si="36"/>
        <v>166.97658184507776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0</v>
      </c>
      <c r="AV59" s="23">
        <f>EXP(-LN(2)/25)*AV58+(1-EXP(-LN(2)/25))/(LN(2)/25)*Calculateur!AQ59*Calculateur!AS59*VLOOKUP('Données projet'!$B$10,Paramètres!$A$1:$I$89,3,0)*0.475*44/12</f>
        <v>0</v>
      </c>
      <c r="AW59" s="23">
        <f>EXP(-LN(2)/2)*AW58+(1-EXP(-LN(2)/2))/(LN(2)/2)*AQ59*AT59*VLOOKUP('Données projet'!$B$10,Paramètres!$A$1:$I$89,3,0)*0.475*44/12</f>
        <v>0</v>
      </c>
      <c r="AX59" s="23">
        <f t="shared" si="6"/>
        <v>0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0</v>
      </c>
      <c r="BD59" s="13">
        <f>IF('Données projet'!$A$88&gt;35,BD58+BC59-BL58,IF(A59&lt;'Données projet'!$A$88,$BA$205^A59,IF(A59='Données projet'!$A$88,'Données projet'!$B$88,BD58+BC59-BL58)))</f>
        <v>0</v>
      </c>
      <c r="BE59" s="14" t="e">
        <f>BD59*VLOOKUP('Données projet'!$B$11,Paramètres!$A$1:$I$89,3,0)*VLOOKUP('Données projet'!$B$11,Paramètres!$A$1:$I$89,5,0)</f>
        <v>#N/A</v>
      </c>
      <c r="BF59" s="14" t="e">
        <f t="shared" si="37"/>
        <v>#N/A</v>
      </c>
      <c r="BG59" s="22" t="e">
        <f t="shared" si="7"/>
        <v>#N/A</v>
      </c>
      <c r="BH59" s="62" t="e">
        <f t="shared" si="8"/>
        <v>#N/A</v>
      </c>
      <c r="BI59" s="62" t="e">
        <f ca="1">AVERAGE(OFFSET($BH$3,0,0,'Données projet'!$E$11+1,1))-AVERAGE(OFFSET($H$3,0,0,'Données projet'!$E$11+1,1))</f>
        <v>#N/A</v>
      </c>
      <c r="BJ59" s="62" t="e">
        <f t="shared" si="38"/>
        <v>#N/A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 t="e">
        <f>EXP(-LN(2)/35)*BP58+(1-EXP(-LN(2)/35))/(LN(2)/35)*BL59*BM59*VLOOKUP('Données projet'!$B$11,Paramètres!$A$1:$I$89,3,0)*0.475*44/12</f>
        <v>#N/A</v>
      </c>
      <c r="BQ59" s="23" t="e">
        <f>EXP(-LN(2)/25)*BQ58+(1-EXP(-LN(2)/25))/(LN(2)/25)*Calculateur!BL59*Calculateur!BN59*VLOOKUP('Données projet'!$B$11,Paramètres!$A$1:$I$89,3,0)*0.475*44/12</f>
        <v>#N/A</v>
      </c>
      <c r="BR59" s="23" t="e">
        <f>EXP(-LN(2)/2)*BR58+(1-EXP(-LN(2)/2))/(LN(2)/2)*BL59*BO59*VLOOKUP('Données projet'!$B$11,Paramètres!$A$1:$I$89,3,0)*0.475*44/12</f>
        <v>#N/A</v>
      </c>
      <c r="BS59" s="24" t="e">
        <f t="shared" si="9"/>
        <v>#N/A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0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0</v>
      </c>
      <c r="H60" s="70">
        <f t="shared" si="1"/>
        <v>256.66666666666669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12.518749999999997</v>
      </c>
      <c r="N60" s="14">
        <f>IF('Données projet'!$A$36&gt;35,N59+M60-V59,IF(A60&lt;'Données projet'!$A$36,$K$205^A60,IF(A60='Données projet'!$A$36,'Données projet'!$B$36,N59+M60-V59)))</f>
        <v>298.1350000000001</v>
      </c>
      <c r="O60" s="14">
        <f>N60*VLOOKUP('Données projet'!$B$9,Paramètres!$A$1:$I$89,3,0)*VLOOKUP('Données projet'!$B$9,Paramètres!$A$1:$I$89,5,0)</f>
        <v>139.52718000000004</v>
      </c>
      <c r="P60" s="14">
        <f t="shared" si="33"/>
        <v>36.188667755296422</v>
      </c>
      <c r="Q60" s="22">
        <f t="shared" si="53"/>
        <v>306.03843484047462</v>
      </c>
      <c r="R60" s="62">
        <f t="shared" si="0"/>
        <v>599.37176817380794</v>
      </c>
      <c r="S60" s="62">
        <f ca="1">AVERAGE(OFFSET($R$3,0,0,'Données projet'!$E$9+1,1))-AVERAGE(OFFSET($H$3,0,0,'Données projet'!$E$9+1,1))</f>
        <v>302.58171900450355</v>
      </c>
      <c r="T60" s="62">
        <f t="shared" si="34"/>
        <v>164.1450425611464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5.6</v>
      </c>
      <c r="AI60" s="14">
        <f>IF('Données projet'!$A$62&gt;35,AI59+AH60-AQ59,IF(A60&lt;'Données projet'!$A$62,$AF$205^A60,IF(A60='Données projet'!$A$62,'Données projet'!$B$62,AI59+AH60-AQ59)))</f>
        <v>132.19999999999993</v>
      </c>
      <c r="AJ60" s="14">
        <f>AI60*VLOOKUP('Données projet'!$B$10,Paramètres!$A$1:$I$89,3,0)*VLOOKUP('Données projet'!$B$10,Paramètres!$A$1:$I$89,5,0)</f>
        <v>142.30007999999992</v>
      </c>
      <c r="AK60" s="14">
        <f t="shared" si="35"/>
        <v>36.823420753495235</v>
      </c>
      <c r="AL60" s="22">
        <f t="shared" si="4"/>
        <v>311.97343047900409</v>
      </c>
      <c r="AM60" s="62">
        <f t="shared" si="5"/>
        <v>605.30676381233741</v>
      </c>
      <c r="AN60" s="62">
        <f ca="1">AVERAGE(OFFSET($AM$3,0,0,'Données projet'!$E$10+1,1))-AVERAGE(OFFSET($H$3,0,0,'Données projet'!$E$10+1,1))</f>
        <v>327.4984716935208</v>
      </c>
      <c r="AO60" s="62">
        <f t="shared" si="36"/>
        <v>166.97658184507776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0</v>
      </c>
      <c r="AV60" s="23">
        <f>EXP(-LN(2)/25)*AV59+(1-EXP(-LN(2)/25))/(LN(2)/25)*Calculateur!AQ60*Calculateur!AS60*VLOOKUP('Données projet'!$B$10,Paramètres!$A$1:$I$89,3,0)*0.475*44/12</f>
        <v>0</v>
      </c>
      <c r="AW60" s="23">
        <f>EXP(-LN(2)/2)*AW59+(1-EXP(-LN(2)/2))/(LN(2)/2)*AQ60*AT60*VLOOKUP('Données projet'!$B$10,Paramètres!$A$1:$I$89,3,0)*0.475*44/12</f>
        <v>0</v>
      </c>
      <c r="AX60" s="23">
        <f t="shared" si="6"/>
        <v>0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0</v>
      </c>
      <c r="BD60" s="13">
        <f>IF('Données projet'!$A$88&gt;35,BD59+BC60-BL59,IF(A60&lt;'Données projet'!$A$88,$BA$205^A60,IF(A60='Données projet'!$A$88,'Données projet'!$B$88,BD59+BC60-BL59)))</f>
        <v>0</v>
      </c>
      <c r="BE60" s="14" t="e">
        <f>BD60*VLOOKUP('Données projet'!$B$11,Paramètres!$A$1:$I$89,3,0)*VLOOKUP('Données projet'!$B$11,Paramètres!$A$1:$I$89,5,0)</f>
        <v>#N/A</v>
      </c>
      <c r="BF60" s="14" t="e">
        <f t="shared" si="37"/>
        <v>#N/A</v>
      </c>
      <c r="BG60" s="22" t="e">
        <f t="shared" si="7"/>
        <v>#N/A</v>
      </c>
      <c r="BH60" s="62" t="e">
        <f t="shared" si="8"/>
        <v>#N/A</v>
      </c>
      <c r="BI60" s="62" t="e">
        <f ca="1">AVERAGE(OFFSET($BH$3,0,0,'Données projet'!$E$11+1,1))-AVERAGE(OFFSET($H$3,0,0,'Données projet'!$E$11+1,1))</f>
        <v>#N/A</v>
      </c>
      <c r="BJ60" s="62" t="e">
        <f t="shared" si="38"/>
        <v>#N/A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 t="e">
        <f>EXP(-LN(2)/35)*BP59+(1-EXP(-LN(2)/35))/(LN(2)/35)*BL60*BM60*VLOOKUP('Données projet'!$B$11,Paramètres!$A$1:$I$89,3,0)*0.475*44/12</f>
        <v>#N/A</v>
      </c>
      <c r="BQ60" s="23" t="e">
        <f>EXP(-LN(2)/25)*BQ59+(1-EXP(-LN(2)/25))/(LN(2)/25)*Calculateur!BL60*Calculateur!BN60*VLOOKUP('Données projet'!$B$11,Paramètres!$A$1:$I$89,3,0)*0.475*44/12</f>
        <v>#N/A</v>
      </c>
      <c r="BR60" s="23" t="e">
        <f>EXP(-LN(2)/2)*BR59+(1-EXP(-LN(2)/2))/(LN(2)/2)*BL60*BO60*VLOOKUP('Données projet'!$B$11,Paramètres!$A$1:$I$89,3,0)*0.475*44/12</f>
        <v>#N/A</v>
      </c>
      <c r="BS60" s="24" t="e">
        <f t="shared" si="9"/>
        <v>#N/A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0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0</v>
      </c>
      <c r="H61" s="70">
        <f t="shared" si="1"/>
        <v>256.66666666666669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12.518749999999997</v>
      </c>
      <c r="N61" s="14">
        <f>IF('Données projet'!$A$36&gt;35,N60+M61-V60,IF(A61&lt;'Données projet'!$A$36,$K$205^A61,IF(A61='Données projet'!$A$36,'Données projet'!$B$36,N60+M61-V60)))</f>
        <v>310.65375000000012</v>
      </c>
      <c r="O61" s="14">
        <f>N61*VLOOKUP('Données projet'!$B$9,Paramètres!$A$1:$I$89,3,0)*VLOOKUP('Données projet'!$B$9,Paramètres!$A$1:$I$89,5,0)</f>
        <v>145.38595500000005</v>
      </c>
      <c r="P61" s="14">
        <f t="shared" si="33"/>
        <v>37.528128312294818</v>
      </c>
      <c r="Q61" s="22">
        <f t="shared" si="53"/>
        <v>318.57536176891358</v>
      </c>
      <c r="R61" s="62">
        <f t="shared" si="0"/>
        <v>611.90869510224684</v>
      </c>
      <c r="S61" s="62">
        <f ca="1">AVERAGE(OFFSET($R$3,0,0,'Données projet'!$E$9+1,1))-AVERAGE(OFFSET($H$3,0,0,'Données projet'!$E$9+1,1))</f>
        <v>302.58171900450355</v>
      </c>
      <c r="T61" s="62">
        <f t="shared" si="34"/>
        <v>164.1450425611464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5.6</v>
      </c>
      <c r="AI61" s="14">
        <f>IF('Données projet'!$A$62&gt;35,AI60+AH61-AQ60,IF(A61&lt;'Données projet'!$A$62,$AF$205^A61,IF(A61='Données projet'!$A$62,'Données projet'!$B$62,AI60+AH61-AQ60)))</f>
        <v>137.79999999999993</v>
      </c>
      <c r="AJ61" s="14">
        <f>AI61*VLOOKUP('Données projet'!$B$10,Paramètres!$A$1:$I$89,3,0)*VLOOKUP('Données projet'!$B$10,Paramètres!$A$1:$I$89,5,0)</f>
        <v>148.32791999999989</v>
      </c>
      <c r="AK61" s="14">
        <f t="shared" si="35"/>
        <v>38.198351889603472</v>
      </c>
      <c r="AL61" s="22">
        <f t="shared" si="4"/>
        <v>324.86659020772589</v>
      </c>
      <c r="AM61" s="62">
        <f t="shared" si="5"/>
        <v>618.19992354105921</v>
      </c>
      <c r="AN61" s="62">
        <f ca="1">AVERAGE(OFFSET($AM$3,0,0,'Données projet'!$E$10+1,1))-AVERAGE(OFFSET($H$3,0,0,'Données projet'!$E$10+1,1))</f>
        <v>327.4984716935208</v>
      </c>
      <c r="AO61" s="62">
        <f t="shared" si="36"/>
        <v>166.97658184507776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0</v>
      </c>
      <c r="AV61" s="23">
        <f>EXP(-LN(2)/25)*AV60+(1-EXP(-LN(2)/25))/(LN(2)/25)*Calculateur!AQ61*Calculateur!AS61*VLOOKUP('Données projet'!$B$10,Paramètres!$A$1:$I$89,3,0)*0.475*44/12</f>
        <v>0</v>
      </c>
      <c r="AW61" s="23">
        <f>EXP(-LN(2)/2)*AW60+(1-EXP(-LN(2)/2))/(LN(2)/2)*AQ61*AT61*VLOOKUP('Données projet'!$B$10,Paramètres!$A$1:$I$89,3,0)*0.475*44/12</f>
        <v>0</v>
      </c>
      <c r="AX61" s="23">
        <f t="shared" si="6"/>
        <v>0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0</v>
      </c>
      <c r="BD61" s="13">
        <f>IF('Données projet'!$A$88&gt;35,BD60+BC61-BL60,IF(A61&lt;'Données projet'!$A$88,$BA$205^A61,IF(A61='Données projet'!$A$88,'Données projet'!$B$88,BD60+BC61-BL60)))</f>
        <v>0</v>
      </c>
      <c r="BE61" s="14" t="e">
        <f>BD61*VLOOKUP('Données projet'!$B$11,Paramètres!$A$1:$I$89,3,0)*VLOOKUP('Données projet'!$B$11,Paramètres!$A$1:$I$89,5,0)</f>
        <v>#N/A</v>
      </c>
      <c r="BF61" s="14" t="e">
        <f t="shared" si="37"/>
        <v>#N/A</v>
      </c>
      <c r="BG61" s="22" t="e">
        <f t="shared" si="7"/>
        <v>#N/A</v>
      </c>
      <c r="BH61" s="62" t="e">
        <f t="shared" si="8"/>
        <v>#N/A</v>
      </c>
      <c r="BI61" s="62" t="e">
        <f ca="1">AVERAGE(OFFSET($BH$3,0,0,'Données projet'!$E$11+1,1))-AVERAGE(OFFSET($H$3,0,0,'Données projet'!$E$11+1,1))</f>
        <v>#N/A</v>
      </c>
      <c r="BJ61" s="62" t="e">
        <f t="shared" si="38"/>
        <v>#N/A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 t="e">
        <f>EXP(-LN(2)/35)*BP60+(1-EXP(-LN(2)/35))/(LN(2)/35)*BL61*BM61*VLOOKUP('Données projet'!$B$11,Paramètres!$A$1:$I$89,3,0)*0.475*44/12</f>
        <v>#N/A</v>
      </c>
      <c r="BQ61" s="23" t="e">
        <f>EXP(-LN(2)/25)*BQ60+(1-EXP(-LN(2)/25))/(LN(2)/25)*Calculateur!BL61*Calculateur!BN61*VLOOKUP('Données projet'!$B$11,Paramètres!$A$1:$I$89,3,0)*0.475*44/12</f>
        <v>#N/A</v>
      </c>
      <c r="BR61" s="23" t="e">
        <f>EXP(-LN(2)/2)*BR60+(1-EXP(-LN(2)/2))/(LN(2)/2)*BL61*BO61*VLOOKUP('Données projet'!$B$11,Paramètres!$A$1:$I$89,3,0)*0.475*44/12</f>
        <v>#N/A</v>
      </c>
      <c r="BS61" s="24" t="e">
        <f t="shared" si="9"/>
        <v>#N/A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0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0</v>
      </c>
      <c r="H62" s="70">
        <f t="shared" si="1"/>
        <v>256.66666666666669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12.518749999999997</v>
      </c>
      <c r="N62" s="14">
        <f>IF('Données projet'!$A$36&gt;35,N61+M62-V61,IF(A62&lt;'Données projet'!$A$36,$K$205^A62,IF(A62='Données projet'!$A$36,'Données projet'!$B$36,N61+M62-V61)))</f>
        <v>323.17250000000013</v>
      </c>
      <c r="O62" s="14">
        <f>N62*VLOOKUP('Données projet'!$B$9,Paramètres!$A$1:$I$89,3,0)*VLOOKUP('Données projet'!$B$9,Paramètres!$A$1:$I$89,5,0)</f>
        <v>151.24473000000006</v>
      </c>
      <c r="P62" s="14">
        <f t="shared" si="33"/>
        <v>38.861318786682716</v>
      </c>
      <c r="Q62" s="22">
        <f t="shared" si="53"/>
        <v>331.1013683034725</v>
      </c>
      <c r="R62" s="62">
        <f t="shared" si="0"/>
        <v>624.43470163680581</v>
      </c>
      <c r="S62" s="62">
        <f ca="1">AVERAGE(OFFSET($R$3,0,0,'Données projet'!$E$9+1,1))-AVERAGE(OFFSET($H$3,0,0,'Données projet'!$E$9+1,1))</f>
        <v>302.58171900450355</v>
      </c>
      <c r="T62" s="62">
        <f t="shared" si="34"/>
        <v>164.1450425611464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5.6</v>
      </c>
      <c r="AI62" s="14">
        <f>IF('Données projet'!$A$62&gt;35,AI61+AH62-AQ61,IF(A62&lt;'Données projet'!$A$62,$AF$205^A62,IF(A62='Données projet'!$A$62,'Données projet'!$B$62,AI61+AH62-AQ61)))</f>
        <v>143.39999999999992</v>
      </c>
      <c r="AJ62" s="14">
        <f>AI62*VLOOKUP('Données projet'!$B$10,Paramètres!$A$1:$I$89,3,0)*VLOOKUP('Données projet'!$B$10,Paramètres!$A$1:$I$89,5,0)</f>
        <v>154.35575999999992</v>
      </c>
      <c r="AK62" s="14">
        <f t="shared" si="35"/>
        <v>39.566792614262361</v>
      </c>
      <c r="AL62" s="22">
        <f t="shared" si="4"/>
        <v>337.74844580317341</v>
      </c>
      <c r="AM62" s="62">
        <f t="shared" si="5"/>
        <v>631.08177913650673</v>
      </c>
      <c r="AN62" s="62">
        <f ca="1">AVERAGE(OFFSET($AM$3,0,0,'Données projet'!$E$10+1,1))-AVERAGE(OFFSET($H$3,0,0,'Données projet'!$E$10+1,1))</f>
        <v>327.4984716935208</v>
      </c>
      <c r="AO62" s="62">
        <f t="shared" si="36"/>
        <v>166.97658184507776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0</v>
      </c>
      <c r="AV62" s="23">
        <f>EXP(-LN(2)/25)*AV61+(1-EXP(-LN(2)/25))/(LN(2)/25)*Calculateur!AQ62*Calculateur!AS62*VLOOKUP('Données projet'!$B$10,Paramètres!$A$1:$I$89,3,0)*0.475*44/12</f>
        <v>0</v>
      </c>
      <c r="AW62" s="23">
        <f>EXP(-LN(2)/2)*AW61+(1-EXP(-LN(2)/2))/(LN(2)/2)*AQ62*AT62*VLOOKUP('Données projet'!$B$10,Paramètres!$A$1:$I$89,3,0)*0.475*44/12</f>
        <v>0</v>
      </c>
      <c r="AX62" s="23">
        <f t="shared" si="6"/>
        <v>0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0</v>
      </c>
      <c r="BD62" s="13">
        <f>IF('Données projet'!$A$88&gt;35,BD61+BC62-BL61,IF(A62&lt;'Données projet'!$A$88,$BA$205^A62,IF(A62='Données projet'!$A$88,'Données projet'!$B$88,BD61+BC62-BL61)))</f>
        <v>0</v>
      </c>
      <c r="BE62" s="14" t="e">
        <f>BD62*VLOOKUP('Données projet'!$B$11,Paramètres!$A$1:$I$89,3,0)*VLOOKUP('Données projet'!$B$11,Paramètres!$A$1:$I$89,5,0)</f>
        <v>#N/A</v>
      </c>
      <c r="BF62" s="14" t="e">
        <f t="shared" si="37"/>
        <v>#N/A</v>
      </c>
      <c r="BG62" s="22" t="e">
        <f t="shared" si="7"/>
        <v>#N/A</v>
      </c>
      <c r="BH62" s="62" t="e">
        <f t="shared" si="8"/>
        <v>#N/A</v>
      </c>
      <c r="BI62" s="62" t="e">
        <f ca="1">AVERAGE(OFFSET($BH$3,0,0,'Données projet'!$E$11+1,1))-AVERAGE(OFFSET($H$3,0,0,'Données projet'!$E$11+1,1))</f>
        <v>#N/A</v>
      </c>
      <c r="BJ62" s="62" t="e">
        <f t="shared" si="38"/>
        <v>#N/A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 t="e">
        <f>EXP(-LN(2)/35)*BP61+(1-EXP(-LN(2)/35))/(LN(2)/35)*BL62*BM62*VLOOKUP('Données projet'!$B$11,Paramètres!$A$1:$I$89,3,0)*0.475*44/12</f>
        <v>#N/A</v>
      </c>
      <c r="BQ62" s="23" t="e">
        <f>EXP(-LN(2)/25)*BQ61+(1-EXP(-LN(2)/25))/(LN(2)/25)*Calculateur!BL62*Calculateur!BN62*VLOOKUP('Données projet'!$B$11,Paramètres!$A$1:$I$89,3,0)*0.475*44/12</f>
        <v>#N/A</v>
      </c>
      <c r="BR62" s="23" t="e">
        <f>EXP(-LN(2)/2)*BR61+(1-EXP(-LN(2)/2))/(LN(2)/2)*BL62*BO62*VLOOKUP('Données projet'!$B$11,Paramètres!$A$1:$I$89,3,0)*0.475*44/12</f>
        <v>#N/A</v>
      </c>
      <c r="BS62" s="24" t="e">
        <f t="shared" si="9"/>
        <v>#N/A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0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0</v>
      </c>
      <c r="H63" s="70">
        <f t="shared" si="1"/>
        <v>256.66666666666669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12.518749999999997</v>
      </c>
      <c r="N63" s="14">
        <f>IF('Données projet'!$A$36&gt;35,N62+M63-V62,IF(A63&lt;'Données projet'!$A$36,$K$205^A63,IF(A63='Données projet'!$A$36,'Données projet'!$B$36,N62+M63-V62)))</f>
        <v>335.69125000000014</v>
      </c>
      <c r="O63" s="14">
        <f>N63*VLOOKUP('Données projet'!$B$9,Paramètres!$A$1:$I$89,3,0)*VLOOKUP('Données projet'!$B$9,Paramètres!$A$1:$I$89,5,0)</f>
        <v>157.10350500000007</v>
      </c>
      <c r="P63" s="14">
        <f t="shared" si="33"/>
        <v>40.188509862200185</v>
      </c>
      <c r="Q63" s="22">
        <f t="shared" si="53"/>
        <v>343.61692588499881</v>
      </c>
      <c r="R63" s="62">
        <f t="shared" si="0"/>
        <v>636.95025921833212</v>
      </c>
      <c r="S63" s="62">
        <f ca="1">AVERAGE(OFFSET($R$3,0,0,'Données projet'!$E$9+1,1))-AVERAGE(OFFSET($H$3,0,0,'Données projet'!$E$9+1,1))</f>
        <v>302.58171900450355</v>
      </c>
      <c r="T63" s="62">
        <f t="shared" si="34"/>
        <v>164.1450425611464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149</v>
      </c>
      <c r="AG63" s="13">
        <f>VLOOKUP(A63,'Données projet'!$A$61:$I$81,9,0)</f>
        <v>5.6</v>
      </c>
      <c r="AH63" s="13">
        <f t="array" ref="AH63">INDEX(AG:AG,MIN(IF(ISNUMBER(AG63:AG259),ROW(AG63:AG259),"")))</f>
        <v>5.6</v>
      </c>
      <c r="AI63" s="14">
        <f>IF('Données projet'!$A$62&gt;35,AI62+AH63-AQ62,IF(A63&lt;'Données projet'!$A$62,$AF$205^A63,IF(A63='Données projet'!$A$62,'Données projet'!$B$62,AI62+AH63-AQ62)))</f>
        <v>148.99999999999991</v>
      </c>
      <c r="AJ63" s="14">
        <f>AI63*VLOOKUP('Données projet'!$B$10,Paramètres!$A$1:$I$89,3,0)*VLOOKUP('Données projet'!$B$10,Paramètres!$A$1:$I$89,5,0)</f>
        <v>160.38359999999989</v>
      </c>
      <c r="AK63" s="14">
        <f t="shared" si="35"/>
        <v>40.929025395397851</v>
      </c>
      <c r="AL63" s="22">
        <f t="shared" si="4"/>
        <v>350.61948923031764</v>
      </c>
      <c r="AM63" s="62">
        <f t="shared" si="5"/>
        <v>643.9528225636509</v>
      </c>
      <c r="AN63" s="62">
        <f ca="1">AVERAGE(OFFSET($AM$3,0,0,'Données projet'!$E$10+1,1))-AVERAGE(OFFSET($H$3,0,0,'Données projet'!$E$10+1,1))</f>
        <v>327.4984716935208</v>
      </c>
      <c r="AO63" s="62">
        <f t="shared" si="36"/>
        <v>166.97658184507776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14</v>
      </c>
      <c r="AR63" s="17">
        <f>IF(ISNA(VLOOKUP(A63,'Données projet'!$A$61:$I$81,5,0)),0%,VLOOKUP(A63,'Données projet'!$A$61:$I$81,5,0)*VLOOKUP('Données projet'!$B$10,Paramètres!$A$1:$I$89,7,0))</f>
        <v>0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0</v>
      </c>
      <c r="AV63" s="23">
        <f>EXP(-LN(2)/25)*AV62+(1-EXP(-LN(2)/25))/(LN(2)/25)*Calculateur!AQ63*Calculateur!AS63*VLOOKUP('Données projet'!$B$10,Paramètres!$A$1:$I$89,3,0)*0.475*44/12</f>
        <v>0</v>
      </c>
      <c r="AW63" s="23">
        <f>EXP(-LN(2)/2)*AW62+(1-EXP(-LN(2)/2))/(LN(2)/2)*AQ63*AT63*VLOOKUP('Données projet'!$B$10,Paramètres!$A$1:$I$89,3,0)*0.475*44/12</f>
        <v>0</v>
      </c>
      <c r="AX63" s="23">
        <f t="shared" si="6"/>
        <v>0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 t="e">
        <f>VLOOKUP(A63,'Données projet'!$A$87:$I$107,2,0)</f>
        <v>#N/A</v>
      </c>
      <c r="BB63" s="13" t="e">
        <f>VLOOKUP(A63,'Données projet'!$A$87:$I$107,9,0)</f>
        <v>#N/A</v>
      </c>
      <c r="BC63" s="13">
        <f t="array" ref="BC63">INDEX(BB:BB,MIN(IF(ISNUMBER(BB63:BB259),ROW(BB63:BB259),"")))</f>
        <v>0</v>
      </c>
      <c r="BD63" s="13">
        <f>IF('Données projet'!$A$88&gt;35,BD62+BC63-BL62,IF(A63&lt;'Données projet'!$A$88,$BA$205^A63,IF(A63='Données projet'!$A$88,'Données projet'!$B$88,BD62+BC63-BL62)))</f>
        <v>0</v>
      </c>
      <c r="BE63" s="14" t="e">
        <f>BD63*VLOOKUP('Données projet'!$B$11,Paramètres!$A$1:$I$89,3,0)*VLOOKUP('Données projet'!$B$11,Paramètres!$A$1:$I$89,5,0)</f>
        <v>#N/A</v>
      </c>
      <c r="BF63" s="14" t="e">
        <f t="shared" si="37"/>
        <v>#N/A</v>
      </c>
      <c r="BG63" s="22" t="e">
        <f t="shared" si="7"/>
        <v>#N/A</v>
      </c>
      <c r="BH63" s="62" t="e">
        <f t="shared" si="8"/>
        <v>#N/A</v>
      </c>
      <c r="BI63" s="62" t="e">
        <f ca="1">AVERAGE(OFFSET($BH$3,0,0,'Données projet'!$E$11+1,1))-AVERAGE(OFFSET($H$3,0,0,'Données projet'!$E$11+1,1))</f>
        <v>#N/A</v>
      </c>
      <c r="BJ63" s="62" t="e">
        <f t="shared" si="38"/>
        <v>#N/A</v>
      </c>
      <c r="BK63" s="16">
        <f>IF(ISNA(VLOOKUP(A63,'Données projet'!$A$87:$I$107,3,0)),0,VLOOKUP(A63,'Données projet'!$A$87:$I$107,3,0))</f>
        <v>0</v>
      </c>
      <c r="BL63" s="16">
        <f>IF(ISNA(VLOOKUP(A63,'Données projet'!$A$87:$I$107,4,0)),0,VLOOKUP(A63,'Données projet'!$A$87:$I$107,4,0))</f>
        <v>0</v>
      </c>
      <c r="BM63" s="17">
        <f>IF(ISNA(VLOOKUP(A63,'Données projet'!$A$87:$I$107,5,0)),0%,VLOOKUP(A63,'Données projet'!$A$87:$I$107,5,0)*VLOOKUP('Données projet'!$B$11,Paramètres!$A$1:$I$89,7,0))</f>
        <v>0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 t="e">
        <f>EXP(-LN(2)/35)*BP62+(1-EXP(-LN(2)/35))/(LN(2)/35)*BL63*BM63*VLOOKUP('Données projet'!$B$11,Paramètres!$A$1:$I$89,3,0)*0.475*44/12</f>
        <v>#N/A</v>
      </c>
      <c r="BQ63" s="23" t="e">
        <f>EXP(-LN(2)/25)*BQ62+(1-EXP(-LN(2)/25))/(LN(2)/25)*Calculateur!BL63*Calculateur!BN63*VLOOKUP('Données projet'!$B$11,Paramètres!$A$1:$I$89,3,0)*0.475*44/12</f>
        <v>#N/A</v>
      </c>
      <c r="BR63" s="23" t="e">
        <f>EXP(-LN(2)/2)*BR62+(1-EXP(-LN(2)/2))/(LN(2)/2)*BL63*BO63*VLOOKUP('Données projet'!$B$11,Paramètres!$A$1:$I$89,3,0)*0.475*44/12</f>
        <v>#N/A</v>
      </c>
      <c r="BS63" s="24" t="e">
        <f t="shared" si="9"/>
        <v>#N/A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0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0</v>
      </c>
      <c r="H64" s="70">
        <f t="shared" si="1"/>
        <v>256.66666666666669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>
        <f>VLOOKUP(A64,'Données projet'!$A$35:$I$55,2,0)</f>
        <v>348.21</v>
      </c>
      <c r="L64" s="13">
        <f>VLOOKUP(A64,'Données projet'!$A$35:$I$55,9,0)</f>
        <v>12.518749999999997</v>
      </c>
      <c r="M64" s="13">
        <f t="array" ref="M64">INDEX(L:L,MIN(IF(ISNUMBER(L64:L260),ROW(L64:L260),"")))</f>
        <v>12.518749999999997</v>
      </c>
      <c r="N64" s="14">
        <f>IF('Données projet'!$A$36&gt;35,N63+M64-V63,IF(A64&lt;'Données projet'!$A$36,$K$205^A64,IF(A64='Données projet'!$A$36,'Données projet'!$B$36,N63+M64-V63)))</f>
        <v>348.21000000000015</v>
      </c>
      <c r="O64" s="14">
        <f>N64*VLOOKUP('Données projet'!$B$9,Paramètres!$A$1:$I$89,3,0)*VLOOKUP('Données projet'!$B$9,Paramètres!$A$1:$I$89,5,0)</f>
        <v>162.96228000000008</v>
      </c>
      <c r="P64" s="14">
        <f t="shared" si="33"/>
        <v>41.509950889873849</v>
      </c>
      <c r="Q64" s="22">
        <f t="shared" si="53"/>
        <v>356.12246879986373</v>
      </c>
      <c r="R64" s="62">
        <f t="shared" si="0"/>
        <v>649.45580213319704</v>
      </c>
      <c r="S64" s="62">
        <f ca="1">AVERAGE(OFFSET($R$3,0,0,'Données projet'!$E$9+1,1))-AVERAGE(OFFSET($H$3,0,0,'Données projet'!$E$9+1,1))</f>
        <v>302.58171900450355</v>
      </c>
      <c r="T64" s="62">
        <f t="shared" si="34"/>
        <v>164.1450425611464</v>
      </c>
      <c r="U64" s="16">
        <f>IF(ISNA(VLOOKUP(A64,'Données projet'!$A$35:$I$55,3,0)),0,VLOOKUP(A64,'Données projet'!$A$35:$I$55,3,0))</f>
        <v>5</v>
      </c>
      <c r="V64" s="16">
        <f>IF(ISNA(VLOOKUP(A64,'Données projet'!$A$35:$I$55,4,0)),0,VLOOKUP(A64,'Données projet'!$A$35:$I$55,4,0))</f>
        <v>100.2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5.2</v>
      </c>
      <c r="AI64" s="14">
        <f>IF('Données projet'!$A$62&gt;35,AI63+AH64-AQ63,IF(A64&lt;'Données projet'!$A$62,$AF$205^A64,IF(A64='Données projet'!$A$62,'Données projet'!$B$62,AI63+AH64-AQ63)))</f>
        <v>140.1999999999999</v>
      </c>
      <c r="AJ64" s="14">
        <f>AI64*VLOOKUP('Données projet'!$B$10,Paramètres!$A$1:$I$89,3,0)*VLOOKUP('Données projet'!$B$10,Paramètres!$A$1:$I$89,5,0)</f>
        <v>150.91127999999989</v>
      </c>
      <c r="AK64" s="14">
        <f t="shared" si="35"/>
        <v>38.785604213098914</v>
      </c>
      <c r="AL64" s="22">
        <f t="shared" si="4"/>
        <v>330.38874000448038</v>
      </c>
      <c r="AM64" s="62">
        <f t="shared" si="5"/>
        <v>623.72207333781375</v>
      </c>
      <c r="AN64" s="62">
        <f ca="1">AVERAGE(OFFSET($AM$3,0,0,'Données projet'!$E$10+1,1))-AVERAGE(OFFSET($H$3,0,0,'Données projet'!$E$10+1,1))</f>
        <v>327.4984716935208</v>
      </c>
      <c r="AO64" s="62">
        <f t="shared" si="36"/>
        <v>166.97658184507776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0</v>
      </c>
      <c r="AV64" s="23">
        <f>EXP(-LN(2)/25)*AV63+(1-EXP(-LN(2)/25))/(LN(2)/25)*Calculateur!AQ64*Calculateur!AS64*VLOOKUP('Données projet'!$B$10,Paramètres!$A$1:$I$89,3,0)*0.475*44/12</f>
        <v>0</v>
      </c>
      <c r="AW64" s="23">
        <f>EXP(-LN(2)/2)*AW63+(1-EXP(-LN(2)/2))/(LN(2)/2)*AQ64*AT64*VLOOKUP('Données projet'!$B$10,Paramètres!$A$1:$I$89,3,0)*0.475*44/12</f>
        <v>0</v>
      </c>
      <c r="AX64" s="23">
        <f t="shared" si="6"/>
        <v>0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0</v>
      </c>
      <c r="BD64" s="13">
        <f>IF('Données projet'!$A$88&gt;35,BD63+BC64-BL63,IF(A64&lt;'Données projet'!$A$88,$BA$205^A64,IF(A64='Données projet'!$A$88,'Données projet'!$B$88,BD63+BC64-BL63)))</f>
        <v>0</v>
      </c>
      <c r="BE64" s="14" t="e">
        <f>BD64*VLOOKUP('Données projet'!$B$11,Paramètres!$A$1:$I$89,3,0)*VLOOKUP('Données projet'!$B$11,Paramètres!$A$1:$I$89,5,0)</f>
        <v>#N/A</v>
      </c>
      <c r="BF64" s="14" t="e">
        <f t="shared" si="37"/>
        <v>#N/A</v>
      </c>
      <c r="BG64" s="22" t="e">
        <f t="shared" si="7"/>
        <v>#N/A</v>
      </c>
      <c r="BH64" s="62" t="e">
        <f t="shared" si="8"/>
        <v>#N/A</v>
      </c>
      <c r="BI64" s="62" t="e">
        <f ca="1">AVERAGE(OFFSET($BH$3,0,0,'Données projet'!$E$11+1,1))-AVERAGE(OFFSET($H$3,0,0,'Données projet'!$E$11+1,1))</f>
        <v>#N/A</v>
      </c>
      <c r="BJ64" s="62" t="e">
        <f t="shared" si="38"/>
        <v>#N/A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 t="e">
        <f>EXP(-LN(2)/35)*BP63+(1-EXP(-LN(2)/35))/(LN(2)/35)*BL64*BM64*VLOOKUP('Données projet'!$B$11,Paramètres!$A$1:$I$89,3,0)*0.475*44/12</f>
        <v>#N/A</v>
      </c>
      <c r="BQ64" s="23" t="e">
        <f>EXP(-LN(2)/25)*BQ63+(1-EXP(-LN(2)/25))/(LN(2)/25)*Calculateur!BL64*Calculateur!BN64*VLOOKUP('Données projet'!$B$11,Paramètres!$A$1:$I$89,3,0)*0.475*44/12</f>
        <v>#N/A</v>
      </c>
      <c r="BR64" s="23" t="e">
        <f>EXP(-LN(2)/2)*BR63+(1-EXP(-LN(2)/2))/(LN(2)/2)*BL64*BO64*VLOOKUP('Données projet'!$B$11,Paramètres!$A$1:$I$89,3,0)*0.475*44/12</f>
        <v>#N/A</v>
      </c>
      <c r="BS64" s="24" t="e">
        <f t="shared" si="9"/>
        <v>#N/A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0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0</v>
      </c>
      <c r="H65" s="70">
        <f t="shared" si="1"/>
        <v>256.66666666666669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>
        <f>VLOOKUP(A65,'Données projet'!$A$35:$I$55,2,0)</f>
        <v>260.2</v>
      </c>
      <c r="L65" s="13">
        <f>VLOOKUP(A65,'Données projet'!$A$35:$I$55,9,0)</f>
        <v>12.189999999999998</v>
      </c>
      <c r="M65" s="13">
        <f t="array" ref="M65">INDEX(L:L,MIN(IF(ISNUMBER(L65:L261),ROW(L65:L261),"")))</f>
        <v>12.189999999999998</v>
      </c>
      <c r="N65" s="14">
        <f>IF('Données projet'!$A$36&gt;35,N64+M65-V64,IF(A65&lt;'Données projet'!$A$36,$K$205^A65,IF(A65='Données projet'!$A$36,'Données projet'!$B$36,N64+M65-V64)))</f>
        <v>260.20000000000016</v>
      </c>
      <c r="O65" s="14">
        <f>N65*VLOOKUP('Données projet'!$B$9,Paramètres!$A$1:$I$89,3,0)*VLOOKUP('Données projet'!$B$9,Paramètres!$A$1:$I$89,5,0)</f>
        <v>121.77360000000007</v>
      </c>
      <c r="P65" s="14">
        <f t="shared" si="33"/>
        <v>32.088308478936305</v>
      </c>
      <c r="Q65" s="22">
        <f t="shared" si="53"/>
        <v>267.97615726748086</v>
      </c>
      <c r="R65" s="62">
        <f t="shared" si="0"/>
        <v>561.30949060081412</v>
      </c>
      <c r="S65" s="62">
        <f ca="1">AVERAGE(OFFSET($R$3,0,0,'Données projet'!$E$9+1,1))-AVERAGE(OFFSET($H$3,0,0,'Données projet'!$E$9+1,1))</f>
        <v>302.58171900450355</v>
      </c>
      <c r="T65" s="62">
        <f t="shared" si="34"/>
        <v>164.1450425611464</v>
      </c>
      <c r="U65" s="16">
        <f>IF(ISNA(VLOOKUP(A65,'Données projet'!$A$35:$I$55,3,0)),0,VLOOKUP(A65,'Données projet'!$A$35:$I$55,3,0))</f>
        <v>6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5.2</v>
      </c>
      <c r="AI65" s="14">
        <f>IF('Données projet'!$A$62&gt;35,AI64+AH65-AQ64,IF(A65&lt;'Données projet'!$A$62,$AF$205^A65,IF(A65='Données projet'!$A$62,'Données projet'!$B$62,AI64+AH65-AQ64)))</f>
        <v>145.39999999999989</v>
      </c>
      <c r="AJ65" s="14">
        <f>AI65*VLOOKUP('Données projet'!$B$10,Paramètres!$A$1:$I$89,3,0)*VLOOKUP('Données projet'!$B$10,Paramètres!$A$1:$I$89,5,0)</f>
        <v>156.50855999999987</v>
      </c>
      <c r="AK65" s="14">
        <f t="shared" si="35"/>
        <v>40.054003013193991</v>
      </c>
      <c r="AL65" s="22">
        <f t="shared" si="4"/>
        <v>342.34646391464599</v>
      </c>
      <c r="AM65" s="62">
        <f t="shared" si="5"/>
        <v>635.67979724797931</v>
      </c>
      <c r="AN65" s="62">
        <f ca="1">AVERAGE(OFFSET($AM$3,0,0,'Données projet'!$E$10+1,1))-AVERAGE(OFFSET($H$3,0,0,'Données projet'!$E$10+1,1))</f>
        <v>327.4984716935208</v>
      </c>
      <c r="AO65" s="62">
        <f t="shared" si="36"/>
        <v>166.97658184507776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0</v>
      </c>
      <c r="AV65" s="23">
        <f>EXP(-LN(2)/25)*AV64+(1-EXP(-LN(2)/25))/(LN(2)/25)*Calculateur!AQ65*Calculateur!AS65*VLOOKUP('Données projet'!$B$10,Paramètres!$A$1:$I$89,3,0)*0.475*44/12</f>
        <v>0</v>
      </c>
      <c r="AW65" s="23">
        <f>EXP(-LN(2)/2)*AW64+(1-EXP(-LN(2)/2))/(LN(2)/2)*AQ65*AT65*VLOOKUP('Données projet'!$B$10,Paramètres!$A$1:$I$89,3,0)*0.475*44/12</f>
        <v>0</v>
      </c>
      <c r="AX65" s="23">
        <f t="shared" si="6"/>
        <v>0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0</v>
      </c>
      <c r="BD65" s="13">
        <f>IF('Données projet'!$A$88&gt;35,BD64+BC65-BL64,IF(A65&lt;'Données projet'!$A$88,$BA$205^A65,IF(A65='Données projet'!$A$88,'Données projet'!$B$88,BD64+BC65-BL64)))</f>
        <v>0</v>
      </c>
      <c r="BE65" s="14" t="e">
        <f>BD65*VLOOKUP('Données projet'!$B$11,Paramètres!$A$1:$I$89,3,0)*VLOOKUP('Données projet'!$B$11,Paramètres!$A$1:$I$89,5,0)</f>
        <v>#N/A</v>
      </c>
      <c r="BF65" s="14" t="e">
        <f t="shared" si="37"/>
        <v>#N/A</v>
      </c>
      <c r="BG65" s="22" t="e">
        <f t="shared" si="7"/>
        <v>#N/A</v>
      </c>
      <c r="BH65" s="62" t="e">
        <f t="shared" si="8"/>
        <v>#N/A</v>
      </c>
      <c r="BI65" s="62" t="e">
        <f ca="1">AVERAGE(OFFSET($BH$3,0,0,'Données projet'!$E$11+1,1))-AVERAGE(OFFSET($H$3,0,0,'Données projet'!$E$11+1,1))</f>
        <v>#N/A</v>
      </c>
      <c r="BJ65" s="62" t="e">
        <f t="shared" si="38"/>
        <v>#N/A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 t="e">
        <f>EXP(-LN(2)/35)*BP64+(1-EXP(-LN(2)/35))/(LN(2)/35)*BL65*BM65*VLOOKUP('Données projet'!$B$11,Paramètres!$A$1:$I$89,3,0)*0.475*44/12</f>
        <v>#N/A</v>
      </c>
      <c r="BQ65" s="23" t="e">
        <f>EXP(-LN(2)/25)*BQ64+(1-EXP(-LN(2)/25))/(LN(2)/25)*Calculateur!BL65*Calculateur!BN65*VLOOKUP('Données projet'!$B$11,Paramètres!$A$1:$I$89,3,0)*0.475*44/12</f>
        <v>#N/A</v>
      </c>
      <c r="BR65" s="23" t="e">
        <f>EXP(-LN(2)/2)*BR64+(1-EXP(-LN(2)/2))/(LN(2)/2)*BL65*BO65*VLOOKUP('Données projet'!$B$11,Paramètres!$A$1:$I$89,3,0)*0.475*44/12</f>
        <v>#N/A</v>
      </c>
      <c r="BS65" s="24" t="e">
        <f t="shared" si="9"/>
        <v>#N/A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0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0</v>
      </c>
      <c r="H66" s="70">
        <f t="shared" si="1"/>
        <v>256.66666666666669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11.839090909090912</v>
      </c>
      <c r="N66" s="14">
        <f>IF('Données projet'!$A$36&gt;35,N65+M66-V65,IF(A66&lt;'Données projet'!$A$36,$K$205^A66,IF(A66='Données projet'!$A$36,'Données projet'!$B$36,N65+M66-V65)))</f>
        <v>272.03909090909104</v>
      </c>
      <c r="O66" s="14">
        <f>N66*VLOOKUP('Données projet'!$B$9,Paramètres!$A$1:$I$89,3,0)*VLOOKUP('Données projet'!$B$9,Paramètres!$A$1:$I$89,5,0)</f>
        <v>127.31429454545462</v>
      </c>
      <c r="P66" s="14">
        <f t="shared" si="33"/>
        <v>33.375019680128482</v>
      </c>
      <c r="Q66" s="22">
        <f t="shared" si="53"/>
        <v>279.86722227622391</v>
      </c>
      <c r="R66" s="62">
        <f t="shared" si="0"/>
        <v>573.20055560955723</v>
      </c>
      <c r="S66" s="62">
        <f ca="1">AVERAGE(OFFSET($R$3,0,0,'Données projet'!$E$9+1,1))-AVERAGE(OFFSET($H$3,0,0,'Données projet'!$E$9+1,1))</f>
        <v>302.58171900450355</v>
      </c>
      <c r="T66" s="62">
        <f t="shared" si="34"/>
        <v>164.1450425611464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5.2</v>
      </c>
      <c r="AI66" s="14">
        <f>IF('Données projet'!$A$62&gt;35,AI65+AH66-AQ65,IF(A66&lt;'Données projet'!$A$62,$AF$205^A66,IF(A66='Données projet'!$A$62,'Données projet'!$B$62,AI65+AH66-AQ65)))</f>
        <v>150.59999999999988</v>
      </c>
      <c r="AJ66" s="14">
        <f>AI66*VLOOKUP('Données projet'!$B$10,Paramètres!$A$1:$I$89,3,0)*VLOOKUP('Données projet'!$B$10,Paramètres!$A$1:$I$89,5,0)</f>
        <v>162.10583999999989</v>
      </c>
      <c r="AK66" s="14">
        <f t="shared" si="35"/>
        <v>41.317131433597162</v>
      </c>
      <c r="AL66" s="22">
        <f t="shared" si="4"/>
        <v>354.2950085801815</v>
      </c>
      <c r="AM66" s="62">
        <f t="shared" si="5"/>
        <v>647.62834191351476</v>
      </c>
      <c r="AN66" s="62">
        <f ca="1">AVERAGE(OFFSET($AM$3,0,0,'Données projet'!$E$10+1,1))-AVERAGE(OFFSET($H$3,0,0,'Données projet'!$E$10+1,1))</f>
        <v>327.4984716935208</v>
      </c>
      <c r="AO66" s="62">
        <f t="shared" si="36"/>
        <v>166.97658184507776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0</v>
      </c>
      <c r="AV66" s="23">
        <f>EXP(-LN(2)/25)*AV65+(1-EXP(-LN(2)/25))/(LN(2)/25)*Calculateur!AQ66*Calculateur!AS66*VLOOKUP('Données projet'!$B$10,Paramètres!$A$1:$I$89,3,0)*0.475*44/12</f>
        <v>0</v>
      </c>
      <c r="AW66" s="23">
        <f>EXP(-LN(2)/2)*AW65+(1-EXP(-LN(2)/2))/(LN(2)/2)*AQ66*AT66*VLOOKUP('Données projet'!$B$10,Paramètres!$A$1:$I$89,3,0)*0.475*44/12</f>
        <v>0</v>
      </c>
      <c r="AX66" s="23">
        <f t="shared" si="6"/>
        <v>0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0</v>
      </c>
      <c r="BD66" s="13">
        <f>IF('Données projet'!$A$88&gt;35,BD65+BC66-BL65,IF(A66&lt;'Données projet'!$A$88,$BA$205^A66,IF(A66='Données projet'!$A$88,'Données projet'!$B$88,BD65+BC66-BL65)))</f>
        <v>0</v>
      </c>
      <c r="BE66" s="14" t="e">
        <f>BD66*VLOOKUP('Données projet'!$B$11,Paramètres!$A$1:$I$89,3,0)*VLOOKUP('Données projet'!$B$11,Paramètres!$A$1:$I$89,5,0)</f>
        <v>#N/A</v>
      </c>
      <c r="BF66" s="14" t="e">
        <f t="shared" si="37"/>
        <v>#N/A</v>
      </c>
      <c r="BG66" s="22" t="e">
        <f t="shared" si="7"/>
        <v>#N/A</v>
      </c>
      <c r="BH66" s="62" t="e">
        <f t="shared" si="8"/>
        <v>#N/A</v>
      </c>
      <c r="BI66" s="62" t="e">
        <f ca="1">AVERAGE(OFFSET($BH$3,0,0,'Données projet'!$E$11+1,1))-AVERAGE(OFFSET($H$3,0,0,'Données projet'!$E$11+1,1))</f>
        <v>#N/A</v>
      </c>
      <c r="BJ66" s="62" t="e">
        <f t="shared" si="38"/>
        <v>#N/A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 t="e">
        <f>EXP(-LN(2)/35)*BP65+(1-EXP(-LN(2)/35))/(LN(2)/35)*BL66*BM66*VLOOKUP('Données projet'!$B$11,Paramètres!$A$1:$I$89,3,0)*0.475*44/12</f>
        <v>#N/A</v>
      </c>
      <c r="BQ66" s="23" t="e">
        <f>EXP(-LN(2)/25)*BQ65+(1-EXP(-LN(2)/25))/(LN(2)/25)*Calculateur!BL66*Calculateur!BN66*VLOOKUP('Données projet'!$B$11,Paramètres!$A$1:$I$89,3,0)*0.475*44/12</f>
        <v>#N/A</v>
      </c>
      <c r="BR66" s="23" t="e">
        <f>EXP(-LN(2)/2)*BR65+(1-EXP(-LN(2)/2))/(LN(2)/2)*BL66*BO66*VLOOKUP('Données projet'!$B$11,Paramètres!$A$1:$I$89,3,0)*0.475*44/12</f>
        <v>#N/A</v>
      </c>
      <c r="BS66" s="24" t="e">
        <f t="shared" si="9"/>
        <v>#N/A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0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0</v>
      </c>
      <c r="H67" s="70">
        <f t="shared" si="1"/>
        <v>256.66666666666669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11.839090909090912</v>
      </c>
      <c r="N67" s="14">
        <f>IF('Données projet'!$A$36&gt;35,N66+M67-V66,IF(A67&lt;'Données projet'!$A$36,$K$205^A67,IF(A67='Données projet'!$A$36,'Données projet'!$B$36,N66+M67-V66)))</f>
        <v>283.87818181818193</v>
      </c>
      <c r="O67" s="14">
        <f>N67*VLOOKUP('Données projet'!$B$9,Paramètres!$A$1:$I$89,3,0)*VLOOKUP('Données projet'!$B$9,Paramètres!$A$1:$I$89,5,0)</f>
        <v>132.85498909090913</v>
      </c>
      <c r="P67" s="14">
        <f t="shared" si="33"/>
        <v>34.655227093637222</v>
      </c>
      <c r="Q67" s="22">
        <f t="shared" ref="Q67:Q98" si="54">(O67+P67)*0.475*44/12</f>
        <v>291.74695985475154</v>
      </c>
      <c r="R67" s="62">
        <f t="shared" ref="R67:R130" si="55">Q67+(I67+J67)*44/12</f>
        <v>585.08029318808485</v>
      </c>
      <c r="S67" s="62">
        <f ca="1">AVERAGE(OFFSET($R$3,0,0,'Données projet'!$E$9+1,1))-AVERAGE(OFFSET($H$3,0,0,'Données projet'!$E$9+1,1))</f>
        <v>302.58171900450355</v>
      </c>
      <c r="T67" s="62">
        <f t="shared" si="34"/>
        <v>164.1450425611464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5.2</v>
      </c>
      <c r="AI67" s="14">
        <f>IF('Données projet'!$A$62&gt;35,AI66+AH67-AQ66,IF(A67&lt;'Données projet'!$A$62,$AF$205^A67,IF(A67='Données projet'!$A$62,'Données projet'!$B$62,AI66+AH67-AQ66)))</f>
        <v>155.79999999999987</v>
      </c>
      <c r="AJ67" s="14">
        <f>AI67*VLOOKUP('Données projet'!$B$10,Paramètres!$A$1:$I$89,3,0)*VLOOKUP('Données projet'!$B$10,Paramètres!$A$1:$I$89,5,0)</f>
        <v>167.70311999999984</v>
      </c>
      <c r="AK67" s="14">
        <f t="shared" si="35"/>
        <v>42.575192309390843</v>
      </c>
      <c r="AL67" s="22">
        <f t="shared" si="4"/>
        <v>366.23472727218876</v>
      </c>
      <c r="AM67" s="62">
        <f t="shared" si="5"/>
        <v>659.56806060552208</v>
      </c>
      <c r="AN67" s="62">
        <f ca="1">AVERAGE(OFFSET($AM$3,0,0,'Données projet'!$E$10+1,1))-AVERAGE(OFFSET($H$3,0,0,'Données projet'!$E$10+1,1))</f>
        <v>327.4984716935208</v>
      </c>
      <c r="AO67" s="62">
        <f t="shared" si="36"/>
        <v>166.97658184507776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0</v>
      </c>
      <c r="AV67" s="23">
        <f>EXP(-LN(2)/25)*AV66+(1-EXP(-LN(2)/25))/(LN(2)/25)*Calculateur!AQ67*Calculateur!AS67*VLOOKUP('Données projet'!$B$10,Paramètres!$A$1:$I$89,3,0)*0.475*44/12</f>
        <v>0</v>
      </c>
      <c r="AW67" s="23">
        <f>EXP(-LN(2)/2)*AW66+(1-EXP(-LN(2)/2))/(LN(2)/2)*AQ67*AT67*VLOOKUP('Données projet'!$B$10,Paramètres!$A$1:$I$89,3,0)*0.475*44/12</f>
        <v>0</v>
      </c>
      <c r="AX67" s="23">
        <f t="shared" si="6"/>
        <v>0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0</v>
      </c>
      <c r="BD67" s="13">
        <f>IF('Données projet'!$A$88&gt;35,BD66+BC67-BL66,IF(A67&lt;'Données projet'!$A$88,$BA$205^A67,IF(A67='Données projet'!$A$88,'Données projet'!$B$88,BD66+BC67-BL66)))</f>
        <v>0</v>
      </c>
      <c r="BE67" s="14" t="e">
        <f>BD67*VLOOKUP('Données projet'!$B$11,Paramètres!$A$1:$I$89,3,0)*VLOOKUP('Données projet'!$B$11,Paramètres!$A$1:$I$89,5,0)</f>
        <v>#N/A</v>
      </c>
      <c r="BF67" s="14" t="e">
        <f t="shared" si="37"/>
        <v>#N/A</v>
      </c>
      <c r="BG67" s="22" t="e">
        <f t="shared" si="7"/>
        <v>#N/A</v>
      </c>
      <c r="BH67" s="62" t="e">
        <f t="shared" si="8"/>
        <v>#N/A</v>
      </c>
      <c r="BI67" s="62" t="e">
        <f ca="1">AVERAGE(OFFSET($BH$3,0,0,'Données projet'!$E$11+1,1))-AVERAGE(OFFSET($H$3,0,0,'Données projet'!$E$11+1,1))</f>
        <v>#N/A</v>
      </c>
      <c r="BJ67" s="62" t="e">
        <f t="shared" si="38"/>
        <v>#N/A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 t="e">
        <f>EXP(-LN(2)/35)*BP66+(1-EXP(-LN(2)/35))/(LN(2)/35)*BL67*BM67*VLOOKUP('Données projet'!$B$11,Paramètres!$A$1:$I$89,3,0)*0.475*44/12</f>
        <v>#N/A</v>
      </c>
      <c r="BQ67" s="23" t="e">
        <f>EXP(-LN(2)/25)*BQ66+(1-EXP(-LN(2)/25))/(LN(2)/25)*Calculateur!BL67*Calculateur!BN67*VLOOKUP('Données projet'!$B$11,Paramètres!$A$1:$I$89,3,0)*0.475*44/12</f>
        <v>#N/A</v>
      </c>
      <c r="BR67" s="23" t="e">
        <f>EXP(-LN(2)/2)*BR66+(1-EXP(-LN(2)/2))/(LN(2)/2)*BL67*BO67*VLOOKUP('Données projet'!$B$11,Paramètres!$A$1:$I$89,3,0)*0.475*44/12</f>
        <v>#N/A</v>
      </c>
      <c r="BS67" s="24" t="e">
        <f t="shared" si="9"/>
        <v>#N/A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0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0</v>
      </c>
      <c r="H68" s="70">
        <f t="shared" ref="H68:H131" si="56">(B68+E68+F68)*44/12+(C68+D68)*0.475*44/12</f>
        <v>256.66666666666669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11.839090909090912</v>
      </c>
      <c r="N68" s="14">
        <f>IF('Données projet'!$A$36&gt;35,N67+M68-V67,IF(A68&lt;'Données projet'!$A$36,$K$205^A68,IF(A68='Données projet'!$A$36,'Données projet'!$B$36,N67+M68-V67)))</f>
        <v>295.71727272727281</v>
      </c>
      <c r="O68" s="14">
        <f>N68*VLOOKUP('Données projet'!$B$9,Paramètres!$A$1:$I$89,3,0)*VLOOKUP('Données projet'!$B$9,Paramètres!$A$1:$I$89,5,0)</f>
        <v>138.39568363636369</v>
      </c>
      <c r="P68" s="14">
        <f t="shared" si="33"/>
        <v>35.929232975976582</v>
      </c>
      <c r="Q68" s="22">
        <f t="shared" si="54"/>
        <v>303.61589643315932</v>
      </c>
      <c r="R68" s="62">
        <f t="shared" si="55"/>
        <v>596.94922976649264</v>
      </c>
      <c r="S68" s="62">
        <f ca="1">AVERAGE(OFFSET($R$3,0,0,'Données projet'!$E$9+1,1))-AVERAGE(OFFSET($H$3,0,0,'Données projet'!$E$9+1,1))</f>
        <v>302.58171900450355</v>
      </c>
      <c r="T68" s="62">
        <f t="shared" si="34"/>
        <v>164.1450425611464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161</v>
      </c>
      <c r="AG68" s="13">
        <f>VLOOKUP(A68,'Données projet'!$A$61:$I$81,9,0)</f>
        <v>5.2</v>
      </c>
      <c r="AH68" s="13">
        <f t="array" ref="AH68">INDEX(AG:AG,MIN(IF(ISNUMBER(AG68:AG264),ROW(AG68:AG264),"")))</f>
        <v>5.2</v>
      </c>
      <c r="AI68" s="14">
        <f>IF('Données projet'!$A$62&gt;35,AI67+AH68-AQ67,IF(A68&lt;'Données projet'!$A$62,$AF$205^A68,IF(A68='Données projet'!$A$62,'Données projet'!$B$62,AI67+AH68-AQ67)))</f>
        <v>160.99999999999986</v>
      </c>
      <c r="AJ68" s="14">
        <f>AI68*VLOOKUP('Données projet'!$B$10,Paramètres!$A$1:$I$89,3,0)*VLOOKUP('Données projet'!$B$10,Paramètres!$A$1:$I$89,5,0)</f>
        <v>173.30039999999983</v>
      </c>
      <c r="AK68" s="14">
        <f t="shared" si="35"/>
        <v>43.828374167667008</v>
      </c>
      <c r="AL68" s="22">
        <f t="shared" ref="AL68:AL131" si="58">(AJ68+AK68)*0.475*44/12</f>
        <v>378.1659483420197</v>
      </c>
      <c r="AM68" s="62">
        <f t="shared" ref="AM68:AM131" si="59">AL68+(AD68+AE68)*44/12</f>
        <v>671.49928167535302</v>
      </c>
      <c r="AN68" s="62">
        <f ca="1">AVERAGE(OFFSET($AM$3,0,0,'Données projet'!$E$10+1,1))-AVERAGE(OFFSET($H$3,0,0,'Données projet'!$E$10+1,1))</f>
        <v>327.4984716935208</v>
      </c>
      <c r="AO68" s="62">
        <f t="shared" si="36"/>
        <v>166.97658184507776</v>
      </c>
      <c r="AP68" s="16">
        <f>IF(ISNA(VLOOKUP(A68,'Données projet'!$A$61:$I$81,3,0)),0,VLOOKUP(A68,'Données projet'!$A$61:$I$81,3,0))</f>
        <v>9</v>
      </c>
      <c r="AQ68" s="16">
        <f>IF(ISNA(VLOOKUP(A68,'Données projet'!$A$61:$I$81,4,0)),0,VLOOKUP(A68,'Données projet'!$A$61:$I$81,4,0))</f>
        <v>14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0</v>
      </c>
      <c r="AV68" s="23">
        <f>EXP(-LN(2)/25)*AV67+(1-EXP(-LN(2)/25))/(LN(2)/25)*Calculateur!AQ68*Calculateur!AS68*VLOOKUP('Données projet'!$B$10,Paramètres!$A$1:$I$89,3,0)*0.475*44/12</f>
        <v>0</v>
      </c>
      <c r="AW68" s="23">
        <f>EXP(-LN(2)/2)*AW67+(1-EXP(-LN(2)/2))/(LN(2)/2)*AQ68*AT68*VLOOKUP('Données projet'!$B$10,Paramètres!$A$1:$I$89,3,0)*0.475*44/12</f>
        <v>0</v>
      </c>
      <c r="AX68" s="23">
        <f t="shared" ref="AX68:AX131" si="60">SUM(AU68:AW68)</f>
        <v>0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 t="e">
        <f>VLOOKUP(A68,'Données projet'!$A$87:$I$107,2,0)</f>
        <v>#N/A</v>
      </c>
      <c r="BB68" s="13" t="e">
        <f>VLOOKUP(A68,'Données projet'!$A$87:$I$107,9,0)</f>
        <v>#N/A</v>
      </c>
      <c r="BC68" s="13">
        <f t="array" ref="BC68">INDEX(BB:BB,MIN(IF(ISNUMBER(BB68:BB264),ROW(BB68:BB264),"")))</f>
        <v>0</v>
      </c>
      <c r="BD68" s="13">
        <f>IF('Données projet'!$A$88&gt;35,BD67+BC68-BL67,IF(A68&lt;'Données projet'!$A$88,$BA$205^A68,IF(A68='Données projet'!$A$88,'Données projet'!$B$88,BD67+BC68-BL67)))</f>
        <v>0</v>
      </c>
      <c r="BE68" s="14" t="e">
        <f>BD68*VLOOKUP('Données projet'!$B$11,Paramètres!$A$1:$I$89,3,0)*VLOOKUP('Données projet'!$B$11,Paramètres!$A$1:$I$89,5,0)</f>
        <v>#N/A</v>
      </c>
      <c r="BF68" s="14" t="e">
        <f t="shared" si="37"/>
        <v>#N/A</v>
      </c>
      <c r="BG68" s="22" t="e">
        <f t="shared" ref="BG68:BG131" si="61">(BE68+BF68)*0.475*44/12</f>
        <v>#N/A</v>
      </c>
      <c r="BH68" s="62" t="e">
        <f t="shared" ref="BH68:BH131" si="62">BG68+(AY68+AZ68)*44/12</f>
        <v>#N/A</v>
      </c>
      <c r="BI68" s="62" t="e">
        <f ca="1">AVERAGE(OFFSET($BH$3,0,0,'Données projet'!$E$11+1,1))-AVERAGE(OFFSET($H$3,0,0,'Données projet'!$E$11+1,1))</f>
        <v>#N/A</v>
      </c>
      <c r="BJ68" s="62" t="e">
        <f t="shared" si="38"/>
        <v>#N/A</v>
      </c>
      <c r="BK68" s="16">
        <f>IF(ISNA(VLOOKUP(A68,'Données projet'!$A$87:$I$107,3,0)),0,VLOOKUP(A68,'Données projet'!$A$87:$I$107,3,0))</f>
        <v>0</v>
      </c>
      <c r="BL68" s="16">
        <f>IF(ISNA(VLOOKUP(A68,'Données projet'!$A$87:$I$107,4,0)),0,VLOOKUP(A68,'Données projet'!$A$87:$I$107,4,0))</f>
        <v>0</v>
      </c>
      <c r="BM68" s="17">
        <f>IF(ISNA(VLOOKUP(A68,'Données projet'!$A$87:$I$107,5,0)),0%,VLOOKUP(A68,'Données projet'!$A$87:$I$107,5,0)*VLOOKUP('Données projet'!$B$11,Paramètres!$A$1:$I$89,7,0))</f>
        <v>0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 t="e">
        <f>EXP(-LN(2)/35)*BP67+(1-EXP(-LN(2)/35))/(LN(2)/35)*BL68*BM68*VLOOKUP('Données projet'!$B$11,Paramètres!$A$1:$I$89,3,0)*0.475*44/12</f>
        <v>#N/A</v>
      </c>
      <c r="BQ68" s="23" t="e">
        <f>EXP(-LN(2)/25)*BQ67+(1-EXP(-LN(2)/25))/(LN(2)/25)*Calculateur!BL68*Calculateur!BN68*VLOOKUP('Données projet'!$B$11,Paramètres!$A$1:$I$89,3,0)*0.475*44/12</f>
        <v>#N/A</v>
      </c>
      <c r="BR68" s="23" t="e">
        <f>EXP(-LN(2)/2)*BR67+(1-EXP(-LN(2)/2))/(LN(2)/2)*BL68*BO68*VLOOKUP('Données projet'!$B$11,Paramètres!$A$1:$I$89,3,0)*0.475*44/12</f>
        <v>#N/A</v>
      </c>
      <c r="BS68" s="24" t="e">
        <f t="shared" ref="BS68:BS131" si="63">SUM(BP68:BR68)</f>
        <v>#N/A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0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0</v>
      </c>
      <c r="H69" s="70">
        <f t="shared" si="56"/>
        <v>256.66666666666669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11.839090909090912</v>
      </c>
      <c r="N69" s="14">
        <f>IF('Données projet'!$A$36&gt;35,N68+M69-V68,IF(A69&lt;'Données projet'!$A$36,$K$205^A69,IF(A69='Données projet'!$A$36,'Données projet'!$B$36,N68+M69-V68)))</f>
        <v>307.5563636363637</v>
      </c>
      <c r="O69" s="14">
        <f>N69*VLOOKUP('Données projet'!$B$9,Paramètres!$A$1:$I$89,3,0)*VLOOKUP('Données projet'!$B$9,Paramètres!$A$1:$I$89,5,0)</f>
        <v>143.93637818181821</v>
      </c>
      <c r="P69" s="14">
        <f t="shared" ref="P69:P132" si="87">EXP(-1.0587+0.8836*LN(O69)+0.284)</f>
        <v>37.197314011996127</v>
      </c>
      <c r="Q69" s="22">
        <f t="shared" si="54"/>
        <v>315.47451390422663</v>
      </c>
      <c r="R69" s="62">
        <f t="shared" si="55"/>
        <v>608.80784723755994</v>
      </c>
      <c r="S69" s="62">
        <f ca="1">AVERAGE(OFFSET($R$3,0,0,'Données projet'!$E$9+1,1))-AVERAGE(OFFSET($H$3,0,0,'Données projet'!$E$9+1,1))</f>
        <v>302.58171900450355</v>
      </c>
      <c r="T69" s="62">
        <f t="shared" ref="T69:T132" si="88">$T$3</f>
        <v>164.1450425611464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5.2</v>
      </c>
      <c r="AI69" s="14">
        <f>IF('Données projet'!$A$62&gt;35,AI68+AH69-AQ68,IF(A69&lt;'Données projet'!$A$62,$AF$205^A69,IF(A69='Données projet'!$A$62,'Données projet'!$B$62,AI68+AH69-AQ68)))</f>
        <v>152.19999999999985</v>
      </c>
      <c r="AJ69" s="14">
        <f>AI69*VLOOKUP('Données projet'!$B$10,Paramètres!$A$1:$I$89,3,0)*VLOOKUP('Données projet'!$B$10,Paramètres!$A$1:$I$89,5,0)</f>
        <v>163.82807999999983</v>
      </c>
      <c r="AK69" s="14">
        <f t="shared" ref="AK69:AK132" si="89">EXP(-1.0587+0.8836*LN(AJ69)+0.284)</f>
        <v>41.704757806252196</v>
      </c>
      <c r="AL69" s="22">
        <f t="shared" si="58"/>
        <v>357.96969251255558</v>
      </c>
      <c r="AM69" s="62">
        <f t="shared" si="59"/>
        <v>651.3030258458889</v>
      </c>
      <c r="AN69" s="62">
        <f ca="1">AVERAGE(OFFSET($AM$3,0,0,'Données projet'!$E$10+1,1))-AVERAGE(OFFSET($H$3,0,0,'Données projet'!$E$10+1,1))</f>
        <v>327.4984716935208</v>
      </c>
      <c r="AO69" s="62">
        <f t="shared" ref="AO69:AO132" si="90">$AO$3</f>
        <v>166.97658184507776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0</v>
      </c>
      <c r="AV69" s="23">
        <f>EXP(-LN(2)/25)*AV68+(1-EXP(-LN(2)/25))/(LN(2)/25)*Calculateur!AQ69*Calculateur!AS69*VLOOKUP('Données projet'!$B$10,Paramètres!$A$1:$I$89,3,0)*0.475*44/12</f>
        <v>0</v>
      </c>
      <c r="AW69" s="23">
        <f>EXP(-LN(2)/2)*AW68+(1-EXP(-LN(2)/2))/(LN(2)/2)*AQ69*AT69*VLOOKUP('Données projet'!$B$10,Paramètres!$A$1:$I$89,3,0)*0.475*44/12</f>
        <v>0</v>
      </c>
      <c r="AX69" s="23">
        <f t="shared" si="60"/>
        <v>0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0</v>
      </c>
      <c r="BE69" s="14" t="e">
        <f>BD69*VLOOKUP('Données projet'!$B$11,Paramètres!$A$1:$I$89,3,0)*VLOOKUP('Données projet'!$B$11,Paramètres!$A$1:$I$89,5,0)</f>
        <v>#N/A</v>
      </c>
      <c r="BF69" s="14" t="e">
        <f t="shared" ref="BF69:BF132" si="91">EXP(-1.0587+0.8836*LN(BE69)+0.284)</f>
        <v>#N/A</v>
      </c>
      <c r="BG69" s="22" t="e">
        <f t="shared" si="61"/>
        <v>#N/A</v>
      </c>
      <c r="BH69" s="62" t="e">
        <f t="shared" si="62"/>
        <v>#N/A</v>
      </c>
      <c r="BI69" s="62" t="e">
        <f ca="1">AVERAGE(OFFSET($BH$3,0,0,'Données projet'!$E$11+1,1))-AVERAGE(OFFSET($H$3,0,0,'Données projet'!$E$11+1,1))</f>
        <v>#N/A</v>
      </c>
      <c r="BJ69" s="62" t="e">
        <f t="shared" ref="BJ69:BJ132" si="92">$BJ$3</f>
        <v>#N/A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 t="e">
        <f>EXP(-LN(2)/35)*BP68+(1-EXP(-LN(2)/35))/(LN(2)/35)*BL69*BM69*VLOOKUP('Données projet'!$B$11,Paramètres!$A$1:$I$89,3,0)*0.475*44/12</f>
        <v>#N/A</v>
      </c>
      <c r="BQ69" s="23" t="e">
        <f>EXP(-LN(2)/25)*BQ68+(1-EXP(-LN(2)/25))/(LN(2)/25)*Calculateur!BL69*Calculateur!BN69*VLOOKUP('Données projet'!$B$11,Paramètres!$A$1:$I$89,3,0)*0.475*44/12</f>
        <v>#N/A</v>
      </c>
      <c r="BR69" s="23" t="e">
        <f>EXP(-LN(2)/2)*BR68+(1-EXP(-LN(2)/2))/(LN(2)/2)*BL69*BO69*VLOOKUP('Données projet'!$B$11,Paramètres!$A$1:$I$89,3,0)*0.475*44/12</f>
        <v>#N/A</v>
      </c>
      <c r="BS69" s="24" t="e">
        <f t="shared" si="63"/>
        <v>#N/A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0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0</v>
      </c>
      <c r="H70" s="70">
        <f t="shared" si="56"/>
        <v>256.66666666666669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11.839090909090912</v>
      </c>
      <c r="N70" s="14">
        <f>IF('Données projet'!$A$36&gt;35,N69+M70-V69,IF(A70&lt;'Données projet'!$A$36,$K$205^A70,IF(A70='Données projet'!$A$36,'Données projet'!$B$36,N69+M70-V69)))</f>
        <v>319.39545454545458</v>
      </c>
      <c r="O70" s="14">
        <f>N70*VLOOKUP('Données projet'!$B$9,Paramètres!$A$1:$I$89,3,0)*VLOOKUP('Données projet'!$B$9,Paramètres!$A$1:$I$89,5,0)</f>
        <v>149.47707272727274</v>
      </c>
      <c r="P70" s="14">
        <f t="shared" si="87"/>
        <v>38.459724378788593</v>
      </c>
      <c r="Q70" s="22">
        <f t="shared" si="54"/>
        <v>327.32325495972344</v>
      </c>
      <c r="R70" s="62">
        <f t="shared" si="55"/>
        <v>620.65658829305676</v>
      </c>
      <c r="S70" s="62">
        <f ca="1">AVERAGE(OFFSET($R$3,0,0,'Données projet'!$E$9+1,1))-AVERAGE(OFFSET($H$3,0,0,'Données projet'!$E$9+1,1))</f>
        <v>302.58171900450355</v>
      </c>
      <c r="T70" s="62">
        <f t="shared" si="88"/>
        <v>164.1450425611464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5.2</v>
      </c>
      <c r="AI70" s="14">
        <f>IF('Données projet'!$A$62&gt;35,AI69+AH70-AQ69,IF(A70&lt;'Données projet'!$A$62,$AF$205^A70,IF(A70='Données projet'!$A$62,'Données projet'!$B$62,AI69+AH70-AQ69)))</f>
        <v>157.39999999999984</v>
      </c>
      <c r="AJ70" s="14">
        <f>AI70*VLOOKUP('Données projet'!$B$10,Paramètres!$A$1:$I$89,3,0)*VLOOKUP('Données projet'!$B$10,Paramètres!$A$1:$I$89,5,0)</f>
        <v>169.42535999999981</v>
      </c>
      <c r="AK70" s="14">
        <f t="shared" si="89"/>
        <v>42.961297990017918</v>
      </c>
      <c r="AL70" s="22">
        <f t="shared" si="58"/>
        <v>369.90676266594755</v>
      </c>
      <c r="AM70" s="62">
        <f t="shared" si="59"/>
        <v>663.24009599928081</v>
      </c>
      <c r="AN70" s="62">
        <f ca="1">AVERAGE(OFFSET($AM$3,0,0,'Données projet'!$E$10+1,1))-AVERAGE(OFFSET($H$3,0,0,'Données projet'!$E$10+1,1))</f>
        <v>327.4984716935208</v>
      </c>
      <c r="AO70" s="62">
        <f t="shared" si="90"/>
        <v>166.97658184507776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0</v>
      </c>
      <c r="AV70" s="23">
        <f>EXP(-LN(2)/25)*AV69+(1-EXP(-LN(2)/25))/(LN(2)/25)*Calculateur!AQ70*Calculateur!AS70*VLOOKUP('Données projet'!$B$10,Paramètres!$A$1:$I$89,3,0)*0.475*44/12</f>
        <v>0</v>
      </c>
      <c r="AW70" s="23">
        <f>EXP(-LN(2)/2)*AW69+(1-EXP(-LN(2)/2))/(LN(2)/2)*AQ70*AT70*VLOOKUP('Données projet'!$B$10,Paramètres!$A$1:$I$89,3,0)*0.475*44/12</f>
        <v>0</v>
      </c>
      <c r="AX70" s="23">
        <f t="shared" si="60"/>
        <v>0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0</v>
      </c>
      <c r="BE70" s="14" t="e">
        <f>BD70*VLOOKUP('Données projet'!$B$11,Paramètres!$A$1:$I$89,3,0)*VLOOKUP('Données projet'!$B$11,Paramètres!$A$1:$I$89,5,0)</f>
        <v>#N/A</v>
      </c>
      <c r="BF70" s="14" t="e">
        <f t="shared" si="91"/>
        <v>#N/A</v>
      </c>
      <c r="BG70" s="22" t="e">
        <f t="shared" si="61"/>
        <v>#N/A</v>
      </c>
      <c r="BH70" s="62" t="e">
        <f t="shared" si="62"/>
        <v>#N/A</v>
      </c>
      <c r="BI70" s="62" t="e">
        <f ca="1">AVERAGE(OFFSET($BH$3,0,0,'Données projet'!$E$11+1,1))-AVERAGE(OFFSET($H$3,0,0,'Données projet'!$E$11+1,1))</f>
        <v>#N/A</v>
      </c>
      <c r="BJ70" s="62" t="e">
        <f t="shared" si="92"/>
        <v>#N/A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 t="e">
        <f>EXP(-LN(2)/35)*BP69+(1-EXP(-LN(2)/35))/(LN(2)/35)*BL70*BM70*VLOOKUP('Données projet'!$B$11,Paramètres!$A$1:$I$89,3,0)*0.475*44/12</f>
        <v>#N/A</v>
      </c>
      <c r="BQ70" s="23" t="e">
        <f>EXP(-LN(2)/25)*BQ69+(1-EXP(-LN(2)/25))/(LN(2)/25)*Calculateur!BL70*Calculateur!BN70*VLOOKUP('Données projet'!$B$11,Paramètres!$A$1:$I$89,3,0)*0.475*44/12</f>
        <v>#N/A</v>
      </c>
      <c r="BR70" s="23" t="e">
        <f>EXP(-LN(2)/2)*BR69+(1-EXP(-LN(2)/2))/(LN(2)/2)*BL70*BO70*VLOOKUP('Données projet'!$B$11,Paramètres!$A$1:$I$89,3,0)*0.475*44/12</f>
        <v>#N/A</v>
      </c>
      <c r="BS70" s="24" t="e">
        <f t="shared" si="63"/>
        <v>#N/A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0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0</v>
      </c>
      <c r="H71" s="70">
        <f t="shared" si="56"/>
        <v>256.66666666666669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11.839090909090912</v>
      </c>
      <c r="N71" s="14">
        <f>IF('Données projet'!$A$36&gt;35,N70+M71-V70,IF(A71&lt;'Données projet'!$A$36,$K$205^A71,IF(A71='Données projet'!$A$36,'Données projet'!$B$36,N70+M71-V70)))</f>
        <v>331.23454545454547</v>
      </c>
      <c r="O71" s="14">
        <f>N71*VLOOKUP('Données projet'!$B$9,Paramètres!$A$1:$I$89,3,0)*VLOOKUP('Données projet'!$B$9,Paramètres!$A$1:$I$89,5,0)</f>
        <v>155.01776727272727</v>
      </c>
      <c r="P71" s="14">
        <f t="shared" si="87"/>
        <v>39.716698342545101</v>
      </c>
      <c r="Q71" s="22">
        <f t="shared" si="54"/>
        <v>339.16252761326604</v>
      </c>
      <c r="R71" s="62">
        <f t="shared" si="55"/>
        <v>632.49586094659935</v>
      </c>
      <c r="S71" s="62">
        <f ca="1">AVERAGE(OFFSET($R$3,0,0,'Données projet'!$E$9+1,1))-AVERAGE(OFFSET($H$3,0,0,'Données projet'!$E$9+1,1))</f>
        <v>302.58171900450355</v>
      </c>
      <c r="T71" s="62">
        <f t="shared" si="88"/>
        <v>164.1450425611464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0</v>
      </c>
      <c r="AA71" s="23">
        <f>EXP(-LN(2)/25)*AA70+(1-EXP(-LN(2)/25))/(LN(2)/25)*Calculateur!V71*Calculateur!X71*VLOOKUP('Données projet'!$B$9,Paramètres!$A$1:$I$89,3,0)*0.475*44/12</f>
        <v>0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0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5.2</v>
      </c>
      <c r="AI71" s="14">
        <f>IF('Données projet'!$A$62&gt;35,AI70+AH71-AQ70,IF(A71&lt;'Données projet'!$A$62,$AF$205^A71,IF(A71='Données projet'!$A$62,'Données projet'!$B$62,AI70+AH71-AQ70)))</f>
        <v>162.59999999999982</v>
      </c>
      <c r="AJ71" s="14">
        <f>AI71*VLOOKUP('Données projet'!$B$10,Paramètres!$A$1:$I$89,3,0)*VLOOKUP('Données projet'!$B$10,Paramètres!$A$1:$I$89,5,0)</f>
        <v>175.0226399999998</v>
      </c>
      <c r="AK71" s="14">
        <f t="shared" si="89"/>
        <v>44.213014513925586</v>
      </c>
      <c r="AL71" s="22">
        <f t="shared" si="58"/>
        <v>381.83543161175339</v>
      </c>
      <c r="AM71" s="62">
        <f t="shared" si="59"/>
        <v>675.16876494508665</v>
      </c>
      <c r="AN71" s="62">
        <f ca="1">AVERAGE(OFFSET($AM$3,0,0,'Données projet'!$E$10+1,1))-AVERAGE(OFFSET($H$3,0,0,'Données projet'!$E$10+1,1))</f>
        <v>327.4984716935208</v>
      </c>
      <c r="AO71" s="62">
        <f t="shared" si="90"/>
        <v>166.97658184507776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0</v>
      </c>
      <c r="AV71" s="23">
        <f>EXP(-LN(2)/25)*AV70+(1-EXP(-LN(2)/25))/(LN(2)/25)*Calculateur!AQ71*Calculateur!AS71*VLOOKUP('Données projet'!$B$10,Paramètres!$A$1:$I$89,3,0)*0.475*44/12</f>
        <v>0</v>
      </c>
      <c r="AW71" s="23">
        <f>EXP(-LN(2)/2)*AW70+(1-EXP(-LN(2)/2))/(LN(2)/2)*AQ71*AT71*VLOOKUP('Données projet'!$B$10,Paramètres!$A$1:$I$89,3,0)*0.475*44/12</f>
        <v>0</v>
      </c>
      <c r="AX71" s="23">
        <f t="shared" si="60"/>
        <v>0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0</v>
      </c>
      <c r="BE71" s="14" t="e">
        <f>BD71*VLOOKUP('Données projet'!$B$11,Paramètres!$A$1:$I$89,3,0)*VLOOKUP('Données projet'!$B$11,Paramètres!$A$1:$I$89,5,0)</f>
        <v>#N/A</v>
      </c>
      <c r="BF71" s="14" t="e">
        <f t="shared" si="91"/>
        <v>#N/A</v>
      </c>
      <c r="BG71" s="22" t="e">
        <f t="shared" si="61"/>
        <v>#N/A</v>
      </c>
      <c r="BH71" s="62" t="e">
        <f t="shared" si="62"/>
        <v>#N/A</v>
      </c>
      <c r="BI71" s="62" t="e">
        <f ca="1">AVERAGE(OFFSET($BH$3,0,0,'Données projet'!$E$11+1,1))-AVERAGE(OFFSET($H$3,0,0,'Données projet'!$E$11+1,1))</f>
        <v>#N/A</v>
      </c>
      <c r="BJ71" s="62" t="e">
        <f t="shared" si="92"/>
        <v>#N/A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 t="e">
        <f>EXP(-LN(2)/35)*BP70+(1-EXP(-LN(2)/35))/(LN(2)/35)*BL71*BM71*VLOOKUP('Données projet'!$B$11,Paramètres!$A$1:$I$89,3,0)*0.475*44/12</f>
        <v>#N/A</v>
      </c>
      <c r="BQ71" s="23" t="e">
        <f>EXP(-LN(2)/25)*BQ70+(1-EXP(-LN(2)/25))/(LN(2)/25)*Calculateur!BL71*Calculateur!BN71*VLOOKUP('Données projet'!$B$11,Paramètres!$A$1:$I$89,3,0)*0.475*44/12</f>
        <v>#N/A</v>
      </c>
      <c r="BR71" s="23" t="e">
        <f>EXP(-LN(2)/2)*BR70+(1-EXP(-LN(2)/2))/(LN(2)/2)*BL71*BO71*VLOOKUP('Données projet'!$B$11,Paramètres!$A$1:$I$89,3,0)*0.475*44/12</f>
        <v>#N/A</v>
      </c>
      <c r="BS71" s="24" t="e">
        <f t="shared" si="63"/>
        <v>#N/A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0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0</v>
      </c>
      <c r="H72" s="70">
        <f t="shared" si="56"/>
        <v>256.66666666666669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11.839090909090912</v>
      </c>
      <c r="N72" s="14">
        <f>IF('Données projet'!$A$36&gt;35,N71+M72-V71,IF(A72&lt;'Données projet'!$A$36,$K$205^A72,IF(A72='Données projet'!$A$36,'Données projet'!$B$36,N71+M72-V71)))</f>
        <v>343.07363636363635</v>
      </c>
      <c r="O72" s="14">
        <f>N72*VLOOKUP('Données projet'!$B$9,Paramètres!$A$1:$I$89,3,0)*VLOOKUP('Données projet'!$B$9,Paramètres!$A$1:$I$89,5,0)</f>
        <v>160.5584618181818</v>
      </c>
      <c r="P72" s="14">
        <f t="shared" si="87"/>
        <v>40.968452473706499</v>
      </c>
      <c r="Q72" s="22">
        <f t="shared" si="54"/>
        <v>350.9927090583721</v>
      </c>
      <c r="R72" s="62">
        <f t="shared" si="55"/>
        <v>644.32604239170541</v>
      </c>
      <c r="S72" s="62">
        <f ca="1">AVERAGE(OFFSET($R$3,0,0,'Données projet'!$E$9+1,1))-AVERAGE(OFFSET($H$3,0,0,'Données projet'!$E$9+1,1))</f>
        <v>302.58171900450355</v>
      </c>
      <c r="T72" s="62">
        <f t="shared" si="88"/>
        <v>164.1450425611464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0</v>
      </c>
      <c r="AA72" s="23">
        <f>EXP(-LN(2)/25)*AA71+(1-EXP(-LN(2)/25))/(LN(2)/25)*Calculateur!V72*Calculateur!X72*VLOOKUP('Données projet'!$B$9,Paramètres!$A$1:$I$89,3,0)*0.475*44/12</f>
        <v>0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0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5.2</v>
      </c>
      <c r="AI72" s="14">
        <f>IF('Données projet'!$A$62&gt;35,AI71+AH72-AQ71,IF(A72&lt;'Données projet'!$A$62,$AF$205^A72,IF(A72='Données projet'!$A$62,'Données projet'!$B$62,AI71+AH72-AQ71)))</f>
        <v>167.79999999999981</v>
      </c>
      <c r="AJ72" s="14">
        <f>AI72*VLOOKUP('Données projet'!$B$10,Paramètres!$A$1:$I$89,3,0)*VLOOKUP('Données projet'!$B$10,Paramètres!$A$1:$I$89,5,0)</f>
        <v>180.61991999999981</v>
      </c>
      <c r="AK72" s="14">
        <f t="shared" si="89"/>
        <v>45.460079335630581</v>
      </c>
      <c r="AL72" s="22">
        <f t="shared" si="58"/>
        <v>393.75599884288954</v>
      </c>
      <c r="AM72" s="62">
        <f t="shared" si="59"/>
        <v>687.0893321762228</v>
      </c>
      <c r="AN72" s="62">
        <f ca="1">AVERAGE(OFFSET($AM$3,0,0,'Données projet'!$E$10+1,1))-AVERAGE(OFFSET($H$3,0,0,'Données projet'!$E$10+1,1))</f>
        <v>327.4984716935208</v>
      </c>
      <c r="AO72" s="62">
        <f t="shared" si="90"/>
        <v>166.97658184507776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0</v>
      </c>
      <c r="AV72" s="23">
        <f>EXP(-LN(2)/25)*AV71+(1-EXP(-LN(2)/25))/(LN(2)/25)*Calculateur!AQ72*Calculateur!AS72*VLOOKUP('Données projet'!$B$10,Paramètres!$A$1:$I$89,3,0)*0.475*44/12</f>
        <v>0</v>
      </c>
      <c r="AW72" s="23">
        <f>EXP(-LN(2)/2)*AW71+(1-EXP(-LN(2)/2))/(LN(2)/2)*AQ72*AT72*VLOOKUP('Données projet'!$B$10,Paramètres!$A$1:$I$89,3,0)*0.475*44/12</f>
        <v>0</v>
      </c>
      <c r="AX72" s="23">
        <f t="shared" si="60"/>
        <v>0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0</v>
      </c>
      <c r="BE72" s="14" t="e">
        <f>BD72*VLOOKUP('Données projet'!$B$11,Paramètres!$A$1:$I$89,3,0)*VLOOKUP('Données projet'!$B$11,Paramètres!$A$1:$I$89,5,0)</f>
        <v>#N/A</v>
      </c>
      <c r="BF72" s="14" t="e">
        <f t="shared" si="91"/>
        <v>#N/A</v>
      </c>
      <c r="BG72" s="22" t="e">
        <f t="shared" si="61"/>
        <v>#N/A</v>
      </c>
      <c r="BH72" s="62" t="e">
        <f t="shared" si="62"/>
        <v>#N/A</v>
      </c>
      <c r="BI72" s="62" t="e">
        <f ca="1">AVERAGE(OFFSET($BH$3,0,0,'Données projet'!$E$11+1,1))-AVERAGE(OFFSET($H$3,0,0,'Données projet'!$E$11+1,1))</f>
        <v>#N/A</v>
      </c>
      <c r="BJ72" s="62" t="e">
        <f t="shared" si="92"/>
        <v>#N/A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 t="e">
        <f>EXP(-LN(2)/35)*BP71+(1-EXP(-LN(2)/35))/(LN(2)/35)*BL72*BM72*VLOOKUP('Données projet'!$B$11,Paramètres!$A$1:$I$89,3,0)*0.475*44/12</f>
        <v>#N/A</v>
      </c>
      <c r="BQ72" s="23" t="e">
        <f>EXP(-LN(2)/25)*BQ71+(1-EXP(-LN(2)/25))/(LN(2)/25)*Calculateur!BL72*Calculateur!BN72*VLOOKUP('Données projet'!$B$11,Paramètres!$A$1:$I$89,3,0)*0.475*44/12</f>
        <v>#N/A</v>
      </c>
      <c r="BR72" s="23" t="e">
        <f>EXP(-LN(2)/2)*BR71+(1-EXP(-LN(2)/2))/(LN(2)/2)*BL72*BO72*VLOOKUP('Données projet'!$B$11,Paramètres!$A$1:$I$89,3,0)*0.475*44/12</f>
        <v>#N/A</v>
      </c>
      <c r="BS72" s="24" t="e">
        <f t="shared" si="63"/>
        <v>#N/A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0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0</v>
      </c>
      <c r="H73" s="70">
        <f t="shared" si="56"/>
        <v>256.66666666666669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11.839090909090912</v>
      </c>
      <c r="N73" s="14">
        <f>IF('Données projet'!$A$36&gt;35,N72+M73-V72,IF(A73&lt;'Données projet'!$A$36,$K$205^A73,IF(A73='Données projet'!$A$36,'Données projet'!$B$36,N72+M73-V72)))</f>
        <v>354.91272727272724</v>
      </c>
      <c r="O73" s="14">
        <f>N73*VLOOKUP('Données projet'!$B$9,Paramètres!$A$1:$I$89,3,0)*VLOOKUP('Données projet'!$B$9,Paramètres!$A$1:$I$89,5,0)</f>
        <v>166.09915636363635</v>
      </c>
      <c r="P73" s="14">
        <f t="shared" si="87"/>
        <v>42.215187547754574</v>
      </c>
      <c r="Q73" s="22">
        <f t="shared" si="54"/>
        <v>362.81414897900578</v>
      </c>
      <c r="R73" s="62">
        <f t="shared" si="55"/>
        <v>656.14748231233909</v>
      </c>
      <c r="S73" s="62">
        <f ca="1">AVERAGE(OFFSET($R$3,0,0,'Données projet'!$E$9+1,1))-AVERAGE(OFFSET($H$3,0,0,'Données projet'!$E$9+1,1))</f>
        <v>302.58171900450355</v>
      </c>
      <c r="T73" s="62">
        <f t="shared" si="88"/>
        <v>164.1450425611464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0</v>
      </c>
      <c r="AA73" s="23">
        <f>EXP(-LN(2)/25)*AA72+(1-EXP(-LN(2)/25))/(LN(2)/25)*Calculateur!V73*Calculateur!X73*VLOOKUP('Données projet'!$B$9,Paramètres!$A$1:$I$89,3,0)*0.475*44/12</f>
        <v>0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0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>
        <f>VLOOKUP(A73,'Données projet'!$A$61:$I$81,2,0)</f>
        <v>173</v>
      </c>
      <c r="AG73" s="13">
        <f>VLOOKUP(A73,'Données projet'!$A$61:$I$81,9,0)</f>
        <v>5.2</v>
      </c>
      <c r="AH73" s="13">
        <f t="array" ref="AH73">INDEX(AG:AG,MIN(IF(ISNUMBER(AG73:AG269),ROW(AG73:AG269),"")))</f>
        <v>5.2</v>
      </c>
      <c r="AI73" s="14">
        <f>IF('Données projet'!$A$62&gt;35,AI72+AH73-AQ72,IF(A73&lt;'Données projet'!$A$62,$AF$205^A73,IF(A73='Données projet'!$A$62,'Données projet'!$B$62,AI72+AH73-AQ72)))</f>
        <v>172.9999999999998</v>
      </c>
      <c r="AJ73" s="14">
        <f>AI73*VLOOKUP('Données projet'!$B$10,Paramètres!$A$1:$I$89,3,0)*VLOOKUP('Données projet'!$B$10,Paramètres!$A$1:$I$89,5,0)</f>
        <v>186.21719999999976</v>
      </c>
      <c r="AK73" s="14">
        <f t="shared" si="89"/>
        <v>46.70265314967321</v>
      </c>
      <c r="AL73" s="22">
        <f t="shared" si="58"/>
        <v>405.66874423568044</v>
      </c>
      <c r="AM73" s="62">
        <f t="shared" si="59"/>
        <v>699.00207756901375</v>
      </c>
      <c r="AN73" s="62">
        <f ca="1">AVERAGE(OFFSET($AM$3,0,0,'Données projet'!$E$10+1,1))-AVERAGE(OFFSET($H$3,0,0,'Données projet'!$E$10+1,1))</f>
        <v>327.4984716935208</v>
      </c>
      <c r="AO73" s="62">
        <f t="shared" si="90"/>
        <v>166.97658184507776</v>
      </c>
      <c r="AP73" s="16">
        <f>IF(ISNA(VLOOKUP(A73,'Données projet'!$A$61:$I$81,3,0)),0,VLOOKUP(A73,'Données projet'!$A$61:$I$81,3,0))</f>
        <v>10</v>
      </c>
      <c r="AQ73" s="16">
        <f>IF(ISNA(VLOOKUP(A73,'Données projet'!$A$61:$I$81,4,0)),0,VLOOKUP(A73,'Données projet'!$A$61:$I$81,4,0))</f>
        <v>14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0</v>
      </c>
      <c r="AV73" s="23">
        <f>EXP(-LN(2)/25)*AV72+(1-EXP(-LN(2)/25))/(LN(2)/25)*Calculateur!AQ73*Calculateur!AS73*VLOOKUP('Données projet'!$B$10,Paramètres!$A$1:$I$89,3,0)*0.475*44/12</f>
        <v>0</v>
      </c>
      <c r="AW73" s="23">
        <f>EXP(-LN(2)/2)*AW72+(1-EXP(-LN(2)/2))/(LN(2)/2)*AQ73*AT73*VLOOKUP('Données projet'!$B$10,Paramètres!$A$1:$I$89,3,0)*0.475*44/12</f>
        <v>0</v>
      </c>
      <c r="AX73" s="23">
        <f t="shared" si="60"/>
        <v>0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0</v>
      </c>
      <c r="BE73" s="14" t="e">
        <f>BD73*VLOOKUP('Données projet'!$B$11,Paramètres!$A$1:$I$89,3,0)*VLOOKUP('Données projet'!$B$11,Paramètres!$A$1:$I$89,5,0)</f>
        <v>#N/A</v>
      </c>
      <c r="BF73" s="14" t="e">
        <f t="shared" si="91"/>
        <v>#N/A</v>
      </c>
      <c r="BG73" s="22" t="e">
        <f t="shared" si="61"/>
        <v>#N/A</v>
      </c>
      <c r="BH73" s="62" t="e">
        <f t="shared" si="62"/>
        <v>#N/A</v>
      </c>
      <c r="BI73" s="62" t="e">
        <f ca="1">AVERAGE(OFFSET($BH$3,0,0,'Données projet'!$E$11+1,1))-AVERAGE(OFFSET($H$3,0,0,'Données projet'!$E$11+1,1))</f>
        <v>#N/A</v>
      </c>
      <c r="BJ73" s="62" t="e">
        <f t="shared" si="92"/>
        <v>#N/A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 t="e">
        <f>EXP(-LN(2)/35)*BP72+(1-EXP(-LN(2)/35))/(LN(2)/35)*BL73*BM73*VLOOKUP('Données projet'!$B$11,Paramètres!$A$1:$I$89,3,0)*0.475*44/12</f>
        <v>#N/A</v>
      </c>
      <c r="BQ73" s="23" t="e">
        <f>EXP(-LN(2)/25)*BQ72+(1-EXP(-LN(2)/25))/(LN(2)/25)*Calculateur!BL73*Calculateur!BN73*VLOOKUP('Données projet'!$B$11,Paramètres!$A$1:$I$89,3,0)*0.475*44/12</f>
        <v>#N/A</v>
      </c>
      <c r="BR73" s="23" t="e">
        <f>EXP(-LN(2)/2)*BR72+(1-EXP(-LN(2)/2))/(LN(2)/2)*BL73*BO73*VLOOKUP('Données projet'!$B$11,Paramètres!$A$1:$I$89,3,0)*0.475*44/12</f>
        <v>#N/A</v>
      </c>
      <c r="BS73" s="24" t="e">
        <f t="shared" si="63"/>
        <v>#N/A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0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0</v>
      </c>
      <c r="H74" s="70">
        <f t="shared" si="56"/>
        <v>256.66666666666669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11.839090909090912</v>
      </c>
      <c r="N74" s="14">
        <f>IF('Données projet'!$A$36&gt;35,N73+M74-V73,IF(A74&lt;'Données projet'!$A$36,$K$205^A74,IF(A74='Données projet'!$A$36,'Données projet'!$B$36,N73+M74-V73)))</f>
        <v>366.75181818181812</v>
      </c>
      <c r="O74" s="14">
        <f>N74*VLOOKUP('Données projet'!$B$9,Paramètres!$A$1:$I$89,3,0)*VLOOKUP('Données projet'!$B$9,Paramètres!$A$1:$I$89,5,0)</f>
        <v>171.63985090909088</v>
      </c>
      <c r="P74" s="14">
        <f t="shared" si="87"/>
        <v>43.45709018525416</v>
      </c>
      <c r="Q74" s="22">
        <f t="shared" si="54"/>
        <v>374.62717240598425</v>
      </c>
      <c r="R74" s="62">
        <f t="shared" si="55"/>
        <v>667.96050573931757</v>
      </c>
      <c r="S74" s="62">
        <f ca="1">AVERAGE(OFFSET($R$3,0,0,'Données projet'!$E$9+1,1))-AVERAGE(OFFSET($H$3,0,0,'Données projet'!$E$9+1,1))</f>
        <v>302.58171900450355</v>
      </c>
      <c r="T74" s="62">
        <f t="shared" si="88"/>
        <v>164.1450425611464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0</v>
      </c>
      <c r="AA74" s="23">
        <f>EXP(-LN(2)/25)*AA73+(1-EXP(-LN(2)/25))/(LN(2)/25)*Calculateur!V74*Calculateur!X74*VLOOKUP('Données projet'!$B$9,Paramètres!$A$1:$I$89,3,0)*0.475*44/12</f>
        <v>0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0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4.8</v>
      </c>
      <c r="AI74" s="14">
        <f>IF('Données projet'!$A$62&gt;35,AI73+AH74-AQ73,IF(A74&lt;'Données projet'!$A$62,$AF$205^A74,IF(A74='Données projet'!$A$62,'Données projet'!$B$62,AI73+AH74-AQ73)))</f>
        <v>163.79999999999981</v>
      </c>
      <c r="AJ74" s="14">
        <f>AI74*VLOOKUP('Données projet'!$B$10,Paramètres!$A$1:$I$89,3,0)*VLOOKUP('Données projet'!$B$10,Paramètres!$A$1:$I$89,5,0)</f>
        <v>176.31431999999978</v>
      </c>
      <c r="AK74" s="14">
        <f t="shared" si="89"/>
        <v>44.501205551735474</v>
      </c>
      <c r="AL74" s="22">
        <f t="shared" si="58"/>
        <v>384.58704033593887</v>
      </c>
      <c r="AM74" s="62">
        <f t="shared" si="59"/>
        <v>677.92037366927218</v>
      </c>
      <c r="AN74" s="62">
        <f ca="1">AVERAGE(OFFSET($AM$3,0,0,'Données projet'!$E$10+1,1))-AVERAGE(OFFSET($H$3,0,0,'Données projet'!$E$10+1,1))</f>
        <v>327.4984716935208</v>
      </c>
      <c r="AO74" s="62">
        <f t="shared" si="90"/>
        <v>166.97658184507776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0</v>
      </c>
      <c r="AV74" s="23">
        <f>EXP(-LN(2)/25)*AV73+(1-EXP(-LN(2)/25))/(LN(2)/25)*Calculateur!AQ74*Calculateur!AS74*VLOOKUP('Données projet'!$B$10,Paramètres!$A$1:$I$89,3,0)*0.475*44/12</f>
        <v>0</v>
      </c>
      <c r="AW74" s="23">
        <f>EXP(-LN(2)/2)*AW73+(1-EXP(-LN(2)/2))/(LN(2)/2)*AQ74*AT74*VLOOKUP('Données projet'!$B$10,Paramètres!$A$1:$I$89,3,0)*0.475*44/12</f>
        <v>0</v>
      </c>
      <c r="AX74" s="23">
        <f t="shared" si="60"/>
        <v>0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0</v>
      </c>
      <c r="BE74" s="14" t="e">
        <f>BD74*VLOOKUP('Données projet'!$B$11,Paramètres!$A$1:$I$89,3,0)*VLOOKUP('Données projet'!$B$11,Paramètres!$A$1:$I$89,5,0)</f>
        <v>#N/A</v>
      </c>
      <c r="BF74" s="14" t="e">
        <f t="shared" si="91"/>
        <v>#N/A</v>
      </c>
      <c r="BG74" s="22" t="e">
        <f t="shared" si="61"/>
        <v>#N/A</v>
      </c>
      <c r="BH74" s="62" t="e">
        <f t="shared" si="62"/>
        <v>#N/A</v>
      </c>
      <c r="BI74" s="62" t="e">
        <f ca="1">AVERAGE(OFFSET($BH$3,0,0,'Données projet'!$E$11+1,1))-AVERAGE(OFFSET($H$3,0,0,'Données projet'!$E$11+1,1))</f>
        <v>#N/A</v>
      </c>
      <c r="BJ74" s="62" t="e">
        <f t="shared" si="92"/>
        <v>#N/A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 t="e">
        <f>EXP(-LN(2)/35)*BP73+(1-EXP(-LN(2)/35))/(LN(2)/35)*BL74*BM74*VLOOKUP('Données projet'!$B$11,Paramètres!$A$1:$I$89,3,0)*0.475*44/12</f>
        <v>#N/A</v>
      </c>
      <c r="BQ74" s="23" t="e">
        <f>EXP(-LN(2)/25)*BQ73+(1-EXP(-LN(2)/25))/(LN(2)/25)*Calculateur!BL74*Calculateur!BN74*VLOOKUP('Données projet'!$B$11,Paramètres!$A$1:$I$89,3,0)*0.475*44/12</f>
        <v>#N/A</v>
      </c>
      <c r="BR74" s="23" t="e">
        <f>EXP(-LN(2)/2)*BR73+(1-EXP(-LN(2)/2))/(LN(2)/2)*BL74*BO74*VLOOKUP('Données projet'!$B$11,Paramètres!$A$1:$I$89,3,0)*0.475*44/12</f>
        <v>#N/A</v>
      </c>
      <c r="BS74" s="24" t="e">
        <f t="shared" si="63"/>
        <v>#N/A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0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0</v>
      </c>
      <c r="H75" s="70">
        <f t="shared" si="56"/>
        <v>256.66666666666669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11.839090909090912</v>
      </c>
      <c r="N75" s="14">
        <f>IF('Données projet'!$A$36&gt;35,N74+M75-V74,IF(A75&lt;'Données projet'!$A$36,$K$205^A75,IF(A75='Données projet'!$A$36,'Données projet'!$B$36,N74+M75-V74)))</f>
        <v>378.59090909090901</v>
      </c>
      <c r="O75" s="14">
        <f>N75*VLOOKUP('Données projet'!$B$9,Paramètres!$A$1:$I$89,3,0)*VLOOKUP('Données projet'!$B$9,Paramètres!$A$1:$I$89,5,0)</f>
        <v>177.18054545454541</v>
      </c>
      <c r="P75" s="14">
        <f t="shared" si="87"/>
        <v>44.694334274178139</v>
      </c>
      <c r="Q75" s="22">
        <f t="shared" si="54"/>
        <v>386.43208219419353</v>
      </c>
      <c r="R75" s="62">
        <f t="shared" si="55"/>
        <v>679.76541552752678</v>
      </c>
      <c r="S75" s="62">
        <f ca="1">AVERAGE(OFFSET($R$3,0,0,'Données projet'!$E$9+1,1))-AVERAGE(OFFSET($H$3,0,0,'Données projet'!$E$9+1,1))</f>
        <v>302.58171900450355</v>
      </c>
      <c r="T75" s="62">
        <f t="shared" si="88"/>
        <v>164.1450425611464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0</v>
      </c>
      <c r="AA75" s="23">
        <f>EXP(-LN(2)/25)*AA74+(1-EXP(-LN(2)/25))/(LN(2)/25)*Calculateur!V75*Calculateur!X75*VLOOKUP('Données projet'!$B$9,Paramètres!$A$1:$I$89,3,0)*0.475*44/12</f>
        <v>0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0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4.8</v>
      </c>
      <c r="AI75" s="14">
        <f>IF('Données projet'!$A$62&gt;35,AI74+AH75-AQ74,IF(A75&lt;'Données projet'!$A$62,$AF$205^A75,IF(A75='Données projet'!$A$62,'Données projet'!$B$62,AI74+AH75-AQ74)))</f>
        <v>168.59999999999982</v>
      </c>
      <c r="AJ75" s="14">
        <f>AI75*VLOOKUP('Données projet'!$B$10,Paramètres!$A$1:$I$89,3,0)*VLOOKUP('Données projet'!$B$10,Paramètres!$A$1:$I$89,5,0)</f>
        <v>181.48103999999981</v>
      </c>
      <c r="AK75" s="14">
        <f t="shared" si="89"/>
        <v>45.651532971563213</v>
      </c>
      <c r="AL75" s="22">
        <f t="shared" si="58"/>
        <v>395.58923125880557</v>
      </c>
      <c r="AM75" s="62">
        <f t="shared" si="59"/>
        <v>688.92256459213888</v>
      </c>
      <c r="AN75" s="62">
        <f ca="1">AVERAGE(OFFSET($AM$3,0,0,'Données projet'!$E$10+1,1))-AVERAGE(OFFSET($H$3,0,0,'Données projet'!$E$10+1,1))</f>
        <v>327.4984716935208</v>
      </c>
      <c r="AO75" s="62">
        <f t="shared" si="90"/>
        <v>166.97658184507776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0</v>
      </c>
      <c r="AV75" s="23">
        <f>EXP(-LN(2)/25)*AV74+(1-EXP(-LN(2)/25))/(LN(2)/25)*Calculateur!AQ75*Calculateur!AS75*VLOOKUP('Données projet'!$B$10,Paramètres!$A$1:$I$89,3,0)*0.475*44/12</f>
        <v>0</v>
      </c>
      <c r="AW75" s="23">
        <f>EXP(-LN(2)/2)*AW74+(1-EXP(-LN(2)/2))/(LN(2)/2)*AQ75*AT75*VLOOKUP('Données projet'!$B$10,Paramètres!$A$1:$I$89,3,0)*0.475*44/12</f>
        <v>0</v>
      </c>
      <c r="AX75" s="23">
        <f t="shared" si="60"/>
        <v>0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0</v>
      </c>
      <c r="BE75" s="14" t="e">
        <f>BD75*VLOOKUP('Données projet'!$B$11,Paramètres!$A$1:$I$89,3,0)*VLOOKUP('Données projet'!$B$11,Paramètres!$A$1:$I$89,5,0)</f>
        <v>#N/A</v>
      </c>
      <c r="BF75" s="14" t="e">
        <f t="shared" si="91"/>
        <v>#N/A</v>
      </c>
      <c r="BG75" s="22" t="e">
        <f t="shared" si="61"/>
        <v>#N/A</v>
      </c>
      <c r="BH75" s="62" t="e">
        <f t="shared" si="62"/>
        <v>#N/A</v>
      </c>
      <c r="BI75" s="62" t="e">
        <f ca="1">AVERAGE(OFFSET($BH$3,0,0,'Données projet'!$E$11+1,1))-AVERAGE(OFFSET($H$3,0,0,'Données projet'!$E$11+1,1))</f>
        <v>#N/A</v>
      </c>
      <c r="BJ75" s="62" t="e">
        <f t="shared" si="92"/>
        <v>#N/A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 t="e">
        <f>EXP(-LN(2)/35)*BP74+(1-EXP(-LN(2)/35))/(LN(2)/35)*BL75*BM75*VLOOKUP('Données projet'!$B$11,Paramètres!$A$1:$I$89,3,0)*0.475*44/12</f>
        <v>#N/A</v>
      </c>
      <c r="BQ75" s="23" t="e">
        <f>EXP(-LN(2)/25)*BQ74+(1-EXP(-LN(2)/25))/(LN(2)/25)*Calculateur!BL75*Calculateur!BN75*VLOOKUP('Données projet'!$B$11,Paramètres!$A$1:$I$89,3,0)*0.475*44/12</f>
        <v>#N/A</v>
      </c>
      <c r="BR75" s="23" t="e">
        <f>EXP(-LN(2)/2)*BR74+(1-EXP(-LN(2)/2))/(LN(2)/2)*BL75*BO75*VLOOKUP('Données projet'!$B$11,Paramètres!$A$1:$I$89,3,0)*0.475*44/12</f>
        <v>#N/A</v>
      </c>
      <c r="BS75" s="24" t="e">
        <f t="shared" si="63"/>
        <v>#N/A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0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0</v>
      </c>
      <c r="H76" s="70">
        <f t="shared" si="56"/>
        <v>256.66666666666669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>
        <f>VLOOKUP(A76,'Données projet'!$A$35:$I$55,2,0)</f>
        <v>390.43</v>
      </c>
      <c r="L76" s="13">
        <f>VLOOKUP(A76,'Données projet'!$A$35:$I$55,9,0)</f>
        <v>11.839090909090912</v>
      </c>
      <c r="M76" s="13">
        <f t="array" ref="M76">INDEX(L:L,MIN(IF(ISNUMBER(L76:L272),ROW(L76:L272),"")))</f>
        <v>11.839090909090912</v>
      </c>
      <c r="N76" s="14">
        <f>IF('Données projet'!$A$36&gt;35,N75+M76-V75,IF(A76&lt;'Données projet'!$A$36,$K$205^A76,IF(A76='Données projet'!$A$36,'Données projet'!$B$36,N75+M76-V75)))</f>
        <v>390.42999999999989</v>
      </c>
      <c r="O76" s="14">
        <f>N76*VLOOKUP('Données projet'!$B$9,Paramètres!$A$1:$I$89,3,0)*VLOOKUP('Données projet'!$B$9,Paramètres!$A$1:$I$89,5,0)</f>
        <v>182.72123999999994</v>
      </c>
      <c r="P76" s="14">
        <f t="shared" si="87"/>
        <v>45.927082209321753</v>
      </c>
      <c r="Q76" s="22">
        <f t="shared" si="54"/>
        <v>398.22916118123521</v>
      </c>
      <c r="R76" s="62">
        <f t="shared" si="55"/>
        <v>691.56249451456847</v>
      </c>
      <c r="S76" s="62">
        <f ca="1">AVERAGE(OFFSET($R$3,0,0,'Données projet'!$E$9+1,1))-AVERAGE(OFFSET($H$3,0,0,'Données projet'!$E$9+1,1))</f>
        <v>302.58171900450355</v>
      </c>
      <c r="T76" s="62">
        <f t="shared" si="88"/>
        <v>164.1450425611464</v>
      </c>
      <c r="U76" s="16">
        <f>IF(ISNA(VLOOKUP(A76,'Données projet'!$A$35:$I$55,3,0)),0,VLOOKUP(A76,'Données projet'!$A$35:$I$55,3,0))</f>
        <v>7</v>
      </c>
      <c r="V76" s="16">
        <f>IF(ISNA(VLOOKUP(A76,'Données projet'!$A$35:$I$55,4,0)),0,VLOOKUP(A76,'Données projet'!$A$35:$I$55,4,0))</f>
        <v>102.1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0</v>
      </c>
      <c r="AA76" s="23">
        <f>EXP(-LN(2)/25)*AA75+(1-EXP(-LN(2)/25))/(LN(2)/25)*Calculateur!V76*Calculateur!X76*VLOOKUP('Données projet'!$B$9,Paramètres!$A$1:$I$89,3,0)*0.475*44/12</f>
        <v>0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0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4.8</v>
      </c>
      <c r="AI76" s="14">
        <f>IF('Données projet'!$A$62&gt;35,AI75+AH76-AQ75,IF(A76&lt;'Données projet'!$A$62,$AF$205^A76,IF(A76='Données projet'!$A$62,'Données projet'!$B$62,AI75+AH76-AQ75)))</f>
        <v>173.39999999999984</v>
      </c>
      <c r="AJ76" s="14">
        <f>AI76*VLOOKUP('Données projet'!$B$10,Paramètres!$A$1:$I$89,3,0)*VLOOKUP('Données projet'!$B$10,Paramètres!$A$1:$I$89,5,0)</f>
        <v>186.64775999999981</v>
      </c>
      <c r="AK76" s="14">
        <f t="shared" si="89"/>
        <v>46.798054111552098</v>
      </c>
      <c r="AL76" s="22">
        <f t="shared" si="58"/>
        <v>406.5847929109529</v>
      </c>
      <c r="AM76" s="62">
        <f t="shared" si="59"/>
        <v>699.91812624428621</v>
      </c>
      <c r="AN76" s="62">
        <f ca="1">AVERAGE(OFFSET($AM$3,0,0,'Données projet'!$E$10+1,1))-AVERAGE(OFFSET($H$3,0,0,'Données projet'!$E$10+1,1))</f>
        <v>327.4984716935208</v>
      </c>
      <c r="AO76" s="62">
        <f t="shared" si="90"/>
        <v>166.97658184507776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0</v>
      </c>
      <c r="AV76" s="23">
        <f>EXP(-LN(2)/25)*AV75+(1-EXP(-LN(2)/25))/(LN(2)/25)*Calculateur!AQ76*Calculateur!AS76*VLOOKUP('Données projet'!$B$10,Paramètres!$A$1:$I$89,3,0)*0.475*44/12</f>
        <v>0</v>
      </c>
      <c r="AW76" s="23">
        <f>EXP(-LN(2)/2)*AW75+(1-EXP(-LN(2)/2))/(LN(2)/2)*AQ76*AT76*VLOOKUP('Données projet'!$B$10,Paramètres!$A$1:$I$89,3,0)*0.475*44/12</f>
        <v>0</v>
      </c>
      <c r="AX76" s="23">
        <f t="shared" si="60"/>
        <v>0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0</v>
      </c>
      <c r="BE76" s="14" t="e">
        <f>BD76*VLOOKUP('Données projet'!$B$11,Paramètres!$A$1:$I$89,3,0)*VLOOKUP('Données projet'!$B$11,Paramètres!$A$1:$I$89,5,0)</f>
        <v>#N/A</v>
      </c>
      <c r="BF76" s="14" t="e">
        <f t="shared" si="91"/>
        <v>#N/A</v>
      </c>
      <c r="BG76" s="22" t="e">
        <f t="shared" si="61"/>
        <v>#N/A</v>
      </c>
      <c r="BH76" s="62" t="e">
        <f t="shared" si="62"/>
        <v>#N/A</v>
      </c>
      <c r="BI76" s="62" t="e">
        <f ca="1">AVERAGE(OFFSET($BH$3,0,0,'Données projet'!$E$11+1,1))-AVERAGE(OFFSET($H$3,0,0,'Données projet'!$E$11+1,1))</f>
        <v>#N/A</v>
      </c>
      <c r="BJ76" s="62" t="e">
        <f t="shared" si="92"/>
        <v>#N/A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 t="e">
        <f>EXP(-LN(2)/35)*BP75+(1-EXP(-LN(2)/35))/(LN(2)/35)*BL76*BM76*VLOOKUP('Données projet'!$B$11,Paramètres!$A$1:$I$89,3,0)*0.475*44/12</f>
        <v>#N/A</v>
      </c>
      <c r="BQ76" s="23" t="e">
        <f>EXP(-LN(2)/25)*BQ75+(1-EXP(-LN(2)/25))/(LN(2)/25)*Calculateur!BL76*Calculateur!BN76*VLOOKUP('Données projet'!$B$11,Paramètres!$A$1:$I$89,3,0)*0.475*44/12</f>
        <v>#N/A</v>
      </c>
      <c r="BR76" s="23" t="e">
        <f>EXP(-LN(2)/2)*BR75+(1-EXP(-LN(2)/2))/(LN(2)/2)*BL76*BO76*VLOOKUP('Données projet'!$B$11,Paramètres!$A$1:$I$89,3,0)*0.475*44/12</f>
        <v>#N/A</v>
      </c>
      <c r="BS76" s="24" t="e">
        <f t="shared" si="63"/>
        <v>#N/A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0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0</v>
      </c>
      <c r="H77" s="70">
        <f t="shared" si="56"/>
        <v>256.66666666666669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299.35000000000002</v>
      </c>
      <c r="L77" s="13">
        <f>VLOOKUP(A77,'Données projet'!$A$35:$I$55,9,0)</f>
        <v>11.019999999999982</v>
      </c>
      <c r="M77" s="13">
        <f t="array" ref="M77">INDEX(L:L,MIN(IF(ISNUMBER(L77:L273),ROW(L77:L273),"")))</f>
        <v>11.019999999999982</v>
      </c>
      <c r="N77" s="14">
        <f>IF('Données projet'!$A$36&gt;35,N76+M77-V76,IF(A77&lt;'Données projet'!$A$36,$K$205^A77,IF(A77='Données projet'!$A$36,'Données projet'!$B$36,N76+M77-V76)))</f>
        <v>299.34999999999991</v>
      </c>
      <c r="O77" s="14">
        <f>N77*VLOOKUP('Données projet'!$B$9,Paramètres!$A$1:$I$89,3,0)*VLOOKUP('Données projet'!$B$9,Paramètres!$A$1:$I$89,5,0)</f>
        <v>140.09579999999997</v>
      </c>
      <c r="P77" s="14">
        <f t="shared" si="87"/>
        <v>36.318951055936495</v>
      </c>
      <c r="Q77" s="22">
        <f t="shared" si="54"/>
        <v>307.25569142242267</v>
      </c>
      <c r="R77" s="62">
        <f t="shared" si="55"/>
        <v>600.58902475575599</v>
      </c>
      <c r="S77" s="62">
        <f ca="1">AVERAGE(OFFSET($R$3,0,0,'Données projet'!$E$9+1,1))-AVERAGE(OFFSET($H$3,0,0,'Données projet'!$E$9+1,1))</f>
        <v>302.58171900450355</v>
      </c>
      <c r="T77" s="62">
        <f t="shared" si="88"/>
        <v>164.1450425611464</v>
      </c>
      <c r="U77" s="16">
        <f>IF(ISNA(VLOOKUP(A77,'Données projet'!$A$35:$I$55,3,0)),0,VLOOKUP(A77,'Données projet'!$A$35:$I$55,3,0))</f>
        <v>8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0</v>
      </c>
      <c r="AA77" s="23">
        <f>EXP(-LN(2)/25)*AA76+(1-EXP(-LN(2)/25))/(LN(2)/25)*Calculateur!V77*Calculateur!X77*VLOOKUP('Données projet'!$B$9,Paramètres!$A$1:$I$89,3,0)*0.475*44/12</f>
        <v>0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0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4.8</v>
      </c>
      <c r="AI77" s="14">
        <f>IF('Données projet'!$A$62&gt;35,AI76+AH77-AQ76,IF(A77&lt;'Données projet'!$A$62,$AF$205^A77,IF(A77='Données projet'!$A$62,'Données projet'!$B$62,AI76+AH77-AQ76)))</f>
        <v>178.19999999999985</v>
      </c>
      <c r="AJ77" s="14">
        <f>AI77*VLOOKUP('Données projet'!$B$10,Paramètres!$A$1:$I$89,3,0)*VLOOKUP('Données projet'!$B$10,Paramètres!$A$1:$I$89,5,0)</f>
        <v>191.81447999999983</v>
      </c>
      <c r="AK77" s="14">
        <f t="shared" si="89"/>
        <v>47.940886441320977</v>
      </c>
      <c r="AL77" s="22">
        <f t="shared" si="58"/>
        <v>417.5739298853004</v>
      </c>
      <c r="AM77" s="62">
        <f t="shared" si="59"/>
        <v>710.90726321863372</v>
      </c>
      <c r="AN77" s="62">
        <f ca="1">AVERAGE(OFFSET($AM$3,0,0,'Données projet'!$E$10+1,1))-AVERAGE(OFFSET($H$3,0,0,'Données projet'!$E$10+1,1))</f>
        <v>327.4984716935208</v>
      </c>
      <c r="AO77" s="62">
        <f t="shared" si="90"/>
        <v>166.97658184507776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0</v>
      </c>
      <c r="AV77" s="23">
        <f>EXP(-LN(2)/25)*AV76+(1-EXP(-LN(2)/25))/(LN(2)/25)*Calculateur!AQ77*Calculateur!AS77*VLOOKUP('Données projet'!$B$10,Paramètres!$A$1:$I$89,3,0)*0.475*44/12</f>
        <v>0</v>
      </c>
      <c r="AW77" s="23">
        <f>EXP(-LN(2)/2)*AW76+(1-EXP(-LN(2)/2))/(LN(2)/2)*AQ77*AT77*VLOOKUP('Données projet'!$B$10,Paramètres!$A$1:$I$89,3,0)*0.475*44/12</f>
        <v>0</v>
      </c>
      <c r="AX77" s="23">
        <f t="shared" si="60"/>
        <v>0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0</v>
      </c>
      <c r="BE77" s="14" t="e">
        <f>BD77*VLOOKUP('Données projet'!$B$11,Paramètres!$A$1:$I$89,3,0)*VLOOKUP('Données projet'!$B$11,Paramètres!$A$1:$I$89,5,0)</f>
        <v>#N/A</v>
      </c>
      <c r="BF77" s="14" t="e">
        <f t="shared" si="91"/>
        <v>#N/A</v>
      </c>
      <c r="BG77" s="22" t="e">
        <f t="shared" si="61"/>
        <v>#N/A</v>
      </c>
      <c r="BH77" s="62" t="e">
        <f t="shared" si="62"/>
        <v>#N/A</v>
      </c>
      <c r="BI77" s="62" t="e">
        <f ca="1">AVERAGE(OFFSET($BH$3,0,0,'Données projet'!$E$11+1,1))-AVERAGE(OFFSET($H$3,0,0,'Données projet'!$E$11+1,1))</f>
        <v>#N/A</v>
      </c>
      <c r="BJ77" s="62" t="e">
        <f t="shared" si="92"/>
        <v>#N/A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 t="e">
        <f>EXP(-LN(2)/35)*BP76+(1-EXP(-LN(2)/35))/(LN(2)/35)*BL77*BM77*VLOOKUP('Données projet'!$B$11,Paramètres!$A$1:$I$89,3,0)*0.475*44/12</f>
        <v>#N/A</v>
      </c>
      <c r="BQ77" s="23" t="e">
        <f>EXP(-LN(2)/25)*BQ76+(1-EXP(-LN(2)/25))/(LN(2)/25)*Calculateur!BL77*Calculateur!BN77*VLOOKUP('Données projet'!$B$11,Paramètres!$A$1:$I$89,3,0)*0.475*44/12</f>
        <v>#N/A</v>
      </c>
      <c r="BR77" s="23" t="e">
        <f>EXP(-LN(2)/2)*BR76+(1-EXP(-LN(2)/2))/(LN(2)/2)*BL77*BO77*VLOOKUP('Données projet'!$B$11,Paramètres!$A$1:$I$89,3,0)*0.475*44/12</f>
        <v>#N/A</v>
      </c>
      <c r="BS77" s="24" t="e">
        <f t="shared" si="63"/>
        <v>#N/A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0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0</v>
      </c>
      <c r="H78" s="70">
        <f t="shared" si="56"/>
        <v>256.66666666666669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10.962</v>
      </c>
      <c r="N78" s="14">
        <f>IF('Données projet'!$A$36&gt;35,N77+M78-V77,IF(A78&lt;'Données projet'!$A$36,$K$205^A78,IF(A78='Données projet'!$A$36,'Données projet'!$B$36,N77+M78-V77)))</f>
        <v>310.3119999999999</v>
      </c>
      <c r="O78" s="14">
        <f>N78*VLOOKUP('Données projet'!$B$9,Paramètres!$A$1:$I$89,3,0)*VLOOKUP('Données projet'!$B$9,Paramètres!$A$1:$I$89,5,0)</f>
        <v>145.22601599999996</v>
      </c>
      <c r="P78" s="14">
        <f t="shared" si="87"/>
        <v>37.491646840474047</v>
      </c>
      <c r="Q78" s="22">
        <f t="shared" si="54"/>
        <v>318.23326278049223</v>
      </c>
      <c r="R78" s="62">
        <f t="shared" si="55"/>
        <v>611.56659611382554</v>
      </c>
      <c r="S78" s="62">
        <f ca="1">AVERAGE(OFFSET($R$3,0,0,'Données projet'!$E$9+1,1))-AVERAGE(OFFSET($H$3,0,0,'Données projet'!$E$9+1,1))</f>
        <v>302.58171900450355</v>
      </c>
      <c r="T78" s="62">
        <f t="shared" si="88"/>
        <v>164.1450425611464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0</v>
      </c>
      <c r="AA78" s="23">
        <f>EXP(-LN(2)/25)*AA77+(1-EXP(-LN(2)/25))/(LN(2)/25)*Calculateur!V78*Calculateur!X78*VLOOKUP('Données projet'!$B$9,Paramètres!$A$1:$I$89,3,0)*0.475*44/12</f>
        <v>0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0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>
        <f>VLOOKUP(A78,'Données projet'!$A$61:$I$81,2,0)</f>
        <v>183</v>
      </c>
      <c r="AG78" s="13">
        <f>VLOOKUP(A78,'Données projet'!$A$61:$I$81,9,0)</f>
        <v>4.8</v>
      </c>
      <c r="AH78" s="13">
        <f t="array" ref="AH78">INDEX(AG:AG,MIN(IF(ISNUMBER(AG78:AG274),ROW(AG78:AG274),"")))</f>
        <v>4.8</v>
      </c>
      <c r="AI78" s="14">
        <f>IF('Données projet'!$A$62&gt;35,AI77+AH78-AQ77,IF(A78&lt;'Données projet'!$A$62,$AF$205^A78,IF(A78='Données projet'!$A$62,'Données projet'!$B$62,AI77+AH78-AQ77)))</f>
        <v>182.99999999999986</v>
      </c>
      <c r="AJ78" s="14">
        <f>AI78*VLOOKUP('Données projet'!$B$10,Paramètres!$A$1:$I$89,3,0)*VLOOKUP('Données projet'!$B$10,Paramètres!$A$1:$I$89,5,0)</f>
        <v>196.98119999999986</v>
      </c>
      <c r="AK78" s="14">
        <f t="shared" si="89"/>
        <v>49.080140741894091</v>
      </c>
      <c r="AL78" s="22">
        <f t="shared" si="58"/>
        <v>428.55683512546528</v>
      </c>
      <c r="AM78" s="62">
        <f t="shared" si="59"/>
        <v>721.8901684587986</v>
      </c>
      <c r="AN78" s="62">
        <f ca="1">AVERAGE(OFFSET($AM$3,0,0,'Données projet'!$E$10+1,1))-AVERAGE(OFFSET($H$3,0,0,'Données projet'!$E$10+1,1))</f>
        <v>327.4984716935208</v>
      </c>
      <c r="AO78" s="62">
        <f t="shared" si="90"/>
        <v>166.97658184507776</v>
      </c>
      <c r="AP78" s="16">
        <f>IF(ISNA(VLOOKUP(A78,'Données projet'!$A$61:$I$81,3,0)),0,VLOOKUP(A78,'Données projet'!$A$61:$I$81,3,0))</f>
        <v>11</v>
      </c>
      <c r="AQ78" s="16">
        <f>IF(ISNA(VLOOKUP(A78,'Données projet'!$A$61:$I$81,4,0)),0,VLOOKUP(A78,'Données projet'!$A$61:$I$81,4,0))</f>
        <v>14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0</v>
      </c>
      <c r="AV78" s="23">
        <f>EXP(-LN(2)/25)*AV77+(1-EXP(-LN(2)/25))/(LN(2)/25)*Calculateur!AQ78*Calculateur!AS78*VLOOKUP('Données projet'!$B$10,Paramètres!$A$1:$I$89,3,0)*0.475*44/12</f>
        <v>0</v>
      </c>
      <c r="AW78" s="23">
        <f>EXP(-LN(2)/2)*AW77+(1-EXP(-LN(2)/2))/(LN(2)/2)*AQ78*AT78*VLOOKUP('Données projet'!$B$10,Paramètres!$A$1:$I$89,3,0)*0.475*44/12</f>
        <v>0</v>
      </c>
      <c r="AX78" s="23">
        <f t="shared" si="60"/>
        <v>0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0</v>
      </c>
      <c r="BE78" s="14" t="e">
        <f>BD78*VLOOKUP('Données projet'!$B$11,Paramètres!$A$1:$I$89,3,0)*VLOOKUP('Données projet'!$B$11,Paramètres!$A$1:$I$89,5,0)</f>
        <v>#N/A</v>
      </c>
      <c r="BF78" s="14" t="e">
        <f t="shared" si="91"/>
        <v>#N/A</v>
      </c>
      <c r="BG78" s="22" t="e">
        <f t="shared" si="61"/>
        <v>#N/A</v>
      </c>
      <c r="BH78" s="62" t="e">
        <f t="shared" si="62"/>
        <v>#N/A</v>
      </c>
      <c r="BI78" s="62" t="e">
        <f ca="1">AVERAGE(OFFSET($BH$3,0,0,'Données projet'!$E$11+1,1))-AVERAGE(OFFSET($H$3,0,0,'Données projet'!$E$11+1,1))</f>
        <v>#N/A</v>
      </c>
      <c r="BJ78" s="62" t="e">
        <f t="shared" si="92"/>
        <v>#N/A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 t="e">
        <f>EXP(-LN(2)/35)*BP77+(1-EXP(-LN(2)/35))/(LN(2)/35)*BL78*BM78*VLOOKUP('Données projet'!$B$11,Paramètres!$A$1:$I$89,3,0)*0.475*44/12</f>
        <v>#N/A</v>
      </c>
      <c r="BQ78" s="23" t="e">
        <f>EXP(-LN(2)/25)*BQ77+(1-EXP(-LN(2)/25))/(LN(2)/25)*Calculateur!BL78*Calculateur!BN78*VLOOKUP('Données projet'!$B$11,Paramètres!$A$1:$I$89,3,0)*0.475*44/12</f>
        <v>#N/A</v>
      </c>
      <c r="BR78" s="23" t="e">
        <f>EXP(-LN(2)/2)*BR77+(1-EXP(-LN(2)/2))/(LN(2)/2)*BL78*BO78*VLOOKUP('Données projet'!$B$11,Paramètres!$A$1:$I$89,3,0)*0.475*44/12</f>
        <v>#N/A</v>
      </c>
      <c r="BS78" s="24" t="e">
        <f t="shared" si="63"/>
        <v>#N/A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0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0</v>
      </c>
      <c r="H79" s="70">
        <f t="shared" si="56"/>
        <v>256.66666666666669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10.962</v>
      </c>
      <c r="N79" s="14">
        <f>IF('Données projet'!$A$36&gt;35,N78+M79-V78,IF(A79&lt;'Données projet'!$A$36,$K$205^A79,IF(A79='Données projet'!$A$36,'Données projet'!$B$36,N78+M79-V78)))</f>
        <v>321.27399999999989</v>
      </c>
      <c r="O79" s="14">
        <f>N79*VLOOKUP('Données projet'!$B$9,Paramètres!$A$1:$I$89,3,0)*VLOOKUP('Données projet'!$B$9,Paramètres!$A$1:$I$89,5,0)</f>
        <v>150.35623199999995</v>
      </c>
      <c r="P79" s="14">
        <f t="shared" si="87"/>
        <v>38.659529441580688</v>
      </c>
      <c r="Q79" s="22">
        <f t="shared" si="54"/>
        <v>329.20245117741962</v>
      </c>
      <c r="R79" s="62">
        <f t="shared" si="55"/>
        <v>622.53578451075293</v>
      </c>
      <c r="S79" s="62">
        <f ca="1">AVERAGE(OFFSET($R$3,0,0,'Données projet'!$E$9+1,1))-AVERAGE(OFFSET($H$3,0,0,'Données projet'!$E$9+1,1))</f>
        <v>302.58171900450355</v>
      </c>
      <c r="T79" s="62">
        <f t="shared" si="88"/>
        <v>164.1450425611464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0</v>
      </c>
      <c r="AA79" s="23">
        <f>EXP(-LN(2)/25)*AA78+(1-EXP(-LN(2)/25))/(LN(2)/25)*Calculateur!V79*Calculateur!X79*VLOOKUP('Données projet'!$B$9,Paramètres!$A$1:$I$89,3,0)*0.475*44/12</f>
        <v>0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0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4.5999999999999996</v>
      </c>
      <c r="AI79" s="14">
        <f>IF('Données projet'!$A$62&gt;35,AI78+AH79-AQ78,IF(A79&lt;'Données projet'!$A$62,$AF$205^A79,IF(A79='Données projet'!$A$62,'Données projet'!$B$62,AI78+AH79-AQ78)))</f>
        <v>173.59999999999985</v>
      </c>
      <c r="AJ79" s="14">
        <f>AI79*VLOOKUP('Données projet'!$B$10,Paramètres!$A$1:$I$89,3,0)*VLOOKUP('Données projet'!$B$10,Paramètres!$A$1:$I$89,5,0)</f>
        <v>186.86303999999984</v>
      </c>
      <c r="AK79" s="14">
        <f t="shared" si="89"/>
        <v>46.845744983534424</v>
      </c>
      <c r="AL79" s="22">
        <f t="shared" si="58"/>
        <v>407.04280051298883</v>
      </c>
      <c r="AM79" s="62">
        <f t="shared" si="59"/>
        <v>700.37613384632209</v>
      </c>
      <c r="AN79" s="62">
        <f ca="1">AVERAGE(OFFSET($AM$3,0,0,'Données projet'!$E$10+1,1))-AVERAGE(OFFSET($H$3,0,0,'Données projet'!$E$10+1,1))</f>
        <v>327.4984716935208</v>
      </c>
      <c r="AO79" s="62">
        <f t="shared" si="90"/>
        <v>166.97658184507776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0</v>
      </c>
      <c r="AV79" s="23">
        <f>EXP(-LN(2)/25)*AV78+(1-EXP(-LN(2)/25))/(LN(2)/25)*Calculateur!AQ79*Calculateur!AS79*VLOOKUP('Données projet'!$B$10,Paramètres!$A$1:$I$89,3,0)*0.475*44/12</f>
        <v>0</v>
      </c>
      <c r="AW79" s="23">
        <f>EXP(-LN(2)/2)*AW78+(1-EXP(-LN(2)/2))/(LN(2)/2)*AQ79*AT79*VLOOKUP('Données projet'!$B$10,Paramètres!$A$1:$I$89,3,0)*0.475*44/12</f>
        <v>0</v>
      </c>
      <c r="AX79" s="23">
        <f t="shared" si="60"/>
        <v>0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0</v>
      </c>
      <c r="BE79" s="14" t="e">
        <f>BD79*VLOOKUP('Données projet'!$B$11,Paramètres!$A$1:$I$89,3,0)*VLOOKUP('Données projet'!$B$11,Paramètres!$A$1:$I$89,5,0)</f>
        <v>#N/A</v>
      </c>
      <c r="BF79" s="14" t="e">
        <f t="shared" si="91"/>
        <v>#N/A</v>
      </c>
      <c r="BG79" s="22" t="e">
        <f t="shared" si="61"/>
        <v>#N/A</v>
      </c>
      <c r="BH79" s="62" t="e">
        <f t="shared" si="62"/>
        <v>#N/A</v>
      </c>
      <c r="BI79" s="62" t="e">
        <f ca="1">AVERAGE(OFFSET($BH$3,0,0,'Données projet'!$E$11+1,1))-AVERAGE(OFFSET($H$3,0,0,'Données projet'!$E$11+1,1))</f>
        <v>#N/A</v>
      </c>
      <c r="BJ79" s="62" t="e">
        <f t="shared" si="92"/>
        <v>#N/A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 t="e">
        <f>EXP(-LN(2)/35)*BP78+(1-EXP(-LN(2)/35))/(LN(2)/35)*BL79*BM79*VLOOKUP('Données projet'!$B$11,Paramètres!$A$1:$I$89,3,0)*0.475*44/12</f>
        <v>#N/A</v>
      </c>
      <c r="BQ79" s="23" t="e">
        <f>EXP(-LN(2)/25)*BQ78+(1-EXP(-LN(2)/25))/(LN(2)/25)*Calculateur!BL79*Calculateur!BN79*VLOOKUP('Données projet'!$B$11,Paramètres!$A$1:$I$89,3,0)*0.475*44/12</f>
        <v>#N/A</v>
      </c>
      <c r="BR79" s="23" t="e">
        <f>EXP(-LN(2)/2)*BR78+(1-EXP(-LN(2)/2))/(LN(2)/2)*BL79*BO79*VLOOKUP('Données projet'!$B$11,Paramètres!$A$1:$I$89,3,0)*0.475*44/12</f>
        <v>#N/A</v>
      </c>
      <c r="BS79" s="24" t="e">
        <f t="shared" si="63"/>
        <v>#N/A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0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0</v>
      </c>
      <c r="H80" s="70">
        <f t="shared" si="56"/>
        <v>256.66666666666669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10.962</v>
      </c>
      <c r="N80" s="14">
        <f>IF('Données projet'!$A$36&gt;35,N79+M80-V79,IF(A80&lt;'Données projet'!$A$36,$K$205^A80,IF(A80='Données projet'!$A$36,'Données projet'!$B$36,N79+M80-V79)))</f>
        <v>332.23599999999988</v>
      </c>
      <c r="O80" s="14">
        <f>N80*VLOOKUP('Données projet'!$B$9,Paramètres!$A$1:$I$89,3,0)*VLOOKUP('Données projet'!$B$9,Paramètres!$A$1:$I$89,5,0)</f>
        <v>155.48644799999994</v>
      </c>
      <c r="P80" s="14">
        <f t="shared" si="87"/>
        <v>39.822781911720462</v>
      </c>
      <c r="Q80" s="22">
        <f t="shared" si="54"/>
        <v>340.16357542957968</v>
      </c>
      <c r="R80" s="62">
        <f t="shared" si="55"/>
        <v>633.49690876291299</v>
      </c>
      <c r="S80" s="62">
        <f ca="1">AVERAGE(OFFSET($R$3,0,0,'Données projet'!$E$9+1,1))-AVERAGE(OFFSET($H$3,0,0,'Données projet'!$E$9+1,1))</f>
        <v>302.58171900450355</v>
      </c>
      <c r="T80" s="62">
        <f t="shared" si="88"/>
        <v>164.1450425611464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0</v>
      </c>
      <c r="AA80" s="23">
        <f>EXP(-LN(2)/25)*AA79+(1-EXP(-LN(2)/25))/(LN(2)/25)*Calculateur!V80*Calculateur!X80*VLOOKUP('Données projet'!$B$9,Paramètres!$A$1:$I$89,3,0)*0.475*44/12</f>
        <v>0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0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4.5999999999999996</v>
      </c>
      <c r="AI80" s="14">
        <f>IF('Données projet'!$A$62&gt;35,AI79+AH80-AQ79,IF(A80&lt;'Données projet'!$A$62,$AF$205^A80,IF(A80='Données projet'!$A$62,'Données projet'!$B$62,AI79+AH80-AQ79)))</f>
        <v>178.19999999999985</v>
      </c>
      <c r="AJ80" s="14">
        <f>AI80*VLOOKUP('Données projet'!$B$10,Paramètres!$A$1:$I$89,3,0)*VLOOKUP('Données projet'!$B$10,Paramètres!$A$1:$I$89,5,0)</f>
        <v>191.81447999999983</v>
      </c>
      <c r="AK80" s="14">
        <f t="shared" si="89"/>
        <v>47.940886441320977</v>
      </c>
      <c r="AL80" s="22">
        <f t="shared" si="58"/>
        <v>417.5739298853004</v>
      </c>
      <c r="AM80" s="62">
        <f t="shared" si="59"/>
        <v>710.90726321863372</v>
      </c>
      <c r="AN80" s="62">
        <f ca="1">AVERAGE(OFFSET($AM$3,0,0,'Données projet'!$E$10+1,1))-AVERAGE(OFFSET($H$3,0,0,'Données projet'!$E$10+1,1))</f>
        <v>327.4984716935208</v>
      </c>
      <c r="AO80" s="62">
        <f t="shared" si="90"/>
        <v>166.97658184507776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0</v>
      </c>
      <c r="AV80" s="23">
        <f>EXP(-LN(2)/25)*AV79+(1-EXP(-LN(2)/25))/(LN(2)/25)*Calculateur!AQ80*Calculateur!AS80*VLOOKUP('Données projet'!$B$10,Paramètres!$A$1:$I$89,3,0)*0.475*44/12</f>
        <v>0</v>
      </c>
      <c r="AW80" s="23">
        <f>EXP(-LN(2)/2)*AW79+(1-EXP(-LN(2)/2))/(LN(2)/2)*AQ80*AT80*VLOOKUP('Données projet'!$B$10,Paramètres!$A$1:$I$89,3,0)*0.475*44/12</f>
        <v>0</v>
      </c>
      <c r="AX80" s="23">
        <f t="shared" si="60"/>
        <v>0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0</v>
      </c>
      <c r="BE80" s="14" t="e">
        <f>BD80*VLOOKUP('Données projet'!$B$11,Paramètres!$A$1:$I$89,3,0)*VLOOKUP('Données projet'!$B$11,Paramètres!$A$1:$I$89,5,0)</f>
        <v>#N/A</v>
      </c>
      <c r="BF80" s="14" t="e">
        <f t="shared" si="91"/>
        <v>#N/A</v>
      </c>
      <c r="BG80" s="22" t="e">
        <f t="shared" si="61"/>
        <v>#N/A</v>
      </c>
      <c r="BH80" s="62" t="e">
        <f t="shared" si="62"/>
        <v>#N/A</v>
      </c>
      <c r="BI80" s="62" t="e">
        <f ca="1">AVERAGE(OFFSET($BH$3,0,0,'Données projet'!$E$11+1,1))-AVERAGE(OFFSET($H$3,0,0,'Données projet'!$E$11+1,1))</f>
        <v>#N/A</v>
      </c>
      <c r="BJ80" s="62" t="e">
        <f t="shared" si="92"/>
        <v>#N/A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 t="e">
        <f>EXP(-LN(2)/35)*BP79+(1-EXP(-LN(2)/35))/(LN(2)/35)*BL80*BM80*VLOOKUP('Données projet'!$B$11,Paramètres!$A$1:$I$89,3,0)*0.475*44/12</f>
        <v>#N/A</v>
      </c>
      <c r="BQ80" s="23" t="e">
        <f>EXP(-LN(2)/25)*BQ79+(1-EXP(-LN(2)/25))/(LN(2)/25)*Calculateur!BL80*Calculateur!BN80*VLOOKUP('Données projet'!$B$11,Paramètres!$A$1:$I$89,3,0)*0.475*44/12</f>
        <v>#N/A</v>
      </c>
      <c r="BR80" s="23" t="e">
        <f>EXP(-LN(2)/2)*BR79+(1-EXP(-LN(2)/2))/(LN(2)/2)*BL80*BO80*VLOOKUP('Données projet'!$B$11,Paramètres!$A$1:$I$89,3,0)*0.475*44/12</f>
        <v>#N/A</v>
      </c>
      <c r="BS80" s="24" t="e">
        <f t="shared" si="63"/>
        <v>#N/A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0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0</v>
      </c>
      <c r="H81" s="70">
        <f t="shared" si="56"/>
        <v>256.66666666666669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10.962</v>
      </c>
      <c r="N81" s="14">
        <f>IF('Données projet'!$A$36&gt;35,N80+M81-V80,IF(A81&lt;'Données projet'!$A$36,$K$205^A81,IF(A81='Données projet'!$A$36,'Données projet'!$B$36,N80+M81-V80)))</f>
        <v>343.19799999999987</v>
      </c>
      <c r="O81" s="14">
        <f>N81*VLOOKUP('Données projet'!$B$9,Paramètres!$A$1:$I$89,3,0)*VLOOKUP('Données projet'!$B$9,Paramètres!$A$1:$I$89,5,0)</f>
        <v>160.61666399999993</v>
      </c>
      <c r="P81" s="14">
        <f t="shared" si="87"/>
        <v>40.981574538312898</v>
      </c>
      <c r="Q81" s="22">
        <f t="shared" si="54"/>
        <v>351.11693212089489</v>
      </c>
      <c r="R81" s="62">
        <f t="shared" si="55"/>
        <v>644.4502654542282</v>
      </c>
      <c r="S81" s="62">
        <f ca="1">AVERAGE(OFFSET($R$3,0,0,'Données projet'!$E$9+1,1))-AVERAGE(OFFSET($H$3,0,0,'Données projet'!$E$9+1,1))</f>
        <v>302.58171900450355</v>
      </c>
      <c r="T81" s="62">
        <f t="shared" si="88"/>
        <v>164.1450425611464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0</v>
      </c>
      <c r="AA81" s="23">
        <f>EXP(-LN(2)/25)*AA80+(1-EXP(-LN(2)/25))/(LN(2)/25)*Calculateur!V81*Calculateur!X81*VLOOKUP('Données projet'!$B$9,Paramètres!$A$1:$I$89,3,0)*0.475*44/12</f>
        <v>0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0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4.5999999999999996</v>
      </c>
      <c r="AI81" s="14">
        <f>IF('Données projet'!$A$62&gt;35,AI80+AH81-AQ80,IF(A81&lt;'Données projet'!$A$62,$AF$205^A81,IF(A81='Données projet'!$A$62,'Données projet'!$B$62,AI80+AH81-AQ80)))</f>
        <v>182.79999999999984</v>
      </c>
      <c r="AJ81" s="14">
        <f>AI81*VLOOKUP('Données projet'!$B$10,Paramètres!$A$1:$I$89,3,0)*VLOOKUP('Données projet'!$B$10,Paramètres!$A$1:$I$89,5,0)</f>
        <v>196.76591999999982</v>
      </c>
      <c r="AK81" s="14">
        <f t="shared" si="89"/>
        <v>49.032741865477547</v>
      </c>
      <c r="AL81" s="22">
        <f t="shared" si="58"/>
        <v>428.0993360823731</v>
      </c>
      <c r="AM81" s="62">
        <f t="shared" si="59"/>
        <v>721.43266941570641</v>
      </c>
      <c r="AN81" s="62">
        <f ca="1">AVERAGE(OFFSET($AM$3,0,0,'Données projet'!$E$10+1,1))-AVERAGE(OFFSET($H$3,0,0,'Données projet'!$E$10+1,1))</f>
        <v>327.4984716935208</v>
      </c>
      <c r="AO81" s="62">
        <f t="shared" si="90"/>
        <v>166.97658184507776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0</v>
      </c>
      <c r="AV81" s="23">
        <f>EXP(-LN(2)/25)*AV80+(1-EXP(-LN(2)/25))/(LN(2)/25)*Calculateur!AQ81*Calculateur!AS81*VLOOKUP('Données projet'!$B$10,Paramètres!$A$1:$I$89,3,0)*0.475*44/12</f>
        <v>0</v>
      </c>
      <c r="AW81" s="23">
        <f>EXP(-LN(2)/2)*AW80+(1-EXP(-LN(2)/2))/(LN(2)/2)*AQ81*AT81*VLOOKUP('Données projet'!$B$10,Paramètres!$A$1:$I$89,3,0)*0.475*44/12</f>
        <v>0</v>
      </c>
      <c r="AX81" s="23">
        <f t="shared" si="60"/>
        <v>0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0</v>
      </c>
      <c r="BE81" s="14" t="e">
        <f>BD81*VLOOKUP('Données projet'!$B$11,Paramètres!$A$1:$I$89,3,0)*VLOOKUP('Données projet'!$B$11,Paramètres!$A$1:$I$89,5,0)</f>
        <v>#N/A</v>
      </c>
      <c r="BF81" s="14" t="e">
        <f t="shared" si="91"/>
        <v>#N/A</v>
      </c>
      <c r="BG81" s="22" t="e">
        <f t="shared" si="61"/>
        <v>#N/A</v>
      </c>
      <c r="BH81" s="62" t="e">
        <f t="shared" si="62"/>
        <v>#N/A</v>
      </c>
      <c r="BI81" s="62" t="e">
        <f ca="1">AVERAGE(OFFSET($BH$3,0,0,'Données projet'!$E$11+1,1))-AVERAGE(OFFSET($H$3,0,0,'Données projet'!$E$11+1,1))</f>
        <v>#N/A</v>
      </c>
      <c r="BJ81" s="62" t="e">
        <f t="shared" si="92"/>
        <v>#N/A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 t="e">
        <f>EXP(-LN(2)/35)*BP80+(1-EXP(-LN(2)/35))/(LN(2)/35)*BL81*BM81*VLOOKUP('Données projet'!$B$11,Paramètres!$A$1:$I$89,3,0)*0.475*44/12</f>
        <v>#N/A</v>
      </c>
      <c r="BQ81" s="23" t="e">
        <f>EXP(-LN(2)/25)*BQ80+(1-EXP(-LN(2)/25))/(LN(2)/25)*Calculateur!BL81*Calculateur!BN81*VLOOKUP('Données projet'!$B$11,Paramètres!$A$1:$I$89,3,0)*0.475*44/12</f>
        <v>#N/A</v>
      </c>
      <c r="BR81" s="23" t="e">
        <f>EXP(-LN(2)/2)*BR80+(1-EXP(-LN(2)/2))/(LN(2)/2)*BL81*BO81*VLOOKUP('Données projet'!$B$11,Paramètres!$A$1:$I$89,3,0)*0.475*44/12</f>
        <v>#N/A</v>
      </c>
      <c r="BS81" s="24" t="e">
        <f t="shared" si="63"/>
        <v>#N/A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0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0</v>
      </c>
      <c r="H82" s="70">
        <f t="shared" si="56"/>
        <v>256.66666666666669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10.962</v>
      </c>
      <c r="N82" s="14">
        <f>IF('Données projet'!$A$36&gt;35,N81+M82-V81,IF(A82&lt;'Données projet'!$A$36,$K$205^A82,IF(A82='Données projet'!$A$36,'Données projet'!$B$36,N81+M82-V81)))</f>
        <v>354.15999999999985</v>
      </c>
      <c r="O82" s="14">
        <f>N82*VLOOKUP('Données projet'!$B$9,Paramètres!$A$1:$I$89,3,0)*VLOOKUP('Données projet'!$B$9,Paramètres!$A$1:$I$89,5,0)</f>
        <v>165.74687999999995</v>
      </c>
      <c r="P82" s="14">
        <f t="shared" si="87"/>
        <v>42.136066112888457</v>
      </c>
      <c r="Q82" s="22">
        <f t="shared" si="54"/>
        <v>362.06279781328067</v>
      </c>
      <c r="R82" s="62">
        <f t="shared" si="55"/>
        <v>655.39613114661393</v>
      </c>
      <c r="S82" s="62">
        <f ca="1">AVERAGE(OFFSET($R$3,0,0,'Données projet'!$E$9+1,1))-AVERAGE(OFFSET($H$3,0,0,'Données projet'!$E$9+1,1))</f>
        <v>302.58171900450355</v>
      </c>
      <c r="T82" s="62">
        <f t="shared" si="88"/>
        <v>164.1450425611464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0</v>
      </c>
      <c r="AA82" s="23">
        <f>EXP(-LN(2)/25)*AA81+(1-EXP(-LN(2)/25))/(LN(2)/25)*Calculateur!V82*Calculateur!X82*VLOOKUP('Données projet'!$B$9,Paramètres!$A$1:$I$89,3,0)*0.475*44/12</f>
        <v>0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0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4.5999999999999996</v>
      </c>
      <c r="AI82" s="14">
        <f>IF('Données projet'!$A$62&gt;35,AI81+AH82-AQ81,IF(A82&lt;'Données projet'!$A$62,$AF$205^A82,IF(A82='Données projet'!$A$62,'Données projet'!$B$62,AI81+AH82-AQ81)))</f>
        <v>187.39999999999984</v>
      </c>
      <c r="AJ82" s="14">
        <f>AI82*VLOOKUP('Données projet'!$B$10,Paramètres!$A$1:$I$89,3,0)*VLOOKUP('Données projet'!$B$10,Paramètres!$A$1:$I$89,5,0)</f>
        <v>201.71735999999981</v>
      </c>
      <c r="AK82" s="14">
        <f t="shared" si="89"/>
        <v>50.121403455877093</v>
      </c>
      <c r="AL82" s="22">
        <f t="shared" si="58"/>
        <v>438.61917968565234</v>
      </c>
      <c r="AM82" s="62">
        <f t="shared" si="59"/>
        <v>731.95251301898566</v>
      </c>
      <c r="AN82" s="62">
        <f ca="1">AVERAGE(OFFSET($AM$3,0,0,'Données projet'!$E$10+1,1))-AVERAGE(OFFSET($H$3,0,0,'Données projet'!$E$10+1,1))</f>
        <v>327.4984716935208</v>
      </c>
      <c r="AO82" s="62">
        <f t="shared" si="90"/>
        <v>166.97658184507776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0</v>
      </c>
      <c r="AV82" s="23">
        <f>EXP(-LN(2)/25)*AV81+(1-EXP(-LN(2)/25))/(LN(2)/25)*Calculateur!AQ82*Calculateur!AS82*VLOOKUP('Données projet'!$B$10,Paramètres!$A$1:$I$89,3,0)*0.475*44/12</f>
        <v>0</v>
      </c>
      <c r="AW82" s="23">
        <f>EXP(-LN(2)/2)*AW81+(1-EXP(-LN(2)/2))/(LN(2)/2)*AQ82*AT82*VLOOKUP('Données projet'!$B$10,Paramètres!$A$1:$I$89,3,0)*0.475*44/12</f>
        <v>0</v>
      </c>
      <c r="AX82" s="23">
        <f t="shared" si="60"/>
        <v>0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0</v>
      </c>
      <c r="BE82" s="14" t="e">
        <f>BD82*VLOOKUP('Données projet'!$B$11,Paramètres!$A$1:$I$89,3,0)*VLOOKUP('Données projet'!$B$11,Paramètres!$A$1:$I$89,5,0)</f>
        <v>#N/A</v>
      </c>
      <c r="BF82" s="14" t="e">
        <f t="shared" si="91"/>
        <v>#N/A</v>
      </c>
      <c r="BG82" s="22" t="e">
        <f t="shared" si="61"/>
        <v>#N/A</v>
      </c>
      <c r="BH82" s="62" t="e">
        <f t="shared" si="62"/>
        <v>#N/A</v>
      </c>
      <c r="BI82" s="62" t="e">
        <f ca="1">AVERAGE(OFFSET($BH$3,0,0,'Données projet'!$E$11+1,1))-AVERAGE(OFFSET($H$3,0,0,'Données projet'!$E$11+1,1))</f>
        <v>#N/A</v>
      </c>
      <c r="BJ82" s="62" t="e">
        <f t="shared" si="92"/>
        <v>#N/A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 t="e">
        <f>EXP(-LN(2)/35)*BP81+(1-EXP(-LN(2)/35))/(LN(2)/35)*BL82*BM82*VLOOKUP('Données projet'!$B$11,Paramètres!$A$1:$I$89,3,0)*0.475*44/12</f>
        <v>#N/A</v>
      </c>
      <c r="BQ82" s="23" t="e">
        <f>EXP(-LN(2)/25)*BQ81+(1-EXP(-LN(2)/25))/(LN(2)/25)*Calculateur!BL82*Calculateur!BN82*VLOOKUP('Données projet'!$B$11,Paramètres!$A$1:$I$89,3,0)*0.475*44/12</f>
        <v>#N/A</v>
      </c>
      <c r="BR82" s="23" t="e">
        <f>EXP(-LN(2)/2)*BR81+(1-EXP(-LN(2)/2))/(LN(2)/2)*BL82*BO82*VLOOKUP('Données projet'!$B$11,Paramètres!$A$1:$I$89,3,0)*0.475*44/12</f>
        <v>#N/A</v>
      </c>
      <c r="BS82" s="24" t="e">
        <f t="shared" si="63"/>
        <v>#N/A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0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0</v>
      </c>
      <c r="H83" s="70">
        <f t="shared" si="56"/>
        <v>256.66666666666669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10.962</v>
      </c>
      <c r="N83" s="14">
        <f>IF('Données projet'!$A$36&gt;35,N82+M83-V82,IF(A83&lt;'Données projet'!$A$36,$K$205^A83,IF(A83='Données projet'!$A$36,'Données projet'!$B$36,N82+M83-V82)))</f>
        <v>365.12199999999984</v>
      </c>
      <c r="O83" s="14">
        <f>N83*VLOOKUP('Données projet'!$B$9,Paramètres!$A$1:$I$89,3,0)*VLOOKUP('Données projet'!$B$9,Paramètres!$A$1:$I$89,5,0)</f>
        <v>170.87709599999991</v>
      </c>
      <c r="P83" s="14">
        <f t="shared" si="87"/>
        <v>43.286405038697346</v>
      </c>
      <c r="Q83" s="22">
        <f t="shared" si="54"/>
        <v>373.00143097573113</v>
      </c>
      <c r="R83" s="62">
        <f t="shared" si="55"/>
        <v>666.33476430906444</v>
      </c>
      <c r="S83" s="62">
        <f ca="1">AVERAGE(OFFSET($R$3,0,0,'Données projet'!$E$9+1,1))-AVERAGE(OFFSET($H$3,0,0,'Données projet'!$E$9+1,1))</f>
        <v>302.58171900450355</v>
      </c>
      <c r="T83" s="62">
        <f t="shared" si="88"/>
        <v>164.1450425611464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0</v>
      </c>
      <c r="AA83" s="23">
        <f>EXP(-LN(2)/25)*AA82+(1-EXP(-LN(2)/25))/(LN(2)/25)*Calculateur!V83*Calculateur!X83*VLOOKUP('Données projet'!$B$9,Paramètres!$A$1:$I$89,3,0)*0.475*44/12</f>
        <v>0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0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>
        <f>VLOOKUP(A83,'Données projet'!$A$61:$I$81,2,0)</f>
        <v>192</v>
      </c>
      <c r="AG83" s="13">
        <f>VLOOKUP(A83,'Données projet'!$A$61:$I$81,9,0)</f>
        <v>4.5999999999999996</v>
      </c>
      <c r="AH83" s="13">
        <f t="array" ref="AH83">INDEX(AG:AG,MIN(IF(ISNUMBER(AG83:AG279),ROW(AG83:AG279),"")))</f>
        <v>4.5999999999999996</v>
      </c>
      <c r="AI83" s="14">
        <f>IF('Données projet'!$A$62&gt;35,AI82+AH83-AQ82,IF(A83&lt;'Données projet'!$A$62,$AF$205^A83,IF(A83='Données projet'!$A$62,'Données projet'!$B$62,AI82+AH83-AQ82)))</f>
        <v>191.99999999999983</v>
      </c>
      <c r="AJ83" s="14">
        <f>AI83*VLOOKUP('Données projet'!$B$10,Paramètres!$A$1:$I$89,3,0)*VLOOKUP('Données projet'!$B$10,Paramètres!$A$1:$I$89,5,0)</f>
        <v>206.66879999999981</v>
      </c>
      <c r="AK83" s="14">
        <f t="shared" si="89"/>
        <v>51.206958627992705</v>
      </c>
      <c r="AL83" s="22">
        <f t="shared" si="58"/>
        <v>449.13361294375363</v>
      </c>
      <c r="AM83" s="62">
        <f t="shared" si="59"/>
        <v>742.46694627708689</v>
      </c>
      <c r="AN83" s="62">
        <f ca="1">AVERAGE(OFFSET($AM$3,0,0,'Données projet'!$E$10+1,1))-AVERAGE(OFFSET($H$3,0,0,'Données projet'!$E$10+1,1))</f>
        <v>327.4984716935208</v>
      </c>
      <c r="AO83" s="62">
        <f t="shared" si="90"/>
        <v>166.97658184507776</v>
      </c>
      <c r="AP83" s="16">
        <f>IF(ISNA(VLOOKUP(A83,'Données projet'!$A$61:$I$81,3,0)),0,VLOOKUP(A83,'Données projet'!$A$61:$I$81,3,0))</f>
        <v>12</v>
      </c>
      <c r="AQ83" s="16">
        <f>IF(ISNA(VLOOKUP(A83,'Données projet'!$A$61:$I$81,4,0)),0,VLOOKUP(A83,'Données projet'!$A$61:$I$81,4,0))</f>
        <v>14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0</v>
      </c>
      <c r="AV83" s="23">
        <f>EXP(-LN(2)/25)*AV82+(1-EXP(-LN(2)/25))/(LN(2)/25)*Calculateur!AQ83*Calculateur!AS83*VLOOKUP('Données projet'!$B$10,Paramètres!$A$1:$I$89,3,0)*0.475*44/12</f>
        <v>0</v>
      </c>
      <c r="AW83" s="23">
        <f>EXP(-LN(2)/2)*AW82+(1-EXP(-LN(2)/2))/(LN(2)/2)*AQ83*AT83*VLOOKUP('Données projet'!$B$10,Paramètres!$A$1:$I$89,3,0)*0.475*44/12</f>
        <v>0</v>
      </c>
      <c r="AX83" s="23">
        <f t="shared" si="60"/>
        <v>0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0</v>
      </c>
      <c r="BE83" s="14" t="e">
        <f>BD83*VLOOKUP('Données projet'!$B$11,Paramètres!$A$1:$I$89,3,0)*VLOOKUP('Données projet'!$B$11,Paramètres!$A$1:$I$89,5,0)</f>
        <v>#N/A</v>
      </c>
      <c r="BF83" s="14" t="e">
        <f t="shared" si="91"/>
        <v>#N/A</v>
      </c>
      <c r="BG83" s="22" t="e">
        <f t="shared" si="61"/>
        <v>#N/A</v>
      </c>
      <c r="BH83" s="62" t="e">
        <f t="shared" si="62"/>
        <v>#N/A</v>
      </c>
      <c r="BI83" s="62" t="e">
        <f ca="1">AVERAGE(OFFSET($BH$3,0,0,'Données projet'!$E$11+1,1))-AVERAGE(OFFSET($H$3,0,0,'Données projet'!$E$11+1,1))</f>
        <v>#N/A</v>
      </c>
      <c r="BJ83" s="62" t="e">
        <f t="shared" si="92"/>
        <v>#N/A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 t="e">
        <f>EXP(-LN(2)/35)*BP82+(1-EXP(-LN(2)/35))/(LN(2)/35)*BL83*BM83*VLOOKUP('Données projet'!$B$11,Paramètres!$A$1:$I$89,3,0)*0.475*44/12</f>
        <v>#N/A</v>
      </c>
      <c r="BQ83" s="23" t="e">
        <f>EXP(-LN(2)/25)*BQ82+(1-EXP(-LN(2)/25))/(LN(2)/25)*Calculateur!BL83*Calculateur!BN83*VLOOKUP('Données projet'!$B$11,Paramètres!$A$1:$I$89,3,0)*0.475*44/12</f>
        <v>#N/A</v>
      </c>
      <c r="BR83" s="23" t="e">
        <f>EXP(-LN(2)/2)*BR82+(1-EXP(-LN(2)/2))/(LN(2)/2)*BL83*BO83*VLOOKUP('Données projet'!$B$11,Paramètres!$A$1:$I$89,3,0)*0.475*44/12</f>
        <v>#N/A</v>
      </c>
      <c r="BS83" s="24" t="e">
        <f t="shared" si="63"/>
        <v>#N/A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0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0</v>
      </c>
      <c r="H84" s="70">
        <f t="shared" si="56"/>
        <v>256.66666666666669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10.962</v>
      </c>
      <c r="N84" s="14">
        <f>IF('Données projet'!$A$36&gt;35,N83+M84-V83,IF(A84&lt;'Données projet'!$A$36,$K$205^A84,IF(A84='Données projet'!$A$36,'Données projet'!$B$36,N83+M84-V83)))</f>
        <v>376.08399999999983</v>
      </c>
      <c r="O84" s="14">
        <f>N84*VLOOKUP('Données projet'!$B$9,Paramètres!$A$1:$I$89,3,0)*VLOOKUP('Données projet'!$B$9,Paramètres!$A$1:$I$89,5,0)</f>
        <v>176.00731199999993</v>
      </c>
      <c r="P84" s="14">
        <f t="shared" si="87"/>
        <v>44.432730301566856</v>
      </c>
      <c r="Q84" s="22">
        <f t="shared" si="54"/>
        <v>383.9330736752288</v>
      </c>
      <c r="R84" s="62">
        <f t="shared" si="55"/>
        <v>677.26640700856206</v>
      </c>
      <c r="S84" s="62">
        <f ca="1">AVERAGE(OFFSET($R$3,0,0,'Données projet'!$E$9+1,1))-AVERAGE(OFFSET($H$3,0,0,'Données projet'!$E$9+1,1))</f>
        <v>302.58171900450355</v>
      </c>
      <c r="T84" s="62">
        <f t="shared" si="88"/>
        <v>164.1450425611464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0</v>
      </c>
      <c r="AA84" s="23">
        <f>EXP(-LN(2)/25)*AA83+(1-EXP(-LN(2)/25))/(LN(2)/25)*Calculateur!V84*Calculateur!X84*VLOOKUP('Données projet'!$B$9,Paramètres!$A$1:$I$89,3,0)*0.475*44/12</f>
        <v>0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0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4.4000000000000004</v>
      </c>
      <c r="AI84" s="14">
        <f>IF('Données projet'!$A$62&gt;35,AI83+AH84-AQ83,IF(A84&lt;'Données projet'!$A$62,$AF$205^A84,IF(A84='Données projet'!$A$62,'Données projet'!$B$62,AI83+AH84-AQ83)))</f>
        <v>182.39999999999984</v>
      </c>
      <c r="AJ84" s="14">
        <f>AI84*VLOOKUP('Données projet'!$B$10,Paramètres!$A$1:$I$89,3,0)*VLOOKUP('Données projet'!$B$10,Paramètres!$A$1:$I$89,5,0)</f>
        <v>196.33535999999981</v>
      </c>
      <c r="AK84" s="14">
        <f t="shared" si="89"/>
        <v>48.937925995037943</v>
      </c>
      <c r="AL84" s="22">
        <f t="shared" si="58"/>
        <v>427.18430644135742</v>
      </c>
      <c r="AM84" s="62">
        <f t="shared" si="59"/>
        <v>720.51763977469068</v>
      </c>
      <c r="AN84" s="62">
        <f ca="1">AVERAGE(OFFSET($AM$3,0,0,'Données projet'!$E$10+1,1))-AVERAGE(OFFSET($H$3,0,0,'Données projet'!$E$10+1,1))</f>
        <v>327.4984716935208</v>
      </c>
      <c r="AO84" s="62">
        <f t="shared" si="90"/>
        <v>166.97658184507776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0</v>
      </c>
      <c r="AV84" s="23">
        <f>EXP(-LN(2)/25)*AV83+(1-EXP(-LN(2)/25))/(LN(2)/25)*Calculateur!AQ84*Calculateur!AS84*VLOOKUP('Données projet'!$B$10,Paramètres!$A$1:$I$89,3,0)*0.475*44/12</f>
        <v>0</v>
      </c>
      <c r="AW84" s="23">
        <f>EXP(-LN(2)/2)*AW83+(1-EXP(-LN(2)/2))/(LN(2)/2)*AQ84*AT84*VLOOKUP('Données projet'!$B$10,Paramètres!$A$1:$I$89,3,0)*0.475*44/12</f>
        <v>0</v>
      </c>
      <c r="AX84" s="23">
        <f t="shared" si="60"/>
        <v>0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0</v>
      </c>
      <c r="BE84" s="14" t="e">
        <f>BD84*VLOOKUP('Données projet'!$B$11,Paramètres!$A$1:$I$89,3,0)*VLOOKUP('Données projet'!$B$11,Paramètres!$A$1:$I$89,5,0)</f>
        <v>#N/A</v>
      </c>
      <c r="BF84" s="14" t="e">
        <f t="shared" si="91"/>
        <v>#N/A</v>
      </c>
      <c r="BG84" s="22" t="e">
        <f t="shared" si="61"/>
        <v>#N/A</v>
      </c>
      <c r="BH84" s="62" t="e">
        <f t="shared" si="62"/>
        <v>#N/A</v>
      </c>
      <c r="BI84" s="62" t="e">
        <f ca="1">AVERAGE(OFFSET($BH$3,0,0,'Données projet'!$E$11+1,1))-AVERAGE(OFFSET($H$3,0,0,'Données projet'!$E$11+1,1))</f>
        <v>#N/A</v>
      </c>
      <c r="BJ84" s="62" t="e">
        <f t="shared" si="92"/>
        <v>#N/A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 t="e">
        <f>EXP(-LN(2)/35)*BP83+(1-EXP(-LN(2)/35))/(LN(2)/35)*BL84*BM84*VLOOKUP('Données projet'!$B$11,Paramètres!$A$1:$I$89,3,0)*0.475*44/12</f>
        <v>#N/A</v>
      </c>
      <c r="BQ84" s="23" t="e">
        <f>EXP(-LN(2)/25)*BQ83+(1-EXP(-LN(2)/25))/(LN(2)/25)*Calculateur!BL84*Calculateur!BN84*VLOOKUP('Données projet'!$B$11,Paramètres!$A$1:$I$89,3,0)*0.475*44/12</f>
        <v>#N/A</v>
      </c>
      <c r="BR84" s="23" t="e">
        <f>EXP(-LN(2)/2)*BR83+(1-EXP(-LN(2)/2))/(LN(2)/2)*BL84*BO84*VLOOKUP('Données projet'!$B$11,Paramètres!$A$1:$I$89,3,0)*0.475*44/12</f>
        <v>#N/A</v>
      </c>
      <c r="BS84" s="24" t="e">
        <f t="shared" si="63"/>
        <v>#N/A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0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0</v>
      </c>
      <c r="H85" s="70">
        <f t="shared" si="56"/>
        <v>256.66666666666669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10.962</v>
      </c>
      <c r="N85" s="14">
        <f>IF('Données projet'!$A$36&gt;35,N84+M85-V84,IF(A85&lt;'Données projet'!$A$36,$K$205^A85,IF(A85='Données projet'!$A$36,'Données projet'!$B$36,N84+M85-V84)))</f>
        <v>387.04599999999982</v>
      </c>
      <c r="O85" s="14">
        <f>N85*VLOOKUP('Données projet'!$B$9,Paramètres!$A$1:$I$89,3,0)*VLOOKUP('Données projet'!$B$9,Paramètres!$A$1:$I$89,5,0)</f>
        <v>181.13752799999992</v>
      </c>
      <c r="P85" s="14">
        <f t="shared" si="87"/>
        <v>45.57517232438407</v>
      </c>
      <c r="Q85" s="22">
        <f t="shared" si="54"/>
        <v>394.8579530649688</v>
      </c>
      <c r="R85" s="62">
        <f t="shared" si="55"/>
        <v>688.19128639830205</v>
      </c>
      <c r="S85" s="62">
        <f ca="1">AVERAGE(OFFSET($R$3,0,0,'Données projet'!$E$9+1,1))-AVERAGE(OFFSET($H$3,0,0,'Données projet'!$E$9+1,1))</f>
        <v>302.58171900450355</v>
      </c>
      <c r="T85" s="62">
        <f t="shared" si="88"/>
        <v>164.1450425611464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0</v>
      </c>
      <c r="AA85" s="23">
        <f>EXP(-LN(2)/25)*AA84+(1-EXP(-LN(2)/25))/(LN(2)/25)*Calculateur!V85*Calculateur!X85*VLOOKUP('Données projet'!$B$9,Paramètres!$A$1:$I$89,3,0)*0.475*44/12</f>
        <v>0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0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4.4000000000000004</v>
      </c>
      <c r="AI85" s="14">
        <f>IF('Données projet'!$A$62&gt;35,AI84+AH85-AQ84,IF(A85&lt;'Données projet'!$A$62,$AF$205^A85,IF(A85='Données projet'!$A$62,'Données projet'!$B$62,AI84+AH85-AQ84)))</f>
        <v>186.79999999999984</v>
      </c>
      <c r="AJ85" s="14">
        <f>AI85*VLOOKUP('Données projet'!$B$10,Paramètres!$A$1:$I$89,3,0)*VLOOKUP('Données projet'!$B$10,Paramètres!$A$1:$I$89,5,0)</f>
        <v>201.07151999999982</v>
      </c>
      <c r="AK85" s="14">
        <f t="shared" si="89"/>
        <v>49.979582107726607</v>
      </c>
      <c r="AL85" s="22">
        <f t="shared" si="58"/>
        <v>437.24733617095688</v>
      </c>
      <c r="AM85" s="62">
        <f t="shared" si="59"/>
        <v>730.5806695042902</v>
      </c>
      <c r="AN85" s="62">
        <f ca="1">AVERAGE(OFFSET($AM$3,0,0,'Données projet'!$E$10+1,1))-AVERAGE(OFFSET($H$3,0,0,'Données projet'!$E$10+1,1))</f>
        <v>327.4984716935208</v>
      </c>
      <c r="AO85" s="62">
        <f t="shared" si="90"/>
        <v>166.97658184507776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0</v>
      </c>
      <c r="AV85" s="23">
        <f>EXP(-LN(2)/25)*AV84+(1-EXP(-LN(2)/25))/(LN(2)/25)*Calculateur!AQ85*Calculateur!AS85*VLOOKUP('Données projet'!$B$10,Paramètres!$A$1:$I$89,3,0)*0.475*44/12</f>
        <v>0</v>
      </c>
      <c r="AW85" s="23">
        <f>EXP(-LN(2)/2)*AW84+(1-EXP(-LN(2)/2))/(LN(2)/2)*AQ85*AT85*VLOOKUP('Données projet'!$B$10,Paramètres!$A$1:$I$89,3,0)*0.475*44/12</f>
        <v>0</v>
      </c>
      <c r="AX85" s="23">
        <f t="shared" si="60"/>
        <v>0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0</v>
      </c>
      <c r="BE85" s="14" t="e">
        <f>BD85*VLOOKUP('Données projet'!$B$11,Paramètres!$A$1:$I$89,3,0)*VLOOKUP('Données projet'!$B$11,Paramètres!$A$1:$I$89,5,0)</f>
        <v>#N/A</v>
      </c>
      <c r="BF85" s="14" t="e">
        <f t="shared" si="91"/>
        <v>#N/A</v>
      </c>
      <c r="BG85" s="22" t="e">
        <f t="shared" si="61"/>
        <v>#N/A</v>
      </c>
      <c r="BH85" s="62" t="e">
        <f t="shared" si="62"/>
        <v>#N/A</v>
      </c>
      <c r="BI85" s="62" t="e">
        <f ca="1">AVERAGE(OFFSET($BH$3,0,0,'Données projet'!$E$11+1,1))-AVERAGE(OFFSET($H$3,0,0,'Données projet'!$E$11+1,1))</f>
        <v>#N/A</v>
      </c>
      <c r="BJ85" s="62" t="e">
        <f t="shared" si="92"/>
        <v>#N/A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 t="e">
        <f>EXP(-LN(2)/35)*BP84+(1-EXP(-LN(2)/35))/(LN(2)/35)*BL85*BM85*VLOOKUP('Données projet'!$B$11,Paramètres!$A$1:$I$89,3,0)*0.475*44/12</f>
        <v>#N/A</v>
      </c>
      <c r="BQ85" s="23" t="e">
        <f>EXP(-LN(2)/25)*BQ84+(1-EXP(-LN(2)/25))/(LN(2)/25)*Calculateur!BL85*Calculateur!BN85*VLOOKUP('Données projet'!$B$11,Paramètres!$A$1:$I$89,3,0)*0.475*44/12</f>
        <v>#N/A</v>
      </c>
      <c r="BR85" s="23" t="e">
        <f>EXP(-LN(2)/2)*BR84+(1-EXP(-LN(2)/2))/(LN(2)/2)*BL85*BO85*VLOOKUP('Données projet'!$B$11,Paramètres!$A$1:$I$89,3,0)*0.475*44/12</f>
        <v>#N/A</v>
      </c>
      <c r="BS85" s="24" t="e">
        <f t="shared" si="63"/>
        <v>#N/A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0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0</v>
      </c>
      <c r="H86" s="70">
        <f t="shared" si="56"/>
        <v>256.66666666666669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10.962</v>
      </c>
      <c r="N86" s="14">
        <f>IF('Données projet'!$A$36&gt;35,N85+M86-V85,IF(A86&lt;'Données projet'!$A$36,$K$205^A86,IF(A86='Données projet'!$A$36,'Données projet'!$B$36,N85+M86-V85)))</f>
        <v>398.00799999999981</v>
      </c>
      <c r="O86" s="14">
        <f>N86*VLOOKUP('Données projet'!$B$9,Paramètres!$A$1:$I$89,3,0)*VLOOKUP('Données projet'!$B$9,Paramètres!$A$1:$I$89,5,0)</f>
        <v>186.26774399999991</v>
      </c>
      <c r="P86" s="14">
        <f t="shared" si="87"/>
        <v>46.713853722054672</v>
      </c>
      <c r="Q86" s="22">
        <f t="shared" si="54"/>
        <v>405.77628269924503</v>
      </c>
      <c r="R86" s="62">
        <f t="shared" si="55"/>
        <v>699.10961603257829</v>
      </c>
      <c r="S86" s="62">
        <f ca="1">AVERAGE(OFFSET($R$3,0,0,'Données projet'!$E$9+1,1))-AVERAGE(OFFSET($H$3,0,0,'Données projet'!$E$9+1,1))</f>
        <v>302.58171900450355</v>
      </c>
      <c r="T86" s="62">
        <f t="shared" si="88"/>
        <v>164.1450425611464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0</v>
      </c>
      <c r="AA86" s="23">
        <f>EXP(-LN(2)/25)*AA85+(1-EXP(-LN(2)/25))/(LN(2)/25)*Calculateur!V86*Calculateur!X86*VLOOKUP('Données projet'!$B$9,Paramètres!$A$1:$I$89,3,0)*0.475*44/12</f>
        <v>0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0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4.4000000000000004</v>
      </c>
      <c r="AI86" s="14">
        <f>IF('Données projet'!$A$62&gt;35,AI85+AH86-AQ85,IF(A86&lt;'Données projet'!$A$62,$AF$205^A86,IF(A86='Données projet'!$A$62,'Données projet'!$B$62,AI85+AH86-AQ85)))</f>
        <v>191.19999999999985</v>
      </c>
      <c r="AJ86" s="14">
        <f>AI86*VLOOKUP('Données projet'!$B$10,Paramètres!$A$1:$I$89,3,0)*VLOOKUP('Données projet'!$B$10,Paramètres!$A$1:$I$89,5,0)</f>
        <v>205.80767999999983</v>
      </c>
      <c r="AK86" s="14">
        <f t="shared" si="89"/>
        <v>51.018385886479962</v>
      </c>
      <c r="AL86" s="22">
        <f t="shared" si="58"/>
        <v>447.30539808561895</v>
      </c>
      <c r="AM86" s="62">
        <f t="shared" si="59"/>
        <v>740.63873141895226</v>
      </c>
      <c r="AN86" s="62">
        <f ca="1">AVERAGE(OFFSET($AM$3,0,0,'Données projet'!$E$10+1,1))-AVERAGE(OFFSET($H$3,0,0,'Données projet'!$E$10+1,1))</f>
        <v>327.4984716935208</v>
      </c>
      <c r="AO86" s="62">
        <f t="shared" si="90"/>
        <v>166.97658184507776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0</v>
      </c>
      <c r="AV86" s="23">
        <f>EXP(-LN(2)/25)*AV85+(1-EXP(-LN(2)/25))/(LN(2)/25)*Calculateur!AQ86*Calculateur!AS86*VLOOKUP('Données projet'!$B$10,Paramètres!$A$1:$I$89,3,0)*0.475*44/12</f>
        <v>0</v>
      </c>
      <c r="AW86" s="23">
        <f>EXP(-LN(2)/2)*AW85+(1-EXP(-LN(2)/2))/(LN(2)/2)*AQ86*AT86*VLOOKUP('Données projet'!$B$10,Paramètres!$A$1:$I$89,3,0)*0.475*44/12</f>
        <v>0</v>
      </c>
      <c r="AX86" s="23">
        <f t="shared" si="60"/>
        <v>0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0</v>
      </c>
      <c r="BE86" s="14" t="e">
        <f>BD86*VLOOKUP('Données projet'!$B$11,Paramètres!$A$1:$I$89,3,0)*VLOOKUP('Données projet'!$B$11,Paramètres!$A$1:$I$89,5,0)</f>
        <v>#N/A</v>
      </c>
      <c r="BF86" s="14" t="e">
        <f t="shared" si="91"/>
        <v>#N/A</v>
      </c>
      <c r="BG86" s="22" t="e">
        <f t="shared" si="61"/>
        <v>#N/A</v>
      </c>
      <c r="BH86" s="62" t="e">
        <f t="shared" si="62"/>
        <v>#N/A</v>
      </c>
      <c r="BI86" s="62" t="e">
        <f ca="1">AVERAGE(OFFSET($BH$3,0,0,'Données projet'!$E$11+1,1))-AVERAGE(OFFSET($H$3,0,0,'Données projet'!$E$11+1,1))</f>
        <v>#N/A</v>
      </c>
      <c r="BJ86" s="62" t="e">
        <f t="shared" si="92"/>
        <v>#N/A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 t="e">
        <f>EXP(-LN(2)/35)*BP85+(1-EXP(-LN(2)/35))/(LN(2)/35)*BL86*BM86*VLOOKUP('Données projet'!$B$11,Paramètres!$A$1:$I$89,3,0)*0.475*44/12</f>
        <v>#N/A</v>
      </c>
      <c r="BQ86" s="23" t="e">
        <f>EXP(-LN(2)/25)*BQ85+(1-EXP(-LN(2)/25))/(LN(2)/25)*Calculateur!BL86*Calculateur!BN86*VLOOKUP('Données projet'!$B$11,Paramètres!$A$1:$I$89,3,0)*0.475*44/12</f>
        <v>#N/A</v>
      </c>
      <c r="BR86" s="23" t="e">
        <f>EXP(-LN(2)/2)*BR85+(1-EXP(-LN(2)/2))/(LN(2)/2)*BL86*BO86*VLOOKUP('Données projet'!$B$11,Paramètres!$A$1:$I$89,3,0)*0.475*44/12</f>
        <v>#N/A</v>
      </c>
      <c r="BS86" s="24" t="e">
        <f t="shared" si="63"/>
        <v>#N/A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0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0</v>
      </c>
      <c r="H87" s="70">
        <f t="shared" si="56"/>
        <v>256.66666666666669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>
        <f>VLOOKUP(A87,'Données projet'!$A$35:$I$55,2,0)</f>
        <v>408.97</v>
      </c>
      <c r="L87" s="13">
        <f>VLOOKUP(A87,'Données projet'!$A$35:$I$55,9,0)</f>
        <v>10.962</v>
      </c>
      <c r="M87" s="13">
        <f t="array" ref="M87">INDEX(L:L,MIN(IF(ISNUMBER(L87:L283),ROW(L87:L283),"")))</f>
        <v>10.962</v>
      </c>
      <c r="N87" s="14">
        <f>IF('Données projet'!$A$36&gt;35,N86+M87-V86,IF(A87&lt;'Données projet'!$A$36,$K$205^A87,IF(A87='Données projet'!$A$36,'Données projet'!$B$36,N86+M87-V86)))</f>
        <v>408.9699999999998</v>
      </c>
      <c r="O87" s="14">
        <f>N87*VLOOKUP('Données projet'!$B$9,Paramètres!$A$1:$I$89,3,0)*VLOOKUP('Données projet'!$B$9,Paramètres!$A$1:$I$89,5,0)</f>
        <v>191.39795999999993</v>
      </c>
      <c r="P87" s="14">
        <f t="shared" si="87"/>
        <v>47.848889970950232</v>
      </c>
      <c r="Q87" s="22">
        <f t="shared" si="54"/>
        <v>416.68826369940484</v>
      </c>
      <c r="R87" s="62">
        <f t="shared" si="55"/>
        <v>710.0215970327381</v>
      </c>
      <c r="S87" s="62">
        <f ca="1">AVERAGE(OFFSET($R$3,0,0,'Données projet'!$E$9+1,1))-AVERAGE(OFFSET($H$3,0,0,'Données projet'!$E$9+1,1))</f>
        <v>302.58171900450355</v>
      </c>
      <c r="T87" s="62">
        <f t="shared" si="88"/>
        <v>164.1450425611464</v>
      </c>
      <c r="U87" s="16">
        <f>IF(ISNA(VLOOKUP(A87,'Données projet'!$A$35:$I$55,3,0)),0,VLOOKUP(A87,'Données projet'!$A$35:$I$55,3,0))</f>
        <v>9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0</v>
      </c>
      <c r="AA87" s="23">
        <f>EXP(-LN(2)/25)*AA86+(1-EXP(-LN(2)/25))/(LN(2)/25)*Calculateur!V87*Calculateur!X87*VLOOKUP('Données projet'!$B$9,Paramètres!$A$1:$I$89,3,0)*0.475*44/12</f>
        <v>0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0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4.4000000000000004</v>
      </c>
      <c r="AI87" s="14">
        <f>IF('Données projet'!$A$62&gt;35,AI86+AH87-AQ86,IF(A87&lt;'Données projet'!$A$62,$AF$205^A87,IF(A87='Données projet'!$A$62,'Données projet'!$B$62,AI86+AH87-AQ86)))</f>
        <v>195.59999999999985</v>
      </c>
      <c r="AJ87" s="14">
        <f>AI87*VLOOKUP('Données projet'!$B$10,Paramètres!$A$1:$I$89,3,0)*VLOOKUP('Données projet'!$B$10,Paramètres!$A$1:$I$89,5,0)</f>
        <v>210.54383999999982</v>
      </c>
      <c r="AK87" s="14">
        <f t="shared" si="89"/>
        <v>52.054410526216429</v>
      </c>
      <c r="AL87" s="22">
        <f t="shared" si="58"/>
        <v>457.35861966649327</v>
      </c>
      <c r="AM87" s="62">
        <f t="shared" si="59"/>
        <v>750.69195299982653</v>
      </c>
      <c r="AN87" s="62">
        <f ca="1">AVERAGE(OFFSET($AM$3,0,0,'Données projet'!$E$10+1,1))-AVERAGE(OFFSET($H$3,0,0,'Données projet'!$E$10+1,1))</f>
        <v>327.4984716935208</v>
      </c>
      <c r="AO87" s="62">
        <f t="shared" si="90"/>
        <v>166.97658184507776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0</v>
      </c>
      <c r="AV87" s="23">
        <f>EXP(-LN(2)/25)*AV86+(1-EXP(-LN(2)/25))/(LN(2)/25)*Calculateur!AQ87*Calculateur!AS87*VLOOKUP('Données projet'!$B$10,Paramètres!$A$1:$I$89,3,0)*0.475*44/12</f>
        <v>0</v>
      </c>
      <c r="AW87" s="23">
        <f>EXP(-LN(2)/2)*AW86+(1-EXP(-LN(2)/2))/(LN(2)/2)*AQ87*AT87*VLOOKUP('Données projet'!$B$10,Paramètres!$A$1:$I$89,3,0)*0.475*44/12</f>
        <v>0</v>
      </c>
      <c r="AX87" s="23">
        <f t="shared" si="60"/>
        <v>0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0</v>
      </c>
      <c r="BE87" s="14" t="e">
        <f>BD87*VLOOKUP('Données projet'!$B$11,Paramètres!$A$1:$I$89,3,0)*VLOOKUP('Données projet'!$B$11,Paramètres!$A$1:$I$89,5,0)</f>
        <v>#N/A</v>
      </c>
      <c r="BF87" s="14" t="e">
        <f t="shared" si="91"/>
        <v>#N/A</v>
      </c>
      <c r="BG87" s="22" t="e">
        <f t="shared" si="61"/>
        <v>#N/A</v>
      </c>
      <c r="BH87" s="62" t="e">
        <f t="shared" si="62"/>
        <v>#N/A</v>
      </c>
      <c r="BI87" s="62" t="e">
        <f ca="1">AVERAGE(OFFSET($BH$3,0,0,'Données projet'!$E$11+1,1))-AVERAGE(OFFSET($H$3,0,0,'Données projet'!$E$11+1,1))</f>
        <v>#N/A</v>
      </c>
      <c r="BJ87" s="62" t="e">
        <f t="shared" si="92"/>
        <v>#N/A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 t="e">
        <f>EXP(-LN(2)/35)*BP86+(1-EXP(-LN(2)/35))/(LN(2)/35)*BL87*BM87*VLOOKUP('Données projet'!$B$11,Paramètres!$A$1:$I$89,3,0)*0.475*44/12</f>
        <v>#N/A</v>
      </c>
      <c r="BQ87" s="23" t="e">
        <f>EXP(-LN(2)/25)*BQ86+(1-EXP(-LN(2)/25))/(LN(2)/25)*Calculateur!BL87*Calculateur!BN87*VLOOKUP('Données projet'!$B$11,Paramètres!$A$1:$I$89,3,0)*0.475*44/12</f>
        <v>#N/A</v>
      </c>
      <c r="BR87" s="23" t="e">
        <f>EXP(-LN(2)/2)*BR86+(1-EXP(-LN(2)/2))/(LN(2)/2)*BL87*BO87*VLOOKUP('Données projet'!$B$11,Paramètres!$A$1:$I$89,3,0)*0.475*44/12</f>
        <v>#N/A</v>
      </c>
      <c r="BS87" s="24" t="e">
        <f t="shared" si="63"/>
        <v>#N/A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0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0</v>
      </c>
      <c r="H88" s="70">
        <f t="shared" si="56"/>
        <v>256.66666666666669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>
        <f>VLOOKUP(A88,'Données projet'!$A$35:$I$55,2,0)</f>
        <v>420.16</v>
      </c>
      <c r="L88" s="13">
        <f>VLOOKUP(A88,'Données projet'!$A$35:$I$55,9,0)</f>
        <v>11.189999999999998</v>
      </c>
      <c r="M88" s="13">
        <f t="array" ref="M88">INDEX(L:L,MIN(IF(ISNUMBER(L88:L284),ROW(L88:L284),"")))</f>
        <v>11.189999999999998</v>
      </c>
      <c r="N88" s="14">
        <f>IF('Données projet'!$A$36&gt;35,N87+M88-V87,IF(A88&lt;'Données projet'!$A$36,$K$205^A88,IF(A88='Données projet'!$A$36,'Données projet'!$B$36,N87+M88-V87)))</f>
        <v>420.1599999999998</v>
      </c>
      <c r="O88" s="14">
        <f>N88*VLOOKUP('Données projet'!$B$9,Paramètres!$A$1:$I$89,3,0)*VLOOKUP('Données projet'!$B$9,Paramètres!$A$1:$I$89,5,0)</f>
        <v>196.6348799999999</v>
      </c>
      <c r="P88" s="14">
        <f t="shared" si="87"/>
        <v>49.003887420349052</v>
      </c>
      <c r="Q88" s="22">
        <f t="shared" si="54"/>
        <v>427.82085325710779</v>
      </c>
      <c r="R88" s="62">
        <f t="shared" si="55"/>
        <v>721.1541865904411</v>
      </c>
      <c r="S88" s="62">
        <f ca="1">AVERAGE(OFFSET($R$3,0,0,'Données projet'!$E$9+1,1))-AVERAGE(OFFSET($H$3,0,0,'Données projet'!$E$9+1,1))</f>
        <v>302.58171900450355</v>
      </c>
      <c r="T88" s="62">
        <f t="shared" si="88"/>
        <v>164.1450425611464</v>
      </c>
      <c r="U88" s="16">
        <f>IF(ISNA(VLOOKUP(A88,'Données projet'!$A$35:$I$55,3,0)),0,VLOOKUP(A88,'Données projet'!$A$35:$I$55,3,0))</f>
        <v>10</v>
      </c>
      <c r="V88" s="16">
        <f>IF(ISNA(VLOOKUP(A88,'Données projet'!$A$35:$I$55,4,0)),0,VLOOKUP(A88,'Données projet'!$A$35:$I$55,4,0))</f>
        <v>94.69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0</v>
      </c>
      <c r="AA88" s="23">
        <f>EXP(-LN(2)/25)*AA87+(1-EXP(-LN(2)/25))/(LN(2)/25)*Calculateur!V88*Calculateur!X88*VLOOKUP('Données projet'!$B$9,Paramètres!$A$1:$I$89,3,0)*0.475*44/12</f>
        <v>0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0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>
        <f>VLOOKUP(A88,'Données projet'!$A$61:$I$81,2,0)</f>
        <v>200</v>
      </c>
      <c r="AG88" s="13">
        <f>VLOOKUP(A88,'Données projet'!$A$61:$I$81,9,0)</f>
        <v>4.4000000000000004</v>
      </c>
      <c r="AH88" s="13">
        <f t="array" ref="AH88">INDEX(AG:AG,MIN(IF(ISNUMBER(AG88:AG284),ROW(AG88:AG284),"")))</f>
        <v>4.4000000000000004</v>
      </c>
      <c r="AI88" s="14">
        <f>IF('Données projet'!$A$62&gt;35,AI87+AH88-AQ87,IF(A88&lt;'Données projet'!$A$62,$AF$205^A88,IF(A88='Données projet'!$A$62,'Données projet'!$B$62,AI87+AH88-AQ87)))</f>
        <v>199.99999999999986</v>
      </c>
      <c r="AJ88" s="14">
        <f>AI88*VLOOKUP('Données projet'!$B$10,Paramètres!$A$1:$I$89,3,0)*VLOOKUP('Données projet'!$B$10,Paramètres!$A$1:$I$89,5,0)</f>
        <v>215.27999999999983</v>
      </c>
      <c r="AK88" s="14">
        <f t="shared" si="89"/>
        <v>53.087725740853138</v>
      </c>
      <c r="AL88" s="22">
        <f t="shared" si="58"/>
        <v>467.40712233198559</v>
      </c>
      <c r="AM88" s="62">
        <f t="shared" si="59"/>
        <v>760.7404556653189</v>
      </c>
      <c r="AN88" s="62">
        <f ca="1">AVERAGE(OFFSET($AM$3,0,0,'Données projet'!$E$10+1,1))-AVERAGE(OFFSET($H$3,0,0,'Données projet'!$E$10+1,1))</f>
        <v>327.4984716935208</v>
      </c>
      <c r="AO88" s="62">
        <f t="shared" si="90"/>
        <v>166.97658184507776</v>
      </c>
      <c r="AP88" s="16">
        <f>IF(ISNA(VLOOKUP(A88,'Données projet'!$A$61:$I$81,3,0)),0,VLOOKUP(A88,'Données projet'!$A$61:$I$81,3,0))</f>
        <v>13</v>
      </c>
      <c r="AQ88" s="16">
        <f>IF(ISNA(VLOOKUP(A88,'Données projet'!$A$61:$I$81,4,0)),0,VLOOKUP(A88,'Données projet'!$A$61:$I$81,4,0))</f>
        <v>14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0</v>
      </c>
      <c r="AV88" s="23">
        <f>EXP(-LN(2)/25)*AV87+(1-EXP(-LN(2)/25))/(LN(2)/25)*Calculateur!AQ88*Calculateur!AS88*VLOOKUP('Données projet'!$B$10,Paramètres!$A$1:$I$89,3,0)*0.475*44/12</f>
        <v>0</v>
      </c>
      <c r="AW88" s="23">
        <f>EXP(-LN(2)/2)*AW87+(1-EXP(-LN(2)/2))/(LN(2)/2)*AQ88*AT88*VLOOKUP('Données projet'!$B$10,Paramètres!$A$1:$I$89,3,0)*0.475*44/12</f>
        <v>0</v>
      </c>
      <c r="AX88" s="23">
        <f t="shared" si="60"/>
        <v>0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0</v>
      </c>
      <c r="BE88" s="14" t="e">
        <f>BD88*VLOOKUP('Données projet'!$B$11,Paramètres!$A$1:$I$89,3,0)*VLOOKUP('Données projet'!$B$11,Paramètres!$A$1:$I$89,5,0)</f>
        <v>#N/A</v>
      </c>
      <c r="BF88" s="14" t="e">
        <f t="shared" si="91"/>
        <v>#N/A</v>
      </c>
      <c r="BG88" s="22" t="e">
        <f t="shared" si="61"/>
        <v>#N/A</v>
      </c>
      <c r="BH88" s="62" t="e">
        <f t="shared" si="62"/>
        <v>#N/A</v>
      </c>
      <c r="BI88" s="62" t="e">
        <f ca="1">AVERAGE(OFFSET($BH$3,0,0,'Données projet'!$E$11+1,1))-AVERAGE(OFFSET($H$3,0,0,'Données projet'!$E$11+1,1))</f>
        <v>#N/A</v>
      </c>
      <c r="BJ88" s="62" t="e">
        <f t="shared" si="92"/>
        <v>#N/A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 t="e">
        <f>EXP(-LN(2)/35)*BP87+(1-EXP(-LN(2)/35))/(LN(2)/35)*BL88*BM88*VLOOKUP('Données projet'!$B$11,Paramètres!$A$1:$I$89,3,0)*0.475*44/12</f>
        <v>#N/A</v>
      </c>
      <c r="BQ88" s="23" t="e">
        <f>EXP(-LN(2)/25)*BQ87+(1-EXP(-LN(2)/25))/(LN(2)/25)*Calculateur!BL88*Calculateur!BN88*VLOOKUP('Données projet'!$B$11,Paramètres!$A$1:$I$89,3,0)*0.475*44/12</f>
        <v>#N/A</v>
      </c>
      <c r="BR88" s="23" t="e">
        <f>EXP(-LN(2)/2)*BR87+(1-EXP(-LN(2)/2))/(LN(2)/2)*BL88*BO88*VLOOKUP('Données projet'!$B$11,Paramètres!$A$1:$I$89,3,0)*0.475*44/12</f>
        <v>#N/A</v>
      </c>
      <c r="BS88" s="24" t="e">
        <f t="shared" si="63"/>
        <v>#N/A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0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0</v>
      </c>
      <c r="H89" s="70">
        <f t="shared" si="56"/>
        <v>256.66666666666669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>
        <f>VLOOKUP(A89,'Données projet'!$A$35:$I$55,2,0)</f>
        <v>335.8</v>
      </c>
      <c r="L89" s="13">
        <f>VLOOKUP(A89,'Données projet'!$A$35:$I$55,9,0)</f>
        <v>10.329999999999984</v>
      </c>
      <c r="M89" s="13">
        <f t="array" ref="M89">INDEX(L:L,MIN(IF(ISNUMBER(L89:L285),ROW(L89:L285),"")))</f>
        <v>10.329999999999984</v>
      </c>
      <c r="N89" s="14">
        <f>IF('Données projet'!$A$36&gt;35,N88+M89-V88,IF(A89&lt;'Données projet'!$A$36,$K$205^A89,IF(A89='Données projet'!$A$36,'Données projet'!$B$36,N88+M89-V88)))</f>
        <v>335.79999999999978</v>
      </c>
      <c r="O89" s="14">
        <f>N89*VLOOKUP('Données projet'!$B$9,Paramètres!$A$1:$I$89,3,0)*VLOOKUP('Données projet'!$B$9,Paramètres!$A$1:$I$89,5,0)</f>
        <v>157.1543999999999</v>
      </c>
      <c r="P89" s="14">
        <f t="shared" si="87"/>
        <v>40.20001359187092</v>
      </c>
      <c r="Q89" s="22">
        <f t="shared" si="54"/>
        <v>343.72560367250827</v>
      </c>
      <c r="R89" s="62">
        <f t="shared" si="55"/>
        <v>637.05893700584159</v>
      </c>
      <c r="S89" s="62">
        <f ca="1">AVERAGE(OFFSET($R$3,0,0,'Données projet'!$E$9+1,1))-AVERAGE(OFFSET($H$3,0,0,'Données projet'!$E$9+1,1))</f>
        <v>302.58171900450355</v>
      </c>
      <c r="T89" s="62">
        <f t="shared" si="88"/>
        <v>164.1450425611464</v>
      </c>
      <c r="U89" s="16">
        <f>IF(ISNA(VLOOKUP(A89,'Données projet'!$A$35:$I$55,3,0)),0,VLOOKUP(A89,'Données projet'!$A$35:$I$55,3,0))</f>
        <v>11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0</v>
      </c>
      <c r="AA89" s="23">
        <f>EXP(-LN(2)/25)*AA88+(1-EXP(-LN(2)/25))/(LN(2)/25)*Calculateur!V89*Calculateur!X89*VLOOKUP('Données projet'!$B$9,Paramètres!$A$1:$I$89,3,0)*0.475*44/12</f>
        <v>0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0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4.2</v>
      </c>
      <c r="AI89" s="14">
        <f>IF('Données projet'!$A$62&gt;35,AI88+AH89-AQ88,IF(A89&lt;'Données projet'!$A$62,$AF$205^A89,IF(A89='Données projet'!$A$62,'Données projet'!$B$62,AI88+AH89-AQ88)))</f>
        <v>190.19999999999985</v>
      </c>
      <c r="AJ89" s="14">
        <f>AI89*VLOOKUP('Données projet'!$B$10,Paramètres!$A$1:$I$89,3,0)*VLOOKUP('Données projet'!$B$10,Paramètres!$A$1:$I$89,5,0)</f>
        <v>204.73127999999983</v>
      </c>
      <c r="AK89" s="14">
        <f t="shared" si="89"/>
        <v>50.782540726679265</v>
      </c>
      <c r="AL89" s="22">
        <f t="shared" si="58"/>
        <v>445.01990443229937</v>
      </c>
      <c r="AM89" s="62">
        <f t="shared" si="59"/>
        <v>738.35323776563268</v>
      </c>
      <c r="AN89" s="62">
        <f ca="1">AVERAGE(OFFSET($AM$3,0,0,'Données projet'!$E$10+1,1))-AVERAGE(OFFSET($H$3,0,0,'Données projet'!$E$10+1,1))</f>
        <v>327.4984716935208</v>
      </c>
      <c r="AO89" s="62">
        <f t="shared" si="90"/>
        <v>166.97658184507776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0</v>
      </c>
      <c r="AV89" s="23">
        <f>EXP(-LN(2)/25)*AV88+(1-EXP(-LN(2)/25))/(LN(2)/25)*Calculateur!AQ89*Calculateur!AS89*VLOOKUP('Données projet'!$B$10,Paramètres!$A$1:$I$89,3,0)*0.475*44/12</f>
        <v>0</v>
      </c>
      <c r="AW89" s="23">
        <f>EXP(-LN(2)/2)*AW88+(1-EXP(-LN(2)/2))/(LN(2)/2)*AQ89*AT89*VLOOKUP('Données projet'!$B$10,Paramètres!$A$1:$I$89,3,0)*0.475*44/12</f>
        <v>0</v>
      </c>
      <c r="AX89" s="23">
        <f t="shared" si="60"/>
        <v>0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0</v>
      </c>
      <c r="BE89" s="14" t="e">
        <f>BD89*VLOOKUP('Données projet'!$B$11,Paramètres!$A$1:$I$89,3,0)*VLOOKUP('Données projet'!$B$11,Paramètres!$A$1:$I$89,5,0)</f>
        <v>#N/A</v>
      </c>
      <c r="BF89" s="14" t="e">
        <f t="shared" si="91"/>
        <v>#N/A</v>
      </c>
      <c r="BG89" s="22" t="e">
        <f t="shared" si="61"/>
        <v>#N/A</v>
      </c>
      <c r="BH89" s="62" t="e">
        <f t="shared" si="62"/>
        <v>#N/A</v>
      </c>
      <c r="BI89" s="62" t="e">
        <f ca="1">AVERAGE(OFFSET($BH$3,0,0,'Données projet'!$E$11+1,1))-AVERAGE(OFFSET($H$3,0,0,'Données projet'!$E$11+1,1))</f>
        <v>#N/A</v>
      </c>
      <c r="BJ89" s="62" t="e">
        <f t="shared" si="92"/>
        <v>#N/A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 t="e">
        <f>EXP(-LN(2)/35)*BP88+(1-EXP(-LN(2)/35))/(LN(2)/35)*BL89*BM89*VLOOKUP('Données projet'!$B$11,Paramètres!$A$1:$I$89,3,0)*0.475*44/12</f>
        <v>#N/A</v>
      </c>
      <c r="BQ89" s="23" t="e">
        <f>EXP(-LN(2)/25)*BQ88+(1-EXP(-LN(2)/25))/(LN(2)/25)*Calculateur!BL89*Calculateur!BN89*VLOOKUP('Données projet'!$B$11,Paramètres!$A$1:$I$89,3,0)*0.475*44/12</f>
        <v>#N/A</v>
      </c>
      <c r="BR89" s="23" t="e">
        <f>EXP(-LN(2)/2)*BR88+(1-EXP(-LN(2)/2))/(LN(2)/2)*BL89*BO89*VLOOKUP('Données projet'!$B$11,Paramètres!$A$1:$I$89,3,0)*0.475*44/12</f>
        <v>#N/A</v>
      </c>
      <c r="BS89" s="24" t="e">
        <f t="shared" si="63"/>
        <v>#N/A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0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0</v>
      </c>
      <c r="H90" s="70">
        <f t="shared" si="56"/>
        <v>256.66666666666669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10.035454545454543</v>
      </c>
      <c r="N90" s="14">
        <f>IF('Données projet'!$A$36&gt;35,N89+M90-V89,IF(A90&lt;'Données projet'!$A$36,$K$205^A90,IF(A90='Données projet'!$A$36,'Données projet'!$B$36,N89+M90-V89)))</f>
        <v>345.83545454545435</v>
      </c>
      <c r="O90" s="14">
        <f>N90*VLOOKUP('Données projet'!$B$9,Paramètres!$A$1:$I$89,3,0)*VLOOKUP('Données projet'!$B$9,Paramètres!$A$1:$I$89,5,0)</f>
        <v>161.85099272727263</v>
      </c>
      <c r="P90" s="14">
        <f t="shared" si="87"/>
        <v>41.259732086016619</v>
      </c>
      <c r="Q90" s="22">
        <f t="shared" si="54"/>
        <v>353.75117904981204</v>
      </c>
      <c r="R90" s="62">
        <f t="shared" si="55"/>
        <v>647.08451238314535</v>
      </c>
      <c r="S90" s="62">
        <f ca="1">AVERAGE(OFFSET($R$3,0,0,'Données projet'!$E$9+1,1))-AVERAGE(OFFSET($H$3,0,0,'Données projet'!$E$9+1,1))</f>
        <v>302.58171900450355</v>
      </c>
      <c r="T90" s="62">
        <f t="shared" si="88"/>
        <v>164.1450425611464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0</v>
      </c>
      <c r="AA90" s="23">
        <f>EXP(-LN(2)/25)*AA89+(1-EXP(-LN(2)/25))/(LN(2)/25)*Calculateur!V90*Calculateur!X90*VLOOKUP('Données projet'!$B$9,Paramètres!$A$1:$I$89,3,0)*0.475*44/12</f>
        <v>0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0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4.2</v>
      </c>
      <c r="AI90" s="14">
        <f>IF('Données projet'!$A$62&gt;35,AI89+AH90-AQ89,IF(A90&lt;'Données projet'!$A$62,$AF$205^A90,IF(A90='Données projet'!$A$62,'Données projet'!$B$62,AI89+AH90-AQ89)))</f>
        <v>194.39999999999984</v>
      </c>
      <c r="AJ90" s="14">
        <f>AI90*VLOOKUP('Données projet'!$B$10,Paramètres!$A$1:$I$89,3,0)*VLOOKUP('Données projet'!$B$10,Paramètres!$A$1:$I$89,5,0)</f>
        <v>209.25215999999983</v>
      </c>
      <c r="AK90" s="14">
        <f t="shared" si="89"/>
        <v>51.772129927379012</v>
      </c>
      <c r="AL90" s="22">
        <f t="shared" si="58"/>
        <v>454.61730495685151</v>
      </c>
      <c r="AM90" s="62">
        <f t="shared" si="59"/>
        <v>747.95063829018477</v>
      </c>
      <c r="AN90" s="62">
        <f ca="1">AVERAGE(OFFSET($AM$3,0,0,'Données projet'!$E$10+1,1))-AVERAGE(OFFSET($H$3,0,0,'Données projet'!$E$10+1,1))</f>
        <v>327.4984716935208</v>
      </c>
      <c r="AO90" s="62">
        <f t="shared" si="90"/>
        <v>166.97658184507776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0</v>
      </c>
      <c r="AV90" s="23">
        <f>EXP(-LN(2)/25)*AV89+(1-EXP(-LN(2)/25))/(LN(2)/25)*Calculateur!AQ90*Calculateur!AS90*VLOOKUP('Données projet'!$B$10,Paramètres!$A$1:$I$89,3,0)*0.475*44/12</f>
        <v>0</v>
      </c>
      <c r="AW90" s="23">
        <f>EXP(-LN(2)/2)*AW89+(1-EXP(-LN(2)/2))/(LN(2)/2)*AQ90*AT90*VLOOKUP('Données projet'!$B$10,Paramètres!$A$1:$I$89,3,0)*0.475*44/12</f>
        <v>0</v>
      </c>
      <c r="AX90" s="23">
        <f t="shared" si="60"/>
        <v>0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0</v>
      </c>
      <c r="BE90" s="14" t="e">
        <f>BD90*VLOOKUP('Données projet'!$B$11,Paramètres!$A$1:$I$89,3,0)*VLOOKUP('Données projet'!$B$11,Paramètres!$A$1:$I$89,5,0)</f>
        <v>#N/A</v>
      </c>
      <c r="BF90" s="14" t="e">
        <f t="shared" si="91"/>
        <v>#N/A</v>
      </c>
      <c r="BG90" s="22" t="e">
        <f t="shared" si="61"/>
        <v>#N/A</v>
      </c>
      <c r="BH90" s="62" t="e">
        <f t="shared" si="62"/>
        <v>#N/A</v>
      </c>
      <c r="BI90" s="62" t="e">
        <f ca="1">AVERAGE(OFFSET($BH$3,0,0,'Données projet'!$E$11+1,1))-AVERAGE(OFFSET($H$3,0,0,'Données projet'!$E$11+1,1))</f>
        <v>#N/A</v>
      </c>
      <c r="BJ90" s="62" t="e">
        <f t="shared" si="92"/>
        <v>#N/A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 t="e">
        <f>EXP(-LN(2)/35)*BP89+(1-EXP(-LN(2)/35))/(LN(2)/35)*BL90*BM90*VLOOKUP('Données projet'!$B$11,Paramètres!$A$1:$I$89,3,0)*0.475*44/12</f>
        <v>#N/A</v>
      </c>
      <c r="BQ90" s="23" t="e">
        <f>EXP(-LN(2)/25)*BQ89+(1-EXP(-LN(2)/25))/(LN(2)/25)*Calculateur!BL90*Calculateur!BN90*VLOOKUP('Données projet'!$B$11,Paramètres!$A$1:$I$89,3,0)*0.475*44/12</f>
        <v>#N/A</v>
      </c>
      <c r="BR90" s="23" t="e">
        <f>EXP(-LN(2)/2)*BR89+(1-EXP(-LN(2)/2))/(LN(2)/2)*BL90*BO90*VLOOKUP('Données projet'!$B$11,Paramètres!$A$1:$I$89,3,0)*0.475*44/12</f>
        <v>#N/A</v>
      </c>
      <c r="BS90" s="24" t="e">
        <f t="shared" si="63"/>
        <v>#N/A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0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0</v>
      </c>
      <c r="H91" s="70">
        <f t="shared" si="56"/>
        <v>256.66666666666669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10.035454545454543</v>
      </c>
      <c r="N91" s="14">
        <f>IF('Données projet'!$A$36&gt;35,N90+M91-V90,IF(A91&lt;'Données projet'!$A$36,$K$205^A91,IF(A91='Données projet'!$A$36,'Données projet'!$B$36,N90+M91-V90)))</f>
        <v>355.87090909090892</v>
      </c>
      <c r="O91" s="14">
        <f>N91*VLOOKUP('Données projet'!$B$9,Paramètres!$A$1:$I$89,3,0)*VLOOKUP('Données projet'!$B$9,Paramètres!$A$1:$I$89,5,0)</f>
        <v>166.54758545454536</v>
      </c>
      <c r="P91" s="14">
        <f t="shared" si="87"/>
        <v>42.315876681924209</v>
      </c>
      <c r="Q91" s="22">
        <f t="shared" si="54"/>
        <v>363.77052988768446</v>
      </c>
      <c r="R91" s="62">
        <f t="shared" si="55"/>
        <v>657.10386322101772</v>
      </c>
      <c r="S91" s="62">
        <f ca="1">AVERAGE(OFFSET($R$3,0,0,'Données projet'!$E$9+1,1))-AVERAGE(OFFSET($H$3,0,0,'Données projet'!$E$9+1,1))</f>
        <v>302.58171900450355</v>
      </c>
      <c r="T91" s="62">
        <f t="shared" si="88"/>
        <v>164.1450425611464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0</v>
      </c>
      <c r="AA91" s="23">
        <f>EXP(-LN(2)/25)*AA90+(1-EXP(-LN(2)/25))/(LN(2)/25)*Calculateur!V91*Calculateur!X91*VLOOKUP('Données projet'!$B$9,Paramètres!$A$1:$I$89,3,0)*0.475*44/12</f>
        <v>0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0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4.2</v>
      </c>
      <c r="AI91" s="14">
        <f>IF('Données projet'!$A$62&gt;35,AI90+AH91-AQ90,IF(A91&lt;'Données projet'!$A$62,$AF$205^A91,IF(A91='Données projet'!$A$62,'Données projet'!$B$62,AI90+AH91-AQ90)))</f>
        <v>198.59999999999982</v>
      </c>
      <c r="AJ91" s="14">
        <f>AI91*VLOOKUP('Données projet'!$B$10,Paramètres!$A$1:$I$89,3,0)*VLOOKUP('Données projet'!$B$10,Paramètres!$A$1:$I$89,5,0)</f>
        <v>213.77303999999981</v>
      </c>
      <c r="AK91" s="14">
        <f t="shared" si="89"/>
        <v>52.759233416703189</v>
      </c>
      <c r="AL91" s="22">
        <f t="shared" si="58"/>
        <v>464.21037620075771</v>
      </c>
      <c r="AM91" s="62">
        <f t="shared" si="59"/>
        <v>757.54370953409102</v>
      </c>
      <c r="AN91" s="62">
        <f ca="1">AVERAGE(OFFSET($AM$3,0,0,'Données projet'!$E$10+1,1))-AVERAGE(OFFSET($H$3,0,0,'Données projet'!$E$10+1,1))</f>
        <v>327.4984716935208</v>
      </c>
      <c r="AO91" s="62">
        <f t="shared" si="90"/>
        <v>166.97658184507776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0</v>
      </c>
      <c r="AV91" s="23">
        <f>EXP(-LN(2)/25)*AV90+(1-EXP(-LN(2)/25))/(LN(2)/25)*Calculateur!AQ91*Calculateur!AS91*VLOOKUP('Données projet'!$B$10,Paramètres!$A$1:$I$89,3,0)*0.475*44/12</f>
        <v>0</v>
      </c>
      <c r="AW91" s="23">
        <f>EXP(-LN(2)/2)*AW90+(1-EXP(-LN(2)/2))/(LN(2)/2)*AQ91*AT91*VLOOKUP('Données projet'!$B$10,Paramètres!$A$1:$I$89,3,0)*0.475*44/12</f>
        <v>0</v>
      </c>
      <c r="AX91" s="23">
        <f t="shared" si="60"/>
        <v>0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0</v>
      </c>
      <c r="BE91" s="14" t="e">
        <f>BD91*VLOOKUP('Données projet'!$B$11,Paramètres!$A$1:$I$89,3,0)*VLOOKUP('Données projet'!$B$11,Paramètres!$A$1:$I$89,5,0)</f>
        <v>#N/A</v>
      </c>
      <c r="BF91" s="14" t="e">
        <f t="shared" si="91"/>
        <v>#N/A</v>
      </c>
      <c r="BG91" s="22" t="e">
        <f t="shared" si="61"/>
        <v>#N/A</v>
      </c>
      <c r="BH91" s="62" t="e">
        <f t="shared" si="62"/>
        <v>#N/A</v>
      </c>
      <c r="BI91" s="62" t="e">
        <f ca="1">AVERAGE(OFFSET($BH$3,0,0,'Données projet'!$E$11+1,1))-AVERAGE(OFFSET($H$3,0,0,'Données projet'!$E$11+1,1))</f>
        <v>#N/A</v>
      </c>
      <c r="BJ91" s="62" t="e">
        <f t="shared" si="92"/>
        <v>#N/A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 t="e">
        <f>EXP(-LN(2)/35)*BP90+(1-EXP(-LN(2)/35))/(LN(2)/35)*BL91*BM91*VLOOKUP('Données projet'!$B$11,Paramètres!$A$1:$I$89,3,0)*0.475*44/12</f>
        <v>#N/A</v>
      </c>
      <c r="BQ91" s="23" t="e">
        <f>EXP(-LN(2)/25)*BQ90+(1-EXP(-LN(2)/25))/(LN(2)/25)*Calculateur!BL91*Calculateur!BN91*VLOOKUP('Données projet'!$B$11,Paramètres!$A$1:$I$89,3,0)*0.475*44/12</f>
        <v>#N/A</v>
      </c>
      <c r="BR91" s="23" t="e">
        <f>EXP(-LN(2)/2)*BR90+(1-EXP(-LN(2)/2))/(LN(2)/2)*BL91*BO91*VLOOKUP('Données projet'!$B$11,Paramètres!$A$1:$I$89,3,0)*0.475*44/12</f>
        <v>#N/A</v>
      </c>
      <c r="BS91" s="24" t="e">
        <f t="shared" si="63"/>
        <v>#N/A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0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0</v>
      </c>
      <c r="H92" s="70">
        <f t="shared" si="56"/>
        <v>256.66666666666669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10.035454545454543</v>
      </c>
      <c r="N92" s="14">
        <f>IF('Données projet'!$A$36&gt;35,N91+M92-V91,IF(A92&lt;'Données projet'!$A$36,$K$205^A92,IF(A92='Données projet'!$A$36,'Données projet'!$B$36,N91+M92-V91)))</f>
        <v>365.90636363636349</v>
      </c>
      <c r="O92" s="14">
        <f>N92*VLOOKUP('Données projet'!$B$9,Paramètres!$A$1:$I$89,3,0)*VLOOKUP('Données projet'!$B$9,Paramètres!$A$1:$I$89,5,0)</f>
        <v>171.24417818181814</v>
      </c>
      <c r="P92" s="14">
        <f t="shared" si="87"/>
        <v>43.368559739309113</v>
      </c>
      <c r="Q92" s="22">
        <f t="shared" si="54"/>
        <v>373.78385187929661</v>
      </c>
      <c r="R92" s="62">
        <f t="shared" si="55"/>
        <v>667.11718521262992</v>
      </c>
      <c r="S92" s="62">
        <f ca="1">AVERAGE(OFFSET($R$3,0,0,'Données projet'!$E$9+1,1))-AVERAGE(OFFSET($H$3,0,0,'Données projet'!$E$9+1,1))</f>
        <v>302.58171900450355</v>
      </c>
      <c r="T92" s="62">
        <f t="shared" si="88"/>
        <v>164.1450425611464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0</v>
      </c>
      <c r="AA92" s="23">
        <f>EXP(-LN(2)/25)*AA91+(1-EXP(-LN(2)/25))/(LN(2)/25)*Calculateur!V92*Calculateur!X92*VLOOKUP('Données projet'!$B$9,Paramètres!$A$1:$I$89,3,0)*0.475*44/12</f>
        <v>0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0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4.2</v>
      </c>
      <c r="AI92" s="14">
        <f>IF('Données projet'!$A$62&gt;35,AI91+AH92-AQ91,IF(A92&lt;'Données projet'!$A$62,$AF$205^A92,IF(A92='Données projet'!$A$62,'Données projet'!$B$62,AI91+AH92-AQ91)))</f>
        <v>202.79999999999981</v>
      </c>
      <c r="AJ92" s="14">
        <f>AI92*VLOOKUP('Données projet'!$B$10,Paramètres!$A$1:$I$89,3,0)*VLOOKUP('Données projet'!$B$10,Paramètres!$A$1:$I$89,5,0)</f>
        <v>218.29391999999976</v>
      </c>
      <c r="AK92" s="14">
        <f t="shared" si="89"/>
        <v>53.743909818122113</v>
      </c>
      <c r="AL92" s="22">
        <f t="shared" si="58"/>
        <v>473.79922026656226</v>
      </c>
      <c r="AM92" s="62">
        <f t="shared" si="59"/>
        <v>767.13255359989557</v>
      </c>
      <c r="AN92" s="62">
        <f ca="1">AVERAGE(OFFSET($AM$3,0,0,'Données projet'!$E$10+1,1))-AVERAGE(OFFSET($H$3,0,0,'Données projet'!$E$10+1,1))</f>
        <v>327.4984716935208</v>
      </c>
      <c r="AO92" s="62">
        <f t="shared" si="90"/>
        <v>166.97658184507776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0</v>
      </c>
      <c r="AV92" s="23">
        <f>EXP(-LN(2)/25)*AV91+(1-EXP(-LN(2)/25))/(LN(2)/25)*Calculateur!AQ92*Calculateur!AS92*VLOOKUP('Données projet'!$B$10,Paramètres!$A$1:$I$89,3,0)*0.475*44/12</f>
        <v>0</v>
      </c>
      <c r="AW92" s="23">
        <f>EXP(-LN(2)/2)*AW91+(1-EXP(-LN(2)/2))/(LN(2)/2)*AQ92*AT92*VLOOKUP('Données projet'!$B$10,Paramètres!$A$1:$I$89,3,0)*0.475*44/12</f>
        <v>0</v>
      </c>
      <c r="AX92" s="23">
        <f t="shared" si="60"/>
        <v>0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0</v>
      </c>
      <c r="BE92" s="14" t="e">
        <f>BD92*VLOOKUP('Données projet'!$B$11,Paramètres!$A$1:$I$89,3,0)*VLOOKUP('Données projet'!$B$11,Paramètres!$A$1:$I$89,5,0)</f>
        <v>#N/A</v>
      </c>
      <c r="BF92" s="14" t="e">
        <f t="shared" si="91"/>
        <v>#N/A</v>
      </c>
      <c r="BG92" s="22" t="e">
        <f t="shared" si="61"/>
        <v>#N/A</v>
      </c>
      <c r="BH92" s="62" t="e">
        <f t="shared" si="62"/>
        <v>#N/A</v>
      </c>
      <c r="BI92" s="62" t="e">
        <f ca="1">AVERAGE(OFFSET($BH$3,0,0,'Données projet'!$E$11+1,1))-AVERAGE(OFFSET($H$3,0,0,'Données projet'!$E$11+1,1))</f>
        <v>#N/A</v>
      </c>
      <c r="BJ92" s="62" t="e">
        <f t="shared" si="92"/>
        <v>#N/A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 t="e">
        <f>EXP(-LN(2)/35)*BP91+(1-EXP(-LN(2)/35))/(LN(2)/35)*BL92*BM92*VLOOKUP('Données projet'!$B$11,Paramètres!$A$1:$I$89,3,0)*0.475*44/12</f>
        <v>#N/A</v>
      </c>
      <c r="BQ92" s="23" t="e">
        <f>EXP(-LN(2)/25)*BQ91+(1-EXP(-LN(2)/25))/(LN(2)/25)*Calculateur!BL92*Calculateur!BN92*VLOOKUP('Données projet'!$B$11,Paramètres!$A$1:$I$89,3,0)*0.475*44/12</f>
        <v>#N/A</v>
      </c>
      <c r="BR92" s="23" t="e">
        <f>EXP(-LN(2)/2)*BR91+(1-EXP(-LN(2)/2))/(LN(2)/2)*BL92*BO92*VLOOKUP('Données projet'!$B$11,Paramètres!$A$1:$I$89,3,0)*0.475*44/12</f>
        <v>#N/A</v>
      </c>
      <c r="BS92" s="24" t="e">
        <f t="shared" si="63"/>
        <v>#N/A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0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0</v>
      </c>
      <c r="H93" s="70">
        <f t="shared" si="56"/>
        <v>256.66666666666669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10.035454545454543</v>
      </c>
      <c r="N93" s="14">
        <f>IF('Données projet'!$A$36&gt;35,N92+M93-V92,IF(A93&lt;'Données projet'!$A$36,$K$205^A93,IF(A93='Données projet'!$A$36,'Données projet'!$B$36,N92+M93-V92)))</f>
        <v>375.94181818181806</v>
      </c>
      <c r="O93" s="14">
        <f>N93*VLOOKUP('Données projet'!$B$9,Paramètres!$A$1:$I$89,3,0)*VLOOKUP('Données projet'!$B$9,Paramètres!$A$1:$I$89,5,0)</f>
        <v>175.94077090909087</v>
      </c>
      <c r="P93" s="14">
        <f t="shared" si="87"/>
        <v>44.417887103898053</v>
      </c>
      <c r="Q93" s="22">
        <f t="shared" si="54"/>
        <v>383.79132937262239</v>
      </c>
      <c r="R93" s="62">
        <f t="shared" si="55"/>
        <v>677.12466270595564</v>
      </c>
      <c r="S93" s="62">
        <f ca="1">AVERAGE(OFFSET($R$3,0,0,'Données projet'!$E$9+1,1))-AVERAGE(OFFSET($H$3,0,0,'Données projet'!$E$9+1,1))</f>
        <v>302.58171900450355</v>
      </c>
      <c r="T93" s="62">
        <f t="shared" si="88"/>
        <v>164.1450425611464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0</v>
      </c>
      <c r="AA93" s="23">
        <f>EXP(-LN(2)/25)*AA92+(1-EXP(-LN(2)/25))/(LN(2)/25)*Calculateur!V93*Calculateur!X93*VLOOKUP('Données projet'!$B$9,Paramètres!$A$1:$I$89,3,0)*0.475*44/12</f>
        <v>0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0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>
        <f>VLOOKUP(A93,'Données projet'!$A$61:$I$81,2,0)</f>
        <v>207</v>
      </c>
      <c r="AG93" s="13">
        <f>VLOOKUP(A93,'Données projet'!$A$61:$I$81,9,0)</f>
        <v>4.2</v>
      </c>
      <c r="AH93" s="13">
        <f t="array" ref="AH93">INDEX(AG:AG,MIN(IF(ISNUMBER(AG93:AG289),ROW(AG93:AG289),"")))</f>
        <v>4.2</v>
      </c>
      <c r="AI93" s="14">
        <f>IF('Données projet'!$A$62&gt;35,AI92+AH93-AQ92,IF(A93&lt;'Données projet'!$A$62,$AF$205^A93,IF(A93='Données projet'!$A$62,'Données projet'!$B$62,AI92+AH93-AQ92)))</f>
        <v>206.9999999999998</v>
      </c>
      <c r="AJ93" s="14">
        <f>AI93*VLOOKUP('Données projet'!$B$10,Paramètres!$A$1:$I$89,3,0)*VLOOKUP('Données projet'!$B$10,Paramètres!$A$1:$I$89,5,0)</f>
        <v>222.81479999999976</v>
      </c>
      <c r="AK93" s="14">
        <f t="shared" si="89"/>
        <v>54.726215188137857</v>
      </c>
      <c r="AL93" s="22">
        <f t="shared" si="58"/>
        <v>483.38393478600642</v>
      </c>
      <c r="AM93" s="62">
        <f t="shared" si="59"/>
        <v>776.71726811933968</v>
      </c>
      <c r="AN93" s="62">
        <f ca="1">AVERAGE(OFFSET($AM$3,0,0,'Données projet'!$E$10+1,1))-AVERAGE(OFFSET($H$3,0,0,'Données projet'!$E$10+1,1))</f>
        <v>327.4984716935208</v>
      </c>
      <c r="AO93" s="62">
        <f t="shared" si="90"/>
        <v>166.97658184507776</v>
      </c>
      <c r="AP93" s="16">
        <f>IF(ISNA(VLOOKUP(A93,'Données projet'!$A$61:$I$81,3,0)),0,VLOOKUP(A93,'Données projet'!$A$61:$I$81,3,0))</f>
        <v>14</v>
      </c>
      <c r="AQ93" s="16">
        <f>IF(ISNA(VLOOKUP(A93,'Données projet'!$A$61:$I$81,4,0)),0,VLOOKUP(A93,'Données projet'!$A$61:$I$81,4,0))</f>
        <v>14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0</v>
      </c>
      <c r="AV93" s="23">
        <f>EXP(-LN(2)/25)*AV92+(1-EXP(-LN(2)/25))/(LN(2)/25)*Calculateur!AQ93*Calculateur!AS93*VLOOKUP('Données projet'!$B$10,Paramètres!$A$1:$I$89,3,0)*0.475*44/12</f>
        <v>0</v>
      </c>
      <c r="AW93" s="23">
        <f>EXP(-LN(2)/2)*AW92+(1-EXP(-LN(2)/2))/(LN(2)/2)*AQ93*AT93*VLOOKUP('Données projet'!$B$10,Paramètres!$A$1:$I$89,3,0)*0.475*44/12</f>
        <v>0</v>
      </c>
      <c r="AX93" s="23">
        <f t="shared" si="60"/>
        <v>0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0</v>
      </c>
      <c r="BE93" s="14" t="e">
        <f>BD93*VLOOKUP('Données projet'!$B$11,Paramètres!$A$1:$I$89,3,0)*VLOOKUP('Données projet'!$B$11,Paramètres!$A$1:$I$89,5,0)</f>
        <v>#N/A</v>
      </c>
      <c r="BF93" s="14" t="e">
        <f t="shared" si="91"/>
        <v>#N/A</v>
      </c>
      <c r="BG93" s="22" t="e">
        <f t="shared" si="61"/>
        <v>#N/A</v>
      </c>
      <c r="BH93" s="62" t="e">
        <f t="shared" si="62"/>
        <v>#N/A</v>
      </c>
      <c r="BI93" s="62" t="e">
        <f ca="1">AVERAGE(OFFSET($BH$3,0,0,'Données projet'!$E$11+1,1))-AVERAGE(OFFSET($H$3,0,0,'Données projet'!$E$11+1,1))</f>
        <v>#N/A</v>
      </c>
      <c r="BJ93" s="62" t="e">
        <f t="shared" si="92"/>
        <v>#N/A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 t="e">
        <f>EXP(-LN(2)/35)*BP92+(1-EXP(-LN(2)/35))/(LN(2)/35)*BL93*BM93*VLOOKUP('Données projet'!$B$11,Paramètres!$A$1:$I$89,3,0)*0.475*44/12</f>
        <v>#N/A</v>
      </c>
      <c r="BQ93" s="23" t="e">
        <f>EXP(-LN(2)/25)*BQ92+(1-EXP(-LN(2)/25))/(LN(2)/25)*Calculateur!BL93*Calculateur!BN93*VLOOKUP('Données projet'!$B$11,Paramètres!$A$1:$I$89,3,0)*0.475*44/12</f>
        <v>#N/A</v>
      </c>
      <c r="BR93" s="23" t="e">
        <f>EXP(-LN(2)/2)*BR92+(1-EXP(-LN(2)/2))/(LN(2)/2)*BL93*BO93*VLOOKUP('Données projet'!$B$11,Paramètres!$A$1:$I$89,3,0)*0.475*44/12</f>
        <v>#N/A</v>
      </c>
      <c r="BS93" s="24" t="e">
        <f t="shared" si="63"/>
        <v>#N/A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0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0</v>
      </c>
      <c r="H94" s="70">
        <f t="shared" si="56"/>
        <v>256.66666666666669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10.035454545454543</v>
      </c>
      <c r="N94" s="14">
        <f>IF('Données projet'!$A$36&gt;35,N93+M94-V93,IF(A94&lt;'Données projet'!$A$36,$K$205^A94,IF(A94='Données projet'!$A$36,'Données projet'!$B$36,N93+M94-V93)))</f>
        <v>385.97727272727263</v>
      </c>
      <c r="O94" s="14">
        <f>N94*VLOOKUP('Données projet'!$B$9,Paramètres!$A$1:$I$89,3,0)*VLOOKUP('Données projet'!$B$9,Paramètres!$A$1:$I$89,5,0)</f>
        <v>180.6373636363636</v>
      </c>
      <c r="P94" s="14">
        <f t="shared" si="87"/>
        <v>45.463958648744757</v>
      </c>
      <c r="Q94" s="22">
        <f t="shared" si="54"/>
        <v>393.79313631323038</v>
      </c>
      <c r="R94" s="62">
        <f t="shared" si="55"/>
        <v>687.12646964656369</v>
      </c>
      <c r="S94" s="62">
        <f ca="1">AVERAGE(OFFSET($R$3,0,0,'Données projet'!$E$9+1,1))-AVERAGE(OFFSET($H$3,0,0,'Données projet'!$E$9+1,1))</f>
        <v>302.58171900450355</v>
      </c>
      <c r="T94" s="62">
        <f t="shared" si="88"/>
        <v>164.1450425611464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0</v>
      </c>
      <c r="AA94" s="23">
        <f>EXP(-LN(2)/25)*AA93+(1-EXP(-LN(2)/25))/(LN(2)/25)*Calculateur!V94*Calculateur!X94*VLOOKUP('Données projet'!$B$9,Paramètres!$A$1:$I$89,3,0)*0.475*44/12</f>
        <v>0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0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3.8</v>
      </c>
      <c r="AI94" s="14">
        <f>IF('Données projet'!$A$62&gt;35,AI93+AH94-AQ93,IF(A94&lt;'Données projet'!$A$62,$AF$205^A94,IF(A94='Données projet'!$A$62,'Données projet'!$B$62,AI93+AH94-AQ93)))</f>
        <v>196.79999999999981</v>
      </c>
      <c r="AJ94" s="14">
        <f>AI94*VLOOKUP('Données projet'!$B$10,Paramètres!$A$1:$I$89,3,0)*VLOOKUP('Données projet'!$B$10,Paramètres!$A$1:$I$89,5,0)</f>
        <v>211.83551999999978</v>
      </c>
      <c r="AK94" s="14">
        <f t="shared" si="89"/>
        <v>52.336489616154928</v>
      </c>
      <c r="AL94" s="22">
        <f t="shared" si="58"/>
        <v>460.09958341480274</v>
      </c>
      <c r="AM94" s="62">
        <f t="shared" si="59"/>
        <v>753.43291674813599</v>
      </c>
      <c r="AN94" s="62">
        <f ca="1">AVERAGE(OFFSET($AM$3,0,0,'Données projet'!$E$10+1,1))-AVERAGE(OFFSET($H$3,0,0,'Données projet'!$E$10+1,1))</f>
        <v>327.4984716935208</v>
      </c>
      <c r="AO94" s="62">
        <f t="shared" si="90"/>
        <v>166.97658184507776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0</v>
      </c>
      <c r="AV94" s="23">
        <f>EXP(-LN(2)/25)*AV93+(1-EXP(-LN(2)/25))/(LN(2)/25)*Calculateur!AQ94*Calculateur!AS94*VLOOKUP('Données projet'!$B$10,Paramètres!$A$1:$I$89,3,0)*0.475*44/12</f>
        <v>0</v>
      </c>
      <c r="AW94" s="23">
        <f>EXP(-LN(2)/2)*AW93+(1-EXP(-LN(2)/2))/(LN(2)/2)*AQ94*AT94*VLOOKUP('Données projet'!$B$10,Paramètres!$A$1:$I$89,3,0)*0.475*44/12</f>
        <v>0</v>
      </c>
      <c r="AX94" s="23">
        <f t="shared" si="60"/>
        <v>0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0</v>
      </c>
      <c r="BE94" s="14" t="e">
        <f>BD94*VLOOKUP('Données projet'!$B$11,Paramètres!$A$1:$I$89,3,0)*VLOOKUP('Données projet'!$B$11,Paramètres!$A$1:$I$89,5,0)</f>
        <v>#N/A</v>
      </c>
      <c r="BF94" s="14" t="e">
        <f t="shared" si="91"/>
        <v>#N/A</v>
      </c>
      <c r="BG94" s="22" t="e">
        <f t="shared" si="61"/>
        <v>#N/A</v>
      </c>
      <c r="BH94" s="62" t="e">
        <f t="shared" si="62"/>
        <v>#N/A</v>
      </c>
      <c r="BI94" s="62" t="e">
        <f ca="1">AVERAGE(OFFSET($BH$3,0,0,'Données projet'!$E$11+1,1))-AVERAGE(OFFSET($H$3,0,0,'Données projet'!$E$11+1,1))</f>
        <v>#N/A</v>
      </c>
      <c r="BJ94" s="62" t="e">
        <f t="shared" si="92"/>
        <v>#N/A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 t="e">
        <f>EXP(-LN(2)/35)*BP93+(1-EXP(-LN(2)/35))/(LN(2)/35)*BL94*BM94*VLOOKUP('Données projet'!$B$11,Paramètres!$A$1:$I$89,3,0)*0.475*44/12</f>
        <v>#N/A</v>
      </c>
      <c r="BQ94" s="23" t="e">
        <f>EXP(-LN(2)/25)*BQ93+(1-EXP(-LN(2)/25))/(LN(2)/25)*Calculateur!BL94*Calculateur!BN94*VLOOKUP('Données projet'!$B$11,Paramètres!$A$1:$I$89,3,0)*0.475*44/12</f>
        <v>#N/A</v>
      </c>
      <c r="BR94" s="23" t="e">
        <f>EXP(-LN(2)/2)*BR93+(1-EXP(-LN(2)/2))/(LN(2)/2)*BL94*BO94*VLOOKUP('Données projet'!$B$11,Paramètres!$A$1:$I$89,3,0)*0.475*44/12</f>
        <v>#N/A</v>
      </c>
      <c r="BS94" s="24" t="e">
        <f t="shared" si="63"/>
        <v>#N/A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0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0</v>
      </c>
      <c r="H95" s="70">
        <f t="shared" si="56"/>
        <v>256.66666666666669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10.035454545454543</v>
      </c>
      <c r="N95" s="14">
        <f>IF('Données projet'!$A$36&gt;35,N94+M95-V94,IF(A95&lt;'Données projet'!$A$36,$K$205^A95,IF(A95='Données projet'!$A$36,'Données projet'!$B$36,N94+M95-V94)))</f>
        <v>396.0127272727272</v>
      </c>
      <c r="O95" s="14">
        <f>N95*VLOOKUP('Données projet'!$B$9,Paramètres!$A$1:$I$89,3,0)*VLOOKUP('Données projet'!$B$9,Paramètres!$A$1:$I$89,5,0)</f>
        <v>185.33395636363633</v>
      </c>
      <c r="P95" s="14">
        <f t="shared" si="87"/>
        <v>46.506868757664741</v>
      </c>
      <c r="Q95" s="22">
        <f t="shared" si="54"/>
        <v>403.78943708626599</v>
      </c>
      <c r="R95" s="62">
        <f t="shared" si="55"/>
        <v>697.12277041959931</v>
      </c>
      <c r="S95" s="62">
        <f ca="1">AVERAGE(OFFSET($R$3,0,0,'Données projet'!$E$9+1,1))-AVERAGE(OFFSET($H$3,0,0,'Données projet'!$E$9+1,1))</f>
        <v>302.58171900450355</v>
      </c>
      <c r="T95" s="62">
        <f t="shared" si="88"/>
        <v>164.1450425611464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0</v>
      </c>
      <c r="AA95" s="23">
        <f>EXP(-LN(2)/25)*AA94+(1-EXP(-LN(2)/25))/(LN(2)/25)*Calculateur!V95*Calculateur!X95*VLOOKUP('Données projet'!$B$9,Paramètres!$A$1:$I$89,3,0)*0.475*44/12</f>
        <v>0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0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3.8</v>
      </c>
      <c r="AI95" s="14">
        <f>IF('Données projet'!$A$62&gt;35,AI94+AH95-AQ94,IF(A95&lt;'Données projet'!$A$62,$AF$205^A95,IF(A95='Données projet'!$A$62,'Données projet'!$B$62,AI94+AH95-AQ94)))</f>
        <v>200.59999999999982</v>
      </c>
      <c r="AJ95" s="14">
        <f>AI95*VLOOKUP('Données projet'!$B$10,Paramètres!$A$1:$I$89,3,0)*VLOOKUP('Données projet'!$B$10,Paramètres!$A$1:$I$89,5,0)</f>
        <v>215.92583999999982</v>
      </c>
      <c r="AK95" s="14">
        <f t="shared" si="89"/>
        <v>53.228426141058961</v>
      </c>
      <c r="AL95" s="22">
        <f t="shared" si="58"/>
        <v>468.77701352901067</v>
      </c>
      <c r="AM95" s="62">
        <f t="shared" si="59"/>
        <v>762.11034686234393</v>
      </c>
      <c r="AN95" s="62">
        <f ca="1">AVERAGE(OFFSET($AM$3,0,0,'Données projet'!$E$10+1,1))-AVERAGE(OFFSET($H$3,0,0,'Données projet'!$E$10+1,1))</f>
        <v>327.4984716935208</v>
      </c>
      <c r="AO95" s="62">
        <f t="shared" si="90"/>
        <v>166.97658184507776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0</v>
      </c>
      <c r="AV95" s="23">
        <f>EXP(-LN(2)/25)*AV94+(1-EXP(-LN(2)/25))/(LN(2)/25)*Calculateur!AQ95*Calculateur!AS95*VLOOKUP('Données projet'!$B$10,Paramètres!$A$1:$I$89,3,0)*0.475*44/12</f>
        <v>0</v>
      </c>
      <c r="AW95" s="23">
        <f>EXP(-LN(2)/2)*AW94+(1-EXP(-LN(2)/2))/(LN(2)/2)*AQ95*AT95*VLOOKUP('Données projet'!$B$10,Paramètres!$A$1:$I$89,3,0)*0.475*44/12</f>
        <v>0</v>
      </c>
      <c r="AX95" s="23">
        <f t="shared" si="60"/>
        <v>0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0</v>
      </c>
      <c r="BE95" s="14" t="e">
        <f>BD95*VLOOKUP('Données projet'!$B$11,Paramètres!$A$1:$I$89,3,0)*VLOOKUP('Données projet'!$B$11,Paramètres!$A$1:$I$89,5,0)</f>
        <v>#N/A</v>
      </c>
      <c r="BF95" s="14" t="e">
        <f t="shared" si="91"/>
        <v>#N/A</v>
      </c>
      <c r="BG95" s="22" t="e">
        <f t="shared" si="61"/>
        <v>#N/A</v>
      </c>
      <c r="BH95" s="62" t="e">
        <f t="shared" si="62"/>
        <v>#N/A</v>
      </c>
      <c r="BI95" s="62" t="e">
        <f ca="1">AVERAGE(OFFSET($BH$3,0,0,'Données projet'!$E$11+1,1))-AVERAGE(OFFSET($H$3,0,0,'Données projet'!$E$11+1,1))</f>
        <v>#N/A</v>
      </c>
      <c r="BJ95" s="62" t="e">
        <f t="shared" si="92"/>
        <v>#N/A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 t="e">
        <f>EXP(-LN(2)/35)*BP94+(1-EXP(-LN(2)/35))/(LN(2)/35)*BL95*BM95*VLOOKUP('Données projet'!$B$11,Paramètres!$A$1:$I$89,3,0)*0.475*44/12</f>
        <v>#N/A</v>
      </c>
      <c r="BQ95" s="23" t="e">
        <f>EXP(-LN(2)/25)*BQ94+(1-EXP(-LN(2)/25))/(LN(2)/25)*Calculateur!BL95*Calculateur!BN95*VLOOKUP('Données projet'!$B$11,Paramètres!$A$1:$I$89,3,0)*0.475*44/12</f>
        <v>#N/A</v>
      </c>
      <c r="BR95" s="23" t="e">
        <f>EXP(-LN(2)/2)*BR94+(1-EXP(-LN(2)/2))/(LN(2)/2)*BL95*BO95*VLOOKUP('Données projet'!$B$11,Paramètres!$A$1:$I$89,3,0)*0.475*44/12</f>
        <v>#N/A</v>
      </c>
      <c r="BS95" s="24" t="e">
        <f t="shared" si="63"/>
        <v>#N/A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0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0</v>
      </c>
      <c r="H96" s="70">
        <f t="shared" si="56"/>
        <v>256.66666666666669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10.035454545454543</v>
      </c>
      <c r="N96" s="14">
        <f>IF('Données projet'!$A$36&gt;35,N95+M96-V95,IF(A96&lt;'Données projet'!$A$36,$K$205^A96,IF(A96='Données projet'!$A$36,'Données projet'!$B$36,N95+M96-V95)))</f>
        <v>406.04818181818177</v>
      </c>
      <c r="O96" s="14">
        <f>N96*VLOOKUP('Données projet'!$B$9,Paramètres!$A$1:$I$89,3,0)*VLOOKUP('Données projet'!$B$9,Paramètres!$A$1:$I$89,5,0)</f>
        <v>190.03054909090909</v>
      </c>
      <c r="P96" s="14">
        <f t="shared" si="87"/>
        <v>47.546706758287876</v>
      </c>
      <c r="Q96" s="22">
        <f t="shared" si="54"/>
        <v>413.78038727068468</v>
      </c>
      <c r="R96" s="62">
        <f t="shared" si="55"/>
        <v>707.113720604018</v>
      </c>
      <c r="S96" s="62">
        <f ca="1">AVERAGE(OFFSET($R$3,0,0,'Données projet'!$E$9+1,1))-AVERAGE(OFFSET($H$3,0,0,'Données projet'!$E$9+1,1))</f>
        <v>302.58171900450355</v>
      </c>
      <c r="T96" s="62">
        <f t="shared" si="88"/>
        <v>164.1450425611464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0</v>
      </c>
      <c r="AA96" s="23">
        <f>EXP(-LN(2)/25)*AA95+(1-EXP(-LN(2)/25))/(LN(2)/25)*Calculateur!V96*Calculateur!X96*VLOOKUP('Données projet'!$B$9,Paramètres!$A$1:$I$89,3,0)*0.475*44/12</f>
        <v>0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0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3.8</v>
      </c>
      <c r="AI96" s="14">
        <f>IF('Données projet'!$A$62&gt;35,AI95+AH96-AQ95,IF(A96&lt;'Données projet'!$A$62,$AF$205^A96,IF(A96='Données projet'!$A$62,'Données projet'!$B$62,AI95+AH96-AQ95)))</f>
        <v>204.39999999999984</v>
      </c>
      <c r="AJ96" s="14">
        <f>AI96*VLOOKUP('Données projet'!$B$10,Paramètres!$A$1:$I$89,3,0)*VLOOKUP('Données projet'!$B$10,Paramètres!$A$1:$I$89,5,0)</f>
        <v>220.01615999999984</v>
      </c>
      <c r="AK96" s="14">
        <f t="shared" si="89"/>
        <v>54.118398001737724</v>
      </c>
      <c r="AL96" s="22">
        <f t="shared" si="58"/>
        <v>477.45102185302625</v>
      </c>
      <c r="AM96" s="62">
        <f t="shared" si="59"/>
        <v>770.78435518635956</v>
      </c>
      <c r="AN96" s="62">
        <f ca="1">AVERAGE(OFFSET($AM$3,0,0,'Données projet'!$E$10+1,1))-AVERAGE(OFFSET($H$3,0,0,'Données projet'!$E$10+1,1))</f>
        <v>327.4984716935208</v>
      </c>
      <c r="AO96" s="62">
        <f t="shared" si="90"/>
        <v>166.97658184507776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0</v>
      </c>
      <c r="AV96" s="23">
        <f>EXP(-LN(2)/25)*AV95+(1-EXP(-LN(2)/25))/(LN(2)/25)*Calculateur!AQ96*Calculateur!AS96*VLOOKUP('Données projet'!$B$10,Paramètres!$A$1:$I$89,3,0)*0.475*44/12</f>
        <v>0</v>
      </c>
      <c r="AW96" s="23">
        <f>EXP(-LN(2)/2)*AW95+(1-EXP(-LN(2)/2))/(LN(2)/2)*AQ96*AT96*VLOOKUP('Données projet'!$B$10,Paramètres!$A$1:$I$89,3,0)*0.475*44/12</f>
        <v>0</v>
      </c>
      <c r="AX96" s="23">
        <f t="shared" si="60"/>
        <v>0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0</v>
      </c>
      <c r="BE96" s="14" t="e">
        <f>BD96*VLOOKUP('Données projet'!$B$11,Paramètres!$A$1:$I$89,3,0)*VLOOKUP('Données projet'!$B$11,Paramètres!$A$1:$I$89,5,0)</f>
        <v>#N/A</v>
      </c>
      <c r="BF96" s="14" t="e">
        <f t="shared" si="91"/>
        <v>#N/A</v>
      </c>
      <c r="BG96" s="22" t="e">
        <f t="shared" si="61"/>
        <v>#N/A</v>
      </c>
      <c r="BH96" s="62" t="e">
        <f t="shared" si="62"/>
        <v>#N/A</v>
      </c>
      <c r="BI96" s="62" t="e">
        <f ca="1">AVERAGE(OFFSET($BH$3,0,0,'Données projet'!$E$11+1,1))-AVERAGE(OFFSET($H$3,0,0,'Données projet'!$E$11+1,1))</f>
        <v>#N/A</v>
      </c>
      <c r="BJ96" s="62" t="e">
        <f t="shared" si="92"/>
        <v>#N/A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 t="e">
        <f>EXP(-LN(2)/35)*BP95+(1-EXP(-LN(2)/35))/(LN(2)/35)*BL96*BM96*VLOOKUP('Données projet'!$B$11,Paramètres!$A$1:$I$89,3,0)*0.475*44/12</f>
        <v>#N/A</v>
      </c>
      <c r="BQ96" s="23" t="e">
        <f>EXP(-LN(2)/25)*BQ95+(1-EXP(-LN(2)/25))/(LN(2)/25)*Calculateur!BL96*Calculateur!BN96*VLOOKUP('Données projet'!$B$11,Paramètres!$A$1:$I$89,3,0)*0.475*44/12</f>
        <v>#N/A</v>
      </c>
      <c r="BR96" s="23" t="e">
        <f>EXP(-LN(2)/2)*BR95+(1-EXP(-LN(2)/2))/(LN(2)/2)*BL96*BO96*VLOOKUP('Données projet'!$B$11,Paramètres!$A$1:$I$89,3,0)*0.475*44/12</f>
        <v>#N/A</v>
      </c>
      <c r="BS96" s="24" t="e">
        <f t="shared" si="63"/>
        <v>#N/A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0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0</v>
      </c>
      <c r="H97" s="70">
        <f t="shared" si="56"/>
        <v>256.66666666666669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10.035454545454543</v>
      </c>
      <c r="N97" s="14">
        <f>IF('Données projet'!$A$36&gt;35,N96+M97-V96,IF(A97&lt;'Données projet'!$A$36,$K$205^A97,IF(A97='Données projet'!$A$36,'Données projet'!$B$36,N96+M97-V96)))</f>
        <v>416.08363636363634</v>
      </c>
      <c r="O97" s="14">
        <f>N97*VLOOKUP('Données projet'!$B$9,Paramètres!$A$1:$I$89,3,0)*VLOOKUP('Données projet'!$B$9,Paramètres!$A$1:$I$89,5,0)</f>
        <v>194.72714181818182</v>
      </c>
      <c r="P97" s="14">
        <f t="shared" si="87"/>
        <v>48.583557311093735</v>
      </c>
      <c r="Q97" s="22">
        <f t="shared" si="54"/>
        <v>423.76613431682154</v>
      </c>
      <c r="R97" s="62">
        <f t="shared" si="55"/>
        <v>717.09946765015479</v>
      </c>
      <c r="S97" s="62">
        <f ca="1">AVERAGE(OFFSET($R$3,0,0,'Données projet'!$E$9+1,1))-AVERAGE(OFFSET($H$3,0,0,'Données projet'!$E$9+1,1))</f>
        <v>302.58171900450355</v>
      </c>
      <c r="T97" s="62">
        <f t="shared" si="88"/>
        <v>164.1450425611464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0</v>
      </c>
      <c r="AA97" s="23">
        <f>EXP(-LN(2)/25)*AA96+(1-EXP(-LN(2)/25))/(LN(2)/25)*Calculateur!V97*Calculateur!X97*VLOOKUP('Données projet'!$B$9,Paramètres!$A$1:$I$89,3,0)*0.475*44/12</f>
        <v>0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0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3.8</v>
      </c>
      <c r="AI97" s="14">
        <f>IF('Données projet'!$A$62&gt;35,AI96+AH97-AQ96,IF(A97&lt;'Données projet'!$A$62,$AF$205^A97,IF(A97='Données projet'!$A$62,'Données projet'!$B$62,AI96+AH97-AQ96)))</f>
        <v>208.19999999999985</v>
      </c>
      <c r="AJ97" s="14">
        <f>AI97*VLOOKUP('Données projet'!$B$10,Paramètres!$A$1:$I$89,3,0)*VLOOKUP('Données projet'!$B$10,Paramètres!$A$1:$I$89,5,0)</f>
        <v>224.10647999999981</v>
      </c>
      <c r="AK97" s="14">
        <f t="shared" si="89"/>
        <v>55.006445935422491</v>
      </c>
      <c r="AL97" s="22">
        <f t="shared" si="58"/>
        <v>486.12167933752715</v>
      </c>
      <c r="AM97" s="62">
        <f t="shared" si="59"/>
        <v>779.45501267086047</v>
      </c>
      <c r="AN97" s="62">
        <f ca="1">AVERAGE(OFFSET($AM$3,0,0,'Données projet'!$E$10+1,1))-AVERAGE(OFFSET($H$3,0,0,'Données projet'!$E$10+1,1))</f>
        <v>327.4984716935208</v>
      </c>
      <c r="AO97" s="62">
        <f t="shared" si="90"/>
        <v>166.97658184507776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0</v>
      </c>
      <c r="AV97" s="23">
        <f>EXP(-LN(2)/25)*AV96+(1-EXP(-LN(2)/25))/(LN(2)/25)*Calculateur!AQ97*Calculateur!AS97*VLOOKUP('Données projet'!$B$10,Paramètres!$A$1:$I$89,3,0)*0.475*44/12</f>
        <v>0</v>
      </c>
      <c r="AW97" s="23">
        <f>EXP(-LN(2)/2)*AW96+(1-EXP(-LN(2)/2))/(LN(2)/2)*AQ97*AT97*VLOOKUP('Données projet'!$B$10,Paramètres!$A$1:$I$89,3,0)*0.475*44/12</f>
        <v>0</v>
      </c>
      <c r="AX97" s="23">
        <f t="shared" si="60"/>
        <v>0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0</v>
      </c>
      <c r="BE97" s="14" t="e">
        <f>BD97*VLOOKUP('Données projet'!$B$11,Paramètres!$A$1:$I$89,3,0)*VLOOKUP('Données projet'!$B$11,Paramètres!$A$1:$I$89,5,0)</f>
        <v>#N/A</v>
      </c>
      <c r="BF97" s="14" t="e">
        <f t="shared" si="91"/>
        <v>#N/A</v>
      </c>
      <c r="BG97" s="22" t="e">
        <f t="shared" si="61"/>
        <v>#N/A</v>
      </c>
      <c r="BH97" s="62" t="e">
        <f t="shared" si="62"/>
        <v>#N/A</v>
      </c>
      <c r="BI97" s="62" t="e">
        <f ca="1">AVERAGE(OFFSET($BH$3,0,0,'Données projet'!$E$11+1,1))-AVERAGE(OFFSET($H$3,0,0,'Données projet'!$E$11+1,1))</f>
        <v>#N/A</v>
      </c>
      <c r="BJ97" s="62" t="e">
        <f t="shared" si="92"/>
        <v>#N/A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 t="e">
        <f>EXP(-LN(2)/35)*BP96+(1-EXP(-LN(2)/35))/(LN(2)/35)*BL97*BM97*VLOOKUP('Données projet'!$B$11,Paramètres!$A$1:$I$89,3,0)*0.475*44/12</f>
        <v>#N/A</v>
      </c>
      <c r="BQ97" s="23" t="e">
        <f>EXP(-LN(2)/25)*BQ96+(1-EXP(-LN(2)/25))/(LN(2)/25)*Calculateur!BL97*Calculateur!BN97*VLOOKUP('Données projet'!$B$11,Paramètres!$A$1:$I$89,3,0)*0.475*44/12</f>
        <v>#N/A</v>
      </c>
      <c r="BR97" s="23" t="e">
        <f>EXP(-LN(2)/2)*BR96+(1-EXP(-LN(2)/2))/(LN(2)/2)*BL97*BO97*VLOOKUP('Données projet'!$B$11,Paramètres!$A$1:$I$89,3,0)*0.475*44/12</f>
        <v>#N/A</v>
      </c>
      <c r="BS97" s="24" t="e">
        <f t="shared" si="63"/>
        <v>#N/A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0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0</v>
      </c>
      <c r="H98" s="70">
        <f t="shared" si="56"/>
        <v>256.66666666666669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10.035454545454543</v>
      </c>
      <c r="N98" s="14">
        <f>IF('Données projet'!$A$36&gt;35,N97+M98-V97,IF(A98&lt;'Données projet'!$A$36,$K$205^A98,IF(A98='Données projet'!$A$36,'Données projet'!$B$36,N97+M98-V97)))</f>
        <v>426.11909090909091</v>
      </c>
      <c r="O98" s="14">
        <f>N98*VLOOKUP('Données projet'!$B$9,Paramètres!$A$1:$I$89,3,0)*VLOOKUP('Données projet'!$B$9,Paramètres!$A$1:$I$89,5,0)</f>
        <v>199.42373454545455</v>
      </c>
      <c r="P98" s="14">
        <f t="shared" si="87"/>
        <v>49.617500759858309</v>
      </c>
      <c r="Q98" s="22">
        <f t="shared" si="54"/>
        <v>433.74681815675325</v>
      </c>
      <c r="R98" s="62">
        <f t="shared" si="55"/>
        <v>727.08015149008656</v>
      </c>
      <c r="S98" s="62">
        <f ca="1">AVERAGE(OFFSET($R$3,0,0,'Données projet'!$E$9+1,1))-AVERAGE(OFFSET($H$3,0,0,'Données projet'!$E$9+1,1))</f>
        <v>302.58171900450355</v>
      </c>
      <c r="T98" s="62">
        <f t="shared" si="88"/>
        <v>164.1450425611464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0</v>
      </c>
      <c r="AA98" s="23">
        <f>EXP(-LN(2)/25)*AA97+(1-EXP(-LN(2)/25))/(LN(2)/25)*Calculateur!V98*Calculateur!X98*VLOOKUP('Données projet'!$B$9,Paramètres!$A$1:$I$89,3,0)*0.475*44/12</f>
        <v>0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0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>
        <f>VLOOKUP(A98,'Données projet'!$A$61:$I$81,2,0)</f>
        <v>212</v>
      </c>
      <c r="AG98" s="13">
        <f>VLOOKUP(A98,'Données projet'!$A$61:$I$81,9,0)</f>
        <v>3.8</v>
      </c>
      <c r="AH98" s="13">
        <f t="array" ref="AH98">INDEX(AG:AG,MIN(IF(ISNUMBER(AG98:AG294),ROW(AG98:AG294),"")))</f>
        <v>3.8</v>
      </c>
      <c r="AI98" s="14">
        <f>IF('Données projet'!$A$62&gt;35,AI97+AH98-AQ97,IF(A98&lt;'Données projet'!$A$62,$AF$205^A98,IF(A98='Données projet'!$A$62,'Données projet'!$B$62,AI97+AH98-AQ97)))</f>
        <v>211.99999999999986</v>
      </c>
      <c r="AJ98" s="14">
        <f>AI98*VLOOKUP('Données projet'!$B$10,Paramètres!$A$1:$I$89,3,0)*VLOOKUP('Données projet'!$B$10,Paramètres!$A$1:$I$89,5,0)</f>
        <v>228.19679999999983</v>
      </c>
      <c r="AK98" s="14">
        <f t="shared" si="89"/>
        <v>55.892609107161952</v>
      </c>
      <c r="AL98" s="22">
        <f t="shared" si="58"/>
        <v>494.7890541949734</v>
      </c>
      <c r="AM98" s="62">
        <f t="shared" si="59"/>
        <v>788.12238752830672</v>
      </c>
      <c r="AN98" s="62">
        <f ca="1">AVERAGE(OFFSET($AM$3,0,0,'Données projet'!$E$10+1,1))-AVERAGE(OFFSET($H$3,0,0,'Données projet'!$E$10+1,1))</f>
        <v>327.4984716935208</v>
      </c>
      <c r="AO98" s="62">
        <f t="shared" si="90"/>
        <v>166.97658184507776</v>
      </c>
      <c r="AP98" s="16">
        <f>IF(ISNA(VLOOKUP(A98,'Données projet'!$A$61:$I$81,3,0)),0,VLOOKUP(A98,'Données projet'!$A$61:$I$81,3,0))</f>
        <v>15</v>
      </c>
      <c r="AQ98" s="16">
        <f>IF(ISNA(VLOOKUP(A98,'Données projet'!$A$61:$I$81,4,0)),0,VLOOKUP(A98,'Données projet'!$A$61:$I$81,4,0))</f>
        <v>14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0</v>
      </c>
      <c r="AV98" s="23">
        <f>EXP(-LN(2)/25)*AV97+(1-EXP(-LN(2)/25))/(LN(2)/25)*Calculateur!AQ98*Calculateur!AS98*VLOOKUP('Données projet'!$B$10,Paramètres!$A$1:$I$89,3,0)*0.475*44/12</f>
        <v>0</v>
      </c>
      <c r="AW98" s="23">
        <f>EXP(-LN(2)/2)*AW97+(1-EXP(-LN(2)/2))/(LN(2)/2)*AQ98*AT98*VLOOKUP('Données projet'!$B$10,Paramètres!$A$1:$I$89,3,0)*0.475*44/12</f>
        <v>0</v>
      </c>
      <c r="AX98" s="23">
        <f t="shared" si="60"/>
        <v>0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0</v>
      </c>
      <c r="BE98" s="14" t="e">
        <f>BD98*VLOOKUP('Données projet'!$B$11,Paramètres!$A$1:$I$89,3,0)*VLOOKUP('Données projet'!$B$11,Paramètres!$A$1:$I$89,5,0)</f>
        <v>#N/A</v>
      </c>
      <c r="BF98" s="14" t="e">
        <f t="shared" si="91"/>
        <v>#N/A</v>
      </c>
      <c r="BG98" s="22" t="e">
        <f t="shared" si="61"/>
        <v>#N/A</v>
      </c>
      <c r="BH98" s="62" t="e">
        <f t="shared" si="62"/>
        <v>#N/A</v>
      </c>
      <c r="BI98" s="62" t="e">
        <f ca="1">AVERAGE(OFFSET($BH$3,0,0,'Données projet'!$E$11+1,1))-AVERAGE(OFFSET($H$3,0,0,'Données projet'!$E$11+1,1))</f>
        <v>#N/A</v>
      </c>
      <c r="BJ98" s="62" t="e">
        <f t="shared" si="92"/>
        <v>#N/A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 t="e">
        <f>EXP(-LN(2)/35)*BP97+(1-EXP(-LN(2)/35))/(LN(2)/35)*BL98*BM98*VLOOKUP('Données projet'!$B$11,Paramètres!$A$1:$I$89,3,0)*0.475*44/12</f>
        <v>#N/A</v>
      </c>
      <c r="BQ98" s="23" t="e">
        <f>EXP(-LN(2)/25)*BQ97+(1-EXP(-LN(2)/25))/(LN(2)/25)*Calculateur!BL98*Calculateur!BN98*VLOOKUP('Données projet'!$B$11,Paramètres!$A$1:$I$89,3,0)*0.475*44/12</f>
        <v>#N/A</v>
      </c>
      <c r="BR98" s="23" t="e">
        <f>EXP(-LN(2)/2)*BR97+(1-EXP(-LN(2)/2))/(LN(2)/2)*BL98*BO98*VLOOKUP('Données projet'!$B$11,Paramètres!$A$1:$I$89,3,0)*0.475*44/12</f>
        <v>#N/A</v>
      </c>
      <c r="BS98" s="24" t="e">
        <f t="shared" si="63"/>
        <v>#N/A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0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0</v>
      </c>
      <c r="H99" s="70">
        <f t="shared" si="56"/>
        <v>256.66666666666669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10.035454545454543</v>
      </c>
      <c r="N99" s="14">
        <f>IF('Données projet'!$A$36&gt;35,N98+M99-V98,IF(A99&lt;'Données projet'!$A$36,$K$205^A99,IF(A99='Données projet'!$A$36,'Données projet'!$B$36,N98+M99-V98)))</f>
        <v>436.15454545454548</v>
      </c>
      <c r="O99" s="14">
        <f>N99*VLOOKUP('Données projet'!$B$9,Paramètres!$A$1:$I$89,3,0)*VLOOKUP('Données projet'!$B$9,Paramètres!$A$1:$I$89,5,0)</f>
        <v>204.12032727272728</v>
      </c>
      <c r="P99" s="14">
        <f t="shared" si="87"/>
        <v>50.648613448156723</v>
      </c>
      <c r="Q99" s="22">
        <f t="shared" ref="Q99:Q130" si="107">(O99+P99)*0.475*44/12</f>
        <v>443.7225717555396</v>
      </c>
      <c r="R99" s="62">
        <f t="shared" si="55"/>
        <v>737.05590508887292</v>
      </c>
      <c r="S99" s="62">
        <f ca="1">AVERAGE(OFFSET($R$3,0,0,'Données projet'!$E$9+1,1))-AVERAGE(OFFSET($H$3,0,0,'Données projet'!$E$9+1,1))</f>
        <v>302.58171900450355</v>
      </c>
      <c r="T99" s="62">
        <f t="shared" si="88"/>
        <v>164.1450425611464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0</v>
      </c>
      <c r="AA99" s="23">
        <f>EXP(-LN(2)/25)*AA98+(1-EXP(-LN(2)/25))/(LN(2)/25)*Calculateur!V99*Calculateur!X99*VLOOKUP('Données projet'!$B$9,Paramètres!$A$1:$I$89,3,0)*0.475*44/12</f>
        <v>0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0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3.6</v>
      </c>
      <c r="AI99" s="14">
        <f>IF('Données projet'!$A$62&gt;35,AI98+AH99-AQ98,IF(A99&lt;'Données projet'!$A$62,$AF$205^A99,IF(A99='Données projet'!$A$62,'Données projet'!$B$62,AI98+AH99-AQ98)))</f>
        <v>201.59999999999985</v>
      </c>
      <c r="AJ99" s="14">
        <f>AI99*VLOOKUP('Données projet'!$B$10,Paramètres!$A$1:$I$89,3,0)*VLOOKUP('Données projet'!$B$10,Paramètres!$A$1:$I$89,5,0)</f>
        <v>217.00223999999986</v>
      </c>
      <c r="AK99" s="14">
        <f t="shared" si="89"/>
        <v>53.462818050454771</v>
      </c>
      <c r="AL99" s="22">
        <f t="shared" si="58"/>
        <v>471.0599761045417</v>
      </c>
      <c r="AM99" s="62">
        <f t="shared" si="59"/>
        <v>764.39330943787502</v>
      </c>
      <c r="AN99" s="62">
        <f ca="1">AVERAGE(OFFSET($AM$3,0,0,'Données projet'!$E$10+1,1))-AVERAGE(OFFSET($H$3,0,0,'Données projet'!$E$10+1,1))</f>
        <v>327.4984716935208</v>
      </c>
      <c r="AO99" s="62">
        <f t="shared" si="90"/>
        <v>166.97658184507776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0</v>
      </c>
      <c r="AV99" s="23">
        <f>EXP(-LN(2)/25)*AV98+(1-EXP(-LN(2)/25))/(LN(2)/25)*Calculateur!AQ99*Calculateur!AS99*VLOOKUP('Données projet'!$B$10,Paramètres!$A$1:$I$89,3,0)*0.475*44/12</f>
        <v>0</v>
      </c>
      <c r="AW99" s="23">
        <f>EXP(-LN(2)/2)*AW98+(1-EXP(-LN(2)/2))/(LN(2)/2)*AQ99*AT99*VLOOKUP('Données projet'!$B$10,Paramètres!$A$1:$I$89,3,0)*0.475*44/12</f>
        <v>0</v>
      </c>
      <c r="AX99" s="23">
        <f t="shared" si="60"/>
        <v>0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0</v>
      </c>
      <c r="BE99" s="14" t="e">
        <f>BD99*VLOOKUP('Données projet'!$B$11,Paramètres!$A$1:$I$89,3,0)*VLOOKUP('Données projet'!$B$11,Paramètres!$A$1:$I$89,5,0)</f>
        <v>#N/A</v>
      </c>
      <c r="BF99" s="14" t="e">
        <f t="shared" si="91"/>
        <v>#N/A</v>
      </c>
      <c r="BG99" s="22" t="e">
        <f t="shared" si="61"/>
        <v>#N/A</v>
      </c>
      <c r="BH99" s="62" t="e">
        <f t="shared" si="62"/>
        <v>#N/A</v>
      </c>
      <c r="BI99" s="62" t="e">
        <f ca="1">AVERAGE(OFFSET($BH$3,0,0,'Données projet'!$E$11+1,1))-AVERAGE(OFFSET($H$3,0,0,'Données projet'!$E$11+1,1))</f>
        <v>#N/A</v>
      </c>
      <c r="BJ99" s="62" t="e">
        <f t="shared" si="92"/>
        <v>#N/A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 t="e">
        <f>EXP(-LN(2)/35)*BP98+(1-EXP(-LN(2)/35))/(LN(2)/35)*BL99*BM99*VLOOKUP('Données projet'!$B$11,Paramètres!$A$1:$I$89,3,0)*0.475*44/12</f>
        <v>#N/A</v>
      </c>
      <c r="BQ99" s="23" t="e">
        <f>EXP(-LN(2)/25)*BQ98+(1-EXP(-LN(2)/25))/(LN(2)/25)*Calculateur!BL99*Calculateur!BN99*VLOOKUP('Données projet'!$B$11,Paramètres!$A$1:$I$89,3,0)*0.475*44/12</f>
        <v>#N/A</v>
      </c>
      <c r="BR99" s="23" t="e">
        <f>EXP(-LN(2)/2)*BR98+(1-EXP(-LN(2)/2))/(LN(2)/2)*BL99*BO99*VLOOKUP('Données projet'!$B$11,Paramètres!$A$1:$I$89,3,0)*0.475*44/12</f>
        <v>#N/A</v>
      </c>
      <c r="BS99" s="24" t="e">
        <f t="shared" si="63"/>
        <v>#N/A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0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0</v>
      </c>
      <c r="H100" s="70">
        <f t="shared" si="56"/>
        <v>256.66666666666669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>
        <f>VLOOKUP(A100,'Données projet'!$A$35:$I$55,2,0)</f>
        <v>446.19</v>
      </c>
      <c r="L100" s="13">
        <f>VLOOKUP(A100,'Données projet'!$A$35:$I$55,9,0)</f>
        <v>10.035454545454543</v>
      </c>
      <c r="M100" s="13">
        <f t="array" ref="M100">INDEX(L:L,MIN(IF(ISNUMBER(L100:L296),ROW(L100:L296),"")))</f>
        <v>10.035454545454543</v>
      </c>
      <c r="N100" s="14">
        <f>IF('Données projet'!$A$36&gt;35,N99+M100-V99,IF(A100&lt;'Données projet'!$A$36,$K$205^A100,IF(A100='Données projet'!$A$36,'Données projet'!$B$36,N99+M100-V99)))</f>
        <v>446.19000000000005</v>
      </c>
      <c r="O100" s="14">
        <f>N100*VLOOKUP('Données projet'!$B$9,Paramètres!$A$1:$I$89,3,0)*VLOOKUP('Données projet'!$B$9,Paramètres!$A$1:$I$89,5,0)</f>
        <v>208.81692000000004</v>
      </c>
      <c r="P100" s="14">
        <f t="shared" si="87"/>
        <v>51.676968005916031</v>
      </c>
      <c r="Q100" s="22">
        <f t="shared" si="107"/>
        <v>453.69352161030378</v>
      </c>
      <c r="R100" s="62">
        <f t="shared" si="55"/>
        <v>747.02685494363709</v>
      </c>
      <c r="S100" s="62">
        <f ca="1">AVERAGE(OFFSET($R$3,0,0,'Données projet'!$E$9+1,1))-AVERAGE(OFFSET($H$3,0,0,'Données projet'!$E$9+1,1))</f>
        <v>302.58171900450355</v>
      </c>
      <c r="T100" s="62">
        <f t="shared" si="88"/>
        <v>164.1450425611464</v>
      </c>
      <c r="U100" s="16">
        <f>IF(ISNA(VLOOKUP(A100,'Données projet'!$A$35:$I$55,3,0)),0,VLOOKUP(A100,'Données projet'!$A$35:$I$55,3,0))</f>
        <v>12</v>
      </c>
      <c r="V100" s="16">
        <f>IF(ISNA(VLOOKUP(A100,'Données projet'!$A$35:$I$55,4,0)),0,VLOOKUP(A100,'Données projet'!$A$35:$I$55,4,0))</f>
        <v>89.6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0</v>
      </c>
      <c r="AA100" s="23">
        <f>EXP(-LN(2)/25)*AA99+(1-EXP(-LN(2)/25))/(LN(2)/25)*Calculateur!V100*Calculateur!X100*VLOOKUP('Données projet'!$B$9,Paramètres!$A$1:$I$89,3,0)*0.475*44/12</f>
        <v>0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0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3.6</v>
      </c>
      <c r="AI100" s="14">
        <f>IF('Données projet'!$A$62&gt;35,AI99+AH100-AQ99,IF(A100&lt;'Données projet'!$A$62,$AF$205^A100,IF(A100='Données projet'!$A$62,'Données projet'!$B$62,AI99+AH100-AQ99)))</f>
        <v>205.19999999999985</v>
      </c>
      <c r="AJ100" s="14">
        <f>AI100*VLOOKUP('Données projet'!$B$10,Paramètres!$A$1:$I$89,3,0)*VLOOKUP('Données projet'!$B$10,Paramètres!$A$1:$I$89,5,0)</f>
        <v>220.87727999999981</v>
      </c>
      <c r="AK100" s="14">
        <f t="shared" si="89"/>
        <v>54.305514008302801</v>
      </c>
      <c r="AL100" s="22">
        <f t="shared" si="58"/>
        <v>479.27669956446039</v>
      </c>
      <c r="AM100" s="62">
        <f t="shared" si="59"/>
        <v>772.61003289779364</v>
      </c>
      <c r="AN100" s="62">
        <f ca="1">AVERAGE(OFFSET($AM$3,0,0,'Données projet'!$E$10+1,1))-AVERAGE(OFFSET($H$3,0,0,'Données projet'!$E$10+1,1))</f>
        <v>327.4984716935208</v>
      </c>
      <c r="AO100" s="62">
        <f t="shared" si="90"/>
        <v>166.97658184507776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0</v>
      </c>
      <c r="AV100" s="23">
        <f>EXP(-LN(2)/25)*AV99+(1-EXP(-LN(2)/25))/(LN(2)/25)*Calculateur!AQ100*Calculateur!AS100*VLOOKUP('Données projet'!$B$10,Paramètres!$A$1:$I$89,3,0)*0.475*44/12</f>
        <v>0</v>
      </c>
      <c r="AW100" s="23">
        <f>EXP(-LN(2)/2)*AW99+(1-EXP(-LN(2)/2))/(LN(2)/2)*AQ100*AT100*VLOOKUP('Données projet'!$B$10,Paramètres!$A$1:$I$89,3,0)*0.475*44/12</f>
        <v>0</v>
      </c>
      <c r="AX100" s="23">
        <f t="shared" si="60"/>
        <v>0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0</v>
      </c>
      <c r="BE100" s="14" t="e">
        <f>BD100*VLOOKUP('Données projet'!$B$11,Paramètres!$A$1:$I$89,3,0)*VLOOKUP('Données projet'!$B$11,Paramètres!$A$1:$I$89,5,0)</f>
        <v>#N/A</v>
      </c>
      <c r="BF100" s="14" t="e">
        <f t="shared" si="91"/>
        <v>#N/A</v>
      </c>
      <c r="BG100" s="22" t="e">
        <f t="shared" si="61"/>
        <v>#N/A</v>
      </c>
      <c r="BH100" s="62" t="e">
        <f t="shared" si="62"/>
        <v>#N/A</v>
      </c>
      <c r="BI100" s="62" t="e">
        <f ca="1">AVERAGE(OFFSET($BH$3,0,0,'Données projet'!$E$11+1,1))-AVERAGE(OFFSET($H$3,0,0,'Données projet'!$E$11+1,1))</f>
        <v>#N/A</v>
      </c>
      <c r="BJ100" s="62" t="e">
        <f t="shared" si="92"/>
        <v>#N/A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 t="e">
        <f>EXP(-LN(2)/35)*BP99+(1-EXP(-LN(2)/35))/(LN(2)/35)*BL100*BM100*VLOOKUP('Données projet'!$B$11,Paramètres!$A$1:$I$89,3,0)*0.475*44/12</f>
        <v>#N/A</v>
      </c>
      <c r="BQ100" s="23" t="e">
        <f>EXP(-LN(2)/25)*BQ99+(1-EXP(-LN(2)/25))/(LN(2)/25)*Calculateur!BL100*Calculateur!BN100*VLOOKUP('Données projet'!$B$11,Paramètres!$A$1:$I$89,3,0)*0.475*44/12</f>
        <v>#N/A</v>
      </c>
      <c r="BR100" s="23" t="e">
        <f>EXP(-LN(2)/2)*BR99+(1-EXP(-LN(2)/2))/(LN(2)/2)*BL100*BO100*VLOOKUP('Données projet'!$B$11,Paramètres!$A$1:$I$89,3,0)*0.475*44/12</f>
        <v>#N/A</v>
      </c>
      <c r="BS100" s="24" t="e">
        <f t="shared" si="63"/>
        <v>#N/A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0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0</v>
      </c>
      <c r="H101" s="70">
        <f t="shared" si="56"/>
        <v>256.66666666666669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>
        <f>VLOOKUP(A101,'Données projet'!$A$35:$I$55,2,0)</f>
        <v>365.7</v>
      </c>
      <c r="L101" s="13">
        <f>VLOOKUP(A101,'Données projet'!$A$35:$I$55,9,0)</f>
        <v>9.1099999999999568</v>
      </c>
      <c r="M101" s="13">
        <f t="array" ref="M101">INDEX(L:L,MIN(IF(ISNUMBER(L101:L297),ROW(L101:L297),"")))</f>
        <v>9.1099999999999568</v>
      </c>
      <c r="N101" s="14">
        <f>IF('Données projet'!$A$36&gt;35,N100+M101-V100,IF(A101&lt;'Données projet'!$A$36,$K$205^A101,IF(A101='Données projet'!$A$36,'Données projet'!$B$36,N100+M101-V100)))</f>
        <v>365.70000000000005</v>
      </c>
      <c r="O101" s="14">
        <f>N101*VLOOKUP('Données projet'!$B$9,Paramètres!$A$1:$I$89,3,0)*VLOOKUP('Données projet'!$B$9,Paramètres!$A$1:$I$89,5,0)</f>
        <v>171.14760000000004</v>
      </c>
      <c r="P101" s="14">
        <f t="shared" si="87"/>
        <v>43.34694708166306</v>
      </c>
      <c r="Q101" s="22">
        <f t="shared" si="107"/>
        <v>373.57800283389651</v>
      </c>
      <c r="R101" s="62">
        <f t="shared" si="55"/>
        <v>666.91133616722982</v>
      </c>
      <c r="S101" s="62">
        <f ca="1">AVERAGE(OFFSET($R$3,0,0,'Données projet'!$E$9+1,1))-AVERAGE(OFFSET($H$3,0,0,'Données projet'!$E$9+1,1))</f>
        <v>302.58171900450355</v>
      </c>
      <c r="T101" s="62">
        <f t="shared" si="88"/>
        <v>164.1450425611464</v>
      </c>
      <c r="U101" s="16">
        <f>IF(ISNA(VLOOKUP(A101,'Données projet'!$A$35:$I$55,3,0)),0,VLOOKUP(A101,'Données projet'!$A$35:$I$55,3,0))</f>
        <v>13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0</v>
      </c>
      <c r="AA101" s="23">
        <f>EXP(-LN(2)/25)*AA100+(1-EXP(-LN(2)/25))/(LN(2)/25)*Calculateur!V101*Calculateur!X101*VLOOKUP('Données projet'!$B$9,Paramètres!$A$1:$I$89,3,0)*0.475*44/12</f>
        <v>0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0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3.6</v>
      </c>
      <c r="AI101" s="14">
        <f>IF('Données projet'!$A$62&gt;35,AI100+AH101-AQ100,IF(A101&lt;'Données projet'!$A$62,$AF$205^A101,IF(A101='Données projet'!$A$62,'Données projet'!$B$62,AI100+AH101-AQ100)))</f>
        <v>208.79999999999984</v>
      </c>
      <c r="AJ101" s="14">
        <f>AI101*VLOOKUP('Données projet'!$B$10,Paramètres!$A$1:$I$89,3,0)*VLOOKUP('Données projet'!$B$10,Paramètres!$A$1:$I$89,5,0)</f>
        <v>224.75231999999983</v>
      </c>
      <c r="AK101" s="14">
        <f t="shared" si="89"/>
        <v>55.146490754971083</v>
      </c>
      <c r="AL101" s="22">
        <f t="shared" si="58"/>
        <v>487.49042873157424</v>
      </c>
      <c r="AM101" s="62">
        <f t="shared" si="59"/>
        <v>780.82376206490756</v>
      </c>
      <c r="AN101" s="62">
        <f ca="1">AVERAGE(OFFSET($AM$3,0,0,'Données projet'!$E$10+1,1))-AVERAGE(OFFSET($H$3,0,0,'Données projet'!$E$10+1,1))</f>
        <v>327.4984716935208</v>
      </c>
      <c r="AO101" s="62">
        <f t="shared" si="90"/>
        <v>166.97658184507776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0</v>
      </c>
      <c r="AV101" s="23">
        <f>EXP(-LN(2)/25)*AV100+(1-EXP(-LN(2)/25))/(LN(2)/25)*Calculateur!AQ101*Calculateur!AS101*VLOOKUP('Données projet'!$B$10,Paramètres!$A$1:$I$89,3,0)*0.475*44/12</f>
        <v>0</v>
      </c>
      <c r="AW101" s="23">
        <f>EXP(-LN(2)/2)*AW100+(1-EXP(-LN(2)/2))/(LN(2)/2)*AQ101*AT101*VLOOKUP('Données projet'!$B$10,Paramètres!$A$1:$I$89,3,0)*0.475*44/12</f>
        <v>0</v>
      </c>
      <c r="AX101" s="23">
        <f t="shared" si="60"/>
        <v>0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0</v>
      </c>
      <c r="BE101" s="14" t="e">
        <f>BD101*VLOOKUP('Données projet'!$B$11,Paramètres!$A$1:$I$89,3,0)*VLOOKUP('Données projet'!$B$11,Paramètres!$A$1:$I$89,5,0)</f>
        <v>#N/A</v>
      </c>
      <c r="BF101" s="14" t="e">
        <f t="shared" si="91"/>
        <v>#N/A</v>
      </c>
      <c r="BG101" s="22" t="e">
        <f t="shared" si="61"/>
        <v>#N/A</v>
      </c>
      <c r="BH101" s="62" t="e">
        <f t="shared" si="62"/>
        <v>#N/A</v>
      </c>
      <c r="BI101" s="62" t="e">
        <f ca="1">AVERAGE(OFFSET($BH$3,0,0,'Données projet'!$E$11+1,1))-AVERAGE(OFFSET($H$3,0,0,'Données projet'!$E$11+1,1))</f>
        <v>#N/A</v>
      </c>
      <c r="BJ101" s="62" t="e">
        <f t="shared" si="92"/>
        <v>#N/A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 t="e">
        <f>EXP(-LN(2)/35)*BP100+(1-EXP(-LN(2)/35))/(LN(2)/35)*BL101*BM101*VLOOKUP('Données projet'!$B$11,Paramètres!$A$1:$I$89,3,0)*0.475*44/12</f>
        <v>#N/A</v>
      </c>
      <c r="BQ101" s="23" t="e">
        <f>EXP(-LN(2)/25)*BQ100+(1-EXP(-LN(2)/25))/(LN(2)/25)*Calculateur!BL101*Calculateur!BN101*VLOOKUP('Données projet'!$B$11,Paramètres!$A$1:$I$89,3,0)*0.475*44/12</f>
        <v>#N/A</v>
      </c>
      <c r="BR101" s="23" t="e">
        <f>EXP(-LN(2)/2)*BR100+(1-EXP(-LN(2)/2))/(LN(2)/2)*BL101*BO101*VLOOKUP('Données projet'!$B$11,Paramètres!$A$1:$I$89,3,0)*0.475*44/12</f>
        <v>#N/A</v>
      </c>
      <c r="BS101" s="24" t="e">
        <f t="shared" si="63"/>
        <v>#N/A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0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0</v>
      </c>
      <c r="H102" s="70">
        <f t="shared" si="56"/>
        <v>256.66666666666669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9.0300000000000011</v>
      </c>
      <c r="N102" s="14">
        <f>IF('Données projet'!$A$36&gt;35,N101+M102-V101,IF(A102&lt;'Données projet'!$A$36,$K$205^A102,IF(A102='Données projet'!$A$36,'Données projet'!$B$36,N101+M102-V101)))</f>
        <v>374.73</v>
      </c>
      <c r="O102" s="14">
        <f>N102*VLOOKUP('Données projet'!$B$9,Paramètres!$A$1:$I$89,3,0)*VLOOKUP('Données projet'!$B$9,Paramètres!$A$1:$I$89,5,0)</f>
        <v>175.37364000000002</v>
      </c>
      <c r="P102" s="14">
        <f t="shared" si="87"/>
        <v>44.291351717653299</v>
      </c>
      <c r="Q102" s="22">
        <f t="shared" si="107"/>
        <v>382.58319390824619</v>
      </c>
      <c r="R102" s="62">
        <f t="shared" si="55"/>
        <v>675.9165272415795</v>
      </c>
      <c r="S102" s="62">
        <f ca="1">AVERAGE(OFFSET($R$3,0,0,'Données projet'!$E$9+1,1))-AVERAGE(OFFSET($H$3,0,0,'Données projet'!$E$9+1,1))</f>
        <v>302.58171900450355</v>
      </c>
      <c r="T102" s="62">
        <f t="shared" si="88"/>
        <v>164.1450425611464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0</v>
      </c>
      <c r="AA102" s="23">
        <f>EXP(-LN(2)/25)*AA101+(1-EXP(-LN(2)/25))/(LN(2)/25)*Calculateur!V102*Calculateur!X102*VLOOKUP('Données projet'!$B$9,Paramètres!$A$1:$I$89,3,0)*0.475*44/12</f>
        <v>0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0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3.6</v>
      </c>
      <c r="AI102" s="14">
        <f>IF('Données projet'!$A$62&gt;35,AI101+AH102-AQ101,IF(A102&lt;'Données projet'!$A$62,$AF$205^A102,IF(A102='Données projet'!$A$62,'Données projet'!$B$62,AI101+AH102-AQ101)))</f>
        <v>212.39999999999984</v>
      </c>
      <c r="AJ102" s="14">
        <f>AI102*VLOOKUP('Données projet'!$B$10,Paramètres!$A$1:$I$89,3,0)*VLOOKUP('Données projet'!$B$10,Paramètres!$A$1:$I$89,5,0)</f>
        <v>228.62735999999981</v>
      </c>
      <c r="AK102" s="14">
        <f t="shared" si="89"/>
        <v>55.985781352428646</v>
      </c>
      <c r="AL102" s="22">
        <f t="shared" si="58"/>
        <v>495.70122118881278</v>
      </c>
      <c r="AM102" s="62">
        <f t="shared" si="59"/>
        <v>789.0345545221461</v>
      </c>
      <c r="AN102" s="62">
        <f ca="1">AVERAGE(OFFSET($AM$3,0,0,'Données projet'!$E$10+1,1))-AVERAGE(OFFSET($H$3,0,0,'Données projet'!$E$10+1,1))</f>
        <v>327.4984716935208</v>
      </c>
      <c r="AO102" s="62">
        <f t="shared" si="90"/>
        <v>166.97658184507776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0</v>
      </c>
      <c r="AV102" s="23">
        <f>EXP(-LN(2)/25)*AV101+(1-EXP(-LN(2)/25))/(LN(2)/25)*Calculateur!AQ102*Calculateur!AS102*VLOOKUP('Données projet'!$B$10,Paramètres!$A$1:$I$89,3,0)*0.475*44/12</f>
        <v>0</v>
      </c>
      <c r="AW102" s="23">
        <f>EXP(-LN(2)/2)*AW101+(1-EXP(-LN(2)/2))/(LN(2)/2)*AQ102*AT102*VLOOKUP('Données projet'!$B$10,Paramètres!$A$1:$I$89,3,0)*0.475*44/12</f>
        <v>0</v>
      </c>
      <c r="AX102" s="23">
        <f t="shared" si="60"/>
        <v>0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0</v>
      </c>
      <c r="BE102" s="14" t="e">
        <f>BD102*VLOOKUP('Données projet'!$B$11,Paramètres!$A$1:$I$89,3,0)*VLOOKUP('Données projet'!$B$11,Paramètres!$A$1:$I$89,5,0)</f>
        <v>#N/A</v>
      </c>
      <c r="BF102" s="14" t="e">
        <f t="shared" si="91"/>
        <v>#N/A</v>
      </c>
      <c r="BG102" s="22" t="e">
        <f t="shared" si="61"/>
        <v>#N/A</v>
      </c>
      <c r="BH102" s="62" t="e">
        <f t="shared" si="62"/>
        <v>#N/A</v>
      </c>
      <c r="BI102" s="62" t="e">
        <f ca="1">AVERAGE(OFFSET($BH$3,0,0,'Données projet'!$E$11+1,1))-AVERAGE(OFFSET($H$3,0,0,'Données projet'!$E$11+1,1))</f>
        <v>#N/A</v>
      </c>
      <c r="BJ102" s="62" t="e">
        <f t="shared" si="92"/>
        <v>#N/A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 t="e">
        <f>EXP(-LN(2)/35)*BP101+(1-EXP(-LN(2)/35))/(LN(2)/35)*BL102*BM102*VLOOKUP('Données projet'!$B$11,Paramètres!$A$1:$I$89,3,0)*0.475*44/12</f>
        <v>#N/A</v>
      </c>
      <c r="BQ102" s="23" t="e">
        <f>EXP(-LN(2)/25)*BQ101+(1-EXP(-LN(2)/25))/(LN(2)/25)*Calculateur!BL102*Calculateur!BN102*VLOOKUP('Données projet'!$B$11,Paramètres!$A$1:$I$89,3,0)*0.475*44/12</f>
        <v>#N/A</v>
      </c>
      <c r="BR102" s="23" t="e">
        <f>EXP(-LN(2)/2)*BR101+(1-EXP(-LN(2)/2))/(LN(2)/2)*BL102*BO102*VLOOKUP('Données projet'!$B$11,Paramètres!$A$1:$I$89,3,0)*0.475*44/12</f>
        <v>#N/A</v>
      </c>
      <c r="BS102" s="24" t="e">
        <f t="shared" si="63"/>
        <v>#N/A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0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0</v>
      </c>
      <c r="H103" s="70">
        <f t="shared" si="56"/>
        <v>256.66666666666669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9.0300000000000011</v>
      </c>
      <c r="N103" s="14">
        <f>IF('Données projet'!$A$36&gt;35,N102+M103-V102,IF(A103&lt;'Données projet'!$A$36,$K$205^A103,IF(A103='Données projet'!$A$36,'Données projet'!$B$36,N102+M103-V102)))</f>
        <v>383.76</v>
      </c>
      <c r="O103" s="14">
        <f>N103*VLOOKUP('Données projet'!$B$9,Paramètres!$A$1:$I$89,3,0)*VLOOKUP('Données projet'!$B$9,Paramètres!$A$1:$I$89,5,0)</f>
        <v>179.59967999999998</v>
      </c>
      <c r="P103" s="14">
        <f t="shared" si="87"/>
        <v>45.233110804333748</v>
      </c>
      <c r="Q103" s="22">
        <f t="shared" si="107"/>
        <v>391.58377731754786</v>
      </c>
      <c r="R103" s="62">
        <f t="shared" si="55"/>
        <v>684.91711065088111</v>
      </c>
      <c r="S103" s="62">
        <f ca="1">AVERAGE(OFFSET($R$3,0,0,'Données projet'!$E$9+1,1))-AVERAGE(OFFSET($H$3,0,0,'Données projet'!$E$9+1,1))</f>
        <v>302.58171900450355</v>
      </c>
      <c r="T103" s="62">
        <f t="shared" si="88"/>
        <v>164.1450425611464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0</v>
      </c>
      <c r="AA103" s="23">
        <f>EXP(-LN(2)/25)*AA102+(1-EXP(-LN(2)/25))/(LN(2)/25)*Calculateur!V103*Calculateur!X103*VLOOKUP('Données projet'!$B$9,Paramètres!$A$1:$I$89,3,0)*0.475*44/12</f>
        <v>0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0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>
        <f>VLOOKUP(A103,'Données projet'!$A$61:$I$81,2,0)</f>
        <v>216</v>
      </c>
      <c r="AG103" s="13">
        <f>VLOOKUP(A103,'Données projet'!$A$61:$I$81,9,0)</f>
        <v>3.6</v>
      </c>
      <c r="AH103" s="13">
        <f t="array" ref="AH103">INDEX(AG:AG,MIN(IF(ISNUMBER(AG103:AG299),ROW(AG103:AG299),"")))</f>
        <v>3.6</v>
      </c>
      <c r="AI103" s="14">
        <f>IF('Données projet'!$A$62&gt;35,AI102+AH103-AQ102,IF(A103&lt;'Données projet'!$A$62,$AF$205^A103,IF(A103='Données projet'!$A$62,'Données projet'!$B$62,AI102+AH103-AQ102)))</f>
        <v>215.99999999999983</v>
      </c>
      <c r="AJ103" s="14">
        <f>AI103*VLOOKUP('Données projet'!$B$10,Paramètres!$A$1:$I$89,3,0)*VLOOKUP('Données projet'!$B$10,Paramètres!$A$1:$I$89,5,0)</f>
        <v>232.50239999999982</v>
      </c>
      <c r="AK103" s="14">
        <f t="shared" si="89"/>
        <v>56.823417677671891</v>
      </c>
      <c r="AL103" s="22">
        <f t="shared" si="58"/>
        <v>503.90913245527821</v>
      </c>
      <c r="AM103" s="62">
        <f t="shared" si="59"/>
        <v>797.24246578861153</v>
      </c>
      <c r="AN103" s="62">
        <f ca="1">AVERAGE(OFFSET($AM$3,0,0,'Données projet'!$E$10+1,1))-AVERAGE(OFFSET($H$3,0,0,'Données projet'!$E$10+1,1))</f>
        <v>327.4984716935208</v>
      </c>
      <c r="AO103" s="62">
        <f t="shared" si="90"/>
        <v>166.97658184507776</v>
      </c>
      <c r="AP103" s="16">
        <f>IF(ISNA(VLOOKUP(A103,'Données projet'!$A$61:$I$81,3,0)),0,VLOOKUP(A103,'Données projet'!$A$61:$I$81,3,0))</f>
        <v>16</v>
      </c>
      <c r="AQ103" s="16">
        <f>IF(ISNA(VLOOKUP(A103,'Données projet'!$A$61:$I$81,4,0)),0,VLOOKUP(A103,'Données projet'!$A$61:$I$81,4,0))</f>
        <v>13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0</v>
      </c>
      <c r="AV103" s="23">
        <f>EXP(-LN(2)/25)*AV102+(1-EXP(-LN(2)/25))/(LN(2)/25)*Calculateur!AQ103*Calculateur!AS103*VLOOKUP('Données projet'!$B$10,Paramètres!$A$1:$I$89,3,0)*0.475*44/12</f>
        <v>0</v>
      </c>
      <c r="AW103" s="23">
        <f>EXP(-LN(2)/2)*AW102+(1-EXP(-LN(2)/2))/(LN(2)/2)*AQ103*AT103*VLOOKUP('Données projet'!$B$10,Paramètres!$A$1:$I$89,3,0)*0.475*44/12</f>
        <v>0</v>
      </c>
      <c r="AX103" s="23">
        <f t="shared" si="60"/>
        <v>0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0</v>
      </c>
      <c r="BE103" s="14" t="e">
        <f>BD103*VLOOKUP('Données projet'!$B$11,Paramètres!$A$1:$I$89,3,0)*VLOOKUP('Données projet'!$B$11,Paramètres!$A$1:$I$89,5,0)</f>
        <v>#N/A</v>
      </c>
      <c r="BF103" s="14" t="e">
        <f t="shared" si="91"/>
        <v>#N/A</v>
      </c>
      <c r="BG103" s="22" t="e">
        <f t="shared" si="61"/>
        <v>#N/A</v>
      </c>
      <c r="BH103" s="62" t="e">
        <f t="shared" si="62"/>
        <v>#N/A</v>
      </c>
      <c r="BI103" s="62" t="e">
        <f ca="1">AVERAGE(OFFSET($BH$3,0,0,'Données projet'!$E$11+1,1))-AVERAGE(OFFSET($H$3,0,0,'Données projet'!$E$11+1,1))</f>
        <v>#N/A</v>
      </c>
      <c r="BJ103" s="62" t="e">
        <f t="shared" si="92"/>
        <v>#N/A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 t="e">
        <f>EXP(-LN(2)/35)*BP102+(1-EXP(-LN(2)/35))/(LN(2)/35)*BL103*BM103*VLOOKUP('Données projet'!$B$11,Paramètres!$A$1:$I$89,3,0)*0.475*44/12</f>
        <v>#N/A</v>
      </c>
      <c r="BQ103" s="23" t="e">
        <f>EXP(-LN(2)/25)*BQ102+(1-EXP(-LN(2)/25))/(LN(2)/25)*Calculateur!BL103*Calculateur!BN103*VLOOKUP('Données projet'!$B$11,Paramètres!$A$1:$I$89,3,0)*0.475*44/12</f>
        <v>#N/A</v>
      </c>
      <c r="BR103" s="23" t="e">
        <f>EXP(-LN(2)/2)*BR102+(1-EXP(-LN(2)/2))/(LN(2)/2)*BL103*BO103*VLOOKUP('Données projet'!$B$11,Paramètres!$A$1:$I$89,3,0)*0.475*44/12</f>
        <v>#N/A</v>
      </c>
      <c r="BS103" s="24" t="e">
        <f t="shared" si="63"/>
        <v>#N/A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0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0</v>
      </c>
      <c r="H104" s="70">
        <f t="shared" si="56"/>
        <v>256.66666666666669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9.0300000000000011</v>
      </c>
      <c r="N104" s="14">
        <f>IF('Données projet'!$A$36&gt;35,N103+M104-V103,IF(A104&lt;'Données projet'!$A$36,$K$205^A104,IF(A104='Données projet'!$A$36,'Données projet'!$B$36,N103+M104-V103)))</f>
        <v>392.78999999999996</v>
      </c>
      <c r="O104" s="14">
        <f>N104*VLOOKUP('Données projet'!$B$9,Paramètres!$A$1:$I$89,3,0)*VLOOKUP('Données projet'!$B$9,Paramètres!$A$1:$I$89,5,0)</f>
        <v>183.82571999999999</v>
      </c>
      <c r="P104" s="14">
        <f t="shared" si="87"/>
        <v>46.172293756195444</v>
      </c>
      <c r="Q104" s="22">
        <f t="shared" si="107"/>
        <v>400.57987395870708</v>
      </c>
      <c r="R104" s="62">
        <f t="shared" si="55"/>
        <v>693.9132072920404</v>
      </c>
      <c r="S104" s="62">
        <f ca="1">AVERAGE(OFFSET($R$3,0,0,'Données projet'!$E$9+1,1))-AVERAGE(OFFSET($H$3,0,0,'Données projet'!$E$9+1,1))</f>
        <v>302.58171900450355</v>
      </c>
      <c r="T104" s="62">
        <f t="shared" si="88"/>
        <v>164.1450425611464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0</v>
      </c>
      <c r="AA104" s="23">
        <f>EXP(-LN(2)/25)*AA103+(1-EXP(-LN(2)/25))/(LN(2)/25)*Calculateur!V104*Calculateur!X104*VLOOKUP('Données projet'!$B$9,Paramètres!$A$1:$I$89,3,0)*0.475*44/12</f>
        <v>0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0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3.4</v>
      </c>
      <c r="AI104" s="14">
        <f>IF('Données projet'!$A$62&gt;35,AI103+AH104-AQ103,IF(A104&lt;'Données projet'!$A$62,$AF$205^A104,IF(A104='Données projet'!$A$62,'Données projet'!$B$62,AI103+AH104-AQ103)))</f>
        <v>206.39999999999984</v>
      </c>
      <c r="AJ104" s="14">
        <f>AI104*VLOOKUP('Données projet'!$B$10,Paramètres!$A$1:$I$89,3,0)*VLOOKUP('Données projet'!$B$10,Paramètres!$A$1:$I$89,5,0)</f>
        <v>222.16895999999983</v>
      </c>
      <c r="AK104" s="14">
        <f t="shared" si="89"/>
        <v>54.586028956213639</v>
      </c>
      <c r="AL104" s="22">
        <f t="shared" si="58"/>
        <v>482.01493909873852</v>
      </c>
      <c r="AM104" s="62">
        <f t="shared" si="59"/>
        <v>775.34827243207178</v>
      </c>
      <c r="AN104" s="62">
        <f ca="1">AVERAGE(OFFSET($AM$3,0,0,'Données projet'!$E$10+1,1))-AVERAGE(OFFSET($H$3,0,0,'Données projet'!$E$10+1,1))</f>
        <v>327.4984716935208</v>
      </c>
      <c r="AO104" s="62">
        <f t="shared" si="90"/>
        <v>166.97658184507776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0</v>
      </c>
      <c r="AV104" s="23">
        <f>EXP(-LN(2)/25)*AV103+(1-EXP(-LN(2)/25))/(LN(2)/25)*Calculateur!AQ104*Calculateur!AS104*VLOOKUP('Données projet'!$B$10,Paramètres!$A$1:$I$89,3,0)*0.475*44/12</f>
        <v>0</v>
      </c>
      <c r="AW104" s="23">
        <f>EXP(-LN(2)/2)*AW103+(1-EXP(-LN(2)/2))/(LN(2)/2)*AQ104*AT104*VLOOKUP('Données projet'!$B$10,Paramètres!$A$1:$I$89,3,0)*0.475*44/12</f>
        <v>0</v>
      </c>
      <c r="AX104" s="23">
        <f t="shared" si="60"/>
        <v>0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0</v>
      </c>
      <c r="BE104" s="14" t="e">
        <f>BD104*VLOOKUP('Données projet'!$B$11,Paramètres!$A$1:$I$89,3,0)*VLOOKUP('Données projet'!$B$11,Paramètres!$A$1:$I$89,5,0)</f>
        <v>#N/A</v>
      </c>
      <c r="BF104" s="14" t="e">
        <f t="shared" si="91"/>
        <v>#N/A</v>
      </c>
      <c r="BG104" s="22" t="e">
        <f t="shared" si="61"/>
        <v>#N/A</v>
      </c>
      <c r="BH104" s="62" t="e">
        <f t="shared" si="62"/>
        <v>#N/A</v>
      </c>
      <c r="BI104" s="62" t="e">
        <f ca="1">AVERAGE(OFFSET($BH$3,0,0,'Données projet'!$E$11+1,1))-AVERAGE(OFFSET($H$3,0,0,'Données projet'!$E$11+1,1))</f>
        <v>#N/A</v>
      </c>
      <c r="BJ104" s="62" t="e">
        <f t="shared" si="92"/>
        <v>#N/A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 t="e">
        <f>EXP(-LN(2)/35)*BP103+(1-EXP(-LN(2)/35))/(LN(2)/35)*BL104*BM104*VLOOKUP('Données projet'!$B$11,Paramètres!$A$1:$I$89,3,0)*0.475*44/12</f>
        <v>#N/A</v>
      </c>
      <c r="BQ104" s="23" t="e">
        <f>EXP(-LN(2)/25)*BQ103+(1-EXP(-LN(2)/25))/(LN(2)/25)*Calculateur!BL104*Calculateur!BN104*VLOOKUP('Données projet'!$B$11,Paramètres!$A$1:$I$89,3,0)*0.475*44/12</f>
        <v>#N/A</v>
      </c>
      <c r="BR104" s="23" t="e">
        <f>EXP(-LN(2)/2)*BR103+(1-EXP(-LN(2)/2))/(LN(2)/2)*BL104*BO104*VLOOKUP('Données projet'!$B$11,Paramètres!$A$1:$I$89,3,0)*0.475*44/12</f>
        <v>#N/A</v>
      </c>
      <c r="BS104" s="24" t="e">
        <f t="shared" si="63"/>
        <v>#N/A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0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0</v>
      </c>
      <c r="H105" s="70">
        <f t="shared" si="56"/>
        <v>256.66666666666669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9.0300000000000011</v>
      </c>
      <c r="N105" s="14">
        <f>IF('Données projet'!$A$36&gt;35,N104+M105-V104,IF(A105&lt;'Données projet'!$A$36,$K$205^A105,IF(A105='Données projet'!$A$36,'Données projet'!$B$36,N104+M105-V104)))</f>
        <v>401.81999999999994</v>
      </c>
      <c r="O105" s="14">
        <f>N105*VLOOKUP('Données projet'!$B$9,Paramètres!$A$1:$I$89,3,0)*VLOOKUP('Données projet'!$B$9,Paramètres!$A$1:$I$89,5,0)</f>
        <v>188.05175999999997</v>
      </c>
      <c r="P105" s="14">
        <f t="shared" si="87"/>
        <v>47.10896661400681</v>
      </c>
      <c r="Q105" s="22">
        <f t="shared" si="107"/>
        <v>409.57159885272853</v>
      </c>
      <c r="R105" s="62">
        <f t="shared" si="55"/>
        <v>702.90493218606184</v>
      </c>
      <c r="S105" s="62">
        <f ca="1">AVERAGE(OFFSET($R$3,0,0,'Données projet'!$E$9+1,1))-AVERAGE(OFFSET($H$3,0,0,'Données projet'!$E$9+1,1))</f>
        <v>302.58171900450355</v>
      </c>
      <c r="T105" s="62">
        <f t="shared" si="88"/>
        <v>164.1450425611464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0</v>
      </c>
      <c r="AA105" s="23">
        <f>EXP(-LN(2)/25)*AA104+(1-EXP(-LN(2)/25))/(LN(2)/25)*Calculateur!V105*Calculateur!X105*VLOOKUP('Données projet'!$B$9,Paramètres!$A$1:$I$89,3,0)*0.475*44/12</f>
        <v>0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0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3.4</v>
      </c>
      <c r="AI105" s="14">
        <f>IF('Données projet'!$A$62&gt;35,AI104+AH105-AQ104,IF(A105&lt;'Données projet'!$A$62,$AF$205^A105,IF(A105='Données projet'!$A$62,'Données projet'!$B$62,AI104+AH105-AQ104)))</f>
        <v>209.79999999999984</v>
      </c>
      <c r="AJ105" s="14">
        <f>AI105*VLOOKUP('Données projet'!$B$10,Paramètres!$A$1:$I$89,3,0)*VLOOKUP('Données projet'!$B$10,Paramètres!$A$1:$I$89,5,0)</f>
        <v>225.82871999999983</v>
      </c>
      <c r="AK105" s="14">
        <f t="shared" si="89"/>
        <v>55.379794784199902</v>
      </c>
      <c r="AL105" s="22">
        <f t="shared" si="58"/>
        <v>489.77149658248118</v>
      </c>
      <c r="AM105" s="62">
        <f t="shared" si="59"/>
        <v>783.10482991581443</v>
      </c>
      <c r="AN105" s="62">
        <f ca="1">AVERAGE(OFFSET($AM$3,0,0,'Données projet'!$E$10+1,1))-AVERAGE(OFFSET($H$3,0,0,'Données projet'!$E$10+1,1))</f>
        <v>327.4984716935208</v>
      </c>
      <c r="AO105" s="62">
        <f t="shared" si="90"/>
        <v>166.97658184507776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0</v>
      </c>
      <c r="AV105" s="23">
        <f>EXP(-LN(2)/25)*AV104+(1-EXP(-LN(2)/25))/(LN(2)/25)*Calculateur!AQ105*Calculateur!AS105*VLOOKUP('Données projet'!$B$10,Paramètres!$A$1:$I$89,3,0)*0.475*44/12</f>
        <v>0</v>
      </c>
      <c r="AW105" s="23">
        <f>EXP(-LN(2)/2)*AW104+(1-EXP(-LN(2)/2))/(LN(2)/2)*AQ105*AT105*VLOOKUP('Données projet'!$B$10,Paramètres!$A$1:$I$89,3,0)*0.475*44/12</f>
        <v>0</v>
      </c>
      <c r="AX105" s="23">
        <f t="shared" si="60"/>
        <v>0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0</v>
      </c>
      <c r="BE105" s="14" t="e">
        <f>BD105*VLOOKUP('Données projet'!$B$11,Paramètres!$A$1:$I$89,3,0)*VLOOKUP('Données projet'!$B$11,Paramètres!$A$1:$I$89,5,0)</f>
        <v>#N/A</v>
      </c>
      <c r="BF105" s="14" t="e">
        <f t="shared" si="91"/>
        <v>#N/A</v>
      </c>
      <c r="BG105" s="22" t="e">
        <f t="shared" si="61"/>
        <v>#N/A</v>
      </c>
      <c r="BH105" s="62" t="e">
        <f t="shared" si="62"/>
        <v>#N/A</v>
      </c>
      <c r="BI105" s="62" t="e">
        <f ca="1">AVERAGE(OFFSET($BH$3,0,0,'Données projet'!$E$11+1,1))-AVERAGE(OFFSET($H$3,0,0,'Données projet'!$E$11+1,1))</f>
        <v>#N/A</v>
      </c>
      <c r="BJ105" s="62" t="e">
        <f t="shared" si="92"/>
        <v>#N/A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 t="e">
        <f>EXP(-LN(2)/35)*BP104+(1-EXP(-LN(2)/35))/(LN(2)/35)*BL105*BM105*VLOOKUP('Données projet'!$B$11,Paramètres!$A$1:$I$89,3,0)*0.475*44/12</f>
        <v>#N/A</v>
      </c>
      <c r="BQ105" s="23" t="e">
        <f>EXP(-LN(2)/25)*BQ104+(1-EXP(-LN(2)/25))/(LN(2)/25)*Calculateur!BL105*Calculateur!BN105*VLOOKUP('Données projet'!$B$11,Paramètres!$A$1:$I$89,3,0)*0.475*44/12</f>
        <v>#N/A</v>
      </c>
      <c r="BR105" s="23" t="e">
        <f>EXP(-LN(2)/2)*BR104+(1-EXP(-LN(2)/2))/(LN(2)/2)*BL105*BO105*VLOOKUP('Données projet'!$B$11,Paramètres!$A$1:$I$89,3,0)*0.475*44/12</f>
        <v>#N/A</v>
      </c>
      <c r="BS105" s="24" t="e">
        <f t="shared" si="63"/>
        <v>#N/A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0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0</v>
      </c>
      <c r="H106" s="70">
        <f t="shared" si="56"/>
        <v>256.66666666666669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9.0300000000000011</v>
      </c>
      <c r="N106" s="14">
        <f>IF('Données projet'!$A$36&gt;35,N105+M106-V105,IF(A106&lt;'Données projet'!$A$36,$K$205^A106,IF(A106='Données projet'!$A$36,'Données projet'!$B$36,N105+M106-V105)))</f>
        <v>410.84999999999991</v>
      </c>
      <c r="O106" s="14">
        <f>N106*VLOOKUP('Données projet'!$B$9,Paramètres!$A$1:$I$89,3,0)*VLOOKUP('Données projet'!$B$9,Paramètres!$A$1:$I$89,5,0)</f>
        <v>192.27779999999993</v>
      </c>
      <c r="P106" s="14">
        <f t="shared" si="87"/>
        <v>48.043192280860275</v>
      </c>
      <c r="Q106" s="22">
        <f t="shared" si="107"/>
        <v>418.55906155583148</v>
      </c>
      <c r="R106" s="62">
        <f t="shared" si="55"/>
        <v>711.89239488916473</v>
      </c>
      <c r="S106" s="62">
        <f ca="1">AVERAGE(OFFSET($R$3,0,0,'Données projet'!$E$9+1,1))-AVERAGE(OFFSET($H$3,0,0,'Données projet'!$E$9+1,1))</f>
        <v>302.58171900450355</v>
      </c>
      <c r="T106" s="62">
        <f t="shared" si="88"/>
        <v>164.1450425611464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0</v>
      </c>
      <c r="AA106" s="23">
        <f>EXP(-LN(2)/25)*AA105+(1-EXP(-LN(2)/25))/(LN(2)/25)*Calculateur!V106*Calculateur!X106*VLOOKUP('Données projet'!$B$9,Paramètres!$A$1:$I$89,3,0)*0.475*44/12</f>
        <v>0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0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3.4</v>
      </c>
      <c r="AI106" s="14">
        <f>IF('Données projet'!$A$62&gt;35,AI105+AH106-AQ105,IF(A106&lt;'Données projet'!$A$62,$AF$205^A106,IF(A106='Données projet'!$A$62,'Données projet'!$B$62,AI105+AH106-AQ105)))</f>
        <v>213.19999999999985</v>
      </c>
      <c r="AJ106" s="14">
        <f>AI106*VLOOKUP('Données projet'!$B$10,Paramètres!$A$1:$I$89,3,0)*VLOOKUP('Données projet'!$B$10,Paramètres!$A$1:$I$89,5,0)</f>
        <v>229.48847999999984</v>
      </c>
      <c r="AK106" s="14">
        <f t="shared" si="89"/>
        <v>56.17206461989462</v>
      </c>
      <c r="AL106" s="22">
        <f t="shared" si="58"/>
        <v>497.52544854631611</v>
      </c>
      <c r="AM106" s="62">
        <f t="shared" si="59"/>
        <v>790.85878187964943</v>
      </c>
      <c r="AN106" s="62">
        <f ca="1">AVERAGE(OFFSET($AM$3,0,0,'Données projet'!$E$10+1,1))-AVERAGE(OFFSET($H$3,0,0,'Données projet'!$E$10+1,1))</f>
        <v>327.4984716935208</v>
      </c>
      <c r="AO106" s="62">
        <f t="shared" si="90"/>
        <v>166.97658184507776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0</v>
      </c>
      <c r="AV106" s="23">
        <f>EXP(-LN(2)/25)*AV105+(1-EXP(-LN(2)/25))/(LN(2)/25)*Calculateur!AQ106*Calculateur!AS106*VLOOKUP('Données projet'!$B$10,Paramètres!$A$1:$I$89,3,0)*0.475*44/12</f>
        <v>0</v>
      </c>
      <c r="AW106" s="23">
        <f>EXP(-LN(2)/2)*AW105+(1-EXP(-LN(2)/2))/(LN(2)/2)*AQ106*AT106*VLOOKUP('Données projet'!$B$10,Paramètres!$A$1:$I$89,3,0)*0.475*44/12</f>
        <v>0</v>
      </c>
      <c r="AX106" s="23">
        <f t="shared" si="60"/>
        <v>0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0</v>
      </c>
      <c r="BE106" s="14" t="e">
        <f>BD106*VLOOKUP('Données projet'!$B$11,Paramètres!$A$1:$I$89,3,0)*VLOOKUP('Données projet'!$B$11,Paramètres!$A$1:$I$89,5,0)</f>
        <v>#N/A</v>
      </c>
      <c r="BF106" s="14" t="e">
        <f t="shared" si="91"/>
        <v>#N/A</v>
      </c>
      <c r="BG106" s="22" t="e">
        <f t="shared" si="61"/>
        <v>#N/A</v>
      </c>
      <c r="BH106" s="62" t="e">
        <f t="shared" si="62"/>
        <v>#N/A</v>
      </c>
      <c r="BI106" s="62" t="e">
        <f ca="1">AVERAGE(OFFSET($BH$3,0,0,'Données projet'!$E$11+1,1))-AVERAGE(OFFSET($H$3,0,0,'Données projet'!$E$11+1,1))</f>
        <v>#N/A</v>
      </c>
      <c r="BJ106" s="62" t="e">
        <f t="shared" si="92"/>
        <v>#N/A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 t="e">
        <f>EXP(-LN(2)/35)*BP105+(1-EXP(-LN(2)/35))/(LN(2)/35)*BL106*BM106*VLOOKUP('Données projet'!$B$11,Paramètres!$A$1:$I$89,3,0)*0.475*44/12</f>
        <v>#N/A</v>
      </c>
      <c r="BQ106" s="23" t="e">
        <f>EXP(-LN(2)/25)*BQ105+(1-EXP(-LN(2)/25))/(LN(2)/25)*Calculateur!BL106*Calculateur!BN106*VLOOKUP('Données projet'!$B$11,Paramètres!$A$1:$I$89,3,0)*0.475*44/12</f>
        <v>#N/A</v>
      </c>
      <c r="BR106" s="23" t="e">
        <f>EXP(-LN(2)/2)*BR105+(1-EXP(-LN(2)/2))/(LN(2)/2)*BL106*BO106*VLOOKUP('Données projet'!$B$11,Paramètres!$A$1:$I$89,3,0)*0.475*44/12</f>
        <v>#N/A</v>
      </c>
      <c r="BS106" s="24" t="e">
        <f t="shared" si="63"/>
        <v>#N/A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0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0</v>
      </c>
      <c r="H107" s="70">
        <f t="shared" si="56"/>
        <v>256.66666666666669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9.0300000000000011</v>
      </c>
      <c r="N107" s="14">
        <f>IF('Données projet'!$A$36&gt;35,N106+M107-V106,IF(A107&lt;'Données projet'!$A$36,$K$205^A107,IF(A107='Données projet'!$A$36,'Données projet'!$B$36,N106+M107-V106)))</f>
        <v>419.87999999999988</v>
      </c>
      <c r="O107" s="14">
        <f>N107*VLOOKUP('Données projet'!$B$9,Paramètres!$A$1:$I$89,3,0)*VLOOKUP('Données projet'!$B$9,Paramètres!$A$1:$I$89,5,0)</f>
        <v>196.50383999999994</v>
      </c>
      <c r="P107" s="14">
        <f t="shared" si="87"/>
        <v>48.975030736881259</v>
      </c>
      <c r="Q107" s="22">
        <f t="shared" si="107"/>
        <v>427.54236653340143</v>
      </c>
      <c r="R107" s="62">
        <f t="shared" si="55"/>
        <v>720.87569986673475</v>
      </c>
      <c r="S107" s="62">
        <f ca="1">AVERAGE(OFFSET($R$3,0,0,'Données projet'!$E$9+1,1))-AVERAGE(OFFSET($H$3,0,0,'Données projet'!$E$9+1,1))</f>
        <v>302.58171900450355</v>
      </c>
      <c r="T107" s="62">
        <f t="shared" si="88"/>
        <v>164.1450425611464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0</v>
      </c>
      <c r="AA107" s="23">
        <f>EXP(-LN(2)/25)*AA106+(1-EXP(-LN(2)/25))/(LN(2)/25)*Calculateur!V107*Calculateur!X107*VLOOKUP('Données projet'!$B$9,Paramètres!$A$1:$I$89,3,0)*0.475*44/12</f>
        <v>0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0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3.4</v>
      </c>
      <c r="AI107" s="14">
        <f>IF('Données projet'!$A$62&gt;35,AI106+AH107-AQ106,IF(A107&lt;'Données projet'!$A$62,$AF$205^A107,IF(A107='Données projet'!$A$62,'Données projet'!$B$62,AI106+AH107-AQ106)))</f>
        <v>216.59999999999985</v>
      </c>
      <c r="AJ107" s="14">
        <f>AI107*VLOOKUP('Données projet'!$B$10,Paramètres!$A$1:$I$89,3,0)*VLOOKUP('Données projet'!$B$10,Paramètres!$A$1:$I$89,5,0)</f>
        <v>233.14823999999984</v>
      </c>
      <c r="AK107" s="14">
        <f t="shared" si="89"/>
        <v>56.962865075141238</v>
      </c>
      <c r="AL107" s="22">
        <f t="shared" si="58"/>
        <v>505.27684133920411</v>
      </c>
      <c r="AM107" s="62">
        <f t="shared" si="59"/>
        <v>798.61017467253737</v>
      </c>
      <c r="AN107" s="62">
        <f ca="1">AVERAGE(OFFSET($AM$3,0,0,'Données projet'!$E$10+1,1))-AVERAGE(OFFSET($H$3,0,0,'Données projet'!$E$10+1,1))</f>
        <v>327.4984716935208</v>
      </c>
      <c r="AO107" s="62">
        <f t="shared" si="90"/>
        <v>166.97658184507776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0</v>
      </c>
      <c r="AV107" s="23">
        <f>EXP(-LN(2)/25)*AV106+(1-EXP(-LN(2)/25))/(LN(2)/25)*Calculateur!AQ107*Calculateur!AS107*VLOOKUP('Données projet'!$B$10,Paramètres!$A$1:$I$89,3,0)*0.475*44/12</f>
        <v>0</v>
      </c>
      <c r="AW107" s="23">
        <f>EXP(-LN(2)/2)*AW106+(1-EXP(-LN(2)/2))/(LN(2)/2)*AQ107*AT107*VLOOKUP('Données projet'!$B$10,Paramètres!$A$1:$I$89,3,0)*0.475*44/12</f>
        <v>0</v>
      </c>
      <c r="AX107" s="23">
        <f t="shared" si="60"/>
        <v>0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0</v>
      </c>
      <c r="BE107" s="14" t="e">
        <f>BD107*VLOOKUP('Données projet'!$B$11,Paramètres!$A$1:$I$89,3,0)*VLOOKUP('Données projet'!$B$11,Paramètres!$A$1:$I$89,5,0)</f>
        <v>#N/A</v>
      </c>
      <c r="BF107" s="14" t="e">
        <f t="shared" si="91"/>
        <v>#N/A</v>
      </c>
      <c r="BG107" s="22" t="e">
        <f t="shared" si="61"/>
        <v>#N/A</v>
      </c>
      <c r="BH107" s="62" t="e">
        <f t="shared" si="62"/>
        <v>#N/A</v>
      </c>
      <c r="BI107" s="62" t="e">
        <f ca="1">AVERAGE(OFFSET($BH$3,0,0,'Données projet'!$E$11+1,1))-AVERAGE(OFFSET($H$3,0,0,'Données projet'!$E$11+1,1))</f>
        <v>#N/A</v>
      </c>
      <c r="BJ107" s="62" t="e">
        <f t="shared" si="92"/>
        <v>#N/A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 t="e">
        <f>EXP(-LN(2)/35)*BP106+(1-EXP(-LN(2)/35))/(LN(2)/35)*BL107*BM107*VLOOKUP('Données projet'!$B$11,Paramètres!$A$1:$I$89,3,0)*0.475*44/12</f>
        <v>#N/A</v>
      </c>
      <c r="BQ107" s="23" t="e">
        <f>EXP(-LN(2)/25)*BQ106+(1-EXP(-LN(2)/25))/(LN(2)/25)*Calculateur!BL107*Calculateur!BN107*VLOOKUP('Données projet'!$B$11,Paramètres!$A$1:$I$89,3,0)*0.475*44/12</f>
        <v>#N/A</v>
      </c>
      <c r="BR107" s="23" t="e">
        <f>EXP(-LN(2)/2)*BR106+(1-EXP(-LN(2)/2))/(LN(2)/2)*BL107*BO107*VLOOKUP('Données projet'!$B$11,Paramètres!$A$1:$I$89,3,0)*0.475*44/12</f>
        <v>#N/A</v>
      </c>
      <c r="BS107" s="24" t="e">
        <f t="shared" si="63"/>
        <v>#N/A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0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0</v>
      </c>
      <c r="H108" s="70">
        <f t="shared" si="56"/>
        <v>256.66666666666669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9.0300000000000011</v>
      </c>
      <c r="N108" s="14">
        <f>IF('Données projet'!$A$36&gt;35,N107+M108-V107,IF(A108&lt;'Données projet'!$A$36,$K$205^A108,IF(A108='Données projet'!$A$36,'Données projet'!$B$36,N107+M108-V107)))</f>
        <v>428.90999999999985</v>
      </c>
      <c r="O108" s="14">
        <f>N108*VLOOKUP('Données projet'!$B$9,Paramètres!$A$1:$I$89,3,0)*VLOOKUP('Données projet'!$B$9,Paramètres!$A$1:$I$89,5,0)</f>
        <v>200.72987999999992</v>
      </c>
      <c r="P108" s="14">
        <f t="shared" si="87"/>
        <v>49.904539234946299</v>
      </c>
      <c r="Q108" s="22">
        <f t="shared" si="107"/>
        <v>436.5216135008647</v>
      </c>
      <c r="R108" s="62">
        <f t="shared" si="55"/>
        <v>729.85494683419802</v>
      </c>
      <c r="S108" s="62">
        <f ca="1">AVERAGE(OFFSET($R$3,0,0,'Données projet'!$E$9+1,1))-AVERAGE(OFFSET($H$3,0,0,'Données projet'!$E$9+1,1))</f>
        <v>302.58171900450355</v>
      </c>
      <c r="T108" s="62">
        <f t="shared" si="88"/>
        <v>164.1450425611464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0</v>
      </c>
      <c r="AA108" s="23">
        <f>EXP(-LN(2)/25)*AA107+(1-EXP(-LN(2)/25))/(LN(2)/25)*Calculateur!V108*Calculateur!X108*VLOOKUP('Données projet'!$B$9,Paramètres!$A$1:$I$89,3,0)*0.475*44/12</f>
        <v>0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0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>
        <f>VLOOKUP(A108,'Données projet'!$A$61:$I$81,2,0)</f>
        <v>220</v>
      </c>
      <c r="AG108" s="13">
        <f>VLOOKUP(A108,'Données projet'!$A$61:$I$81,9,0)</f>
        <v>3.4</v>
      </c>
      <c r="AH108" s="13">
        <f t="array" ref="AH108">INDEX(AG:AG,MIN(IF(ISNUMBER(AG108:AG304),ROW(AG108:AG304),"")))</f>
        <v>3.4</v>
      </c>
      <c r="AI108" s="14">
        <f>IF('Données projet'!$A$62&gt;35,AI107+AH108-AQ107,IF(A108&lt;'Données projet'!$A$62,$AF$205^A108,IF(A108='Données projet'!$A$62,'Données projet'!$B$62,AI107+AH108-AQ107)))</f>
        <v>219.99999999999986</v>
      </c>
      <c r="AJ108" s="14">
        <f>AI108*VLOOKUP('Données projet'!$B$10,Paramètres!$A$1:$I$89,3,0)*VLOOKUP('Données projet'!$B$10,Paramètres!$A$1:$I$89,5,0)</f>
        <v>236.80799999999985</v>
      </c>
      <c r="AK108" s="14">
        <f t="shared" si="89"/>
        <v>57.752221878398714</v>
      </c>
      <c r="AL108" s="22">
        <f t="shared" si="58"/>
        <v>513.02571977154423</v>
      </c>
      <c r="AM108" s="62">
        <f t="shared" si="59"/>
        <v>806.3590531048776</v>
      </c>
      <c r="AN108" s="62">
        <f ca="1">AVERAGE(OFFSET($AM$3,0,0,'Données projet'!$E$10+1,1))-AVERAGE(OFFSET($H$3,0,0,'Données projet'!$E$10+1,1))</f>
        <v>327.4984716935208</v>
      </c>
      <c r="AO108" s="62">
        <f t="shared" si="90"/>
        <v>166.97658184507776</v>
      </c>
      <c r="AP108" s="16">
        <f>IF(ISNA(VLOOKUP(A108,'Données projet'!$A$61:$I$81,3,0)),0,VLOOKUP(A108,'Données projet'!$A$61:$I$81,3,0))</f>
        <v>17</v>
      </c>
      <c r="AQ108" s="16">
        <f>IF(ISNA(VLOOKUP(A108,'Données projet'!$A$61:$I$81,4,0)),0,VLOOKUP(A108,'Données projet'!$A$61:$I$81,4,0))</f>
        <v>13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0</v>
      </c>
      <c r="AV108" s="23">
        <f>EXP(-LN(2)/25)*AV107+(1-EXP(-LN(2)/25))/(LN(2)/25)*Calculateur!AQ108*Calculateur!AS108*VLOOKUP('Données projet'!$B$10,Paramètres!$A$1:$I$89,3,0)*0.475*44/12</f>
        <v>0</v>
      </c>
      <c r="AW108" s="23">
        <f>EXP(-LN(2)/2)*AW107+(1-EXP(-LN(2)/2))/(LN(2)/2)*AQ108*AT108*VLOOKUP('Données projet'!$B$10,Paramètres!$A$1:$I$89,3,0)*0.475*44/12</f>
        <v>0</v>
      </c>
      <c r="AX108" s="23">
        <f t="shared" si="60"/>
        <v>0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0</v>
      </c>
      <c r="BE108" s="14" t="e">
        <f>BD108*VLOOKUP('Données projet'!$B$11,Paramètres!$A$1:$I$89,3,0)*VLOOKUP('Données projet'!$B$11,Paramètres!$A$1:$I$89,5,0)</f>
        <v>#N/A</v>
      </c>
      <c r="BF108" s="14" t="e">
        <f t="shared" si="91"/>
        <v>#N/A</v>
      </c>
      <c r="BG108" s="22" t="e">
        <f t="shared" si="61"/>
        <v>#N/A</v>
      </c>
      <c r="BH108" s="62" t="e">
        <f t="shared" si="62"/>
        <v>#N/A</v>
      </c>
      <c r="BI108" s="62" t="e">
        <f ca="1">AVERAGE(OFFSET($BH$3,0,0,'Données projet'!$E$11+1,1))-AVERAGE(OFFSET($H$3,0,0,'Données projet'!$E$11+1,1))</f>
        <v>#N/A</v>
      </c>
      <c r="BJ108" s="62" t="e">
        <f t="shared" si="92"/>
        <v>#N/A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 t="e">
        <f>EXP(-LN(2)/35)*BP107+(1-EXP(-LN(2)/35))/(LN(2)/35)*BL108*BM108*VLOOKUP('Données projet'!$B$11,Paramètres!$A$1:$I$89,3,0)*0.475*44/12</f>
        <v>#N/A</v>
      </c>
      <c r="BQ108" s="23" t="e">
        <f>EXP(-LN(2)/25)*BQ107+(1-EXP(-LN(2)/25))/(LN(2)/25)*Calculateur!BL108*Calculateur!BN108*VLOOKUP('Données projet'!$B$11,Paramètres!$A$1:$I$89,3,0)*0.475*44/12</f>
        <v>#N/A</v>
      </c>
      <c r="BR108" s="23" t="e">
        <f>EXP(-LN(2)/2)*BR107+(1-EXP(-LN(2)/2))/(LN(2)/2)*BL108*BO108*VLOOKUP('Données projet'!$B$11,Paramètres!$A$1:$I$89,3,0)*0.475*44/12</f>
        <v>#N/A</v>
      </c>
      <c r="BS108" s="24" t="e">
        <f t="shared" si="63"/>
        <v>#N/A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0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0</v>
      </c>
      <c r="H109" s="70">
        <f t="shared" si="56"/>
        <v>256.66666666666669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9.0300000000000011</v>
      </c>
      <c r="N109" s="14">
        <f>IF('Données projet'!$A$36&gt;35,N108+M109-V108,IF(A109&lt;'Données projet'!$A$36,$K$205^A109,IF(A109='Données projet'!$A$36,'Données projet'!$B$36,N108+M109-V108)))</f>
        <v>437.93999999999983</v>
      </c>
      <c r="O109" s="14">
        <f>N109*VLOOKUP('Données projet'!$B$9,Paramètres!$A$1:$I$89,3,0)*VLOOKUP('Données projet'!$B$9,Paramètres!$A$1:$I$89,5,0)</f>
        <v>204.95591999999994</v>
      </c>
      <c r="P109" s="14">
        <f t="shared" si="87"/>
        <v>50.831772479453385</v>
      </c>
      <c r="Q109" s="22">
        <f t="shared" si="107"/>
        <v>445.49689773504787</v>
      </c>
      <c r="R109" s="62">
        <f t="shared" si="55"/>
        <v>738.83023106838118</v>
      </c>
      <c r="S109" s="62">
        <f ca="1">AVERAGE(OFFSET($R$3,0,0,'Données projet'!$E$9+1,1))-AVERAGE(OFFSET($H$3,0,0,'Données projet'!$E$9+1,1))</f>
        <v>302.58171900450355</v>
      </c>
      <c r="T109" s="62">
        <f t="shared" si="88"/>
        <v>164.1450425611464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0</v>
      </c>
      <c r="AA109" s="23">
        <f>EXP(-LN(2)/25)*AA108+(1-EXP(-LN(2)/25))/(LN(2)/25)*Calculateur!V109*Calculateur!X109*VLOOKUP('Données projet'!$B$9,Paramètres!$A$1:$I$89,3,0)*0.475*44/12</f>
        <v>0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0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3</v>
      </c>
      <c r="AI109" s="14">
        <f>IF('Données projet'!$A$62&gt;35,AI108+AH109-AQ108,IF(A109&lt;'Données projet'!$A$62,$AF$205^A109,IF(A109='Données projet'!$A$62,'Données projet'!$B$62,AI108+AH109-AQ108)))</f>
        <v>209.99999999999986</v>
      </c>
      <c r="AJ109" s="14">
        <f>AI109*VLOOKUP('Données projet'!$B$10,Paramètres!$A$1:$I$89,3,0)*VLOOKUP('Données projet'!$B$10,Paramètres!$A$1:$I$89,5,0)</f>
        <v>226.04399999999984</v>
      </c>
      <c r="AK109" s="14">
        <f t="shared" si="89"/>
        <v>55.426440039423454</v>
      </c>
      <c r="AL109" s="22">
        <f t="shared" si="58"/>
        <v>490.2276830686622</v>
      </c>
      <c r="AM109" s="62">
        <f t="shared" si="59"/>
        <v>783.56101640199552</v>
      </c>
      <c r="AN109" s="62">
        <f ca="1">AVERAGE(OFFSET($AM$3,0,0,'Données projet'!$E$10+1,1))-AVERAGE(OFFSET($H$3,0,0,'Données projet'!$E$10+1,1))</f>
        <v>327.4984716935208</v>
      </c>
      <c r="AO109" s="62">
        <f t="shared" si="90"/>
        <v>166.97658184507776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0</v>
      </c>
      <c r="AV109" s="23">
        <f>EXP(-LN(2)/25)*AV108+(1-EXP(-LN(2)/25))/(LN(2)/25)*Calculateur!AQ109*Calculateur!AS109*VLOOKUP('Données projet'!$B$10,Paramètres!$A$1:$I$89,3,0)*0.475*44/12</f>
        <v>0</v>
      </c>
      <c r="AW109" s="23">
        <f>EXP(-LN(2)/2)*AW108+(1-EXP(-LN(2)/2))/(LN(2)/2)*AQ109*AT109*VLOOKUP('Données projet'!$B$10,Paramètres!$A$1:$I$89,3,0)*0.475*44/12</f>
        <v>0</v>
      </c>
      <c r="AX109" s="23">
        <f t="shared" si="60"/>
        <v>0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0</v>
      </c>
      <c r="BE109" s="14" t="e">
        <f>BD109*VLOOKUP('Données projet'!$B$11,Paramètres!$A$1:$I$89,3,0)*VLOOKUP('Données projet'!$B$11,Paramètres!$A$1:$I$89,5,0)</f>
        <v>#N/A</v>
      </c>
      <c r="BF109" s="14" t="e">
        <f t="shared" si="91"/>
        <v>#N/A</v>
      </c>
      <c r="BG109" s="22" t="e">
        <f t="shared" si="61"/>
        <v>#N/A</v>
      </c>
      <c r="BH109" s="62" t="e">
        <f t="shared" si="62"/>
        <v>#N/A</v>
      </c>
      <c r="BI109" s="62" t="e">
        <f ca="1">AVERAGE(OFFSET($BH$3,0,0,'Données projet'!$E$11+1,1))-AVERAGE(OFFSET($H$3,0,0,'Données projet'!$E$11+1,1))</f>
        <v>#N/A</v>
      </c>
      <c r="BJ109" s="62" t="e">
        <f t="shared" si="92"/>
        <v>#N/A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 t="e">
        <f>EXP(-LN(2)/35)*BP108+(1-EXP(-LN(2)/35))/(LN(2)/35)*BL109*BM109*VLOOKUP('Données projet'!$B$11,Paramètres!$A$1:$I$89,3,0)*0.475*44/12</f>
        <v>#N/A</v>
      </c>
      <c r="BQ109" s="23" t="e">
        <f>EXP(-LN(2)/25)*BQ108+(1-EXP(-LN(2)/25))/(LN(2)/25)*Calculateur!BL109*Calculateur!BN109*VLOOKUP('Données projet'!$B$11,Paramètres!$A$1:$I$89,3,0)*0.475*44/12</f>
        <v>#N/A</v>
      </c>
      <c r="BR109" s="23" t="e">
        <f>EXP(-LN(2)/2)*BR108+(1-EXP(-LN(2)/2))/(LN(2)/2)*BL109*BO109*VLOOKUP('Données projet'!$B$11,Paramètres!$A$1:$I$89,3,0)*0.475*44/12</f>
        <v>#N/A</v>
      </c>
      <c r="BS109" s="24" t="e">
        <f t="shared" si="63"/>
        <v>#N/A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0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0</v>
      </c>
      <c r="H110" s="70">
        <f t="shared" si="56"/>
        <v>256.66666666666669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9.0300000000000011</v>
      </c>
      <c r="N110" s="14">
        <f>IF('Données projet'!$A$36&gt;35,N109+M110-V109,IF(A110&lt;'Données projet'!$A$36,$K$205^A110,IF(A110='Données projet'!$A$36,'Données projet'!$B$36,N109+M110-V109)))</f>
        <v>446.9699999999998</v>
      </c>
      <c r="O110" s="14">
        <f>N110*VLOOKUP('Données projet'!$B$9,Paramètres!$A$1:$I$89,3,0)*VLOOKUP('Données projet'!$B$9,Paramètres!$A$1:$I$89,5,0)</f>
        <v>209.18195999999989</v>
      </c>
      <c r="P110" s="14">
        <f t="shared" si="87"/>
        <v>51.756782789932231</v>
      </c>
      <c r="Q110" s="22">
        <f t="shared" si="107"/>
        <v>454.46831035913175</v>
      </c>
      <c r="R110" s="62">
        <f t="shared" si="55"/>
        <v>747.80164369246506</v>
      </c>
      <c r="S110" s="62">
        <f ca="1">AVERAGE(OFFSET($R$3,0,0,'Données projet'!$E$9+1,1))-AVERAGE(OFFSET($H$3,0,0,'Données projet'!$E$9+1,1))</f>
        <v>302.58171900450355</v>
      </c>
      <c r="T110" s="62">
        <f t="shared" si="88"/>
        <v>164.1450425611464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0</v>
      </c>
      <c r="AA110" s="23">
        <f>EXP(-LN(2)/25)*AA109+(1-EXP(-LN(2)/25))/(LN(2)/25)*Calculateur!V110*Calculateur!X110*VLOOKUP('Données projet'!$B$9,Paramètres!$A$1:$I$89,3,0)*0.475*44/12</f>
        <v>0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0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3</v>
      </c>
      <c r="AI110" s="14">
        <f>IF('Données projet'!$A$62&gt;35,AI109+AH110-AQ109,IF(A110&lt;'Données projet'!$A$62,$AF$205^A110,IF(A110='Données projet'!$A$62,'Données projet'!$B$62,AI109+AH110-AQ109)))</f>
        <v>212.99999999999986</v>
      </c>
      <c r="AJ110" s="14">
        <f>AI110*VLOOKUP('Données projet'!$B$10,Paramètres!$A$1:$I$89,3,0)*VLOOKUP('Données projet'!$B$10,Paramètres!$A$1:$I$89,5,0)</f>
        <v>229.27319999999983</v>
      </c>
      <c r="AK110" s="14">
        <f t="shared" si="89"/>
        <v>56.125501442527316</v>
      </c>
      <c r="AL110" s="22">
        <f t="shared" si="58"/>
        <v>497.06940501240143</v>
      </c>
      <c r="AM110" s="62">
        <f t="shared" si="59"/>
        <v>790.40273834573475</v>
      </c>
      <c r="AN110" s="62">
        <f ca="1">AVERAGE(OFFSET($AM$3,0,0,'Données projet'!$E$10+1,1))-AVERAGE(OFFSET($H$3,0,0,'Données projet'!$E$10+1,1))</f>
        <v>327.4984716935208</v>
      </c>
      <c r="AO110" s="62">
        <f t="shared" si="90"/>
        <v>166.97658184507776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0</v>
      </c>
      <c r="AV110" s="23">
        <f>EXP(-LN(2)/25)*AV109+(1-EXP(-LN(2)/25))/(LN(2)/25)*Calculateur!AQ110*Calculateur!AS110*VLOOKUP('Données projet'!$B$10,Paramètres!$A$1:$I$89,3,0)*0.475*44/12</f>
        <v>0</v>
      </c>
      <c r="AW110" s="23">
        <f>EXP(-LN(2)/2)*AW109+(1-EXP(-LN(2)/2))/(LN(2)/2)*AQ110*AT110*VLOOKUP('Données projet'!$B$10,Paramètres!$A$1:$I$89,3,0)*0.475*44/12</f>
        <v>0</v>
      </c>
      <c r="AX110" s="23">
        <f t="shared" si="60"/>
        <v>0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0</v>
      </c>
      <c r="BE110" s="14" t="e">
        <f>BD110*VLOOKUP('Données projet'!$B$11,Paramètres!$A$1:$I$89,3,0)*VLOOKUP('Données projet'!$B$11,Paramètres!$A$1:$I$89,5,0)</f>
        <v>#N/A</v>
      </c>
      <c r="BF110" s="14" t="e">
        <f t="shared" si="91"/>
        <v>#N/A</v>
      </c>
      <c r="BG110" s="22" t="e">
        <f t="shared" si="61"/>
        <v>#N/A</v>
      </c>
      <c r="BH110" s="62" t="e">
        <f t="shared" si="62"/>
        <v>#N/A</v>
      </c>
      <c r="BI110" s="62" t="e">
        <f ca="1">AVERAGE(OFFSET($BH$3,0,0,'Données projet'!$E$11+1,1))-AVERAGE(OFFSET($H$3,0,0,'Données projet'!$E$11+1,1))</f>
        <v>#N/A</v>
      </c>
      <c r="BJ110" s="62" t="e">
        <f t="shared" si="92"/>
        <v>#N/A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 t="e">
        <f>EXP(-LN(2)/35)*BP109+(1-EXP(-LN(2)/35))/(LN(2)/35)*BL110*BM110*VLOOKUP('Données projet'!$B$11,Paramètres!$A$1:$I$89,3,0)*0.475*44/12</f>
        <v>#N/A</v>
      </c>
      <c r="BQ110" s="23" t="e">
        <f>EXP(-LN(2)/25)*BQ109+(1-EXP(-LN(2)/25))/(LN(2)/25)*Calculateur!BL110*Calculateur!BN110*VLOOKUP('Données projet'!$B$11,Paramètres!$A$1:$I$89,3,0)*0.475*44/12</f>
        <v>#N/A</v>
      </c>
      <c r="BR110" s="23" t="e">
        <f>EXP(-LN(2)/2)*BR109+(1-EXP(-LN(2)/2))/(LN(2)/2)*BL110*BO110*VLOOKUP('Données projet'!$B$11,Paramètres!$A$1:$I$89,3,0)*0.475*44/12</f>
        <v>#N/A</v>
      </c>
      <c r="BS110" s="24" t="e">
        <f t="shared" si="63"/>
        <v>#N/A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0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0</v>
      </c>
      <c r="H111" s="70">
        <f t="shared" si="56"/>
        <v>256.66666666666669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456</v>
      </c>
      <c r="L111" s="13">
        <f>VLOOKUP(A111,'Données projet'!$A$35:$I$55,9,0)</f>
        <v>9.0300000000000011</v>
      </c>
      <c r="M111" s="13">
        <f t="array" ref="M111">INDEX(L:L,MIN(IF(ISNUMBER(L111:L307),ROW(L111:L307),"")))</f>
        <v>9.0300000000000011</v>
      </c>
      <c r="N111" s="14">
        <f>IF('Données projet'!$A$36&gt;35,N110+M111-V110,IF(A111&lt;'Données projet'!$A$36,$K$205^A111,IF(A111='Données projet'!$A$36,'Données projet'!$B$36,N110+M111-V110)))</f>
        <v>455.99999999999977</v>
      </c>
      <c r="O111" s="14">
        <f>N111*VLOOKUP('Données projet'!$B$9,Paramètres!$A$1:$I$89,3,0)*VLOOKUP('Données projet'!$B$9,Paramètres!$A$1:$I$89,5,0)</f>
        <v>213.4079999999999</v>
      </c>
      <c r="P111" s="14">
        <f t="shared" si="87"/>
        <v>52.679620251058907</v>
      </c>
      <c r="Q111" s="22">
        <f t="shared" si="107"/>
        <v>463.43593860392735</v>
      </c>
      <c r="R111" s="62">
        <f t="shared" si="55"/>
        <v>756.76927193726067</v>
      </c>
      <c r="S111" s="62">
        <f ca="1">AVERAGE(OFFSET($R$3,0,0,'Données projet'!$E$9+1,1))-AVERAGE(OFFSET($H$3,0,0,'Données projet'!$E$9+1,1))</f>
        <v>302.58171900450355</v>
      </c>
      <c r="T111" s="62">
        <f t="shared" si="88"/>
        <v>164.1450425611464</v>
      </c>
      <c r="U111" s="16">
        <f>IF(ISNA(VLOOKUP(A111,'Données projet'!$A$35:$I$55,3,0)),0,VLOOKUP(A111,'Données projet'!$A$35:$I$55,3,0))</f>
        <v>14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0</v>
      </c>
      <c r="AA111" s="23">
        <f>EXP(-LN(2)/25)*AA110+(1-EXP(-LN(2)/25))/(LN(2)/25)*Calculateur!V111*Calculateur!X111*VLOOKUP('Données projet'!$B$9,Paramètres!$A$1:$I$89,3,0)*0.475*44/12</f>
        <v>0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0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3</v>
      </c>
      <c r="AI111" s="14">
        <f>IF('Données projet'!$A$62&gt;35,AI110+AH111-AQ110,IF(A111&lt;'Données projet'!$A$62,$AF$205^A111,IF(A111='Données projet'!$A$62,'Données projet'!$B$62,AI110+AH111-AQ110)))</f>
        <v>215.99999999999986</v>
      </c>
      <c r="AJ111" s="14">
        <f>AI111*VLOOKUP('Données projet'!$B$10,Paramètres!$A$1:$I$89,3,0)*VLOOKUP('Données projet'!$B$10,Paramètres!$A$1:$I$89,5,0)</f>
        <v>232.50239999999982</v>
      </c>
      <c r="AK111" s="14">
        <f t="shared" si="89"/>
        <v>56.823417677671891</v>
      </c>
      <c r="AL111" s="22">
        <f t="shared" si="58"/>
        <v>503.90913245527821</v>
      </c>
      <c r="AM111" s="62">
        <f t="shared" si="59"/>
        <v>797.24246578861153</v>
      </c>
      <c r="AN111" s="62">
        <f ca="1">AVERAGE(OFFSET($AM$3,0,0,'Données projet'!$E$10+1,1))-AVERAGE(OFFSET($H$3,0,0,'Données projet'!$E$10+1,1))</f>
        <v>327.4984716935208</v>
      </c>
      <c r="AO111" s="62">
        <f t="shared" si="90"/>
        <v>166.97658184507776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0</v>
      </c>
      <c r="AV111" s="23">
        <f>EXP(-LN(2)/25)*AV110+(1-EXP(-LN(2)/25))/(LN(2)/25)*Calculateur!AQ111*Calculateur!AS111*VLOOKUP('Données projet'!$B$10,Paramètres!$A$1:$I$89,3,0)*0.475*44/12</f>
        <v>0</v>
      </c>
      <c r="AW111" s="23">
        <f>EXP(-LN(2)/2)*AW110+(1-EXP(-LN(2)/2))/(LN(2)/2)*AQ111*AT111*VLOOKUP('Données projet'!$B$10,Paramètres!$A$1:$I$89,3,0)*0.475*44/12</f>
        <v>0</v>
      </c>
      <c r="AX111" s="23">
        <f t="shared" si="60"/>
        <v>0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0</v>
      </c>
      <c r="BE111" s="14" t="e">
        <f>BD111*VLOOKUP('Données projet'!$B$11,Paramètres!$A$1:$I$89,3,0)*VLOOKUP('Données projet'!$B$11,Paramètres!$A$1:$I$89,5,0)</f>
        <v>#N/A</v>
      </c>
      <c r="BF111" s="14" t="e">
        <f t="shared" si="91"/>
        <v>#N/A</v>
      </c>
      <c r="BG111" s="22" t="e">
        <f t="shared" si="61"/>
        <v>#N/A</v>
      </c>
      <c r="BH111" s="62" t="e">
        <f t="shared" si="62"/>
        <v>#N/A</v>
      </c>
      <c r="BI111" s="62" t="e">
        <f ca="1">AVERAGE(OFFSET($BH$3,0,0,'Données projet'!$E$11+1,1))-AVERAGE(OFFSET($H$3,0,0,'Données projet'!$E$11+1,1))</f>
        <v>#N/A</v>
      </c>
      <c r="BJ111" s="62" t="e">
        <f t="shared" si="92"/>
        <v>#N/A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 t="e">
        <f>EXP(-LN(2)/35)*BP110+(1-EXP(-LN(2)/35))/(LN(2)/35)*BL111*BM111*VLOOKUP('Données projet'!$B$11,Paramètres!$A$1:$I$89,3,0)*0.475*44/12</f>
        <v>#N/A</v>
      </c>
      <c r="BQ111" s="23" t="e">
        <f>EXP(-LN(2)/25)*BQ110+(1-EXP(-LN(2)/25))/(LN(2)/25)*Calculateur!BL111*Calculateur!BN111*VLOOKUP('Données projet'!$B$11,Paramètres!$A$1:$I$89,3,0)*0.475*44/12</f>
        <v>#N/A</v>
      </c>
      <c r="BR111" s="23" t="e">
        <f>EXP(-LN(2)/2)*BR110+(1-EXP(-LN(2)/2))/(LN(2)/2)*BL111*BO111*VLOOKUP('Données projet'!$B$11,Paramètres!$A$1:$I$89,3,0)*0.475*44/12</f>
        <v>#N/A</v>
      </c>
      <c r="BS111" s="24" t="e">
        <f t="shared" si="63"/>
        <v>#N/A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0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0</v>
      </c>
      <c r="H112" s="70">
        <f t="shared" si="56"/>
        <v>256.66666666666669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>
        <f>VLOOKUP(A112,'Données projet'!$A$35:$I$55,2,0)</f>
        <v>465.16</v>
      </c>
      <c r="L112" s="13">
        <f>VLOOKUP(A112,'Données projet'!$A$35:$I$55,9,0)</f>
        <v>9.160000000000025</v>
      </c>
      <c r="M112" s="13">
        <f t="array" ref="M112">INDEX(L:L,MIN(IF(ISNUMBER(L112:L308),ROW(L112:L308),"")))</f>
        <v>9.160000000000025</v>
      </c>
      <c r="N112" s="14">
        <f>IF('Données projet'!$A$36&gt;35,N111+M112-V111,IF(A112&lt;'Données projet'!$A$36,$K$205^A112,IF(A112='Données projet'!$A$36,'Données projet'!$B$36,N111+M112-V111)))</f>
        <v>465.1599999999998</v>
      </c>
      <c r="O112" s="14">
        <f>N112*VLOOKUP('Données projet'!$B$9,Paramètres!$A$1:$I$89,3,0)*VLOOKUP('Données projet'!$B$9,Paramètres!$A$1:$I$89,5,0)</f>
        <v>217.69487999999993</v>
      </c>
      <c r="P112" s="14">
        <f t="shared" si="87"/>
        <v>53.613572561591639</v>
      </c>
      <c r="Q112" s="22">
        <f t="shared" si="107"/>
        <v>472.52888821143864</v>
      </c>
      <c r="R112" s="62">
        <f t="shared" si="55"/>
        <v>765.86222154477196</v>
      </c>
      <c r="S112" s="62">
        <f ca="1">AVERAGE(OFFSET($R$3,0,0,'Données projet'!$E$9+1,1))-AVERAGE(OFFSET($H$3,0,0,'Données projet'!$E$9+1,1))</f>
        <v>302.58171900450355</v>
      </c>
      <c r="T112" s="62">
        <f t="shared" si="88"/>
        <v>164.1450425611464</v>
      </c>
      <c r="U112" s="16">
        <f>IF(ISNA(VLOOKUP(A112,'Données projet'!$A$35:$I$55,3,0)),0,VLOOKUP(A112,'Données projet'!$A$35:$I$55,3,0))</f>
        <v>15</v>
      </c>
      <c r="V112" s="16">
        <f>IF(ISNA(VLOOKUP(A112,'Données projet'!$A$35:$I$55,4,0)),0,VLOOKUP(A112,'Données projet'!$A$35:$I$55,4,0))</f>
        <v>91.09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0</v>
      </c>
      <c r="AA112" s="23">
        <f>EXP(-LN(2)/25)*AA111+(1-EXP(-LN(2)/25))/(LN(2)/25)*Calculateur!V112*Calculateur!X112*VLOOKUP('Données projet'!$B$9,Paramètres!$A$1:$I$89,3,0)*0.475*44/12</f>
        <v>0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0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3</v>
      </c>
      <c r="AI112" s="14">
        <f>IF('Données projet'!$A$62&gt;35,AI111+AH112-AQ111,IF(A112&lt;'Données projet'!$A$62,$AF$205^A112,IF(A112='Données projet'!$A$62,'Données projet'!$B$62,AI111+AH112-AQ111)))</f>
        <v>218.99999999999986</v>
      </c>
      <c r="AJ112" s="14">
        <f>AI112*VLOOKUP('Données projet'!$B$10,Paramètres!$A$1:$I$89,3,0)*VLOOKUP('Données projet'!$B$10,Paramètres!$A$1:$I$89,5,0)</f>
        <v>235.73159999999984</v>
      </c>
      <c r="AK112" s="14">
        <f t="shared" si="89"/>
        <v>57.520206488125218</v>
      </c>
      <c r="AL112" s="22">
        <f t="shared" si="58"/>
        <v>510.74689630015109</v>
      </c>
      <c r="AM112" s="62">
        <f t="shared" si="59"/>
        <v>804.08022963348435</v>
      </c>
      <c r="AN112" s="62">
        <f ca="1">AVERAGE(OFFSET($AM$3,0,0,'Données projet'!$E$10+1,1))-AVERAGE(OFFSET($H$3,0,0,'Données projet'!$E$10+1,1))</f>
        <v>327.4984716935208</v>
      </c>
      <c r="AO112" s="62">
        <f t="shared" si="90"/>
        <v>166.97658184507776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0</v>
      </c>
      <c r="AV112" s="23">
        <f>EXP(-LN(2)/25)*AV111+(1-EXP(-LN(2)/25))/(LN(2)/25)*Calculateur!AQ112*Calculateur!AS112*VLOOKUP('Données projet'!$B$10,Paramètres!$A$1:$I$89,3,0)*0.475*44/12</f>
        <v>0</v>
      </c>
      <c r="AW112" s="23">
        <f>EXP(-LN(2)/2)*AW111+(1-EXP(-LN(2)/2))/(LN(2)/2)*AQ112*AT112*VLOOKUP('Données projet'!$B$10,Paramètres!$A$1:$I$89,3,0)*0.475*44/12</f>
        <v>0</v>
      </c>
      <c r="AX112" s="23">
        <f t="shared" si="60"/>
        <v>0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0</v>
      </c>
      <c r="BE112" s="14" t="e">
        <f>BD112*VLOOKUP('Données projet'!$B$11,Paramètres!$A$1:$I$89,3,0)*VLOOKUP('Données projet'!$B$11,Paramètres!$A$1:$I$89,5,0)</f>
        <v>#N/A</v>
      </c>
      <c r="BF112" s="14" t="e">
        <f t="shared" si="91"/>
        <v>#N/A</v>
      </c>
      <c r="BG112" s="22" t="e">
        <f t="shared" si="61"/>
        <v>#N/A</v>
      </c>
      <c r="BH112" s="62" t="e">
        <f t="shared" si="62"/>
        <v>#N/A</v>
      </c>
      <c r="BI112" s="62" t="e">
        <f ca="1">AVERAGE(OFFSET($BH$3,0,0,'Données projet'!$E$11+1,1))-AVERAGE(OFFSET($H$3,0,0,'Données projet'!$E$11+1,1))</f>
        <v>#N/A</v>
      </c>
      <c r="BJ112" s="62" t="e">
        <f t="shared" si="92"/>
        <v>#N/A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 t="e">
        <f>EXP(-LN(2)/35)*BP111+(1-EXP(-LN(2)/35))/(LN(2)/35)*BL112*BM112*VLOOKUP('Données projet'!$B$11,Paramètres!$A$1:$I$89,3,0)*0.475*44/12</f>
        <v>#N/A</v>
      </c>
      <c r="BQ112" s="23" t="e">
        <f>EXP(-LN(2)/25)*BQ111+(1-EXP(-LN(2)/25))/(LN(2)/25)*Calculateur!BL112*Calculateur!BN112*VLOOKUP('Données projet'!$B$11,Paramètres!$A$1:$I$89,3,0)*0.475*44/12</f>
        <v>#N/A</v>
      </c>
      <c r="BR112" s="23" t="e">
        <f>EXP(-LN(2)/2)*BR111+(1-EXP(-LN(2)/2))/(LN(2)/2)*BL112*BO112*VLOOKUP('Données projet'!$B$11,Paramètres!$A$1:$I$89,3,0)*0.475*44/12</f>
        <v>#N/A</v>
      </c>
      <c r="BS112" s="24" t="e">
        <f t="shared" si="63"/>
        <v>#N/A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0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0</v>
      </c>
      <c r="H113" s="70">
        <f t="shared" si="56"/>
        <v>256.66666666666669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>
        <f>VLOOKUP(A113,'Données projet'!$A$35:$I$55,2,0)</f>
        <v>382.7</v>
      </c>
      <c r="L113" s="13">
        <f>VLOOKUP(A113,'Données projet'!$A$35:$I$55,9,0)</f>
        <v>8.6299999999999386</v>
      </c>
      <c r="M113" s="13">
        <f t="array" ref="M113">INDEX(L:L,MIN(IF(ISNUMBER(L113:L309),ROW(L113:L309),"")))</f>
        <v>8.6299999999999386</v>
      </c>
      <c r="N113" s="14">
        <f>IF('Données projet'!$A$36&gt;35,N112+M113-V112,IF(A113&lt;'Données projet'!$A$36,$K$205^A113,IF(A113='Données projet'!$A$36,'Données projet'!$B$36,N112+M113-V112)))</f>
        <v>382.6999999999997</v>
      </c>
      <c r="O113" s="14">
        <f>N113*VLOOKUP('Données projet'!$B$9,Paramètres!$A$1:$I$89,3,0)*VLOOKUP('Données projet'!$B$9,Paramètres!$A$1:$I$89,5,0)</f>
        <v>179.10359999999986</v>
      </c>
      <c r="P113" s="14">
        <f t="shared" si="87"/>
        <v>45.12269577163584</v>
      </c>
      <c r="Q113" s="22">
        <f t="shared" si="107"/>
        <v>390.52746513559879</v>
      </c>
      <c r="R113" s="62">
        <f t="shared" si="55"/>
        <v>683.8607984689321</v>
      </c>
      <c r="S113" s="62">
        <f ca="1">AVERAGE(OFFSET($R$3,0,0,'Données projet'!$E$9+1,1))-AVERAGE(OFFSET($H$3,0,0,'Données projet'!$E$9+1,1))</f>
        <v>302.58171900450355</v>
      </c>
      <c r="T113" s="62">
        <f t="shared" si="88"/>
        <v>164.1450425611464</v>
      </c>
      <c r="U113" s="16">
        <f>IF(ISNA(VLOOKUP(A113,'Données projet'!$A$35:$I$55,3,0)),0,VLOOKUP(A113,'Données projet'!$A$35:$I$55,3,0))</f>
        <v>16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0</v>
      </c>
      <c r="AA113" s="23">
        <f>EXP(-LN(2)/25)*AA112+(1-EXP(-LN(2)/25))/(LN(2)/25)*Calculateur!V113*Calculateur!X113*VLOOKUP('Données projet'!$B$9,Paramètres!$A$1:$I$89,3,0)*0.475*44/12</f>
        <v>0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0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>
        <f>VLOOKUP(A113,'Données projet'!$A$61:$I$81,2,0)</f>
        <v>222</v>
      </c>
      <c r="AG113" s="13">
        <f>VLOOKUP(A113,'Données projet'!$A$61:$I$81,9,0)</f>
        <v>3</v>
      </c>
      <c r="AH113" s="13">
        <f t="array" ref="AH113">INDEX(AG:AG,MIN(IF(ISNUMBER(AG113:AG309),ROW(AG113:AG309),"")))</f>
        <v>3</v>
      </c>
      <c r="AI113" s="14">
        <f>IF('Données projet'!$A$62&gt;35,AI112+AH113-AQ112,IF(A113&lt;'Données projet'!$A$62,$AF$205^A113,IF(A113='Données projet'!$A$62,'Données projet'!$B$62,AI112+AH113-AQ112)))</f>
        <v>221.99999999999986</v>
      </c>
      <c r="AJ113" s="14">
        <f>AI113*VLOOKUP('Données projet'!$B$10,Paramètres!$A$1:$I$89,3,0)*VLOOKUP('Données projet'!$B$10,Paramètres!$A$1:$I$89,5,0)</f>
        <v>238.96079999999984</v>
      </c>
      <c r="AK113" s="14">
        <f t="shared" si="89"/>
        <v>58.215885103108292</v>
      </c>
      <c r="AL113" s="22">
        <f t="shared" si="58"/>
        <v>517.58272655457995</v>
      </c>
      <c r="AM113" s="62">
        <f t="shared" si="59"/>
        <v>810.91605988791321</v>
      </c>
      <c r="AN113" s="62">
        <f ca="1">AVERAGE(OFFSET($AM$3,0,0,'Données projet'!$E$10+1,1))-AVERAGE(OFFSET($H$3,0,0,'Données projet'!$E$10+1,1))</f>
        <v>327.4984716935208</v>
      </c>
      <c r="AO113" s="62">
        <f t="shared" si="90"/>
        <v>166.97658184507776</v>
      </c>
      <c r="AP113" s="16">
        <f>IF(ISNA(VLOOKUP(A113,'Données projet'!$A$61:$I$81,3,0)),0,VLOOKUP(A113,'Données projet'!$A$61:$I$81,3,0))</f>
        <v>18</v>
      </c>
      <c r="AQ113" s="16">
        <f>IF(ISNA(VLOOKUP(A113,'Données projet'!$A$61:$I$81,4,0)),0,VLOOKUP(A113,'Données projet'!$A$61:$I$81,4,0))</f>
        <v>13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0</v>
      </c>
      <c r="AV113" s="23">
        <f>EXP(-LN(2)/25)*AV112+(1-EXP(-LN(2)/25))/(LN(2)/25)*Calculateur!AQ113*Calculateur!AS113*VLOOKUP('Données projet'!$B$10,Paramètres!$A$1:$I$89,3,0)*0.475*44/12</f>
        <v>0</v>
      </c>
      <c r="AW113" s="23">
        <f>EXP(-LN(2)/2)*AW112+(1-EXP(-LN(2)/2))/(LN(2)/2)*AQ113*AT113*VLOOKUP('Données projet'!$B$10,Paramètres!$A$1:$I$89,3,0)*0.475*44/12</f>
        <v>0</v>
      </c>
      <c r="AX113" s="23">
        <f t="shared" si="60"/>
        <v>0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0</v>
      </c>
      <c r="BE113" s="14" t="e">
        <f>BD113*VLOOKUP('Données projet'!$B$11,Paramètres!$A$1:$I$89,3,0)*VLOOKUP('Données projet'!$B$11,Paramètres!$A$1:$I$89,5,0)</f>
        <v>#N/A</v>
      </c>
      <c r="BF113" s="14" t="e">
        <f t="shared" si="91"/>
        <v>#N/A</v>
      </c>
      <c r="BG113" s="22" t="e">
        <f t="shared" si="61"/>
        <v>#N/A</v>
      </c>
      <c r="BH113" s="62" t="e">
        <f t="shared" si="62"/>
        <v>#N/A</v>
      </c>
      <c r="BI113" s="62" t="e">
        <f ca="1">AVERAGE(OFFSET($BH$3,0,0,'Données projet'!$E$11+1,1))-AVERAGE(OFFSET($H$3,0,0,'Données projet'!$E$11+1,1))</f>
        <v>#N/A</v>
      </c>
      <c r="BJ113" s="62" t="e">
        <f t="shared" si="92"/>
        <v>#N/A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 t="e">
        <f>EXP(-LN(2)/35)*BP112+(1-EXP(-LN(2)/35))/(LN(2)/35)*BL113*BM113*VLOOKUP('Données projet'!$B$11,Paramètres!$A$1:$I$89,3,0)*0.475*44/12</f>
        <v>#N/A</v>
      </c>
      <c r="BQ113" s="23" t="e">
        <f>EXP(-LN(2)/25)*BQ112+(1-EXP(-LN(2)/25))/(LN(2)/25)*Calculateur!BL113*Calculateur!BN113*VLOOKUP('Données projet'!$B$11,Paramètres!$A$1:$I$89,3,0)*0.475*44/12</f>
        <v>#N/A</v>
      </c>
      <c r="BR113" s="23" t="e">
        <f>EXP(-LN(2)/2)*BR112+(1-EXP(-LN(2)/2))/(LN(2)/2)*BL113*BO113*VLOOKUP('Données projet'!$B$11,Paramètres!$A$1:$I$89,3,0)*0.475*44/12</f>
        <v>#N/A</v>
      </c>
      <c r="BS113" s="24" t="e">
        <f t="shared" si="63"/>
        <v>#N/A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0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0</v>
      </c>
      <c r="H114" s="70">
        <f t="shared" si="56"/>
        <v>256.66666666666669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8.032</v>
      </c>
      <c r="N114" s="14">
        <f>IF('Données projet'!$A$36&gt;35,N113+M114-V113,IF(A114&lt;'Données projet'!$A$36,$K$205^A114,IF(A114='Données projet'!$A$36,'Données projet'!$B$36,N113+M114-V113)))</f>
        <v>390.73199999999969</v>
      </c>
      <c r="O114" s="14">
        <f>N114*VLOOKUP('Données projet'!$B$9,Paramètres!$A$1:$I$89,3,0)*VLOOKUP('Données projet'!$B$9,Paramètres!$A$1:$I$89,5,0)</f>
        <v>182.86257599999988</v>
      </c>
      <c r="P114" s="14">
        <f t="shared" si="87"/>
        <v>45.958470580428141</v>
      </c>
      <c r="Q114" s="22">
        <f t="shared" si="107"/>
        <v>398.52998946091208</v>
      </c>
      <c r="R114" s="62">
        <f t="shared" si="55"/>
        <v>691.86332279424539</v>
      </c>
      <c r="S114" s="62">
        <f ca="1">AVERAGE(OFFSET($R$3,0,0,'Données projet'!$E$9+1,1))-AVERAGE(OFFSET($H$3,0,0,'Données projet'!$E$9+1,1))</f>
        <v>302.58171900450355</v>
      </c>
      <c r="T114" s="62">
        <f t="shared" si="88"/>
        <v>164.1450425611464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0</v>
      </c>
      <c r="AA114" s="23">
        <f>EXP(-LN(2)/25)*AA113+(1-EXP(-LN(2)/25))/(LN(2)/25)*Calculateur!V114*Calculateur!X114*VLOOKUP('Données projet'!$B$9,Paramètres!$A$1:$I$89,3,0)*0.475*44/12</f>
        <v>0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0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2.8</v>
      </c>
      <c r="AI114" s="14">
        <f>IF('Données projet'!$A$62&gt;35,AI113+AH114-AQ113,IF(A114&lt;'Données projet'!$A$62,$AF$205^A114,IF(A114='Données projet'!$A$62,'Données projet'!$B$62,AI113+AH114-AQ113)))</f>
        <v>211.79999999999987</v>
      </c>
      <c r="AJ114" s="14">
        <f>AI114*VLOOKUP('Données projet'!$B$10,Paramètres!$A$1:$I$89,3,0)*VLOOKUP('Données projet'!$B$10,Paramètres!$A$1:$I$89,5,0)</f>
        <v>227.98151999999988</v>
      </c>
      <c r="AK114" s="14">
        <f t="shared" si="89"/>
        <v>55.846015312851193</v>
      </c>
      <c r="AL114" s="22">
        <f t="shared" si="58"/>
        <v>494.33295733654887</v>
      </c>
      <c r="AM114" s="62">
        <f t="shared" si="59"/>
        <v>787.66629066988219</v>
      </c>
      <c r="AN114" s="62">
        <f ca="1">AVERAGE(OFFSET($AM$3,0,0,'Données projet'!$E$10+1,1))-AVERAGE(OFFSET($H$3,0,0,'Données projet'!$E$10+1,1))</f>
        <v>327.4984716935208</v>
      </c>
      <c r="AO114" s="62">
        <f t="shared" si="90"/>
        <v>166.97658184507776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0</v>
      </c>
      <c r="AV114" s="23">
        <f>EXP(-LN(2)/25)*AV113+(1-EXP(-LN(2)/25))/(LN(2)/25)*Calculateur!AQ114*Calculateur!AS114*VLOOKUP('Données projet'!$B$10,Paramètres!$A$1:$I$89,3,0)*0.475*44/12</f>
        <v>0</v>
      </c>
      <c r="AW114" s="23">
        <f>EXP(-LN(2)/2)*AW113+(1-EXP(-LN(2)/2))/(LN(2)/2)*AQ114*AT114*VLOOKUP('Données projet'!$B$10,Paramètres!$A$1:$I$89,3,0)*0.475*44/12</f>
        <v>0</v>
      </c>
      <c r="AX114" s="23">
        <f t="shared" si="60"/>
        <v>0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0</v>
      </c>
      <c r="BE114" s="14" t="e">
        <f>BD114*VLOOKUP('Données projet'!$B$11,Paramètres!$A$1:$I$89,3,0)*VLOOKUP('Données projet'!$B$11,Paramètres!$A$1:$I$89,5,0)</f>
        <v>#N/A</v>
      </c>
      <c r="BF114" s="14" t="e">
        <f t="shared" si="91"/>
        <v>#N/A</v>
      </c>
      <c r="BG114" s="22" t="e">
        <f t="shared" si="61"/>
        <v>#N/A</v>
      </c>
      <c r="BH114" s="62" t="e">
        <f t="shared" si="62"/>
        <v>#N/A</v>
      </c>
      <c r="BI114" s="62" t="e">
        <f ca="1">AVERAGE(OFFSET($BH$3,0,0,'Données projet'!$E$11+1,1))-AVERAGE(OFFSET($H$3,0,0,'Données projet'!$E$11+1,1))</f>
        <v>#N/A</v>
      </c>
      <c r="BJ114" s="62" t="e">
        <f t="shared" si="92"/>
        <v>#N/A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 t="e">
        <f>EXP(-LN(2)/35)*BP113+(1-EXP(-LN(2)/35))/(LN(2)/35)*BL114*BM114*VLOOKUP('Données projet'!$B$11,Paramètres!$A$1:$I$89,3,0)*0.475*44/12</f>
        <v>#N/A</v>
      </c>
      <c r="BQ114" s="23" t="e">
        <f>EXP(-LN(2)/25)*BQ113+(1-EXP(-LN(2)/25))/(LN(2)/25)*Calculateur!BL114*Calculateur!BN114*VLOOKUP('Données projet'!$B$11,Paramètres!$A$1:$I$89,3,0)*0.475*44/12</f>
        <v>#N/A</v>
      </c>
      <c r="BR114" s="23" t="e">
        <f>EXP(-LN(2)/2)*BR113+(1-EXP(-LN(2)/2))/(LN(2)/2)*BL114*BO114*VLOOKUP('Données projet'!$B$11,Paramètres!$A$1:$I$89,3,0)*0.475*44/12</f>
        <v>#N/A</v>
      </c>
      <c r="BS114" s="24" t="e">
        <f t="shared" si="63"/>
        <v>#N/A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0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0</v>
      </c>
      <c r="H115" s="70">
        <f t="shared" si="56"/>
        <v>256.66666666666669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8.032</v>
      </c>
      <c r="N115" s="14">
        <f>IF('Données projet'!$A$36&gt;35,N114+M115-V114,IF(A115&lt;'Données projet'!$A$36,$K$205^A115,IF(A115='Données projet'!$A$36,'Données projet'!$B$36,N114+M115-V114)))</f>
        <v>398.76399999999967</v>
      </c>
      <c r="O115" s="14">
        <f>N115*VLOOKUP('Données projet'!$B$9,Paramètres!$A$1:$I$89,3,0)*VLOOKUP('Données projet'!$B$9,Paramètres!$A$1:$I$89,5,0)</f>
        <v>186.62155199999984</v>
      </c>
      <c r="P115" s="14">
        <f t="shared" si="87"/>
        <v>46.792247829221743</v>
      </c>
      <c r="Q115" s="22">
        <f t="shared" si="107"/>
        <v>406.52903470256086</v>
      </c>
      <c r="R115" s="62">
        <f t="shared" si="55"/>
        <v>699.86236803589418</v>
      </c>
      <c r="S115" s="62">
        <f ca="1">AVERAGE(OFFSET($R$3,0,0,'Données projet'!$E$9+1,1))-AVERAGE(OFFSET($H$3,0,0,'Données projet'!$E$9+1,1))</f>
        <v>302.58171900450355</v>
      </c>
      <c r="T115" s="62">
        <f t="shared" si="88"/>
        <v>164.1450425611464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0</v>
      </c>
      <c r="AA115" s="23">
        <f>EXP(-LN(2)/25)*AA114+(1-EXP(-LN(2)/25))/(LN(2)/25)*Calculateur!V115*Calculateur!X115*VLOOKUP('Données projet'!$B$9,Paramètres!$A$1:$I$89,3,0)*0.475*44/12</f>
        <v>0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0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2.8</v>
      </c>
      <c r="AI115" s="14">
        <f>IF('Données projet'!$A$62&gt;35,AI114+AH115-AQ114,IF(A115&lt;'Données projet'!$A$62,$AF$205^A115,IF(A115='Données projet'!$A$62,'Données projet'!$B$62,AI114+AH115-AQ114)))</f>
        <v>214.59999999999988</v>
      </c>
      <c r="AJ115" s="14">
        <f>AI115*VLOOKUP('Données projet'!$B$10,Paramètres!$A$1:$I$89,3,0)*VLOOKUP('Données projet'!$B$10,Paramètres!$A$1:$I$89,5,0)</f>
        <v>230.99543999999986</v>
      </c>
      <c r="AK115" s="14">
        <f t="shared" si="89"/>
        <v>56.497864803589785</v>
      </c>
      <c r="AL115" s="22">
        <f t="shared" si="58"/>
        <v>500.71750586625194</v>
      </c>
      <c r="AM115" s="62">
        <f t="shared" si="59"/>
        <v>794.0508391995852</v>
      </c>
      <c r="AN115" s="62">
        <f ca="1">AVERAGE(OFFSET($AM$3,0,0,'Données projet'!$E$10+1,1))-AVERAGE(OFFSET($H$3,0,0,'Données projet'!$E$10+1,1))</f>
        <v>327.4984716935208</v>
      </c>
      <c r="AO115" s="62">
        <f t="shared" si="90"/>
        <v>166.97658184507776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0</v>
      </c>
      <c r="AV115" s="23">
        <f>EXP(-LN(2)/25)*AV114+(1-EXP(-LN(2)/25))/(LN(2)/25)*Calculateur!AQ115*Calculateur!AS115*VLOOKUP('Données projet'!$B$10,Paramètres!$A$1:$I$89,3,0)*0.475*44/12</f>
        <v>0</v>
      </c>
      <c r="AW115" s="23">
        <f>EXP(-LN(2)/2)*AW114+(1-EXP(-LN(2)/2))/(LN(2)/2)*AQ115*AT115*VLOOKUP('Données projet'!$B$10,Paramètres!$A$1:$I$89,3,0)*0.475*44/12</f>
        <v>0</v>
      </c>
      <c r="AX115" s="23">
        <f t="shared" si="60"/>
        <v>0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0</v>
      </c>
      <c r="BE115" s="14" t="e">
        <f>BD115*VLOOKUP('Données projet'!$B$11,Paramètres!$A$1:$I$89,3,0)*VLOOKUP('Données projet'!$B$11,Paramètres!$A$1:$I$89,5,0)</f>
        <v>#N/A</v>
      </c>
      <c r="BF115" s="14" t="e">
        <f t="shared" si="91"/>
        <v>#N/A</v>
      </c>
      <c r="BG115" s="22" t="e">
        <f t="shared" si="61"/>
        <v>#N/A</v>
      </c>
      <c r="BH115" s="62" t="e">
        <f t="shared" si="62"/>
        <v>#N/A</v>
      </c>
      <c r="BI115" s="62" t="e">
        <f ca="1">AVERAGE(OFFSET($BH$3,0,0,'Données projet'!$E$11+1,1))-AVERAGE(OFFSET($H$3,0,0,'Données projet'!$E$11+1,1))</f>
        <v>#N/A</v>
      </c>
      <c r="BJ115" s="62" t="e">
        <f t="shared" si="92"/>
        <v>#N/A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 t="e">
        <f>EXP(-LN(2)/35)*BP114+(1-EXP(-LN(2)/35))/(LN(2)/35)*BL115*BM115*VLOOKUP('Données projet'!$B$11,Paramètres!$A$1:$I$89,3,0)*0.475*44/12</f>
        <v>#N/A</v>
      </c>
      <c r="BQ115" s="23" t="e">
        <f>EXP(-LN(2)/25)*BQ114+(1-EXP(-LN(2)/25))/(LN(2)/25)*Calculateur!BL115*Calculateur!BN115*VLOOKUP('Données projet'!$B$11,Paramètres!$A$1:$I$89,3,0)*0.475*44/12</f>
        <v>#N/A</v>
      </c>
      <c r="BR115" s="23" t="e">
        <f>EXP(-LN(2)/2)*BR114+(1-EXP(-LN(2)/2))/(LN(2)/2)*BL115*BO115*VLOOKUP('Données projet'!$B$11,Paramètres!$A$1:$I$89,3,0)*0.475*44/12</f>
        <v>#N/A</v>
      </c>
      <c r="BS115" s="24" t="e">
        <f t="shared" si="63"/>
        <v>#N/A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0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0</v>
      </c>
      <c r="H116" s="70">
        <f t="shared" si="56"/>
        <v>256.66666666666669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8.032</v>
      </c>
      <c r="N116" s="14">
        <f>IF('Données projet'!$A$36&gt;35,N115+M116-V115,IF(A116&lt;'Données projet'!$A$36,$K$205^A116,IF(A116='Données projet'!$A$36,'Données projet'!$B$36,N115+M116-V115)))</f>
        <v>406.79599999999965</v>
      </c>
      <c r="O116" s="14">
        <f>N116*VLOOKUP('Données projet'!$B$9,Paramètres!$A$1:$I$89,3,0)*VLOOKUP('Données projet'!$B$9,Paramètres!$A$1:$I$89,5,0)</f>
        <v>190.38052799999983</v>
      </c>
      <c r="P116" s="14">
        <f t="shared" si="87"/>
        <v>47.624072390249324</v>
      </c>
      <c r="Q116" s="22">
        <f t="shared" si="107"/>
        <v>414.52467901301725</v>
      </c>
      <c r="R116" s="62">
        <f t="shared" si="55"/>
        <v>707.85801234635051</v>
      </c>
      <c r="S116" s="62">
        <f ca="1">AVERAGE(OFFSET($R$3,0,0,'Données projet'!$E$9+1,1))-AVERAGE(OFFSET($H$3,0,0,'Données projet'!$E$9+1,1))</f>
        <v>302.58171900450355</v>
      </c>
      <c r="T116" s="62">
        <f t="shared" si="88"/>
        <v>164.1450425611464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0</v>
      </c>
      <c r="AA116" s="23">
        <f>EXP(-LN(2)/25)*AA115+(1-EXP(-LN(2)/25))/(LN(2)/25)*Calculateur!V116*Calculateur!X116*VLOOKUP('Données projet'!$B$9,Paramètres!$A$1:$I$89,3,0)*0.475*44/12</f>
        <v>0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0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2.8</v>
      </c>
      <c r="AI116" s="14">
        <f>IF('Données projet'!$A$62&gt;35,AI115+AH116-AQ115,IF(A116&lt;'Données projet'!$A$62,$AF$205^A116,IF(A116='Données projet'!$A$62,'Données projet'!$B$62,AI115+AH116-AQ115)))</f>
        <v>217.39999999999989</v>
      </c>
      <c r="AJ116" s="14">
        <f>AI116*VLOOKUP('Données projet'!$B$10,Paramètres!$A$1:$I$89,3,0)*VLOOKUP('Données projet'!$B$10,Paramètres!$A$1:$I$89,5,0)</f>
        <v>234.00935999999987</v>
      </c>
      <c r="AK116" s="14">
        <f t="shared" si="89"/>
        <v>57.148725031005199</v>
      </c>
      <c r="AL116" s="22">
        <f t="shared" si="58"/>
        <v>507.10033142900039</v>
      </c>
      <c r="AM116" s="62">
        <f t="shared" si="59"/>
        <v>800.43366476233371</v>
      </c>
      <c r="AN116" s="62">
        <f ca="1">AVERAGE(OFFSET($AM$3,0,0,'Données projet'!$E$10+1,1))-AVERAGE(OFFSET($H$3,0,0,'Données projet'!$E$10+1,1))</f>
        <v>327.4984716935208</v>
      </c>
      <c r="AO116" s="62">
        <f t="shared" si="90"/>
        <v>166.97658184507776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0</v>
      </c>
      <c r="AV116" s="23">
        <f>EXP(-LN(2)/25)*AV115+(1-EXP(-LN(2)/25))/(LN(2)/25)*Calculateur!AQ116*Calculateur!AS116*VLOOKUP('Données projet'!$B$10,Paramètres!$A$1:$I$89,3,0)*0.475*44/12</f>
        <v>0</v>
      </c>
      <c r="AW116" s="23">
        <f>EXP(-LN(2)/2)*AW115+(1-EXP(-LN(2)/2))/(LN(2)/2)*AQ116*AT116*VLOOKUP('Données projet'!$B$10,Paramètres!$A$1:$I$89,3,0)*0.475*44/12</f>
        <v>0</v>
      </c>
      <c r="AX116" s="23">
        <f t="shared" si="60"/>
        <v>0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0</v>
      </c>
      <c r="BE116" s="14" t="e">
        <f>BD116*VLOOKUP('Données projet'!$B$11,Paramètres!$A$1:$I$89,3,0)*VLOOKUP('Données projet'!$B$11,Paramètres!$A$1:$I$89,5,0)</f>
        <v>#N/A</v>
      </c>
      <c r="BF116" s="14" t="e">
        <f t="shared" si="91"/>
        <v>#N/A</v>
      </c>
      <c r="BG116" s="22" t="e">
        <f t="shared" si="61"/>
        <v>#N/A</v>
      </c>
      <c r="BH116" s="62" t="e">
        <f t="shared" si="62"/>
        <v>#N/A</v>
      </c>
      <c r="BI116" s="62" t="e">
        <f ca="1">AVERAGE(OFFSET($BH$3,0,0,'Données projet'!$E$11+1,1))-AVERAGE(OFFSET($H$3,0,0,'Données projet'!$E$11+1,1))</f>
        <v>#N/A</v>
      </c>
      <c r="BJ116" s="62" t="e">
        <f t="shared" si="92"/>
        <v>#N/A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 t="e">
        <f>EXP(-LN(2)/35)*BP115+(1-EXP(-LN(2)/35))/(LN(2)/35)*BL116*BM116*VLOOKUP('Données projet'!$B$11,Paramètres!$A$1:$I$89,3,0)*0.475*44/12</f>
        <v>#N/A</v>
      </c>
      <c r="BQ116" s="23" t="e">
        <f>EXP(-LN(2)/25)*BQ115+(1-EXP(-LN(2)/25))/(LN(2)/25)*Calculateur!BL116*Calculateur!BN116*VLOOKUP('Données projet'!$B$11,Paramètres!$A$1:$I$89,3,0)*0.475*44/12</f>
        <v>#N/A</v>
      </c>
      <c r="BR116" s="23" t="e">
        <f>EXP(-LN(2)/2)*BR115+(1-EXP(-LN(2)/2))/(LN(2)/2)*BL116*BO116*VLOOKUP('Données projet'!$B$11,Paramètres!$A$1:$I$89,3,0)*0.475*44/12</f>
        <v>#N/A</v>
      </c>
      <c r="BS116" s="24" t="e">
        <f t="shared" si="63"/>
        <v>#N/A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0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0</v>
      </c>
      <c r="H117" s="70">
        <f t="shared" si="56"/>
        <v>256.66666666666669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8.032</v>
      </c>
      <c r="N117" s="14">
        <f>IF('Données projet'!$A$36&gt;35,N116+M117-V116,IF(A117&lt;'Données projet'!$A$36,$K$205^A117,IF(A117='Données projet'!$A$36,'Données projet'!$B$36,N116+M117-V116)))</f>
        <v>414.82799999999963</v>
      </c>
      <c r="O117" s="14">
        <f>N117*VLOOKUP('Données projet'!$B$9,Paramètres!$A$1:$I$89,3,0)*VLOOKUP('Données projet'!$B$9,Paramètres!$A$1:$I$89,5,0)</f>
        <v>194.13950399999982</v>
      </c>
      <c r="P117" s="14">
        <f t="shared" si="87"/>
        <v>48.453987262440087</v>
      </c>
      <c r="Q117" s="22">
        <f t="shared" si="107"/>
        <v>422.51699728208285</v>
      </c>
      <c r="R117" s="62">
        <f t="shared" si="55"/>
        <v>715.85033061541617</v>
      </c>
      <c r="S117" s="62">
        <f ca="1">AVERAGE(OFFSET($R$3,0,0,'Données projet'!$E$9+1,1))-AVERAGE(OFFSET($H$3,0,0,'Données projet'!$E$9+1,1))</f>
        <v>302.58171900450355</v>
      </c>
      <c r="T117" s="62">
        <f t="shared" si="88"/>
        <v>164.1450425611464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0</v>
      </c>
      <c r="AA117" s="23">
        <f>EXP(-LN(2)/25)*AA116+(1-EXP(-LN(2)/25))/(LN(2)/25)*Calculateur!V117*Calculateur!X117*VLOOKUP('Données projet'!$B$9,Paramètres!$A$1:$I$89,3,0)*0.475*44/12</f>
        <v>0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0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2.8</v>
      </c>
      <c r="AI117" s="14">
        <f>IF('Données projet'!$A$62&gt;35,AI116+AH117-AQ116,IF(A117&lt;'Données projet'!$A$62,$AF$205^A117,IF(A117='Données projet'!$A$62,'Données projet'!$B$62,AI116+AH117-AQ116)))</f>
        <v>220.1999999999999</v>
      </c>
      <c r="AJ117" s="14">
        <f>AI117*VLOOKUP('Données projet'!$B$10,Paramètres!$A$1:$I$89,3,0)*VLOOKUP('Données projet'!$B$10,Paramètres!$A$1:$I$89,5,0)</f>
        <v>237.02327999999991</v>
      </c>
      <c r="AK117" s="14">
        <f t="shared" si="89"/>
        <v>57.798610209508759</v>
      </c>
      <c r="AL117" s="22">
        <f t="shared" si="58"/>
        <v>513.48145878156095</v>
      </c>
      <c r="AM117" s="62">
        <f t="shared" si="59"/>
        <v>806.81479211489432</v>
      </c>
      <c r="AN117" s="62">
        <f ca="1">AVERAGE(OFFSET($AM$3,0,0,'Données projet'!$E$10+1,1))-AVERAGE(OFFSET($H$3,0,0,'Données projet'!$E$10+1,1))</f>
        <v>327.4984716935208</v>
      </c>
      <c r="AO117" s="62">
        <f t="shared" si="90"/>
        <v>166.97658184507776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0</v>
      </c>
      <c r="AV117" s="23">
        <f>EXP(-LN(2)/25)*AV116+(1-EXP(-LN(2)/25))/(LN(2)/25)*Calculateur!AQ117*Calculateur!AS117*VLOOKUP('Données projet'!$B$10,Paramètres!$A$1:$I$89,3,0)*0.475*44/12</f>
        <v>0</v>
      </c>
      <c r="AW117" s="23">
        <f>EXP(-LN(2)/2)*AW116+(1-EXP(-LN(2)/2))/(LN(2)/2)*AQ117*AT117*VLOOKUP('Données projet'!$B$10,Paramètres!$A$1:$I$89,3,0)*0.475*44/12</f>
        <v>0</v>
      </c>
      <c r="AX117" s="23">
        <f t="shared" si="60"/>
        <v>0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0</v>
      </c>
      <c r="BE117" s="14" t="e">
        <f>BD117*VLOOKUP('Données projet'!$B$11,Paramètres!$A$1:$I$89,3,0)*VLOOKUP('Données projet'!$B$11,Paramètres!$A$1:$I$89,5,0)</f>
        <v>#N/A</v>
      </c>
      <c r="BF117" s="14" t="e">
        <f t="shared" si="91"/>
        <v>#N/A</v>
      </c>
      <c r="BG117" s="22" t="e">
        <f t="shared" si="61"/>
        <v>#N/A</v>
      </c>
      <c r="BH117" s="62" t="e">
        <f t="shared" si="62"/>
        <v>#N/A</v>
      </c>
      <c r="BI117" s="62" t="e">
        <f ca="1">AVERAGE(OFFSET($BH$3,0,0,'Données projet'!$E$11+1,1))-AVERAGE(OFFSET($H$3,0,0,'Données projet'!$E$11+1,1))</f>
        <v>#N/A</v>
      </c>
      <c r="BJ117" s="62" t="e">
        <f t="shared" si="92"/>
        <v>#N/A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 t="e">
        <f>EXP(-LN(2)/35)*BP116+(1-EXP(-LN(2)/35))/(LN(2)/35)*BL117*BM117*VLOOKUP('Données projet'!$B$11,Paramètres!$A$1:$I$89,3,0)*0.475*44/12</f>
        <v>#N/A</v>
      </c>
      <c r="BQ117" s="23" t="e">
        <f>EXP(-LN(2)/25)*BQ116+(1-EXP(-LN(2)/25))/(LN(2)/25)*Calculateur!BL117*Calculateur!BN117*VLOOKUP('Données projet'!$B$11,Paramètres!$A$1:$I$89,3,0)*0.475*44/12</f>
        <v>#N/A</v>
      </c>
      <c r="BR117" s="23" t="e">
        <f>EXP(-LN(2)/2)*BR116+(1-EXP(-LN(2)/2))/(LN(2)/2)*BL117*BO117*VLOOKUP('Données projet'!$B$11,Paramètres!$A$1:$I$89,3,0)*0.475*44/12</f>
        <v>#N/A</v>
      </c>
      <c r="BS117" s="24" t="e">
        <f t="shared" si="63"/>
        <v>#N/A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0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0</v>
      </c>
      <c r="H118" s="70">
        <f t="shared" si="56"/>
        <v>256.66666666666669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8.032</v>
      </c>
      <c r="N118" s="14">
        <f>IF('Données projet'!$A$36&gt;35,N117+M118-V117,IF(A118&lt;'Données projet'!$A$36,$K$205^A118,IF(A118='Données projet'!$A$36,'Données projet'!$B$36,N117+M118-V117)))</f>
        <v>422.85999999999962</v>
      </c>
      <c r="O118" s="14">
        <f>N118*VLOOKUP('Données projet'!$B$9,Paramètres!$A$1:$I$89,3,0)*VLOOKUP('Données projet'!$B$9,Paramètres!$A$1:$I$89,5,0)</f>
        <v>197.89847999999984</v>
      </c>
      <c r="P118" s="14">
        <f t="shared" si="87"/>
        <v>49.282033684356875</v>
      </c>
      <c r="Q118" s="22">
        <f t="shared" si="107"/>
        <v>430.50606133358792</v>
      </c>
      <c r="R118" s="62">
        <f t="shared" si="55"/>
        <v>723.83939466692118</v>
      </c>
      <c r="S118" s="62">
        <f ca="1">AVERAGE(OFFSET($R$3,0,0,'Données projet'!$E$9+1,1))-AVERAGE(OFFSET($H$3,0,0,'Données projet'!$E$9+1,1))</f>
        <v>302.58171900450355</v>
      </c>
      <c r="T118" s="62">
        <f t="shared" si="88"/>
        <v>164.1450425611464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0</v>
      </c>
      <c r="AA118" s="23">
        <f>EXP(-LN(2)/25)*AA117+(1-EXP(-LN(2)/25))/(LN(2)/25)*Calculateur!V118*Calculateur!X118*VLOOKUP('Données projet'!$B$9,Paramètres!$A$1:$I$89,3,0)*0.475*44/12</f>
        <v>0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0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>
        <f>VLOOKUP(A118,'Données projet'!$A$61:$I$81,2,0)</f>
        <v>223</v>
      </c>
      <c r="AG118" s="13">
        <f>VLOOKUP(A118,'Données projet'!$A$61:$I$81,9,0)</f>
        <v>2.8</v>
      </c>
      <c r="AH118" s="13">
        <f t="array" ref="AH118">INDEX(AG:AG,MIN(IF(ISNUMBER(AG118:AG314),ROW(AG118:AG314),"")))</f>
        <v>2.8</v>
      </c>
      <c r="AI118" s="14">
        <f>IF('Données projet'!$A$62&gt;35,AI117+AH118-AQ117,IF(A118&lt;'Données projet'!$A$62,$AF$205^A118,IF(A118='Données projet'!$A$62,'Données projet'!$B$62,AI117+AH118-AQ117)))</f>
        <v>222.99999999999991</v>
      </c>
      <c r="AJ118" s="14">
        <f>AI118*VLOOKUP('Données projet'!$B$10,Paramètres!$A$1:$I$89,3,0)*VLOOKUP('Données projet'!$B$10,Paramètres!$A$1:$I$89,5,0)</f>
        <v>240.03719999999987</v>
      </c>
      <c r="AK118" s="14">
        <f t="shared" si="89"/>
        <v>58.447534171232491</v>
      </c>
      <c r="AL118" s="22">
        <f t="shared" si="58"/>
        <v>519.86091201489637</v>
      </c>
      <c r="AM118" s="62">
        <f t="shared" si="59"/>
        <v>813.19424534822974</v>
      </c>
      <c r="AN118" s="62">
        <f ca="1">AVERAGE(OFFSET($AM$3,0,0,'Données projet'!$E$10+1,1))-AVERAGE(OFFSET($H$3,0,0,'Données projet'!$E$10+1,1))</f>
        <v>327.4984716935208</v>
      </c>
      <c r="AO118" s="62">
        <f t="shared" si="90"/>
        <v>166.97658184507776</v>
      </c>
      <c r="AP118" s="16">
        <f>IF(ISNA(VLOOKUP(A118,'Données projet'!$A$61:$I$81,3,0)),0,VLOOKUP(A118,'Données projet'!$A$61:$I$81,3,0))</f>
        <v>19</v>
      </c>
      <c r="AQ118" s="16">
        <f>IF(ISNA(VLOOKUP(A118,'Données projet'!$A$61:$I$81,4,0)),0,VLOOKUP(A118,'Données projet'!$A$61:$I$81,4,0))</f>
        <v>13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0</v>
      </c>
      <c r="AV118" s="23">
        <f>EXP(-LN(2)/25)*AV117+(1-EXP(-LN(2)/25))/(LN(2)/25)*Calculateur!AQ118*Calculateur!AS118*VLOOKUP('Données projet'!$B$10,Paramètres!$A$1:$I$89,3,0)*0.475*44/12</f>
        <v>0</v>
      </c>
      <c r="AW118" s="23">
        <f>EXP(-LN(2)/2)*AW117+(1-EXP(-LN(2)/2))/(LN(2)/2)*AQ118*AT118*VLOOKUP('Données projet'!$B$10,Paramètres!$A$1:$I$89,3,0)*0.475*44/12</f>
        <v>0</v>
      </c>
      <c r="AX118" s="23">
        <f t="shared" si="60"/>
        <v>0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0</v>
      </c>
      <c r="BE118" s="14" t="e">
        <f>BD118*VLOOKUP('Données projet'!$B$11,Paramètres!$A$1:$I$89,3,0)*VLOOKUP('Données projet'!$B$11,Paramètres!$A$1:$I$89,5,0)</f>
        <v>#N/A</v>
      </c>
      <c r="BF118" s="14" t="e">
        <f t="shared" si="91"/>
        <v>#N/A</v>
      </c>
      <c r="BG118" s="22" t="e">
        <f t="shared" si="61"/>
        <v>#N/A</v>
      </c>
      <c r="BH118" s="62" t="e">
        <f t="shared" si="62"/>
        <v>#N/A</v>
      </c>
      <c r="BI118" s="62" t="e">
        <f ca="1">AVERAGE(OFFSET($BH$3,0,0,'Données projet'!$E$11+1,1))-AVERAGE(OFFSET($H$3,0,0,'Données projet'!$E$11+1,1))</f>
        <v>#N/A</v>
      </c>
      <c r="BJ118" s="62" t="e">
        <f t="shared" si="92"/>
        <v>#N/A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 t="e">
        <f>EXP(-LN(2)/35)*BP117+(1-EXP(-LN(2)/35))/(LN(2)/35)*BL118*BM118*VLOOKUP('Données projet'!$B$11,Paramètres!$A$1:$I$89,3,0)*0.475*44/12</f>
        <v>#N/A</v>
      </c>
      <c r="BQ118" s="23" t="e">
        <f>EXP(-LN(2)/25)*BQ117+(1-EXP(-LN(2)/25))/(LN(2)/25)*Calculateur!BL118*Calculateur!BN118*VLOOKUP('Données projet'!$B$11,Paramètres!$A$1:$I$89,3,0)*0.475*44/12</f>
        <v>#N/A</v>
      </c>
      <c r="BR118" s="23" t="e">
        <f>EXP(-LN(2)/2)*BR117+(1-EXP(-LN(2)/2))/(LN(2)/2)*BL118*BO118*VLOOKUP('Données projet'!$B$11,Paramètres!$A$1:$I$89,3,0)*0.475*44/12</f>
        <v>#N/A</v>
      </c>
      <c r="BS118" s="24" t="e">
        <f t="shared" si="63"/>
        <v>#N/A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0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0</v>
      </c>
      <c r="H119" s="70">
        <f t="shared" si="56"/>
        <v>256.66666666666669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8.032</v>
      </c>
      <c r="N119" s="14">
        <f>IF('Données projet'!$A$36&gt;35,N118+M119-V118,IF(A119&lt;'Données projet'!$A$36,$K$205^A119,IF(A119='Données projet'!$A$36,'Données projet'!$B$36,N118+M119-V118)))</f>
        <v>430.8919999999996</v>
      </c>
      <c r="O119" s="14">
        <f>N119*VLOOKUP('Données projet'!$B$9,Paramètres!$A$1:$I$89,3,0)*VLOOKUP('Données projet'!$B$9,Paramètres!$A$1:$I$89,5,0)</f>
        <v>201.6574559999998</v>
      </c>
      <c r="P119" s="14">
        <f t="shared" si="87"/>
        <v>50.108251238309741</v>
      </c>
      <c r="Q119" s="22">
        <f t="shared" si="107"/>
        <v>438.49194010672244</v>
      </c>
      <c r="R119" s="62">
        <f t="shared" si="55"/>
        <v>731.82527344005575</v>
      </c>
      <c r="S119" s="62">
        <f ca="1">AVERAGE(OFFSET($R$3,0,0,'Données projet'!$E$9+1,1))-AVERAGE(OFFSET($H$3,0,0,'Données projet'!$E$9+1,1))</f>
        <v>302.58171900450355</v>
      </c>
      <c r="T119" s="62">
        <f t="shared" si="88"/>
        <v>164.1450425611464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0</v>
      </c>
      <c r="AA119" s="23">
        <f>EXP(-LN(2)/25)*AA118+(1-EXP(-LN(2)/25))/(LN(2)/25)*Calculateur!V119*Calculateur!X119*VLOOKUP('Données projet'!$B$9,Paramètres!$A$1:$I$89,3,0)*0.475*44/12</f>
        <v>0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0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2.4</v>
      </c>
      <c r="AI119" s="14">
        <f>IF('Données projet'!$A$62&gt;35,AI118+AH119-AQ118,IF(A119&lt;'Données projet'!$A$62,$AF$205^A119,IF(A119='Données projet'!$A$62,'Données projet'!$B$62,AI118+AH119-AQ118)))</f>
        <v>212.39999999999992</v>
      </c>
      <c r="AJ119" s="14">
        <f>AI119*VLOOKUP('Données projet'!$B$10,Paramètres!$A$1:$I$89,3,0)*VLOOKUP('Données projet'!$B$10,Paramètres!$A$1:$I$89,5,0)</f>
        <v>228.6273599999999</v>
      </c>
      <c r="AK119" s="14">
        <f t="shared" si="89"/>
        <v>55.985781352428646</v>
      </c>
      <c r="AL119" s="22">
        <f t="shared" si="58"/>
        <v>495.70122118881301</v>
      </c>
      <c r="AM119" s="62">
        <f t="shared" si="59"/>
        <v>789.03455452214632</v>
      </c>
      <c r="AN119" s="62">
        <f ca="1">AVERAGE(OFFSET($AM$3,0,0,'Données projet'!$E$10+1,1))-AVERAGE(OFFSET($H$3,0,0,'Données projet'!$E$10+1,1))</f>
        <v>327.4984716935208</v>
      </c>
      <c r="AO119" s="62">
        <f t="shared" si="90"/>
        <v>166.97658184507776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0</v>
      </c>
      <c r="AV119" s="23">
        <f>EXP(-LN(2)/25)*AV118+(1-EXP(-LN(2)/25))/(LN(2)/25)*Calculateur!AQ119*Calculateur!AS119*VLOOKUP('Données projet'!$B$10,Paramètres!$A$1:$I$89,3,0)*0.475*44/12</f>
        <v>0</v>
      </c>
      <c r="AW119" s="23">
        <f>EXP(-LN(2)/2)*AW118+(1-EXP(-LN(2)/2))/(LN(2)/2)*AQ119*AT119*VLOOKUP('Données projet'!$B$10,Paramètres!$A$1:$I$89,3,0)*0.475*44/12</f>
        <v>0</v>
      </c>
      <c r="AX119" s="23">
        <f t="shared" si="60"/>
        <v>0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0</v>
      </c>
      <c r="BE119" s="14" t="e">
        <f>BD119*VLOOKUP('Données projet'!$B$11,Paramètres!$A$1:$I$89,3,0)*VLOOKUP('Données projet'!$B$11,Paramètres!$A$1:$I$89,5,0)</f>
        <v>#N/A</v>
      </c>
      <c r="BF119" s="14" t="e">
        <f t="shared" si="91"/>
        <v>#N/A</v>
      </c>
      <c r="BG119" s="22" t="e">
        <f t="shared" si="61"/>
        <v>#N/A</v>
      </c>
      <c r="BH119" s="62" t="e">
        <f t="shared" si="62"/>
        <v>#N/A</v>
      </c>
      <c r="BI119" s="62" t="e">
        <f ca="1">AVERAGE(OFFSET($BH$3,0,0,'Données projet'!$E$11+1,1))-AVERAGE(OFFSET($H$3,0,0,'Données projet'!$E$11+1,1))</f>
        <v>#N/A</v>
      </c>
      <c r="BJ119" s="62" t="e">
        <f t="shared" si="92"/>
        <v>#N/A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 t="e">
        <f>EXP(-LN(2)/35)*BP118+(1-EXP(-LN(2)/35))/(LN(2)/35)*BL119*BM119*VLOOKUP('Données projet'!$B$11,Paramètres!$A$1:$I$89,3,0)*0.475*44/12</f>
        <v>#N/A</v>
      </c>
      <c r="BQ119" s="23" t="e">
        <f>EXP(-LN(2)/25)*BQ118+(1-EXP(-LN(2)/25))/(LN(2)/25)*Calculateur!BL119*Calculateur!BN119*VLOOKUP('Données projet'!$B$11,Paramètres!$A$1:$I$89,3,0)*0.475*44/12</f>
        <v>#N/A</v>
      </c>
      <c r="BR119" s="23" t="e">
        <f>EXP(-LN(2)/2)*BR118+(1-EXP(-LN(2)/2))/(LN(2)/2)*BL119*BO119*VLOOKUP('Données projet'!$B$11,Paramètres!$A$1:$I$89,3,0)*0.475*44/12</f>
        <v>#N/A</v>
      </c>
      <c r="BS119" s="24" t="e">
        <f t="shared" si="63"/>
        <v>#N/A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0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0</v>
      </c>
      <c r="H120" s="70">
        <f t="shared" si="56"/>
        <v>256.66666666666669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8.032</v>
      </c>
      <c r="N120" s="14">
        <f>IF('Données projet'!$A$36&gt;35,N119+M120-V119,IF(A120&lt;'Données projet'!$A$36,$K$205^A120,IF(A120='Données projet'!$A$36,'Données projet'!$B$36,N119+M120-V119)))</f>
        <v>438.92399999999958</v>
      </c>
      <c r="O120" s="14">
        <f>N120*VLOOKUP('Données projet'!$B$9,Paramètres!$A$1:$I$89,3,0)*VLOOKUP('Données projet'!$B$9,Paramètres!$A$1:$I$89,5,0)</f>
        <v>205.41643199999979</v>
      </c>
      <c r="P120" s="14">
        <f t="shared" si="87"/>
        <v>50.932677946487217</v>
      </c>
      <c r="Q120" s="22">
        <f t="shared" si="107"/>
        <v>446.47469982346485</v>
      </c>
      <c r="R120" s="62">
        <f t="shared" si="55"/>
        <v>739.80803315679816</v>
      </c>
      <c r="S120" s="62">
        <f ca="1">AVERAGE(OFFSET($R$3,0,0,'Données projet'!$E$9+1,1))-AVERAGE(OFFSET($H$3,0,0,'Données projet'!$E$9+1,1))</f>
        <v>302.58171900450355</v>
      </c>
      <c r="T120" s="62">
        <f t="shared" si="88"/>
        <v>164.1450425611464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0</v>
      </c>
      <c r="AA120" s="23">
        <f>EXP(-LN(2)/25)*AA119+(1-EXP(-LN(2)/25))/(LN(2)/25)*Calculateur!V120*Calculateur!X120*VLOOKUP('Données projet'!$B$9,Paramètres!$A$1:$I$89,3,0)*0.475*44/12</f>
        <v>0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0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2.4</v>
      </c>
      <c r="AI120" s="14">
        <f>IF('Données projet'!$A$62&gt;35,AI119+AH120-AQ119,IF(A120&lt;'Données projet'!$A$62,$AF$205^A120,IF(A120='Données projet'!$A$62,'Données projet'!$B$62,AI119+AH120-AQ119)))</f>
        <v>214.79999999999993</v>
      </c>
      <c r="AJ120" s="14">
        <f>AI120*VLOOKUP('Données projet'!$B$10,Paramètres!$A$1:$I$89,3,0)*VLOOKUP('Données projet'!$B$10,Paramètres!$A$1:$I$89,5,0)</f>
        <v>231.2107199999999</v>
      </c>
      <c r="AK120" s="14">
        <f t="shared" si="89"/>
        <v>56.544387456445222</v>
      </c>
      <c r="AL120" s="22">
        <f t="shared" si="58"/>
        <v>501.17347881997517</v>
      </c>
      <c r="AM120" s="62">
        <f t="shared" si="59"/>
        <v>794.50681215330849</v>
      </c>
      <c r="AN120" s="62">
        <f ca="1">AVERAGE(OFFSET($AM$3,0,0,'Données projet'!$E$10+1,1))-AVERAGE(OFFSET($H$3,0,0,'Données projet'!$E$10+1,1))</f>
        <v>327.4984716935208</v>
      </c>
      <c r="AO120" s="62">
        <f t="shared" si="90"/>
        <v>166.97658184507776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0</v>
      </c>
      <c r="AV120" s="23">
        <f>EXP(-LN(2)/25)*AV119+(1-EXP(-LN(2)/25))/(LN(2)/25)*Calculateur!AQ120*Calculateur!AS120*VLOOKUP('Données projet'!$B$10,Paramètres!$A$1:$I$89,3,0)*0.475*44/12</f>
        <v>0</v>
      </c>
      <c r="AW120" s="23">
        <f>EXP(-LN(2)/2)*AW119+(1-EXP(-LN(2)/2))/(LN(2)/2)*AQ120*AT120*VLOOKUP('Données projet'!$B$10,Paramètres!$A$1:$I$89,3,0)*0.475*44/12</f>
        <v>0</v>
      </c>
      <c r="AX120" s="23">
        <f t="shared" si="60"/>
        <v>0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0</v>
      </c>
      <c r="BE120" s="14" t="e">
        <f>BD120*VLOOKUP('Données projet'!$B$11,Paramètres!$A$1:$I$89,3,0)*VLOOKUP('Données projet'!$B$11,Paramètres!$A$1:$I$89,5,0)</f>
        <v>#N/A</v>
      </c>
      <c r="BF120" s="14" t="e">
        <f t="shared" si="91"/>
        <v>#N/A</v>
      </c>
      <c r="BG120" s="22" t="e">
        <f t="shared" si="61"/>
        <v>#N/A</v>
      </c>
      <c r="BH120" s="62" t="e">
        <f t="shared" si="62"/>
        <v>#N/A</v>
      </c>
      <c r="BI120" s="62" t="e">
        <f ca="1">AVERAGE(OFFSET($BH$3,0,0,'Données projet'!$E$11+1,1))-AVERAGE(OFFSET($H$3,0,0,'Données projet'!$E$11+1,1))</f>
        <v>#N/A</v>
      </c>
      <c r="BJ120" s="62" t="e">
        <f t="shared" si="92"/>
        <v>#N/A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 t="e">
        <f>EXP(-LN(2)/35)*BP119+(1-EXP(-LN(2)/35))/(LN(2)/35)*BL120*BM120*VLOOKUP('Données projet'!$B$11,Paramètres!$A$1:$I$89,3,0)*0.475*44/12</f>
        <v>#N/A</v>
      </c>
      <c r="BQ120" s="23" t="e">
        <f>EXP(-LN(2)/25)*BQ119+(1-EXP(-LN(2)/25))/(LN(2)/25)*Calculateur!BL120*Calculateur!BN120*VLOOKUP('Données projet'!$B$11,Paramètres!$A$1:$I$89,3,0)*0.475*44/12</f>
        <v>#N/A</v>
      </c>
      <c r="BR120" s="23" t="e">
        <f>EXP(-LN(2)/2)*BR119+(1-EXP(-LN(2)/2))/(LN(2)/2)*BL120*BO120*VLOOKUP('Données projet'!$B$11,Paramètres!$A$1:$I$89,3,0)*0.475*44/12</f>
        <v>#N/A</v>
      </c>
      <c r="BS120" s="24" t="e">
        <f t="shared" si="63"/>
        <v>#N/A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0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0</v>
      </c>
      <c r="H121" s="70">
        <f t="shared" si="56"/>
        <v>256.66666666666669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8.032</v>
      </c>
      <c r="N121" s="14">
        <f>IF('Données projet'!$A$36&gt;35,N120+M121-V120,IF(A121&lt;'Données projet'!$A$36,$K$205^A121,IF(A121='Données projet'!$A$36,'Données projet'!$B$36,N120+M121-V120)))</f>
        <v>446.95599999999956</v>
      </c>
      <c r="O121" s="14">
        <f>N121*VLOOKUP('Données projet'!$B$9,Paramètres!$A$1:$I$89,3,0)*VLOOKUP('Données projet'!$B$9,Paramètres!$A$1:$I$89,5,0)</f>
        <v>209.17540799999981</v>
      </c>
      <c r="P121" s="14">
        <f t="shared" si="87"/>
        <v>51.755350359851938</v>
      </c>
      <c r="Q121" s="22">
        <f t="shared" si="107"/>
        <v>454.45440414340845</v>
      </c>
      <c r="R121" s="62">
        <f t="shared" si="55"/>
        <v>747.78773747674177</v>
      </c>
      <c r="S121" s="62">
        <f ca="1">AVERAGE(OFFSET($R$3,0,0,'Données projet'!$E$9+1,1))-AVERAGE(OFFSET($H$3,0,0,'Données projet'!$E$9+1,1))</f>
        <v>302.58171900450355</v>
      </c>
      <c r="T121" s="62">
        <f t="shared" si="88"/>
        <v>164.1450425611464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0</v>
      </c>
      <c r="AA121" s="23">
        <f>EXP(-LN(2)/25)*AA120+(1-EXP(-LN(2)/25))/(LN(2)/25)*Calculateur!V121*Calculateur!X121*VLOOKUP('Données projet'!$B$9,Paramètres!$A$1:$I$89,3,0)*0.475*44/12</f>
        <v>0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0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2.4</v>
      </c>
      <c r="AI121" s="14">
        <f>IF('Données projet'!$A$62&gt;35,AI120+AH121-AQ120,IF(A121&lt;'Données projet'!$A$62,$AF$205^A121,IF(A121='Données projet'!$A$62,'Données projet'!$B$62,AI120+AH121-AQ120)))</f>
        <v>217.19999999999993</v>
      </c>
      <c r="AJ121" s="14">
        <f>AI121*VLOOKUP('Données projet'!$B$10,Paramètres!$A$1:$I$89,3,0)*VLOOKUP('Données projet'!$B$10,Paramètres!$A$1:$I$89,5,0)</f>
        <v>233.79407999999992</v>
      </c>
      <c r="AK121" s="14">
        <f t="shared" si="89"/>
        <v>57.102267516703527</v>
      </c>
      <c r="AL121" s="22">
        <f t="shared" si="58"/>
        <v>506.64447192492509</v>
      </c>
      <c r="AM121" s="62">
        <f t="shared" si="59"/>
        <v>799.9778052582584</v>
      </c>
      <c r="AN121" s="62">
        <f ca="1">AVERAGE(OFFSET($AM$3,0,0,'Données projet'!$E$10+1,1))-AVERAGE(OFFSET($H$3,0,0,'Données projet'!$E$10+1,1))</f>
        <v>327.4984716935208</v>
      </c>
      <c r="AO121" s="62">
        <f t="shared" si="90"/>
        <v>166.97658184507776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0</v>
      </c>
      <c r="AV121" s="23">
        <f>EXP(-LN(2)/25)*AV120+(1-EXP(-LN(2)/25))/(LN(2)/25)*Calculateur!AQ121*Calculateur!AS121*VLOOKUP('Données projet'!$B$10,Paramètres!$A$1:$I$89,3,0)*0.475*44/12</f>
        <v>0</v>
      </c>
      <c r="AW121" s="23">
        <f>EXP(-LN(2)/2)*AW120+(1-EXP(-LN(2)/2))/(LN(2)/2)*AQ121*AT121*VLOOKUP('Données projet'!$B$10,Paramètres!$A$1:$I$89,3,0)*0.475*44/12</f>
        <v>0</v>
      </c>
      <c r="AX121" s="23">
        <f t="shared" si="60"/>
        <v>0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0</v>
      </c>
      <c r="BE121" s="14" t="e">
        <f>BD121*VLOOKUP('Données projet'!$B$11,Paramètres!$A$1:$I$89,3,0)*VLOOKUP('Données projet'!$B$11,Paramètres!$A$1:$I$89,5,0)</f>
        <v>#N/A</v>
      </c>
      <c r="BF121" s="14" t="e">
        <f t="shared" si="91"/>
        <v>#N/A</v>
      </c>
      <c r="BG121" s="22" t="e">
        <f t="shared" si="61"/>
        <v>#N/A</v>
      </c>
      <c r="BH121" s="62" t="e">
        <f t="shared" si="62"/>
        <v>#N/A</v>
      </c>
      <c r="BI121" s="62" t="e">
        <f ca="1">AVERAGE(OFFSET($BH$3,0,0,'Données projet'!$E$11+1,1))-AVERAGE(OFFSET($H$3,0,0,'Données projet'!$E$11+1,1))</f>
        <v>#N/A</v>
      </c>
      <c r="BJ121" s="62" t="e">
        <f t="shared" si="92"/>
        <v>#N/A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 t="e">
        <f>EXP(-LN(2)/35)*BP120+(1-EXP(-LN(2)/35))/(LN(2)/35)*BL121*BM121*VLOOKUP('Données projet'!$B$11,Paramètres!$A$1:$I$89,3,0)*0.475*44/12</f>
        <v>#N/A</v>
      </c>
      <c r="BQ121" s="23" t="e">
        <f>EXP(-LN(2)/25)*BQ120+(1-EXP(-LN(2)/25))/(LN(2)/25)*Calculateur!BL121*Calculateur!BN121*VLOOKUP('Données projet'!$B$11,Paramètres!$A$1:$I$89,3,0)*0.475*44/12</f>
        <v>#N/A</v>
      </c>
      <c r="BR121" s="23" t="e">
        <f>EXP(-LN(2)/2)*BR120+(1-EXP(-LN(2)/2))/(LN(2)/2)*BL121*BO121*VLOOKUP('Données projet'!$B$11,Paramètres!$A$1:$I$89,3,0)*0.475*44/12</f>
        <v>#N/A</v>
      </c>
      <c r="BS121" s="24" t="e">
        <f t="shared" si="63"/>
        <v>#N/A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0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0</v>
      </c>
      <c r="H122" s="70">
        <f t="shared" si="56"/>
        <v>256.66666666666669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8.032</v>
      </c>
      <c r="N122" s="14">
        <f>IF('Données projet'!$A$36&gt;35,N121+M122-V121,IF(A122&lt;'Données projet'!$A$36,$K$205^A122,IF(A122='Données projet'!$A$36,'Données projet'!$B$36,N121+M122-V121)))</f>
        <v>454.98799999999954</v>
      </c>
      <c r="O122" s="14">
        <f>N122*VLOOKUP('Données projet'!$B$9,Paramètres!$A$1:$I$89,3,0)*VLOOKUP('Données projet'!$B$9,Paramètres!$A$1:$I$89,5,0)</f>
        <v>212.9343839999998</v>
      </c>
      <c r="P122" s="14">
        <f t="shared" si="87"/>
        <v>52.576303640465319</v>
      </c>
      <c r="Q122" s="22">
        <f t="shared" si="107"/>
        <v>462.43111430714339</v>
      </c>
      <c r="R122" s="62">
        <f t="shared" si="55"/>
        <v>755.76444764047665</v>
      </c>
      <c r="S122" s="62">
        <f ca="1">AVERAGE(OFFSET($R$3,0,0,'Données projet'!$E$9+1,1))-AVERAGE(OFFSET($H$3,0,0,'Données projet'!$E$9+1,1))</f>
        <v>302.58171900450355</v>
      </c>
      <c r="T122" s="62">
        <f t="shared" si="88"/>
        <v>164.1450425611464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0</v>
      </c>
      <c r="AA122" s="23">
        <f>EXP(-LN(2)/25)*AA121+(1-EXP(-LN(2)/25))/(LN(2)/25)*Calculateur!V122*Calculateur!X122*VLOOKUP('Données projet'!$B$9,Paramètres!$A$1:$I$89,3,0)*0.475*44/12</f>
        <v>0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0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2.4</v>
      </c>
      <c r="AI122" s="14">
        <f>IF('Données projet'!$A$62&gt;35,AI121+AH122-AQ121,IF(A122&lt;'Données projet'!$A$62,$AF$205^A122,IF(A122='Données projet'!$A$62,'Données projet'!$B$62,AI121+AH122-AQ121)))</f>
        <v>219.59999999999994</v>
      </c>
      <c r="AJ122" s="14">
        <f>AI122*VLOOKUP('Données projet'!$B$10,Paramètres!$A$1:$I$89,3,0)*VLOOKUP('Données projet'!$B$10,Paramètres!$A$1:$I$89,5,0)</f>
        <v>236.37743999999992</v>
      </c>
      <c r="AK122" s="14">
        <f t="shared" si="89"/>
        <v>57.659430484223769</v>
      </c>
      <c r="AL122" s="22">
        <f t="shared" si="58"/>
        <v>512.11421609335628</v>
      </c>
      <c r="AM122" s="62">
        <f t="shared" si="59"/>
        <v>805.44754942668965</v>
      </c>
      <c r="AN122" s="62">
        <f ca="1">AVERAGE(OFFSET($AM$3,0,0,'Données projet'!$E$10+1,1))-AVERAGE(OFFSET($H$3,0,0,'Données projet'!$E$10+1,1))</f>
        <v>327.4984716935208</v>
      </c>
      <c r="AO122" s="62">
        <f t="shared" si="90"/>
        <v>166.97658184507776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0</v>
      </c>
      <c r="AV122" s="23">
        <f>EXP(-LN(2)/25)*AV121+(1-EXP(-LN(2)/25))/(LN(2)/25)*Calculateur!AQ122*Calculateur!AS122*VLOOKUP('Données projet'!$B$10,Paramètres!$A$1:$I$89,3,0)*0.475*44/12</f>
        <v>0</v>
      </c>
      <c r="AW122" s="23">
        <f>EXP(-LN(2)/2)*AW121+(1-EXP(-LN(2)/2))/(LN(2)/2)*AQ122*AT122*VLOOKUP('Données projet'!$B$10,Paramètres!$A$1:$I$89,3,0)*0.475*44/12</f>
        <v>0</v>
      </c>
      <c r="AX122" s="23">
        <f t="shared" si="60"/>
        <v>0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0</v>
      </c>
      <c r="BE122" s="14" t="e">
        <f>BD122*VLOOKUP('Données projet'!$B$11,Paramètres!$A$1:$I$89,3,0)*VLOOKUP('Données projet'!$B$11,Paramètres!$A$1:$I$89,5,0)</f>
        <v>#N/A</v>
      </c>
      <c r="BF122" s="14" t="e">
        <f t="shared" si="91"/>
        <v>#N/A</v>
      </c>
      <c r="BG122" s="22" t="e">
        <f t="shared" si="61"/>
        <v>#N/A</v>
      </c>
      <c r="BH122" s="62" t="e">
        <f t="shared" si="62"/>
        <v>#N/A</v>
      </c>
      <c r="BI122" s="62" t="e">
        <f ca="1">AVERAGE(OFFSET($BH$3,0,0,'Données projet'!$E$11+1,1))-AVERAGE(OFFSET($H$3,0,0,'Données projet'!$E$11+1,1))</f>
        <v>#N/A</v>
      </c>
      <c r="BJ122" s="62" t="e">
        <f t="shared" si="92"/>
        <v>#N/A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 t="e">
        <f>EXP(-LN(2)/35)*BP121+(1-EXP(-LN(2)/35))/(LN(2)/35)*BL122*BM122*VLOOKUP('Données projet'!$B$11,Paramètres!$A$1:$I$89,3,0)*0.475*44/12</f>
        <v>#N/A</v>
      </c>
      <c r="BQ122" s="23" t="e">
        <f>EXP(-LN(2)/25)*BQ121+(1-EXP(-LN(2)/25))/(LN(2)/25)*Calculateur!BL122*Calculateur!BN122*VLOOKUP('Données projet'!$B$11,Paramètres!$A$1:$I$89,3,0)*0.475*44/12</f>
        <v>#N/A</v>
      </c>
      <c r="BR122" s="23" t="e">
        <f>EXP(-LN(2)/2)*BR121+(1-EXP(-LN(2)/2))/(LN(2)/2)*BL122*BO122*VLOOKUP('Données projet'!$B$11,Paramètres!$A$1:$I$89,3,0)*0.475*44/12</f>
        <v>#N/A</v>
      </c>
      <c r="BS122" s="24" t="e">
        <f t="shared" si="63"/>
        <v>#N/A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0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0</v>
      </c>
      <c r="H123" s="70">
        <f t="shared" si="56"/>
        <v>256.66666666666669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>
        <f>VLOOKUP(A123,'Données projet'!$A$35:$I$55,2,0)</f>
        <v>463.02</v>
      </c>
      <c r="L123" s="13">
        <f>VLOOKUP(A123,'Données projet'!$A$35:$I$55,9,0)</f>
        <v>8.032</v>
      </c>
      <c r="M123" s="13">
        <f t="array" ref="M123">INDEX(L:L,MIN(IF(ISNUMBER(L123:L319),ROW(L123:L319),"")))</f>
        <v>8.032</v>
      </c>
      <c r="N123" s="14">
        <f>IF('Données projet'!$A$36&gt;35,N122+M123-V122,IF(A123&lt;'Données projet'!$A$36,$K$205^A123,IF(A123='Données projet'!$A$36,'Données projet'!$B$36,N122+M123-V122)))</f>
        <v>463.01999999999953</v>
      </c>
      <c r="O123" s="14">
        <f>N123*VLOOKUP('Données projet'!$B$9,Paramètres!$A$1:$I$89,3,0)*VLOOKUP('Données projet'!$B$9,Paramètres!$A$1:$I$89,5,0)</f>
        <v>216.69335999999979</v>
      </c>
      <c r="P123" s="14">
        <f t="shared" si="87"/>
        <v>53.395571637834742</v>
      </c>
      <c r="Q123" s="22">
        <f t="shared" si="107"/>
        <v>470.40488926922853</v>
      </c>
      <c r="R123" s="62">
        <f t="shared" si="55"/>
        <v>763.73822260256179</v>
      </c>
      <c r="S123" s="62">
        <f ca="1">AVERAGE(OFFSET($R$3,0,0,'Données projet'!$E$9+1,1))-AVERAGE(OFFSET($H$3,0,0,'Données projet'!$E$9+1,1))</f>
        <v>302.58171900450355</v>
      </c>
      <c r="T123" s="62">
        <f t="shared" si="88"/>
        <v>164.1450425611464</v>
      </c>
      <c r="U123" s="16">
        <f>IF(ISNA(VLOOKUP(A123,'Données projet'!$A$35:$I$55,3,0)),0,VLOOKUP(A123,'Données projet'!$A$35:$I$55,3,0))</f>
        <v>17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0</v>
      </c>
      <c r="AA123" s="23">
        <f>EXP(-LN(2)/25)*AA122+(1-EXP(-LN(2)/25))/(LN(2)/25)*Calculateur!V123*Calculateur!X123*VLOOKUP('Données projet'!$B$9,Paramètres!$A$1:$I$89,3,0)*0.475*44/12</f>
        <v>0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0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>
        <f>VLOOKUP(A123,'Données projet'!$A$61:$I$81,2,0)</f>
        <v>222</v>
      </c>
      <c r="AG123" s="13">
        <f>VLOOKUP(A123,'Données projet'!$A$61:$I$81,9,0)</f>
        <v>2.4</v>
      </c>
      <c r="AH123" s="13">
        <f t="array" ref="AH123">INDEX(AG:AG,MIN(IF(ISNUMBER(AG123:AG319),ROW(AG123:AG319),"")))</f>
        <v>2.4</v>
      </c>
      <c r="AI123" s="14">
        <f>IF('Données projet'!$A$62&gt;35,AI122+AH123-AQ122,IF(A123&lt;'Données projet'!$A$62,$AF$205^A123,IF(A123='Données projet'!$A$62,'Données projet'!$B$62,AI122+AH123-AQ122)))</f>
        <v>221.99999999999994</v>
      </c>
      <c r="AJ123" s="14">
        <f>AI123*VLOOKUP('Données projet'!$B$10,Paramètres!$A$1:$I$89,3,0)*VLOOKUP('Données projet'!$B$10,Paramètres!$A$1:$I$89,5,0)</f>
        <v>238.96079999999992</v>
      </c>
      <c r="AK123" s="14">
        <f t="shared" si="89"/>
        <v>58.215885103108292</v>
      </c>
      <c r="AL123" s="22">
        <f t="shared" si="58"/>
        <v>517.58272655458006</v>
      </c>
      <c r="AM123" s="62">
        <f t="shared" si="59"/>
        <v>810.91605988791343</v>
      </c>
      <c r="AN123" s="62">
        <f ca="1">AVERAGE(OFFSET($AM$3,0,0,'Données projet'!$E$10+1,1))-AVERAGE(OFFSET($H$3,0,0,'Données projet'!$E$10+1,1))</f>
        <v>327.4984716935208</v>
      </c>
      <c r="AO123" s="62">
        <f t="shared" si="90"/>
        <v>166.97658184507776</v>
      </c>
      <c r="AP123" s="16">
        <f>IF(ISNA(VLOOKUP(A123,'Données projet'!$A$61:$I$81,3,0)),0,VLOOKUP(A123,'Données projet'!$A$61:$I$81,3,0))</f>
        <v>20</v>
      </c>
      <c r="AQ123" s="16">
        <f>IF(ISNA(VLOOKUP(A123,'Données projet'!$A$61:$I$81,4,0)),0,VLOOKUP(A123,'Données projet'!$A$61:$I$81,4,0))</f>
        <v>222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0</v>
      </c>
      <c r="AV123" s="23">
        <f>EXP(-LN(2)/25)*AV122+(1-EXP(-LN(2)/25))/(LN(2)/25)*Calculateur!AQ123*Calculateur!AS123*VLOOKUP('Données projet'!$B$10,Paramètres!$A$1:$I$89,3,0)*0.475*44/12</f>
        <v>0</v>
      </c>
      <c r="AW123" s="23">
        <f>EXP(-LN(2)/2)*AW122+(1-EXP(-LN(2)/2))/(LN(2)/2)*AQ123*AT123*VLOOKUP('Données projet'!$B$10,Paramètres!$A$1:$I$89,3,0)*0.475*44/12</f>
        <v>0</v>
      </c>
      <c r="AX123" s="23">
        <f t="shared" si="60"/>
        <v>0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0</v>
      </c>
      <c r="BE123" s="14" t="e">
        <f>BD123*VLOOKUP('Données projet'!$B$11,Paramètres!$A$1:$I$89,3,0)*VLOOKUP('Données projet'!$B$11,Paramètres!$A$1:$I$89,5,0)</f>
        <v>#N/A</v>
      </c>
      <c r="BF123" s="14" t="e">
        <f t="shared" si="91"/>
        <v>#N/A</v>
      </c>
      <c r="BG123" s="22" t="e">
        <f t="shared" si="61"/>
        <v>#N/A</v>
      </c>
      <c r="BH123" s="62" t="e">
        <f t="shared" si="62"/>
        <v>#N/A</v>
      </c>
      <c r="BI123" s="62" t="e">
        <f ca="1">AVERAGE(OFFSET($BH$3,0,0,'Données projet'!$E$11+1,1))-AVERAGE(OFFSET($H$3,0,0,'Données projet'!$E$11+1,1))</f>
        <v>#N/A</v>
      </c>
      <c r="BJ123" s="62" t="e">
        <f t="shared" si="92"/>
        <v>#N/A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 t="e">
        <f>EXP(-LN(2)/35)*BP122+(1-EXP(-LN(2)/35))/(LN(2)/35)*BL123*BM123*VLOOKUP('Données projet'!$B$11,Paramètres!$A$1:$I$89,3,0)*0.475*44/12</f>
        <v>#N/A</v>
      </c>
      <c r="BQ123" s="23" t="e">
        <f>EXP(-LN(2)/25)*BQ122+(1-EXP(-LN(2)/25))/(LN(2)/25)*Calculateur!BL123*Calculateur!BN123*VLOOKUP('Données projet'!$B$11,Paramètres!$A$1:$I$89,3,0)*0.475*44/12</f>
        <v>#N/A</v>
      </c>
      <c r="BR123" s="23" t="e">
        <f>EXP(-LN(2)/2)*BR122+(1-EXP(-LN(2)/2))/(LN(2)/2)*BL123*BO123*VLOOKUP('Données projet'!$B$11,Paramètres!$A$1:$I$89,3,0)*0.475*44/12</f>
        <v>#N/A</v>
      </c>
      <c r="BS123" s="24" t="e">
        <f t="shared" si="63"/>
        <v>#N/A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0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0</v>
      </c>
      <c r="H124" s="70">
        <f t="shared" si="56"/>
        <v>256.66666666666669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>
        <f>VLOOKUP(A124,'Données projet'!$A$35:$I$55,2,0)</f>
        <v>471.22</v>
      </c>
      <c r="L124" s="13">
        <f>VLOOKUP(A124,'Données projet'!$A$35:$I$55,9,0)</f>
        <v>8.2000000000000455</v>
      </c>
      <c r="M124" s="13">
        <f t="array" ref="M124">INDEX(L:L,MIN(IF(ISNUMBER(L124:L320),ROW(L124:L320),"")))</f>
        <v>8.2000000000000455</v>
      </c>
      <c r="N124" s="14">
        <f>IF('Données projet'!$A$36&gt;35,N123+M124-V123,IF(A124&lt;'Données projet'!$A$36,$K$205^A124,IF(A124='Données projet'!$A$36,'Données projet'!$B$36,N123+M124-V123)))</f>
        <v>471.21999999999957</v>
      </c>
      <c r="O124" s="14">
        <f>N124*VLOOKUP('Données projet'!$B$9,Paramètres!$A$1:$I$89,3,0)*VLOOKUP('Données projet'!$B$9,Paramètres!$A$1:$I$89,5,0)</f>
        <v>220.53095999999979</v>
      </c>
      <c r="P124" s="14">
        <f t="shared" si="87"/>
        <v>54.230271058113658</v>
      </c>
      <c r="Q124" s="22">
        <f t="shared" si="107"/>
        <v>478.54247742621436</v>
      </c>
      <c r="R124" s="62">
        <f t="shared" si="55"/>
        <v>771.87581075954768</v>
      </c>
      <c r="S124" s="62">
        <f ca="1">AVERAGE(OFFSET($R$3,0,0,'Données projet'!$E$9+1,1))-AVERAGE(OFFSET($H$3,0,0,'Données projet'!$E$9+1,1))</f>
        <v>302.58171900450355</v>
      </c>
      <c r="T124" s="62">
        <f t="shared" si="88"/>
        <v>164.1450425611464</v>
      </c>
      <c r="U124" s="16">
        <f>IF(ISNA(VLOOKUP(A124,'Données projet'!$A$35:$I$55,3,0)),0,VLOOKUP(A124,'Données projet'!$A$35:$I$55,3,0))</f>
        <v>18</v>
      </c>
      <c r="V124" s="16">
        <f>IF(ISNA(VLOOKUP(A124,'Données projet'!$A$35:$I$55,4,0)),0,VLOOKUP(A124,'Données projet'!$A$35:$I$55,4,0))</f>
        <v>233.54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0</v>
      </c>
      <c r="AA124" s="23">
        <f>EXP(-LN(2)/25)*AA123+(1-EXP(-LN(2)/25))/(LN(2)/25)*Calculateur!V124*Calculateur!X124*VLOOKUP('Données projet'!$B$9,Paramètres!$A$1:$I$89,3,0)*0.475*44/12</f>
        <v>0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0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-5.6843418860808015E-14</v>
      </c>
      <c r="AJ124" s="14">
        <f>AI124*VLOOKUP('Données projet'!$B$10,Paramètres!$A$1:$I$89,3,0)*VLOOKUP('Données projet'!$B$10,Paramètres!$A$1:$I$89,5,0)</f>
        <v>-6.1186256061773749E-14</v>
      </c>
      <c r="AK124" s="14" t="e">
        <f t="shared" si="89"/>
        <v>#NUM!</v>
      </c>
      <c r="AL124" s="22" t="e">
        <f t="shared" si="58"/>
        <v>#NUM!</v>
      </c>
      <c r="AM124" s="62" t="e">
        <f t="shared" si="59"/>
        <v>#NUM!</v>
      </c>
      <c r="AN124" s="62">
        <f ca="1">AVERAGE(OFFSET($AM$3,0,0,'Données projet'!$E$10+1,1))-AVERAGE(OFFSET($H$3,0,0,'Données projet'!$E$10+1,1))</f>
        <v>327.4984716935208</v>
      </c>
      <c r="AO124" s="62">
        <f t="shared" si="90"/>
        <v>166.97658184507776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0</v>
      </c>
      <c r="AV124" s="23">
        <f>EXP(-LN(2)/25)*AV123+(1-EXP(-LN(2)/25))/(LN(2)/25)*Calculateur!AQ124*Calculateur!AS124*VLOOKUP('Données projet'!$B$10,Paramètres!$A$1:$I$89,3,0)*0.475*44/12</f>
        <v>0</v>
      </c>
      <c r="AW124" s="23">
        <f>EXP(-LN(2)/2)*AW123+(1-EXP(-LN(2)/2))/(LN(2)/2)*AQ124*AT124*VLOOKUP('Données projet'!$B$10,Paramètres!$A$1:$I$89,3,0)*0.475*44/12</f>
        <v>0</v>
      </c>
      <c r="AX124" s="23">
        <f t="shared" si="60"/>
        <v>0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0</v>
      </c>
      <c r="BE124" s="14" t="e">
        <f>BD124*VLOOKUP('Données projet'!$B$11,Paramètres!$A$1:$I$89,3,0)*VLOOKUP('Données projet'!$B$11,Paramètres!$A$1:$I$89,5,0)</f>
        <v>#N/A</v>
      </c>
      <c r="BF124" s="14" t="e">
        <f t="shared" si="91"/>
        <v>#N/A</v>
      </c>
      <c r="BG124" s="22" t="e">
        <f t="shared" si="61"/>
        <v>#N/A</v>
      </c>
      <c r="BH124" s="62" t="e">
        <f t="shared" si="62"/>
        <v>#N/A</v>
      </c>
      <c r="BI124" s="62" t="e">
        <f ca="1">AVERAGE(OFFSET($BH$3,0,0,'Données projet'!$E$11+1,1))-AVERAGE(OFFSET($H$3,0,0,'Données projet'!$E$11+1,1))</f>
        <v>#N/A</v>
      </c>
      <c r="BJ124" s="62" t="e">
        <f t="shared" si="92"/>
        <v>#N/A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 t="e">
        <f>EXP(-LN(2)/35)*BP123+(1-EXP(-LN(2)/35))/(LN(2)/35)*BL124*BM124*VLOOKUP('Données projet'!$B$11,Paramètres!$A$1:$I$89,3,0)*0.475*44/12</f>
        <v>#N/A</v>
      </c>
      <c r="BQ124" s="23" t="e">
        <f>EXP(-LN(2)/25)*BQ123+(1-EXP(-LN(2)/25))/(LN(2)/25)*Calculateur!BL124*Calculateur!BN124*VLOOKUP('Données projet'!$B$11,Paramètres!$A$1:$I$89,3,0)*0.475*44/12</f>
        <v>#N/A</v>
      </c>
      <c r="BR124" s="23" t="e">
        <f>EXP(-LN(2)/2)*BR123+(1-EXP(-LN(2)/2))/(LN(2)/2)*BL124*BO124*VLOOKUP('Données projet'!$B$11,Paramètres!$A$1:$I$89,3,0)*0.475*44/12</f>
        <v>#N/A</v>
      </c>
      <c r="BS124" s="24" t="e">
        <f t="shared" si="63"/>
        <v>#N/A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0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0</v>
      </c>
      <c r="H125" s="70">
        <f t="shared" si="56"/>
        <v>256.66666666666669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>
        <f>VLOOKUP(A125,'Données projet'!$A$35:$I$55,2,0)</f>
        <v>247.23</v>
      </c>
      <c r="L125" s="13">
        <f>VLOOKUP(A125,'Données projet'!$A$35:$I$55,9,0)</f>
        <v>9.5499999999999545</v>
      </c>
      <c r="M125" s="13">
        <f t="array" ref="M125">INDEX(L:L,MIN(IF(ISNUMBER(L125:L321),ROW(L125:L321),"")))</f>
        <v>9.5499999999999545</v>
      </c>
      <c r="N125" s="14">
        <f>IF('Données projet'!$A$36&gt;35,N124+M125-V124,IF(A125&lt;'Données projet'!$A$36,$K$205^A125,IF(A125='Données projet'!$A$36,'Données projet'!$B$36,N124+M125-V124)))</f>
        <v>247.22999999999954</v>
      </c>
      <c r="O125" s="14">
        <f>N125*VLOOKUP('Données projet'!$B$9,Paramètres!$A$1:$I$89,3,0)*VLOOKUP('Données projet'!$B$9,Paramètres!$A$1:$I$89,5,0)</f>
        <v>115.70363999999978</v>
      </c>
      <c r="P125" s="14">
        <f t="shared" si="87"/>
        <v>30.670827502087405</v>
      </c>
      <c r="Q125" s="22">
        <f t="shared" si="107"/>
        <v>254.93553089946852</v>
      </c>
      <c r="R125" s="62">
        <f t="shared" si="55"/>
        <v>548.26886423280189</v>
      </c>
      <c r="S125" s="62">
        <f ca="1">AVERAGE(OFFSET($R$3,0,0,'Données projet'!$E$9+1,1))-AVERAGE(OFFSET($H$3,0,0,'Données projet'!$E$9+1,1))</f>
        <v>302.58171900450355</v>
      </c>
      <c r="T125" s="62">
        <f t="shared" si="88"/>
        <v>164.1450425611464</v>
      </c>
      <c r="U125" s="16">
        <f>IF(ISNA(VLOOKUP(A125,'Données projet'!$A$35:$I$55,3,0)),0,VLOOKUP(A125,'Données projet'!$A$35:$I$55,3,0))</f>
        <v>19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0</v>
      </c>
      <c r="AA125" s="23">
        <f>EXP(-LN(2)/25)*AA124+(1-EXP(-LN(2)/25))/(LN(2)/25)*Calculateur!V125*Calculateur!X125*VLOOKUP('Données projet'!$B$9,Paramètres!$A$1:$I$89,3,0)*0.475*44/12</f>
        <v>0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0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-5.6843418860808015E-14</v>
      </c>
      <c r="AJ125" s="14">
        <f>AI125*VLOOKUP('Données projet'!$B$10,Paramètres!$A$1:$I$89,3,0)*VLOOKUP('Données projet'!$B$10,Paramètres!$A$1:$I$89,5,0)</f>
        <v>-6.1186256061773749E-14</v>
      </c>
      <c r="AK125" s="14" t="e">
        <f t="shared" si="89"/>
        <v>#NUM!</v>
      </c>
      <c r="AL125" s="22" t="e">
        <f t="shared" si="58"/>
        <v>#NUM!</v>
      </c>
      <c r="AM125" s="62" t="e">
        <f t="shared" si="59"/>
        <v>#NUM!</v>
      </c>
      <c r="AN125" s="62">
        <f ca="1">AVERAGE(OFFSET($AM$3,0,0,'Données projet'!$E$10+1,1))-AVERAGE(OFFSET($H$3,0,0,'Données projet'!$E$10+1,1))</f>
        <v>327.4984716935208</v>
      </c>
      <c r="AO125" s="62">
        <f t="shared" si="90"/>
        <v>166.97658184507776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0</v>
      </c>
      <c r="AV125" s="23">
        <f>EXP(-LN(2)/25)*AV124+(1-EXP(-LN(2)/25))/(LN(2)/25)*Calculateur!AQ125*Calculateur!AS125*VLOOKUP('Données projet'!$B$10,Paramètres!$A$1:$I$89,3,0)*0.475*44/12</f>
        <v>0</v>
      </c>
      <c r="AW125" s="23">
        <f>EXP(-LN(2)/2)*AW124+(1-EXP(-LN(2)/2))/(LN(2)/2)*AQ125*AT125*VLOOKUP('Données projet'!$B$10,Paramètres!$A$1:$I$89,3,0)*0.475*44/12</f>
        <v>0</v>
      </c>
      <c r="AX125" s="23">
        <f t="shared" si="60"/>
        <v>0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0</v>
      </c>
      <c r="BE125" s="14" t="e">
        <f>BD125*VLOOKUP('Données projet'!$B$11,Paramètres!$A$1:$I$89,3,0)*VLOOKUP('Données projet'!$B$11,Paramètres!$A$1:$I$89,5,0)</f>
        <v>#N/A</v>
      </c>
      <c r="BF125" s="14" t="e">
        <f t="shared" si="91"/>
        <v>#N/A</v>
      </c>
      <c r="BG125" s="22" t="e">
        <f t="shared" si="61"/>
        <v>#N/A</v>
      </c>
      <c r="BH125" s="62" t="e">
        <f t="shared" si="62"/>
        <v>#N/A</v>
      </c>
      <c r="BI125" s="62" t="e">
        <f ca="1">AVERAGE(OFFSET($BH$3,0,0,'Données projet'!$E$11+1,1))-AVERAGE(OFFSET($H$3,0,0,'Données projet'!$E$11+1,1))</f>
        <v>#N/A</v>
      </c>
      <c r="BJ125" s="62" t="e">
        <f t="shared" si="92"/>
        <v>#N/A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 t="e">
        <f>EXP(-LN(2)/35)*BP124+(1-EXP(-LN(2)/35))/(LN(2)/35)*BL125*BM125*VLOOKUP('Données projet'!$B$11,Paramètres!$A$1:$I$89,3,0)*0.475*44/12</f>
        <v>#N/A</v>
      </c>
      <c r="BQ125" s="23" t="e">
        <f>EXP(-LN(2)/25)*BQ124+(1-EXP(-LN(2)/25))/(LN(2)/25)*Calculateur!BL125*Calculateur!BN125*VLOOKUP('Données projet'!$B$11,Paramètres!$A$1:$I$89,3,0)*0.475*44/12</f>
        <v>#N/A</v>
      </c>
      <c r="BR125" s="23" t="e">
        <f>EXP(-LN(2)/2)*BR124+(1-EXP(-LN(2)/2))/(LN(2)/2)*BL125*BO125*VLOOKUP('Données projet'!$B$11,Paramètres!$A$1:$I$89,3,0)*0.475*44/12</f>
        <v>#N/A</v>
      </c>
      <c r="BS125" s="24" t="e">
        <f t="shared" si="63"/>
        <v>#N/A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0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0</v>
      </c>
      <c r="H126" s="70">
        <f t="shared" si="56"/>
        <v>256.66666666666669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5.2066666666666652</v>
      </c>
      <c r="N126" s="14">
        <f>IF('Données projet'!$A$36&gt;35,N125+M126-V125,IF(A126&lt;'Données projet'!$A$36,$K$205^A126,IF(A126='Données projet'!$A$36,'Données projet'!$B$36,N125+M126-V125)))</f>
        <v>252.43666666666621</v>
      </c>
      <c r="O126" s="14">
        <f>N126*VLOOKUP('Données projet'!$B$9,Paramètres!$A$1:$I$89,3,0)*VLOOKUP('Données projet'!$B$9,Paramètres!$A$1:$I$89,5,0)</f>
        <v>118.14035999999979</v>
      </c>
      <c r="P126" s="14">
        <f t="shared" si="87"/>
        <v>31.240875335665432</v>
      </c>
      <c r="Q126" s="22">
        <f t="shared" si="107"/>
        <v>260.17231820961695</v>
      </c>
      <c r="R126" s="62">
        <f t="shared" si="55"/>
        <v>553.50565154295032</v>
      </c>
      <c r="S126" s="62">
        <f ca="1">AVERAGE(OFFSET($R$3,0,0,'Données projet'!$E$9+1,1))-AVERAGE(OFFSET($H$3,0,0,'Données projet'!$E$9+1,1))</f>
        <v>302.58171900450355</v>
      </c>
      <c r="T126" s="62">
        <f t="shared" si="88"/>
        <v>164.1450425611464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0</v>
      </c>
      <c r="AA126" s="23">
        <f>EXP(-LN(2)/25)*AA125+(1-EXP(-LN(2)/25))/(LN(2)/25)*Calculateur!V126*Calculateur!X126*VLOOKUP('Données projet'!$B$9,Paramètres!$A$1:$I$89,3,0)*0.475*44/12</f>
        <v>0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0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-5.6843418860808015E-14</v>
      </c>
      <c r="AJ126" s="14">
        <f>AI126*VLOOKUP('Données projet'!$B$10,Paramètres!$A$1:$I$89,3,0)*VLOOKUP('Données projet'!$B$10,Paramètres!$A$1:$I$89,5,0)</f>
        <v>-6.1186256061773749E-14</v>
      </c>
      <c r="AK126" s="14" t="e">
        <f t="shared" si="89"/>
        <v>#NUM!</v>
      </c>
      <c r="AL126" s="22" t="e">
        <f t="shared" si="58"/>
        <v>#NUM!</v>
      </c>
      <c r="AM126" s="62" t="e">
        <f t="shared" si="59"/>
        <v>#NUM!</v>
      </c>
      <c r="AN126" s="62">
        <f ca="1">AVERAGE(OFFSET($AM$3,0,0,'Données projet'!$E$10+1,1))-AVERAGE(OFFSET($H$3,0,0,'Données projet'!$E$10+1,1))</f>
        <v>327.4984716935208</v>
      </c>
      <c r="AO126" s="62">
        <f t="shared" si="90"/>
        <v>166.97658184507776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0</v>
      </c>
      <c r="AV126" s="23">
        <f>EXP(-LN(2)/25)*AV125+(1-EXP(-LN(2)/25))/(LN(2)/25)*Calculateur!AQ126*Calculateur!AS126*VLOOKUP('Données projet'!$B$10,Paramètres!$A$1:$I$89,3,0)*0.475*44/12</f>
        <v>0</v>
      </c>
      <c r="AW126" s="23">
        <f>EXP(-LN(2)/2)*AW125+(1-EXP(-LN(2)/2))/(LN(2)/2)*AQ126*AT126*VLOOKUP('Données projet'!$B$10,Paramètres!$A$1:$I$89,3,0)*0.475*44/12</f>
        <v>0</v>
      </c>
      <c r="AX126" s="23">
        <f t="shared" si="60"/>
        <v>0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0</v>
      </c>
      <c r="BE126" s="14" t="e">
        <f>BD126*VLOOKUP('Données projet'!$B$11,Paramètres!$A$1:$I$89,3,0)*VLOOKUP('Données projet'!$B$11,Paramètres!$A$1:$I$89,5,0)</f>
        <v>#N/A</v>
      </c>
      <c r="BF126" s="14" t="e">
        <f t="shared" si="91"/>
        <v>#N/A</v>
      </c>
      <c r="BG126" s="22" t="e">
        <f t="shared" si="61"/>
        <v>#N/A</v>
      </c>
      <c r="BH126" s="62" t="e">
        <f t="shared" si="62"/>
        <v>#N/A</v>
      </c>
      <c r="BI126" s="62" t="e">
        <f ca="1">AVERAGE(OFFSET($BH$3,0,0,'Données projet'!$E$11+1,1))-AVERAGE(OFFSET($H$3,0,0,'Données projet'!$E$11+1,1))</f>
        <v>#N/A</v>
      </c>
      <c r="BJ126" s="62" t="e">
        <f t="shared" si="92"/>
        <v>#N/A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 t="e">
        <f>EXP(-LN(2)/35)*BP125+(1-EXP(-LN(2)/35))/(LN(2)/35)*BL126*BM126*VLOOKUP('Données projet'!$B$11,Paramètres!$A$1:$I$89,3,0)*0.475*44/12</f>
        <v>#N/A</v>
      </c>
      <c r="BQ126" s="23" t="e">
        <f>EXP(-LN(2)/25)*BQ125+(1-EXP(-LN(2)/25))/(LN(2)/25)*Calculateur!BL126*Calculateur!BN126*VLOOKUP('Données projet'!$B$11,Paramètres!$A$1:$I$89,3,0)*0.475*44/12</f>
        <v>#N/A</v>
      </c>
      <c r="BR126" s="23" t="e">
        <f>EXP(-LN(2)/2)*BR125+(1-EXP(-LN(2)/2))/(LN(2)/2)*BL126*BO126*VLOOKUP('Données projet'!$B$11,Paramètres!$A$1:$I$89,3,0)*0.475*44/12</f>
        <v>#N/A</v>
      </c>
      <c r="BS126" s="24" t="e">
        <f t="shared" si="63"/>
        <v>#N/A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0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0</v>
      </c>
      <c r="H127" s="70">
        <f t="shared" si="56"/>
        <v>256.66666666666669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5.2066666666666652</v>
      </c>
      <c r="N127" s="14">
        <f>IF('Données projet'!$A$36&gt;35,N126+M127-V126,IF(A127&lt;'Données projet'!$A$36,$K$205^A127,IF(A127='Données projet'!$A$36,'Données projet'!$B$36,N126+M127-V126)))</f>
        <v>257.64333333333286</v>
      </c>
      <c r="O127" s="14">
        <f>N127*VLOOKUP('Données projet'!$B$9,Paramètres!$A$1:$I$89,3,0)*VLOOKUP('Données projet'!$B$9,Paramètres!$A$1:$I$89,5,0)</f>
        <v>120.57707999999978</v>
      </c>
      <c r="P127" s="14">
        <f t="shared" si="87"/>
        <v>31.809556123836359</v>
      </c>
      <c r="Q127" s="22">
        <f t="shared" si="107"/>
        <v>265.40672458234792</v>
      </c>
      <c r="R127" s="62">
        <f t="shared" si="55"/>
        <v>558.74005791568129</v>
      </c>
      <c r="S127" s="62">
        <f ca="1">AVERAGE(OFFSET($R$3,0,0,'Données projet'!$E$9+1,1))-AVERAGE(OFFSET($H$3,0,0,'Données projet'!$E$9+1,1))</f>
        <v>302.58171900450355</v>
      </c>
      <c r="T127" s="62">
        <f t="shared" si="88"/>
        <v>164.1450425611464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0</v>
      </c>
      <c r="AA127" s="23">
        <f>EXP(-LN(2)/25)*AA126+(1-EXP(-LN(2)/25))/(LN(2)/25)*Calculateur!V127*Calculateur!X127*VLOOKUP('Données projet'!$B$9,Paramètres!$A$1:$I$89,3,0)*0.475*44/12</f>
        <v>0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0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-5.6843418860808015E-14</v>
      </c>
      <c r="AJ127" s="14">
        <f>AI127*VLOOKUP('Données projet'!$B$10,Paramètres!$A$1:$I$89,3,0)*VLOOKUP('Données projet'!$B$10,Paramètres!$A$1:$I$89,5,0)</f>
        <v>-6.1186256061773749E-14</v>
      </c>
      <c r="AK127" s="14" t="e">
        <f t="shared" si="89"/>
        <v>#NUM!</v>
      </c>
      <c r="AL127" s="22" t="e">
        <f t="shared" si="58"/>
        <v>#NUM!</v>
      </c>
      <c r="AM127" s="62" t="e">
        <f t="shared" si="59"/>
        <v>#NUM!</v>
      </c>
      <c r="AN127" s="62">
        <f ca="1">AVERAGE(OFFSET($AM$3,0,0,'Données projet'!$E$10+1,1))-AVERAGE(OFFSET($H$3,0,0,'Données projet'!$E$10+1,1))</f>
        <v>327.4984716935208</v>
      </c>
      <c r="AO127" s="62">
        <f t="shared" si="90"/>
        <v>166.97658184507776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0</v>
      </c>
      <c r="AV127" s="23">
        <f>EXP(-LN(2)/25)*AV126+(1-EXP(-LN(2)/25))/(LN(2)/25)*Calculateur!AQ127*Calculateur!AS127*VLOOKUP('Données projet'!$B$10,Paramètres!$A$1:$I$89,3,0)*0.475*44/12</f>
        <v>0</v>
      </c>
      <c r="AW127" s="23">
        <f>EXP(-LN(2)/2)*AW126+(1-EXP(-LN(2)/2))/(LN(2)/2)*AQ127*AT127*VLOOKUP('Données projet'!$B$10,Paramètres!$A$1:$I$89,3,0)*0.475*44/12</f>
        <v>0</v>
      </c>
      <c r="AX127" s="23">
        <f t="shared" si="60"/>
        <v>0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0</v>
      </c>
      <c r="BE127" s="14" t="e">
        <f>BD127*VLOOKUP('Données projet'!$B$11,Paramètres!$A$1:$I$89,3,0)*VLOOKUP('Données projet'!$B$11,Paramètres!$A$1:$I$89,5,0)</f>
        <v>#N/A</v>
      </c>
      <c r="BF127" s="14" t="e">
        <f t="shared" si="91"/>
        <v>#N/A</v>
      </c>
      <c r="BG127" s="22" t="e">
        <f t="shared" si="61"/>
        <v>#N/A</v>
      </c>
      <c r="BH127" s="62" t="e">
        <f t="shared" si="62"/>
        <v>#N/A</v>
      </c>
      <c r="BI127" s="62" t="e">
        <f ca="1">AVERAGE(OFFSET($BH$3,0,0,'Données projet'!$E$11+1,1))-AVERAGE(OFFSET($H$3,0,0,'Données projet'!$E$11+1,1))</f>
        <v>#N/A</v>
      </c>
      <c r="BJ127" s="62" t="e">
        <f t="shared" si="92"/>
        <v>#N/A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 t="e">
        <f>EXP(-LN(2)/35)*BP126+(1-EXP(-LN(2)/35))/(LN(2)/35)*BL127*BM127*VLOOKUP('Données projet'!$B$11,Paramètres!$A$1:$I$89,3,0)*0.475*44/12</f>
        <v>#N/A</v>
      </c>
      <c r="BQ127" s="23" t="e">
        <f>EXP(-LN(2)/25)*BQ126+(1-EXP(-LN(2)/25))/(LN(2)/25)*Calculateur!BL127*Calculateur!BN127*VLOOKUP('Données projet'!$B$11,Paramètres!$A$1:$I$89,3,0)*0.475*44/12</f>
        <v>#N/A</v>
      </c>
      <c r="BR127" s="23" t="e">
        <f>EXP(-LN(2)/2)*BR126+(1-EXP(-LN(2)/2))/(LN(2)/2)*BL127*BO127*VLOOKUP('Données projet'!$B$11,Paramètres!$A$1:$I$89,3,0)*0.475*44/12</f>
        <v>#N/A</v>
      </c>
      <c r="BS127" s="24" t="e">
        <f t="shared" si="63"/>
        <v>#N/A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0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0</v>
      </c>
      <c r="H128" s="70">
        <f t="shared" si="56"/>
        <v>256.66666666666669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5.2066666666666652</v>
      </c>
      <c r="N128" s="14">
        <f>IF('Données projet'!$A$36&gt;35,N127+M128-V127,IF(A128&lt;'Données projet'!$A$36,$K$205^A128,IF(A128='Données projet'!$A$36,'Données projet'!$B$36,N127+M128-V127)))</f>
        <v>262.84999999999951</v>
      </c>
      <c r="O128" s="14">
        <f>N128*VLOOKUP('Données projet'!$B$9,Paramètres!$A$1:$I$89,3,0)*VLOOKUP('Données projet'!$B$9,Paramètres!$A$1:$I$89,5,0)</f>
        <v>123.01379999999978</v>
      </c>
      <c r="P128" s="14">
        <f t="shared" si="87"/>
        <v>32.376900676664697</v>
      </c>
      <c r="Q128" s="22">
        <f t="shared" si="107"/>
        <v>270.63880367852397</v>
      </c>
      <c r="R128" s="62">
        <f t="shared" si="55"/>
        <v>563.97213701185728</v>
      </c>
      <c r="S128" s="62">
        <f ca="1">AVERAGE(OFFSET($R$3,0,0,'Données projet'!$E$9+1,1))-AVERAGE(OFFSET($H$3,0,0,'Données projet'!$E$9+1,1))</f>
        <v>302.58171900450355</v>
      </c>
      <c r="T128" s="62">
        <f t="shared" si="88"/>
        <v>164.1450425611464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0</v>
      </c>
      <c r="AA128" s="23">
        <f>EXP(-LN(2)/25)*AA127+(1-EXP(-LN(2)/25))/(LN(2)/25)*Calculateur!V128*Calculateur!X128*VLOOKUP('Données projet'!$B$9,Paramètres!$A$1:$I$89,3,0)*0.475*44/12</f>
        <v>0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0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-5.6843418860808015E-14</v>
      </c>
      <c r="AJ128" s="14">
        <f>AI128*VLOOKUP('Données projet'!$B$10,Paramètres!$A$1:$I$89,3,0)*VLOOKUP('Données projet'!$B$10,Paramètres!$A$1:$I$89,5,0)</f>
        <v>-6.1186256061773749E-14</v>
      </c>
      <c r="AK128" s="14" t="e">
        <f t="shared" si="89"/>
        <v>#NUM!</v>
      </c>
      <c r="AL128" s="22" t="e">
        <f t="shared" si="58"/>
        <v>#NUM!</v>
      </c>
      <c r="AM128" s="62" t="e">
        <f t="shared" si="59"/>
        <v>#NUM!</v>
      </c>
      <c r="AN128" s="62">
        <f ca="1">AVERAGE(OFFSET($AM$3,0,0,'Données projet'!$E$10+1,1))-AVERAGE(OFFSET($H$3,0,0,'Données projet'!$E$10+1,1))</f>
        <v>327.4984716935208</v>
      </c>
      <c r="AO128" s="62">
        <f t="shared" si="90"/>
        <v>166.97658184507776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0</v>
      </c>
      <c r="AV128" s="23">
        <f>EXP(-LN(2)/25)*AV127+(1-EXP(-LN(2)/25))/(LN(2)/25)*Calculateur!AQ128*Calculateur!AS128*VLOOKUP('Données projet'!$B$10,Paramètres!$A$1:$I$89,3,0)*0.475*44/12</f>
        <v>0</v>
      </c>
      <c r="AW128" s="23">
        <f>EXP(-LN(2)/2)*AW127+(1-EXP(-LN(2)/2))/(LN(2)/2)*AQ128*AT128*VLOOKUP('Données projet'!$B$10,Paramètres!$A$1:$I$89,3,0)*0.475*44/12</f>
        <v>0</v>
      </c>
      <c r="AX128" s="23">
        <f t="shared" si="60"/>
        <v>0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0</v>
      </c>
      <c r="BE128" s="14" t="e">
        <f>BD128*VLOOKUP('Données projet'!$B$11,Paramètres!$A$1:$I$89,3,0)*VLOOKUP('Données projet'!$B$11,Paramètres!$A$1:$I$89,5,0)</f>
        <v>#N/A</v>
      </c>
      <c r="BF128" s="14" t="e">
        <f t="shared" si="91"/>
        <v>#N/A</v>
      </c>
      <c r="BG128" s="22" t="e">
        <f t="shared" si="61"/>
        <v>#N/A</v>
      </c>
      <c r="BH128" s="62" t="e">
        <f t="shared" si="62"/>
        <v>#N/A</v>
      </c>
      <c r="BI128" s="62" t="e">
        <f ca="1">AVERAGE(OFFSET($BH$3,0,0,'Données projet'!$E$11+1,1))-AVERAGE(OFFSET($H$3,0,0,'Données projet'!$E$11+1,1))</f>
        <v>#N/A</v>
      </c>
      <c r="BJ128" s="62" t="e">
        <f t="shared" si="92"/>
        <v>#N/A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 t="e">
        <f>EXP(-LN(2)/35)*BP127+(1-EXP(-LN(2)/35))/(LN(2)/35)*BL128*BM128*VLOOKUP('Données projet'!$B$11,Paramètres!$A$1:$I$89,3,0)*0.475*44/12</f>
        <v>#N/A</v>
      </c>
      <c r="BQ128" s="23" t="e">
        <f>EXP(-LN(2)/25)*BQ127+(1-EXP(-LN(2)/25))/(LN(2)/25)*Calculateur!BL128*Calculateur!BN128*VLOOKUP('Données projet'!$B$11,Paramètres!$A$1:$I$89,3,0)*0.475*44/12</f>
        <v>#N/A</v>
      </c>
      <c r="BR128" s="23" t="e">
        <f>EXP(-LN(2)/2)*BR127+(1-EXP(-LN(2)/2))/(LN(2)/2)*BL128*BO128*VLOOKUP('Données projet'!$B$11,Paramètres!$A$1:$I$89,3,0)*0.475*44/12</f>
        <v>#N/A</v>
      </c>
      <c r="BS128" s="24" t="e">
        <f t="shared" si="63"/>
        <v>#N/A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0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0</v>
      </c>
      <c r="H129" s="70">
        <f t="shared" si="56"/>
        <v>256.66666666666669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5.2066666666666652</v>
      </c>
      <c r="N129" s="14">
        <f>IF('Données projet'!$A$36&gt;35,N128+M129-V128,IF(A129&lt;'Données projet'!$A$36,$K$205^A129,IF(A129='Données projet'!$A$36,'Données projet'!$B$36,N128+M129-V128)))</f>
        <v>268.05666666666616</v>
      </c>
      <c r="O129" s="14">
        <f>N129*VLOOKUP('Données projet'!$B$9,Paramètres!$A$1:$I$89,3,0)*VLOOKUP('Données projet'!$B$9,Paramètres!$A$1:$I$89,5,0)</f>
        <v>125.45051999999977</v>
      </c>
      <c r="P129" s="14">
        <f t="shared" si="87"/>
        <v>32.942938513807817</v>
      </c>
      <c r="Q129" s="22">
        <f t="shared" si="107"/>
        <v>275.86860691154823</v>
      </c>
      <c r="R129" s="62">
        <f t="shared" si="55"/>
        <v>569.2019402448816</v>
      </c>
      <c r="S129" s="62">
        <f ca="1">AVERAGE(OFFSET($R$3,0,0,'Données projet'!$E$9+1,1))-AVERAGE(OFFSET($H$3,0,0,'Données projet'!$E$9+1,1))</f>
        <v>302.58171900450355</v>
      </c>
      <c r="T129" s="62">
        <f t="shared" si="88"/>
        <v>164.1450425611464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0</v>
      </c>
      <c r="AA129" s="23">
        <f>EXP(-LN(2)/25)*AA128+(1-EXP(-LN(2)/25))/(LN(2)/25)*Calculateur!V129*Calculateur!X129*VLOOKUP('Données projet'!$B$9,Paramètres!$A$1:$I$89,3,0)*0.475*44/12</f>
        <v>0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0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-5.6843418860808015E-14</v>
      </c>
      <c r="AJ129" s="14">
        <f>AI129*VLOOKUP('Données projet'!$B$10,Paramètres!$A$1:$I$89,3,0)*VLOOKUP('Données projet'!$B$10,Paramètres!$A$1:$I$89,5,0)</f>
        <v>-6.1186256061773749E-14</v>
      </c>
      <c r="AK129" s="14" t="e">
        <f t="shared" si="89"/>
        <v>#NUM!</v>
      </c>
      <c r="AL129" s="22" t="e">
        <f t="shared" si="58"/>
        <v>#NUM!</v>
      </c>
      <c r="AM129" s="62" t="e">
        <f t="shared" si="59"/>
        <v>#NUM!</v>
      </c>
      <c r="AN129" s="62">
        <f ca="1">AVERAGE(OFFSET($AM$3,0,0,'Données projet'!$E$10+1,1))-AVERAGE(OFFSET($H$3,0,0,'Données projet'!$E$10+1,1))</f>
        <v>327.4984716935208</v>
      </c>
      <c r="AO129" s="62">
        <f t="shared" si="90"/>
        <v>166.97658184507776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0</v>
      </c>
      <c r="AV129" s="23">
        <f>EXP(-LN(2)/25)*AV128+(1-EXP(-LN(2)/25))/(LN(2)/25)*Calculateur!AQ129*Calculateur!AS129*VLOOKUP('Données projet'!$B$10,Paramètres!$A$1:$I$89,3,0)*0.475*44/12</f>
        <v>0</v>
      </c>
      <c r="AW129" s="23">
        <f>EXP(-LN(2)/2)*AW128+(1-EXP(-LN(2)/2))/(LN(2)/2)*AQ129*AT129*VLOOKUP('Données projet'!$B$10,Paramètres!$A$1:$I$89,3,0)*0.475*44/12</f>
        <v>0</v>
      </c>
      <c r="AX129" s="23">
        <f t="shared" si="60"/>
        <v>0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0</v>
      </c>
      <c r="BE129" s="14" t="e">
        <f>BD129*VLOOKUP('Données projet'!$B$11,Paramètres!$A$1:$I$89,3,0)*VLOOKUP('Données projet'!$B$11,Paramètres!$A$1:$I$89,5,0)</f>
        <v>#N/A</v>
      </c>
      <c r="BF129" s="14" t="e">
        <f t="shared" si="91"/>
        <v>#N/A</v>
      </c>
      <c r="BG129" s="22" t="e">
        <f t="shared" si="61"/>
        <v>#N/A</v>
      </c>
      <c r="BH129" s="62" t="e">
        <f t="shared" si="62"/>
        <v>#N/A</v>
      </c>
      <c r="BI129" s="62" t="e">
        <f ca="1">AVERAGE(OFFSET($BH$3,0,0,'Données projet'!$E$11+1,1))-AVERAGE(OFFSET($H$3,0,0,'Données projet'!$E$11+1,1))</f>
        <v>#N/A</v>
      </c>
      <c r="BJ129" s="62" t="e">
        <f t="shared" si="92"/>
        <v>#N/A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 t="e">
        <f>EXP(-LN(2)/35)*BP128+(1-EXP(-LN(2)/35))/(LN(2)/35)*BL129*BM129*VLOOKUP('Données projet'!$B$11,Paramètres!$A$1:$I$89,3,0)*0.475*44/12</f>
        <v>#N/A</v>
      </c>
      <c r="BQ129" s="23" t="e">
        <f>EXP(-LN(2)/25)*BQ128+(1-EXP(-LN(2)/25))/(LN(2)/25)*Calculateur!BL129*Calculateur!BN129*VLOOKUP('Données projet'!$B$11,Paramètres!$A$1:$I$89,3,0)*0.475*44/12</f>
        <v>#N/A</v>
      </c>
      <c r="BR129" s="23" t="e">
        <f>EXP(-LN(2)/2)*BR128+(1-EXP(-LN(2)/2))/(LN(2)/2)*BL129*BO129*VLOOKUP('Données projet'!$B$11,Paramètres!$A$1:$I$89,3,0)*0.475*44/12</f>
        <v>#N/A</v>
      </c>
      <c r="BS129" s="24" t="e">
        <f t="shared" si="63"/>
        <v>#N/A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0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0</v>
      </c>
      <c r="H130" s="70">
        <f t="shared" si="56"/>
        <v>256.66666666666669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5.2066666666666652</v>
      </c>
      <c r="N130" s="14">
        <f>IF('Données projet'!$A$36&gt;35,N129+M130-V129,IF(A130&lt;'Données projet'!$A$36,$K$205^A130,IF(A130='Données projet'!$A$36,'Données projet'!$B$36,N129+M130-V129)))</f>
        <v>273.26333333333281</v>
      </c>
      <c r="O130" s="14">
        <f>N130*VLOOKUP('Données projet'!$B$9,Paramètres!$A$1:$I$89,3,0)*VLOOKUP('Données projet'!$B$9,Paramètres!$A$1:$I$89,5,0)</f>
        <v>127.88723999999975</v>
      </c>
      <c r="P130" s="14">
        <f t="shared" si="87"/>
        <v>33.507697942558515</v>
      </c>
      <c r="Q130" s="22">
        <f t="shared" si="107"/>
        <v>281.09618358328902</v>
      </c>
      <c r="R130" s="62">
        <f t="shared" si="55"/>
        <v>574.42951691662233</v>
      </c>
      <c r="S130" s="62">
        <f ca="1">AVERAGE(OFFSET($R$3,0,0,'Données projet'!$E$9+1,1))-AVERAGE(OFFSET($H$3,0,0,'Données projet'!$E$9+1,1))</f>
        <v>302.58171900450355</v>
      </c>
      <c r="T130" s="62">
        <f t="shared" si="88"/>
        <v>164.1450425611464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0</v>
      </c>
      <c r="AA130" s="23">
        <f>EXP(-LN(2)/25)*AA129+(1-EXP(-LN(2)/25))/(LN(2)/25)*Calculateur!V130*Calculateur!X130*VLOOKUP('Données projet'!$B$9,Paramètres!$A$1:$I$89,3,0)*0.475*44/12</f>
        <v>0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0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-5.6843418860808015E-14</v>
      </c>
      <c r="AJ130" s="14">
        <f>AI130*VLOOKUP('Données projet'!$B$10,Paramètres!$A$1:$I$89,3,0)*VLOOKUP('Données projet'!$B$10,Paramètres!$A$1:$I$89,5,0)</f>
        <v>-6.1186256061773749E-14</v>
      </c>
      <c r="AK130" s="14" t="e">
        <f t="shared" si="89"/>
        <v>#NUM!</v>
      </c>
      <c r="AL130" s="22" t="e">
        <f t="shared" si="58"/>
        <v>#NUM!</v>
      </c>
      <c r="AM130" s="62" t="e">
        <f t="shared" si="59"/>
        <v>#NUM!</v>
      </c>
      <c r="AN130" s="62">
        <f ca="1">AVERAGE(OFFSET($AM$3,0,0,'Données projet'!$E$10+1,1))-AVERAGE(OFFSET($H$3,0,0,'Données projet'!$E$10+1,1))</f>
        <v>327.4984716935208</v>
      </c>
      <c r="AO130" s="62">
        <f t="shared" si="90"/>
        <v>166.97658184507776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0</v>
      </c>
      <c r="AV130" s="23">
        <f>EXP(-LN(2)/25)*AV129+(1-EXP(-LN(2)/25))/(LN(2)/25)*Calculateur!AQ130*Calculateur!AS130*VLOOKUP('Données projet'!$B$10,Paramètres!$A$1:$I$89,3,0)*0.475*44/12</f>
        <v>0</v>
      </c>
      <c r="AW130" s="23">
        <f>EXP(-LN(2)/2)*AW129+(1-EXP(-LN(2)/2))/(LN(2)/2)*AQ130*AT130*VLOOKUP('Données projet'!$B$10,Paramètres!$A$1:$I$89,3,0)*0.475*44/12</f>
        <v>0</v>
      </c>
      <c r="AX130" s="23">
        <f t="shared" si="60"/>
        <v>0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0</v>
      </c>
      <c r="BE130" s="14" t="e">
        <f>BD130*VLOOKUP('Données projet'!$B$11,Paramètres!$A$1:$I$89,3,0)*VLOOKUP('Données projet'!$B$11,Paramètres!$A$1:$I$89,5,0)</f>
        <v>#N/A</v>
      </c>
      <c r="BF130" s="14" t="e">
        <f t="shared" si="91"/>
        <v>#N/A</v>
      </c>
      <c r="BG130" s="22" t="e">
        <f t="shared" si="61"/>
        <v>#N/A</v>
      </c>
      <c r="BH130" s="62" t="e">
        <f t="shared" si="62"/>
        <v>#N/A</v>
      </c>
      <c r="BI130" s="62" t="e">
        <f ca="1">AVERAGE(OFFSET($BH$3,0,0,'Données projet'!$E$11+1,1))-AVERAGE(OFFSET($H$3,0,0,'Données projet'!$E$11+1,1))</f>
        <v>#N/A</v>
      </c>
      <c r="BJ130" s="62" t="e">
        <f t="shared" si="92"/>
        <v>#N/A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 t="e">
        <f>EXP(-LN(2)/35)*BP129+(1-EXP(-LN(2)/35))/(LN(2)/35)*BL130*BM130*VLOOKUP('Données projet'!$B$11,Paramètres!$A$1:$I$89,3,0)*0.475*44/12</f>
        <v>#N/A</v>
      </c>
      <c r="BQ130" s="23" t="e">
        <f>EXP(-LN(2)/25)*BQ129+(1-EXP(-LN(2)/25))/(LN(2)/25)*Calculateur!BL130*Calculateur!BN130*VLOOKUP('Données projet'!$B$11,Paramètres!$A$1:$I$89,3,0)*0.475*44/12</f>
        <v>#N/A</v>
      </c>
      <c r="BR130" s="23" t="e">
        <f>EXP(-LN(2)/2)*BR129+(1-EXP(-LN(2)/2))/(LN(2)/2)*BL130*BO130*VLOOKUP('Données projet'!$B$11,Paramètres!$A$1:$I$89,3,0)*0.475*44/12</f>
        <v>#N/A</v>
      </c>
      <c r="BS130" s="24" t="e">
        <f t="shared" si="63"/>
        <v>#N/A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0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0</v>
      </c>
      <c r="H131" s="70">
        <f t="shared" si="56"/>
        <v>256.66666666666669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5.2066666666666652</v>
      </c>
      <c r="N131" s="14">
        <f>IF('Données projet'!$A$36&gt;35,N130+M131-V130,IF(A131&lt;'Données projet'!$A$36,$K$205^A131,IF(A131='Données projet'!$A$36,'Données projet'!$B$36,N130+M131-V130)))</f>
        <v>278.46999999999946</v>
      </c>
      <c r="O131" s="14">
        <f>N131*VLOOKUP('Données projet'!$B$9,Paramètres!$A$1:$I$89,3,0)*VLOOKUP('Données projet'!$B$9,Paramètres!$A$1:$I$89,5,0)</f>
        <v>130.32395999999974</v>
      </c>
      <c r="P131" s="14">
        <f t="shared" si="87"/>
        <v>34.071206129771475</v>
      </c>
      <c r="Q131" s="22">
        <f t="shared" ref="Q131:Q153" si="108">(O131+P131)*0.475*44/12</f>
        <v>286.32158100935152</v>
      </c>
      <c r="R131" s="62">
        <f t="shared" ref="R131:R194" si="109">Q131+(I131+J131)*44/12</f>
        <v>579.65491434268483</v>
      </c>
      <c r="S131" s="62">
        <f ca="1">AVERAGE(OFFSET($R$3,0,0,'Données projet'!$E$9+1,1))-AVERAGE(OFFSET($H$3,0,0,'Données projet'!$E$9+1,1))</f>
        <v>302.58171900450355</v>
      </c>
      <c r="T131" s="62">
        <f t="shared" si="88"/>
        <v>164.1450425611464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0</v>
      </c>
      <c r="AA131" s="23">
        <f>EXP(-LN(2)/25)*AA130+(1-EXP(-LN(2)/25))/(LN(2)/25)*Calculateur!V131*Calculateur!X131*VLOOKUP('Données projet'!$B$9,Paramètres!$A$1:$I$89,3,0)*0.475*44/12</f>
        <v>0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0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-5.6843418860808015E-14</v>
      </c>
      <c r="AJ131" s="14">
        <f>AI131*VLOOKUP('Données projet'!$B$10,Paramètres!$A$1:$I$89,3,0)*VLOOKUP('Données projet'!$B$10,Paramètres!$A$1:$I$89,5,0)</f>
        <v>-6.1186256061773749E-14</v>
      </c>
      <c r="AK131" s="14" t="e">
        <f t="shared" si="89"/>
        <v>#NUM!</v>
      </c>
      <c r="AL131" s="22" t="e">
        <f t="shared" si="58"/>
        <v>#NUM!</v>
      </c>
      <c r="AM131" s="62" t="e">
        <f t="shared" si="59"/>
        <v>#NUM!</v>
      </c>
      <c r="AN131" s="62">
        <f ca="1">AVERAGE(OFFSET($AM$3,0,0,'Données projet'!$E$10+1,1))-AVERAGE(OFFSET($H$3,0,0,'Données projet'!$E$10+1,1))</f>
        <v>327.4984716935208</v>
      </c>
      <c r="AO131" s="62">
        <f t="shared" si="90"/>
        <v>166.97658184507776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0</v>
      </c>
      <c r="AV131" s="23">
        <f>EXP(-LN(2)/25)*AV130+(1-EXP(-LN(2)/25))/(LN(2)/25)*Calculateur!AQ131*Calculateur!AS131*VLOOKUP('Données projet'!$B$10,Paramètres!$A$1:$I$89,3,0)*0.475*44/12</f>
        <v>0</v>
      </c>
      <c r="AW131" s="23">
        <f>EXP(-LN(2)/2)*AW130+(1-EXP(-LN(2)/2))/(LN(2)/2)*AQ131*AT131*VLOOKUP('Données projet'!$B$10,Paramètres!$A$1:$I$89,3,0)*0.475*44/12</f>
        <v>0</v>
      </c>
      <c r="AX131" s="23">
        <f t="shared" si="60"/>
        <v>0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0</v>
      </c>
      <c r="BE131" s="14" t="e">
        <f>BD131*VLOOKUP('Données projet'!$B$11,Paramètres!$A$1:$I$89,3,0)*VLOOKUP('Données projet'!$B$11,Paramètres!$A$1:$I$89,5,0)</f>
        <v>#N/A</v>
      </c>
      <c r="BF131" s="14" t="e">
        <f t="shared" si="91"/>
        <v>#N/A</v>
      </c>
      <c r="BG131" s="22" t="e">
        <f t="shared" si="61"/>
        <v>#N/A</v>
      </c>
      <c r="BH131" s="62" t="e">
        <f t="shared" si="62"/>
        <v>#N/A</v>
      </c>
      <c r="BI131" s="62" t="e">
        <f ca="1">AVERAGE(OFFSET($BH$3,0,0,'Données projet'!$E$11+1,1))-AVERAGE(OFFSET($H$3,0,0,'Données projet'!$E$11+1,1))</f>
        <v>#N/A</v>
      </c>
      <c r="BJ131" s="62" t="e">
        <f t="shared" si="92"/>
        <v>#N/A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 t="e">
        <f>EXP(-LN(2)/35)*BP130+(1-EXP(-LN(2)/35))/(LN(2)/35)*BL131*BM131*VLOOKUP('Données projet'!$B$11,Paramètres!$A$1:$I$89,3,0)*0.475*44/12</f>
        <v>#N/A</v>
      </c>
      <c r="BQ131" s="23" t="e">
        <f>EXP(-LN(2)/25)*BQ130+(1-EXP(-LN(2)/25))/(LN(2)/25)*Calculateur!BL131*Calculateur!BN131*VLOOKUP('Données projet'!$B$11,Paramètres!$A$1:$I$89,3,0)*0.475*44/12</f>
        <v>#N/A</v>
      </c>
      <c r="BR131" s="23" t="e">
        <f>EXP(-LN(2)/2)*BR130+(1-EXP(-LN(2)/2))/(LN(2)/2)*BL131*BO131*VLOOKUP('Données projet'!$B$11,Paramètres!$A$1:$I$89,3,0)*0.475*44/12</f>
        <v>#N/A</v>
      </c>
      <c r="BS131" s="24" t="e">
        <f t="shared" si="63"/>
        <v>#N/A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0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0</v>
      </c>
      <c r="H132" s="70">
        <f t="shared" ref="H132:H195" si="110">(B132+E132+F132)*44/12+(C132+D132)*0.475*44/12</f>
        <v>256.66666666666669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5.2066666666666652</v>
      </c>
      <c r="N132" s="14">
        <f>IF('Données projet'!$A$36&gt;35,N131+M132-V131,IF(A132&lt;'Données projet'!$A$36,$K$205^A132,IF(A132='Données projet'!$A$36,'Données projet'!$B$36,N131+M132-V131)))</f>
        <v>283.67666666666611</v>
      </c>
      <c r="O132" s="14">
        <f>N132*VLOOKUP('Données projet'!$B$9,Paramètres!$A$1:$I$89,3,0)*VLOOKUP('Données projet'!$B$9,Paramètres!$A$1:$I$89,5,0)</f>
        <v>132.76067999999975</v>
      </c>
      <c r="P132" s="14">
        <f t="shared" si="87"/>
        <v>34.633489168258038</v>
      </c>
      <c r="Q132" s="22">
        <f t="shared" si="108"/>
        <v>291.54484463471567</v>
      </c>
      <c r="R132" s="62">
        <f t="shared" si="109"/>
        <v>584.87817796804893</v>
      </c>
      <c r="S132" s="62">
        <f ca="1">AVERAGE(OFFSET($R$3,0,0,'Données projet'!$E$9+1,1))-AVERAGE(OFFSET($H$3,0,0,'Données projet'!$E$9+1,1))</f>
        <v>302.58171900450355</v>
      </c>
      <c r="T132" s="62">
        <f t="shared" si="88"/>
        <v>164.1450425611464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0</v>
      </c>
      <c r="AA132" s="23">
        <f>EXP(-LN(2)/25)*AA131+(1-EXP(-LN(2)/25))/(LN(2)/25)*Calculateur!V132*Calculateur!X132*VLOOKUP('Données projet'!$B$9,Paramètres!$A$1:$I$89,3,0)*0.475*44/12</f>
        <v>0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0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-5.6843418860808015E-14</v>
      </c>
      <c r="AJ132" s="14">
        <f>AI132*VLOOKUP('Données projet'!$B$10,Paramètres!$A$1:$I$89,3,0)*VLOOKUP('Données projet'!$B$10,Paramètres!$A$1:$I$89,5,0)</f>
        <v>-6.1186256061773749E-14</v>
      </c>
      <c r="AK132" s="14" t="e">
        <f t="shared" si="89"/>
        <v>#NUM!</v>
      </c>
      <c r="AL132" s="22" t="e">
        <f t="shared" ref="AL132:AL153" si="112">(AJ132+AK132)*0.475*44/12</f>
        <v>#NUM!</v>
      </c>
      <c r="AM132" s="62" t="e">
        <f t="shared" ref="AM132:AM195" si="113">AL132+(AD132+AE132)*44/12</f>
        <v>#NUM!</v>
      </c>
      <c r="AN132" s="62">
        <f ca="1">AVERAGE(OFFSET($AM$3,0,0,'Données projet'!$E$10+1,1))-AVERAGE(OFFSET($H$3,0,0,'Données projet'!$E$10+1,1))</f>
        <v>327.4984716935208</v>
      </c>
      <c r="AO132" s="62">
        <f t="shared" si="90"/>
        <v>166.97658184507776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0</v>
      </c>
      <c r="AV132" s="23">
        <f>EXP(-LN(2)/25)*AV131+(1-EXP(-LN(2)/25))/(LN(2)/25)*Calculateur!AQ132*Calculateur!AS132*VLOOKUP('Données projet'!$B$10,Paramètres!$A$1:$I$89,3,0)*0.475*44/12</f>
        <v>0</v>
      </c>
      <c r="AW132" s="23">
        <f>EXP(-LN(2)/2)*AW131+(1-EXP(-LN(2)/2))/(LN(2)/2)*AQ132*AT132*VLOOKUP('Données projet'!$B$10,Paramètres!$A$1:$I$89,3,0)*0.475*44/12</f>
        <v>0</v>
      </c>
      <c r="AX132" s="23">
        <f t="shared" ref="AX132:AX153" si="114">SUM(AU132:AW132)</f>
        <v>0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0</v>
      </c>
      <c r="BE132" s="14" t="e">
        <f>BD132*VLOOKUP('Données projet'!$B$11,Paramètres!$A$1:$I$89,3,0)*VLOOKUP('Données projet'!$B$11,Paramètres!$A$1:$I$89,5,0)</f>
        <v>#N/A</v>
      </c>
      <c r="BF132" s="14" t="e">
        <f t="shared" si="91"/>
        <v>#N/A</v>
      </c>
      <c r="BG132" s="22" t="e">
        <f t="shared" ref="BG132:BG153" si="115">(BE132+BF132)*0.475*44/12</f>
        <v>#N/A</v>
      </c>
      <c r="BH132" s="62" t="e">
        <f t="shared" ref="BH132:BH195" si="116">BG132+(AY132+AZ132)*44/12</f>
        <v>#N/A</v>
      </c>
      <c r="BI132" s="62" t="e">
        <f ca="1">AVERAGE(OFFSET($BH$3,0,0,'Données projet'!$E$11+1,1))-AVERAGE(OFFSET($H$3,0,0,'Données projet'!$E$11+1,1))</f>
        <v>#N/A</v>
      </c>
      <c r="BJ132" s="62" t="e">
        <f t="shared" si="92"/>
        <v>#N/A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 t="e">
        <f>EXP(-LN(2)/35)*BP131+(1-EXP(-LN(2)/35))/(LN(2)/35)*BL132*BM132*VLOOKUP('Données projet'!$B$11,Paramètres!$A$1:$I$89,3,0)*0.475*44/12</f>
        <v>#N/A</v>
      </c>
      <c r="BQ132" s="23" t="e">
        <f>EXP(-LN(2)/25)*BQ131+(1-EXP(-LN(2)/25))/(LN(2)/25)*Calculateur!BL132*Calculateur!BN132*VLOOKUP('Données projet'!$B$11,Paramètres!$A$1:$I$89,3,0)*0.475*44/12</f>
        <v>#N/A</v>
      </c>
      <c r="BR132" s="23" t="e">
        <f>EXP(-LN(2)/2)*BR131+(1-EXP(-LN(2)/2))/(LN(2)/2)*BL132*BO132*VLOOKUP('Données projet'!$B$11,Paramètres!$A$1:$I$89,3,0)*0.475*44/12</f>
        <v>#N/A</v>
      </c>
      <c r="BS132" s="24" t="e">
        <f t="shared" ref="BS132:BS153" si="117">SUM(BP132:BR132)</f>
        <v>#N/A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0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0</v>
      </c>
      <c r="H133" s="70">
        <f t="shared" si="110"/>
        <v>256.66666666666669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5.2066666666666652</v>
      </c>
      <c r="N133" s="14">
        <f>IF('Données projet'!$A$36&gt;35,N132+M133-V132,IF(A133&lt;'Données projet'!$A$36,$K$205^A133,IF(A133='Données projet'!$A$36,'Données projet'!$B$36,N132+M133-V132)))</f>
        <v>288.88333333333276</v>
      </c>
      <c r="O133" s="14">
        <f>N133*VLOOKUP('Données projet'!$B$9,Paramètres!$A$1:$I$89,3,0)*VLOOKUP('Données projet'!$B$9,Paramètres!$A$1:$I$89,5,0)</f>
        <v>135.19739999999973</v>
      </c>
      <c r="P133" s="14">
        <f t="shared" ref="P133:P196" si="141">EXP(-1.0587+0.8836*LN(O133)+0.284)</f>
        <v>35.194572138168766</v>
      </c>
      <c r="Q133" s="22">
        <f t="shared" si="108"/>
        <v>296.7660181406435</v>
      </c>
      <c r="R133" s="62">
        <f t="shared" si="109"/>
        <v>590.09935147397687</v>
      </c>
      <c r="S133" s="62">
        <f ca="1">AVERAGE(OFFSET($R$3,0,0,'Données projet'!$E$9+1,1))-AVERAGE(OFFSET($H$3,0,0,'Données projet'!$E$9+1,1))</f>
        <v>302.58171900450355</v>
      </c>
      <c r="T133" s="62">
        <f t="shared" ref="T133:T196" si="142">$T$3</f>
        <v>164.1450425611464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0</v>
      </c>
      <c r="AA133" s="23">
        <f>EXP(-LN(2)/25)*AA132+(1-EXP(-LN(2)/25))/(LN(2)/25)*Calculateur!V133*Calculateur!X133*VLOOKUP('Données projet'!$B$9,Paramètres!$A$1:$I$89,3,0)*0.475*44/12</f>
        <v>0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0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-5.6843418860808015E-14</v>
      </c>
      <c r="AJ133" s="14">
        <f>AI133*VLOOKUP('Données projet'!$B$10,Paramètres!$A$1:$I$89,3,0)*VLOOKUP('Données projet'!$B$10,Paramètres!$A$1:$I$89,5,0)</f>
        <v>-6.1186256061773749E-14</v>
      </c>
      <c r="AK133" s="14" t="e">
        <f t="shared" ref="AK133:AK153" si="143">EXP(-1.0587+0.8836*LN(AJ133)+0.284)</f>
        <v>#NUM!</v>
      </c>
      <c r="AL133" s="22" t="e">
        <f t="shared" si="112"/>
        <v>#NUM!</v>
      </c>
      <c r="AM133" s="62" t="e">
        <f t="shared" si="113"/>
        <v>#NUM!</v>
      </c>
      <c r="AN133" s="62">
        <f ca="1">AVERAGE(OFFSET($AM$3,0,0,'Données projet'!$E$10+1,1))-AVERAGE(OFFSET($H$3,0,0,'Données projet'!$E$10+1,1))</f>
        <v>327.4984716935208</v>
      </c>
      <c r="AO133" s="62">
        <f t="shared" ref="AO133:AO196" si="144">$AO$3</f>
        <v>166.97658184507776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0</v>
      </c>
      <c r="AV133" s="23">
        <f>EXP(-LN(2)/25)*AV132+(1-EXP(-LN(2)/25))/(LN(2)/25)*Calculateur!AQ133*Calculateur!AS133*VLOOKUP('Données projet'!$B$10,Paramètres!$A$1:$I$89,3,0)*0.475*44/12</f>
        <v>0</v>
      </c>
      <c r="AW133" s="23">
        <f>EXP(-LN(2)/2)*AW132+(1-EXP(-LN(2)/2))/(LN(2)/2)*AQ133*AT133*VLOOKUP('Données projet'!$B$10,Paramètres!$A$1:$I$89,3,0)*0.475*44/12</f>
        <v>0</v>
      </c>
      <c r="AX133" s="23">
        <f t="shared" si="114"/>
        <v>0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0</v>
      </c>
      <c r="BE133" s="14" t="e">
        <f>BD133*VLOOKUP('Données projet'!$B$11,Paramètres!$A$1:$I$89,3,0)*VLOOKUP('Données projet'!$B$11,Paramètres!$A$1:$I$89,5,0)</f>
        <v>#N/A</v>
      </c>
      <c r="BF133" s="14" t="e">
        <f t="shared" ref="BF133:BF153" si="145">EXP(-1.0587+0.8836*LN(BE133)+0.284)</f>
        <v>#N/A</v>
      </c>
      <c r="BG133" s="22" t="e">
        <f t="shared" si="115"/>
        <v>#N/A</v>
      </c>
      <c r="BH133" s="62" t="e">
        <f t="shared" si="116"/>
        <v>#N/A</v>
      </c>
      <c r="BI133" s="62" t="e">
        <f ca="1">AVERAGE(OFFSET($BH$3,0,0,'Données projet'!$E$11+1,1))-AVERAGE(OFFSET($H$3,0,0,'Données projet'!$E$11+1,1))</f>
        <v>#N/A</v>
      </c>
      <c r="BJ133" s="62" t="e">
        <f t="shared" ref="BJ133:BJ196" si="146">$BJ$3</f>
        <v>#N/A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 t="e">
        <f>EXP(-LN(2)/35)*BP132+(1-EXP(-LN(2)/35))/(LN(2)/35)*BL133*BM133*VLOOKUP('Données projet'!$B$11,Paramètres!$A$1:$I$89,3,0)*0.475*44/12</f>
        <v>#N/A</v>
      </c>
      <c r="BQ133" s="23" t="e">
        <f>EXP(-LN(2)/25)*BQ132+(1-EXP(-LN(2)/25))/(LN(2)/25)*Calculateur!BL133*Calculateur!BN133*VLOOKUP('Données projet'!$B$11,Paramètres!$A$1:$I$89,3,0)*0.475*44/12</f>
        <v>#N/A</v>
      </c>
      <c r="BR133" s="23" t="e">
        <f>EXP(-LN(2)/2)*BR132+(1-EXP(-LN(2)/2))/(LN(2)/2)*BL133*BO133*VLOOKUP('Données projet'!$B$11,Paramètres!$A$1:$I$89,3,0)*0.475*44/12</f>
        <v>#N/A</v>
      </c>
      <c r="BS133" s="24" t="e">
        <f t="shared" si="117"/>
        <v>#N/A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0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0</v>
      </c>
      <c r="H134" s="70">
        <f t="shared" si="110"/>
        <v>256.66666666666669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>
        <f>VLOOKUP(A134,'Données projet'!$A$35:$I$55,2,0)</f>
        <v>294.08999999999997</v>
      </c>
      <c r="L134" s="13">
        <f>VLOOKUP(A134,'Données projet'!$A$35:$I$55,9,0)</f>
        <v>5.2066666666666652</v>
      </c>
      <c r="M134" s="13">
        <f t="array" ref="M134">INDEX(L:L,MIN(IF(ISNUMBER(L134:L330),ROW(L134:L330),"")))</f>
        <v>5.2066666666666652</v>
      </c>
      <c r="N134" s="14">
        <f>IF('Données projet'!$A$36&gt;35,N133+M134-V133,IF(A134&lt;'Données projet'!$A$36,$K$205^A134,IF(A134='Données projet'!$A$36,'Données projet'!$B$36,N133+M134-V133)))</f>
        <v>294.08999999999941</v>
      </c>
      <c r="O134" s="14">
        <f>N134*VLOOKUP('Données projet'!$B$9,Paramètres!$A$1:$I$89,3,0)*VLOOKUP('Données projet'!$B$9,Paramètres!$A$1:$I$89,5,0)</f>
        <v>137.63411999999974</v>
      </c>
      <c r="P134" s="14">
        <f t="shared" si="141"/>
        <v>35.754479163825643</v>
      </c>
      <c r="Q134" s="22">
        <f t="shared" si="108"/>
        <v>301.98514354366256</v>
      </c>
      <c r="R134" s="62">
        <f t="shared" si="109"/>
        <v>595.31847687699587</v>
      </c>
      <c r="S134" s="62">
        <f ca="1">AVERAGE(OFFSET($R$3,0,0,'Données projet'!$E$9+1,1))-AVERAGE(OFFSET($H$3,0,0,'Données projet'!$E$9+1,1))</f>
        <v>302.58171900450355</v>
      </c>
      <c r="T134" s="62">
        <f t="shared" si="142"/>
        <v>164.1450425611464</v>
      </c>
      <c r="U134" s="16">
        <f>IF(ISNA(VLOOKUP(A134,'Données projet'!$A$35:$I$55,3,0)),0,VLOOKUP(A134,'Données projet'!$A$35:$I$55,3,0))</f>
        <v>20</v>
      </c>
      <c r="V134" s="16">
        <f>IF(ISNA(VLOOKUP(A134,'Données projet'!$A$35:$I$55,4,0)),0,VLOOKUP(A134,'Données projet'!$A$35:$I$55,4,0))</f>
        <v>294.08999999999997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0</v>
      </c>
      <c r="AA134" s="23">
        <f>EXP(-LN(2)/25)*AA133+(1-EXP(-LN(2)/25))/(LN(2)/25)*Calculateur!V134*Calculateur!X134*VLOOKUP('Données projet'!$B$9,Paramètres!$A$1:$I$89,3,0)*0.475*44/12</f>
        <v>0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0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-5.6843418860808015E-14</v>
      </c>
      <c r="AJ134" s="14">
        <f>AI134*VLOOKUP('Données projet'!$B$10,Paramètres!$A$1:$I$89,3,0)*VLOOKUP('Données projet'!$B$10,Paramètres!$A$1:$I$89,5,0)</f>
        <v>-6.1186256061773749E-14</v>
      </c>
      <c r="AK134" s="14" t="e">
        <f t="shared" si="143"/>
        <v>#NUM!</v>
      </c>
      <c r="AL134" s="22" t="e">
        <f t="shared" si="112"/>
        <v>#NUM!</v>
      </c>
      <c r="AM134" s="62" t="e">
        <f t="shared" si="113"/>
        <v>#NUM!</v>
      </c>
      <c r="AN134" s="62">
        <f ca="1">AVERAGE(OFFSET($AM$3,0,0,'Données projet'!$E$10+1,1))-AVERAGE(OFFSET($H$3,0,0,'Données projet'!$E$10+1,1))</f>
        <v>327.4984716935208</v>
      </c>
      <c r="AO134" s="62">
        <f t="shared" si="144"/>
        <v>166.97658184507776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0</v>
      </c>
      <c r="AV134" s="23">
        <f>EXP(-LN(2)/25)*AV133+(1-EXP(-LN(2)/25))/(LN(2)/25)*Calculateur!AQ134*Calculateur!AS134*VLOOKUP('Données projet'!$B$10,Paramètres!$A$1:$I$89,3,0)*0.475*44/12</f>
        <v>0</v>
      </c>
      <c r="AW134" s="23">
        <f>EXP(-LN(2)/2)*AW133+(1-EXP(-LN(2)/2))/(LN(2)/2)*AQ134*AT134*VLOOKUP('Données projet'!$B$10,Paramètres!$A$1:$I$89,3,0)*0.475*44/12</f>
        <v>0</v>
      </c>
      <c r="AX134" s="23">
        <f t="shared" si="114"/>
        <v>0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0</v>
      </c>
      <c r="BE134" s="14" t="e">
        <f>BD134*VLOOKUP('Données projet'!$B$11,Paramètres!$A$1:$I$89,3,0)*VLOOKUP('Données projet'!$B$11,Paramètres!$A$1:$I$89,5,0)</f>
        <v>#N/A</v>
      </c>
      <c r="BF134" s="14" t="e">
        <f t="shared" si="145"/>
        <v>#N/A</v>
      </c>
      <c r="BG134" s="22" t="e">
        <f t="shared" si="115"/>
        <v>#N/A</v>
      </c>
      <c r="BH134" s="62" t="e">
        <f t="shared" si="116"/>
        <v>#N/A</v>
      </c>
      <c r="BI134" s="62" t="e">
        <f ca="1">AVERAGE(OFFSET($BH$3,0,0,'Données projet'!$E$11+1,1))-AVERAGE(OFFSET($H$3,0,0,'Données projet'!$E$11+1,1))</f>
        <v>#N/A</v>
      </c>
      <c r="BJ134" s="62" t="e">
        <f t="shared" si="146"/>
        <v>#N/A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 t="e">
        <f>EXP(-LN(2)/35)*BP133+(1-EXP(-LN(2)/35))/(LN(2)/35)*BL134*BM134*VLOOKUP('Données projet'!$B$11,Paramètres!$A$1:$I$89,3,0)*0.475*44/12</f>
        <v>#N/A</v>
      </c>
      <c r="BQ134" s="23" t="e">
        <f>EXP(-LN(2)/25)*BQ133+(1-EXP(-LN(2)/25))/(LN(2)/25)*Calculateur!BL134*Calculateur!BN134*VLOOKUP('Données projet'!$B$11,Paramètres!$A$1:$I$89,3,0)*0.475*44/12</f>
        <v>#N/A</v>
      </c>
      <c r="BR134" s="23" t="e">
        <f>EXP(-LN(2)/2)*BR133+(1-EXP(-LN(2)/2))/(LN(2)/2)*BL134*BO134*VLOOKUP('Données projet'!$B$11,Paramètres!$A$1:$I$89,3,0)*0.475*44/12</f>
        <v>#N/A</v>
      </c>
      <c r="BS134" s="24" t="e">
        <f t="shared" si="117"/>
        <v>#N/A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0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0</v>
      </c>
      <c r="H135" s="70">
        <f t="shared" si="110"/>
        <v>256.66666666666669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-5.6843418860808015E-13</v>
      </c>
      <c r="O135" s="14">
        <f>N135*VLOOKUP('Données projet'!$B$9,Paramètres!$A$1:$I$89,3,0)*VLOOKUP('Données projet'!$B$9,Paramètres!$A$1:$I$89,5,0)</f>
        <v>-2.6602720026858149E-13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302.58171900450355</v>
      </c>
      <c r="T135" s="62">
        <f t="shared" si="142"/>
        <v>164.1450425611464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0</v>
      </c>
      <c r="AA135" s="23">
        <f>EXP(-LN(2)/25)*AA134+(1-EXP(-LN(2)/25))/(LN(2)/25)*Calculateur!V135*Calculateur!X135*VLOOKUP('Données projet'!$B$9,Paramètres!$A$1:$I$89,3,0)*0.475*44/12</f>
        <v>0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0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-5.6843418860808015E-14</v>
      </c>
      <c r="AJ135" s="14">
        <f>AI135*VLOOKUP('Données projet'!$B$10,Paramètres!$A$1:$I$89,3,0)*VLOOKUP('Données projet'!$B$10,Paramètres!$A$1:$I$89,5,0)</f>
        <v>-6.1186256061773749E-14</v>
      </c>
      <c r="AK135" s="14" t="e">
        <f t="shared" si="143"/>
        <v>#NUM!</v>
      </c>
      <c r="AL135" s="22" t="e">
        <f t="shared" si="112"/>
        <v>#NUM!</v>
      </c>
      <c r="AM135" s="62" t="e">
        <f t="shared" si="113"/>
        <v>#NUM!</v>
      </c>
      <c r="AN135" s="62">
        <f ca="1">AVERAGE(OFFSET($AM$3,0,0,'Données projet'!$E$10+1,1))-AVERAGE(OFFSET($H$3,0,0,'Données projet'!$E$10+1,1))</f>
        <v>327.4984716935208</v>
      </c>
      <c r="AO135" s="62">
        <f t="shared" si="144"/>
        <v>166.97658184507776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0</v>
      </c>
      <c r="AV135" s="23">
        <f>EXP(-LN(2)/25)*AV134+(1-EXP(-LN(2)/25))/(LN(2)/25)*Calculateur!AQ135*Calculateur!AS135*VLOOKUP('Données projet'!$B$10,Paramètres!$A$1:$I$89,3,0)*0.475*44/12</f>
        <v>0</v>
      </c>
      <c r="AW135" s="23">
        <f>EXP(-LN(2)/2)*AW134+(1-EXP(-LN(2)/2))/(LN(2)/2)*AQ135*AT135*VLOOKUP('Données projet'!$B$10,Paramètres!$A$1:$I$89,3,0)*0.475*44/12</f>
        <v>0</v>
      </c>
      <c r="AX135" s="23">
        <f t="shared" si="114"/>
        <v>0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0</v>
      </c>
      <c r="BE135" s="14" t="e">
        <f>BD135*VLOOKUP('Données projet'!$B$11,Paramètres!$A$1:$I$89,3,0)*VLOOKUP('Données projet'!$B$11,Paramètres!$A$1:$I$89,5,0)</f>
        <v>#N/A</v>
      </c>
      <c r="BF135" s="14" t="e">
        <f t="shared" si="145"/>
        <v>#N/A</v>
      </c>
      <c r="BG135" s="22" t="e">
        <f t="shared" si="115"/>
        <v>#N/A</v>
      </c>
      <c r="BH135" s="62" t="e">
        <f t="shared" si="116"/>
        <v>#N/A</v>
      </c>
      <c r="BI135" s="62" t="e">
        <f ca="1">AVERAGE(OFFSET($BH$3,0,0,'Données projet'!$E$11+1,1))-AVERAGE(OFFSET($H$3,0,0,'Données projet'!$E$11+1,1))</f>
        <v>#N/A</v>
      </c>
      <c r="BJ135" s="62" t="e">
        <f t="shared" si="146"/>
        <v>#N/A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 t="e">
        <f>EXP(-LN(2)/35)*BP134+(1-EXP(-LN(2)/35))/(LN(2)/35)*BL135*BM135*VLOOKUP('Données projet'!$B$11,Paramètres!$A$1:$I$89,3,0)*0.475*44/12</f>
        <v>#N/A</v>
      </c>
      <c r="BQ135" s="23" t="e">
        <f>EXP(-LN(2)/25)*BQ134+(1-EXP(-LN(2)/25))/(LN(2)/25)*Calculateur!BL135*Calculateur!BN135*VLOOKUP('Données projet'!$B$11,Paramètres!$A$1:$I$89,3,0)*0.475*44/12</f>
        <v>#N/A</v>
      </c>
      <c r="BR135" s="23" t="e">
        <f>EXP(-LN(2)/2)*BR134+(1-EXP(-LN(2)/2))/(LN(2)/2)*BL135*BO135*VLOOKUP('Données projet'!$B$11,Paramètres!$A$1:$I$89,3,0)*0.475*44/12</f>
        <v>#N/A</v>
      </c>
      <c r="BS135" s="24" t="e">
        <f t="shared" si="117"/>
        <v>#N/A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0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0</v>
      </c>
      <c r="H136" s="70">
        <f t="shared" si="110"/>
        <v>256.66666666666669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-5.6843418860808015E-13</v>
      </c>
      <c r="O136" s="14">
        <f>N136*VLOOKUP('Données projet'!$B$9,Paramètres!$A$1:$I$89,3,0)*VLOOKUP('Données projet'!$B$9,Paramètres!$A$1:$I$89,5,0)</f>
        <v>-2.6602720026858149E-13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302.58171900450355</v>
      </c>
      <c r="T136" s="62">
        <f t="shared" si="142"/>
        <v>164.1450425611464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0</v>
      </c>
      <c r="AA136" s="23">
        <f>EXP(-LN(2)/25)*AA135+(1-EXP(-LN(2)/25))/(LN(2)/25)*Calculateur!V136*Calculateur!X136*VLOOKUP('Données projet'!$B$9,Paramètres!$A$1:$I$89,3,0)*0.475*44/12</f>
        <v>0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0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-5.6843418860808015E-14</v>
      </c>
      <c r="AJ136" s="14">
        <f>AI136*VLOOKUP('Données projet'!$B$10,Paramètres!$A$1:$I$89,3,0)*VLOOKUP('Données projet'!$B$10,Paramètres!$A$1:$I$89,5,0)</f>
        <v>-6.1186256061773749E-14</v>
      </c>
      <c r="AK136" s="14" t="e">
        <f t="shared" si="143"/>
        <v>#NUM!</v>
      </c>
      <c r="AL136" s="22" t="e">
        <f t="shared" si="112"/>
        <v>#NUM!</v>
      </c>
      <c r="AM136" s="62" t="e">
        <f t="shared" si="113"/>
        <v>#NUM!</v>
      </c>
      <c r="AN136" s="62">
        <f ca="1">AVERAGE(OFFSET($AM$3,0,0,'Données projet'!$E$10+1,1))-AVERAGE(OFFSET($H$3,0,0,'Données projet'!$E$10+1,1))</f>
        <v>327.4984716935208</v>
      </c>
      <c r="AO136" s="62">
        <f t="shared" si="144"/>
        <v>166.97658184507776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0</v>
      </c>
      <c r="AV136" s="23">
        <f>EXP(-LN(2)/25)*AV135+(1-EXP(-LN(2)/25))/(LN(2)/25)*Calculateur!AQ136*Calculateur!AS136*VLOOKUP('Données projet'!$B$10,Paramètres!$A$1:$I$89,3,0)*0.475*44/12</f>
        <v>0</v>
      </c>
      <c r="AW136" s="23">
        <f>EXP(-LN(2)/2)*AW135+(1-EXP(-LN(2)/2))/(LN(2)/2)*AQ136*AT136*VLOOKUP('Données projet'!$B$10,Paramètres!$A$1:$I$89,3,0)*0.475*44/12</f>
        <v>0</v>
      </c>
      <c r="AX136" s="23">
        <f t="shared" si="114"/>
        <v>0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0</v>
      </c>
      <c r="BE136" s="14" t="e">
        <f>BD136*VLOOKUP('Données projet'!$B$11,Paramètres!$A$1:$I$89,3,0)*VLOOKUP('Données projet'!$B$11,Paramètres!$A$1:$I$89,5,0)</f>
        <v>#N/A</v>
      </c>
      <c r="BF136" s="14" t="e">
        <f t="shared" si="145"/>
        <v>#N/A</v>
      </c>
      <c r="BG136" s="22" t="e">
        <f t="shared" si="115"/>
        <v>#N/A</v>
      </c>
      <c r="BH136" s="62" t="e">
        <f t="shared" si="116"/>
        <v>#N/A</v>
      </c>
      <c r="BI136" s="62" t="e">
        <f ca="1">AVERAGE(OFFSET($BH$3,0,0,'Données projet'!$E$11+1,1))-AVERAGE(OFFSET($H$3,0,0,'Données projet'!$E$11+1,1))</f>
        <v>#N/A</v>
      </c>
      <c r="BJ136" s="62" t="e">
        <f t="shared" si="146"/>
        <v>#N/A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 t="e">
        <f>EXP(-LN(2)/35)*BP135+(1-EXP(-LN(2)/35))/(LN(2)/35)*BL136*BM136*VLOOKUP('Données projet'!$B$11,Paramètres!$A$1:$I$89,3,0)*0.475*44/12</f>
        <v>#N/A</v>
      </c>
      <c r="BQ136" s="23" t="e">
        <f>EXP(-LN(2)/25)*BQ135+(1-EXP(-LN(2)/25))/(LN(2)/25)*Calculateur!BL136*Calculateur!BN136*VLOOKUP('Données projet'!$B$11,Paramètres!$A$1:$I$89,3,0)*0.475*44/12</f>
        <v>#N/A</v>
      </c>
      <c r="BR136" s="23" t="e">
        <f>EXP(-LN(2)/2)*BR135+(1-EXP(-LN(2)/2))/(LN(2)/2)*BL136*BO136*VLOOKUP('Données projet'!$B$11,Paramètres!$A$1:$I$89,3,0)*0.475*44/12</f>
        <v>#N/A</v>
      </c>
      <c r="BS136" s="24" t="e">
        <f t="shared" si="117"/>
        <v>#N/A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0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0</v>
      </c>
      <c r="H137" s="70">
        <f t="shared" si="110"/>
        <v>256.66666666666669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-5.6843418860808015E-13</v>
      </c>
      <c r="O137" s="14">
        <f>N137*VLOOKUP('Données projet'!$B$9,Paramètres!$A$1:$I$89,3,0)*VLOOKUP('Données projet'!$B$9,Paramètres!$A$1:$I$89,5,0)</f>
        <v>-2.6602720026858149E-13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302.58171900450355</v>
      </c>
      <c r="T137" s="62">
        <f t="shared" si="142"/>
        <v>164.1450425611464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0</v>
      </c>
      <c r="AA137" s="23">
        <f>EXP(-LN(2)/25)*AA136+(1-EXP(-LN(2)/25))/(LN(2)/25)*Calculateur!V137*Calculateur!X137*VLOOKUP('Données projet'!$B$9,Paramètres!$A$1:$I$89,3,0)*0.475*44/12</f>
        <v>0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0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-5.6843418860808015E-14</v>
      </c>
      <c r="AJ137" s="14">
        <f>AI137*VLOOKUP('Données projet'!$B$10,Paramètres!$A$1:$I$89,3,0)*VLOOKUP('Données projet'!$B$10,Paramètres!$A$1:$I$89,5,0)</f>
        <v>-6.1186256061773749E-14</v>
      </c>
      <c r="AK137" s="14" t="e">
        <f t="shared" si="143"/>
        <v>#NUM!</v>
      </c>
      <c r="AL137" s="22" t="e">
        <f t="shared" si="112"/>
        <v>#NUM!</v>
      </c>
      <c r="AM137" s="62" t="e">
        <f t="shared" si="113"/>
        <v>#NUM!</v>
      </c>
      <c r="AN137" s="62">
        <f ca="1">AVERAGE(OFFSET($AM$3,0,0,'Données projet'!$E$10+1,1))-AVERAGE(OFFSET($H$3,0,0,'Données projet'!$E$10+1,1))</f>
        <v>327.4984716935208</v>
      </c>
      <c r="AO137" s="62">
        <f t="shared" si="144"/>
        <v>166.97658184507776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0</v>
      </c>
      <c r="AV137" s="23">
        <f>EXP(-LN(2)/25)*AV136+(1-EXP(-LN(2)/25))/(LN(2)/25)*Calculateur!AQ137*Calculateur!AS137*VLOOKUP('Données projet'!$B$10,Paramètres!$A$1:$I$89,3,0)*0.475*44/12</f>
        <v>0</v>
      </c>
      <c r="AW137" s="23">
        <f>EXP(-LN(2)/2)*AW136+(1-EXP(-LN(2)/2))/(LN(2)/2)*AQ137*AT137*VLOOKUP('Données projet'!$B$10,Paramètres!$A$1:$I$89,3,0)*0.475*44/12</f>
        <v>0</v>
      </c>
      <c r="AX137" s="23">
        <f t="shared" si="114"/>
        <v>0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0</v>
      </c>
      <c r="BE137" s="14" t="e">
        <f>BD137*VLOOKUP('Données projet'!$B$11,Paramètres!$A$1:$I$89,3,0)*VLOOKUP('Données projet'!$B$11,Paramètres!$A$1:$I$89,5,0)</f>
        <v>#N/A</v>
      </c>
      <c r="BF137" s="14" t="e">
        <f t="shared" si="145"/>
        <v>#N/A</v>
      </c>
      <c r="BG137" s="22" t="e">
        <f t="shared" si="115"/>
        <v>#N/A</v>
      </c>
      <c r="BH137" s="62" t="e">
        <f t="shared" si="116"/>
        <v>#N/A</v>
      </c>
      <c r="BI137" s="62" t="e">
        <f ca="1">AVERAGE(OFFSET($BH$3,0,0,'Données projet'!$E$11+1,1))-AVERAGE(OFFSET($H$3,0,0,'Données projet'!$E$11+1,1))</f>
        <v>#N/A</v>
      </c>
      <c r="BJ137" s="62" t="e">
        <f t="shared" si="146"/>
        <v>#N/A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 t="e">
        <f>EXP(-LN(2)/35)*BP136+(1-EXP(-LN(2)/35))/(LN(2)/35)*BL137*BM137*VLOOKUP('Données projet'!$B$11,Paramètres!$A$1:$I$89,3,0)*0.475*44/12</f>
        <v>#N/A</v>
      </c>
      <c r="BQ137" s="23" t="e">
        <f>EXP(-LN(2)/25)*BQ136+(1-EXP(-LN(2)/25))/(LN(2)/25)*Calculateur!BL137*Calculateur!BN137*VLOOKUP('Données projet'!$B$11,Paramètres!$A$1:$I$89,3,0)*0.475*44/12</f>
        <v>#N/A</v>
      </c>
      <c r="BR137" s="23" t="e">
        <f>EXP(-LN(2)/2)*BR136+(1-EXP(-LN(2)/2))/(LN(2)/2)*BL137*BO137*VLOOKUP('Données projet'!$B$11,Paramètres!$A$1:$I$89,3,0)*0.475*44/12</f>
        <v>#N/A</v>
      </c>
      <c r="BS137" s="24" t="e">
        <f t="shared" si="117"/>
        <v>#N/A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0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0</v>
      </c>
      <c r="H138" s="70">
        <f t="shared" si="110"/>
        <v>256.66666666666669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-5.6843418860808015E-13</v>
      </c>
      <c r="O138" s="14">
        <f>N138*VLOOKUP('Données projet'!$B$9,Paramètres!$A$1:$I$89,3,0)*VLOOKUP('Données projet'!$B$9,Paramètres!$A$1:$I$89,5,0)</f>
        <v>-2.6602720026858149E-13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302.58171900450355</v>
      </c>
      <c r="T138" s="62">
        <f t="shared" si="142"/>
        <v>164.1450425611464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0</v>
      </c>
      <c r="AA138" s="23">
        <f>EXP(-LN(2)/25)*AA137+(1-EXP(-LN(2)/25))/(LN(2)/25)*Calculateur!V138*Calculateur!X138*VLOOKUP('Données projet'!$B$9,Paramètres!$A$1:$I$89,3,0)*0.475*44/12</f>
        <v>0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0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-5.6843418860808015E-14</v>
      </c>
      <c r="AJ138" s="14">
        <f>AI138*VLOOKUP('Données projet'!$B$10,Paramètres!$A$1:$I$89,3,0)*VLOOKUP('Données projet'!$B$10,Paramètres!$A$1:$I$89,5,0)</f>
        <v>-6.1186256061773749E-14</v>
      </c>
      <c r="AK138" s="14" t="e">
        <f t="shared" si="143"/>
        <v>#NUM!</v>
      </c>
      <c r="AL138" s="22" t="e">
        <f t="shared" si="112"/>
        <v>#NUM!</v>
      </c>
      <c r="AM138" s="62" t="e">
        <f t="shared" si="113"/>
        <v>#NUM!</v>
      </c>
      <c r="AN138" s="62">
        <f ca="1">AVERAGE(OFFSET($AM$3,0,0,'Données projet'!$E$10+1,1))-AVERAGE(OFFSET($H$3,0,0,'Données projet'!$E$10+1,1))</f>
        <v>327.4984716935208</v>
      </c>
      <c r="AO138" s="62">
        <f t="shared" si="144"/>
        <v>166.97658184507776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0</v>
      </c>
      <c r="AV138" s="23">
        <f>EXP(-LN(2)/25)*AV137+(1-EXP(-LN(2)/25))/(LN(2)/25)*Calculateur!AQ138*Calculateur!AS138*VLOOKUP('Données projet'!$B$10,Paramètres!$A$1:$I$89,3,0)*0.475*44/12</f>
        <v>0</v>
      </c>
      <c r="AW138" s="23">
        <f>EXP(-LN(2)/2)*AW137+(1-EXP(-LN(2)/2))/(LN(2)/2)*AQ138*AT138*VLOOKUP('Données projet'!$B$10,Paramètres!$A$1:$I$89,3,0)*0.475*44/12</f>
        <v>0</v>
      </c>
      <c r="AX138" s="23">
        <f t="shared" si="114"/>
        <v>0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0</v>
      </c>
      <c r="BE138" s="14" t="e">
        <f>BD138*VLOOKUP('Données projet'!$B$11,Paramètres!$A$1:$I$89,3,0)*VLOOKUP('Données projet'!$B$11,Paramètres!$A$1:$I$89,5,0)</f>
        <v>#N/A</v>
      </c>
      <c r="BF138" s="14" t="e">
        <f t="shared" si="145"/>
        <v>#N/A</v>
      </c>
      <c r="BG138" s="22" t="e">
        <f t="shared" si="115"/>
        <v>#N/A</v>
      </c>
      <c r="BH138" s="62" t="e">
        <f t="shared" si="116"/>
        <v>#N/A</v>
      </c>
      <c r="BI138" s="62" t="e">
        <f ca="1">AVERAGE(OFFSET($BH$3,0,0,'Données projet'!$E$11+1,1))-AVERAGE(OFFSET($H$3,0,0,'Données projet'!$E$11+1,1))</f>
        <v>#N/A</v>
      </c>
      <c r="BJ138" s="62" t="e">
        <f t="shared" si="146"/>
        <v>#N/A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 t="e">
        <f>EXP(-LN(2)/35)*BP137+(1-EXP(-LN(2)/35))/(LN(2)/35)*BL138*BM138*VLOOKUP('Données projet'!$B$11,Paramètres!$A$1:$I$89,3,0)*0.475*44/12</f>
        <v>#N/A</v>
      </c>
      <c r="BQ138" s="23" t="e">
        <f>EXP(-LN(2)/25)*BQ137+(1-EXP(-LN(2)/25))/(LN(2)/25)*Calculateur!BL138*Calculateur!BN138*VLOOKUP('Données projet'!$B$11,Paramètres!$A$1:$I$89,3,0)*0.475*44/12</f>
        <v>#N/A</v>
      </c>
      <c r="BR138" s="23" t="e">
        <f>EXP(-LN(2)/2)*BR137+(1-EXP(-LN(2)/2))/(LN(2)/2)*BL138*BO138*VLOOKUP('Données projet'!$B$11,Paramètres!$A$1:$I$89,3,0)*0.475*44/12</f>
        <v>#N/A</v>
      </c>
      <c r="BS138" s="24" t="e">
        <f t="shared" si="117"/>
        <v>#N/A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0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0</v>
      </c>
      <c r="H139" s="70">
        <f t="shared" si="110"/>
        <v>256.66666666666669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-5.6843418860808015E-13</v>
      </c>
      <c r="O139" s="14">
        <f>N139*VLOOKUP('Données projet'!$B$9,Paramètres!$A$1:$I$89,3,0)*VLOOKUP('Données projet'!$B$9,Paramètres!$A$1:$I$89,5,0)</f>
        <v>-2.6602720026858149E-13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302.58171900450355</v>
      </c>
      <c r="T139" s="62">
        <f t="shared" si="142"/>
        <v>164.1450425611464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0</v>
      </c>
      <c r="AA139" s="23">
        <f>EXP(-LN(2)/25)*AA138+(1-EXP(-LN(2)/25))/(LN(2)/25)*Calculateur!V139*Calculateur!X139*VLOOKUP('Données projet'!$B$9,Paramètres!$A$1:$I$89,3,0)*0.475*44/12</f>
        <v>0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0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-5.6843418860808015E-14</v>
      </c>
      <c r="AJ139" s="14">
        <f>AI139*VLOOKUP('Données projet'!$B$10,Paramètres!$A$1:$I$89,3,0)*VLOOKUP('Données projet'!$B$10,Paramètres!$A$1:$I$89,5,0)</f>
        <v>-6.1186256061773749E-14</v>
      </c>
      <c r="AK139" s="14" t="e">
        <f t="shared" si="143"/>
        <v>#NUM!</v>
      </c>
      <c r="AL139" s="22" t="e">
        <f t="shared" si="112"/>
        <v>#NUM!</v>
      </c>
      <c r="AM139" s="62" t="e">
        <f t="shared" si="113"/>
        <v>#NUM!</v>
      </c>
      <c r="AN139" s="62">
        <f ca="1">AVERAGE(OFFSET($AM$3,0,0,'Données projet'!$E$10+1,1))-AVERAGE(OFFSET($H$3,0,0,'Données projet'!$E$10+1,1))</f>
        <v>327.4984716935208</v>
      </c>
      <c r="AO139" s="62">
        <f t="shared" si="144"/>
        <v>166.97658184507776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0</v>
      </c>
      <c r="AV139" s="23">
        <f>EXP(-LN(2)/25)*AV138+(1-EXP(-LN(2)/25))/(LN(2)/25)*Calculateur!AQ139*Calculateur!AS139*VLOOKUP('Données projet'!$B$10,Paramètres!$A$1:$I$89,3,0)*0.475*44/12</f>
        <v>0</v>
      </c>
      <c r="AW139" s="23">
        <f>EXP(-LN(2)/2)*AW138+(1-EXP(-LN(2)/2))/(LN(2)/2)*AQ139*AT139*VLOOKUP('Données projet'!$B$10,Paramètres!$A$1:$I$89,3,0)*0.475*44/12</f>
        <v>0</v>
      </c>
      <c r="AX139" s="23">
        <f t="shared" si="114"/>
        <v>0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0</v>
      </c>
      <c r="BE139" s="14" t="e">
        <f>BD139*VLOOKUP('Données projet'!$B$11,Paramètres!$A$1:$I$89,3,0)*VLOOKUP('Données projet'!$B$11,Paramètres!$A$1:$I$89,5,0)</f>
        <v>#N/A</v>
      </c>
      <c r="BF139" s="14" t="e">
        <f t="shared" si="145"/>
        <v>#N/A</v>
      </c>
      <c r="BG139" s="22" t="e">
        <f t="shared" si="115"/>
        <v>#N/A</v>
      </c>
      <c r="BH139" s="62" t="e">
        <f t="shared" si="116"/>
        <v>#N/A</v>
      </c>
      <c r="BI139" s="62" t="e">
        <f ca="1">AVERAGE(OFFSET($BH$3,0,0,'Données projet'!$E$11+1,1))-AVERAGE(OFFSET($H$3,0,0,'Données projet'!$E$11+1,1))</f>
        <v>#N/A</v>
      </c>
      <c r="BJ139" s="62" t="e">
        <f t="shared" si="146"/>
        <v>#N/A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 t="e">
        <f>EXP(-LN(2)/35)*BP138+(1-EXP(-LN(2)/35))/(LN(2)/35)*BL139*BM139*VLOOKUP('Données projet'!$B$11,Paramètres!$A$1:$I$89,3,0)*0.475*44/12</f>
        <v>#N/A</v>
      </c>
      <c r="BQ139" s="23" t="e">
        <f>EXP(-LN(2)/25)*BQ138+(1-EXP(-LN(2)/25))/(LN(2)/25)*Calculateur!BL139*Calculateur!BN139*VLOOKUP('Données projet'!$B$11,Paramètres!$A$1:$I$89,3,0)*0.475*44/12</f>
        <v>#N/A</v>
      </c>
      <c r="BR139" s="23" t="e">
        <f>EXP(-LN(2)/2)*BR138+(1-EXP(-LN(2)/2))/(LN(2)/2)*BL139*BO139*VLOOKUP('Données projet'!$B$11,Paramètres!$A$1:$I$89,3,0)*0.475*44/12</f>
        <v>#N/A</v>
      </c>
      <c r="BS139" s="24" t="e">
        <f t="shared" si="117"/>
        <v>#N/A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0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0</v>
      </c>
      <c r="H140" s="70">
        <f t="shared" si="110"/>
        <v>256.66666666666669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-5.6843418860808015E-13</v>
      </c>
      <c r="O140" s="14">
        <f>N140*VLOOKUP('Données projet'!$B$9,Paramètres!$A$1:$I$89,3,0)*VLOOKUP('Données projet'!$B$9,Paramètres!$A$1:$I$89,5,0)</f>
        <v>-2.6602720026858149E-13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302.58171900450355</v>
      </c>
      <c r="T140" s="62">
        <f t="shared" si="142"/>
        <v>164.1450425611464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0</v>
      </c>
      <c r="AA140" s="23">
        <f>EXP(-LN(2)/25)*AA139+(1-EXP(-LN(2)/25))/(LN(2)/25)*Calculateur!V140*Calculateur!X140*VLOOKUP('Données projet'!$B$9,Paramètres!$A$1:$I$89,3,0)*0.475*44/12</f>
        <v>0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0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-5.6843418860808015E-14</v>
      </c>
      <c r="AJ140" s="14">
        <f>AI140*VLOOKUP('Données projet'!$B$10,Paramètres!$A$1:$I$89,3,0)*VLOOKUP('Données projet'!$B$10,Paramètres!$A$1:$I$89,5,0)</f>
        <v>-6.1186256061773749E-14</v>
      </c>
      <c r="AK140" s="14" t="e">
        <f t="shared" si="143"/>
        <v>#NUM!</v>
      </c>
      <c r="AL140" s="22" t="e">
        <f t="shared" si="112"/>
        <v>#NUM!</v>
      </c>
      <c r="AM140" s="62" t="e">
        <f t="shared" si="113"/>
        <v>#NUM!</v>
      </c>
      <c r="AN140" s="62">
        <f ca="1">AVERAGE(OFFSET($AM$3,0,0,'Données projet'!$E$10+1,1))-AVERAGE(OFFSET($H$3,0,0,'Données projet'!$E$10+1,1))</f>
        <v>327.4984716935208</v>
      </c>
      <c r="AO140" s="62">
        <f t="shared" si="144"/>
        <v>166.97658184507776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0</v>
      </c>
      <c r="AV140" s="23">
        <f>EXP(-LN(2)/25)*AV139+(1-EXP(-LN(2)/25))/(LN(2)/25)*Calculateur!AQ140*Calculateur!AS140*VLOOKUP('Données projet'!$B$10,Paramètres!$A$1:$I$89,3,0)*0.475*44/12</f>
        <v>0</v>
      </c>
      <c r="AW140" s="23">
        <f>EXP(-LN(2)/2)*AW139+(1-EXP(-LN(2)/2))/(LN(2)/2)*AQ140*AT140*VLOOKUP('Données projet'!$B$10,Paramètres!$A$1:$I$89,3,0)*0.475*44/12</f>
        <v>0</v>
      </c>
      <c r="AX140" s="23">
        <f t="shared" si="114"/>
        <v>0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0</v>
      </c>
      <c r="BE140" s="14" t="e">
        <f>BD140*VLOOKUP('Données projet'!$B$11,Paramètres!$A$1:$I$89,3,0)*VLOOKUP('Données projet'!$B$11,Paramètres!$A$1:$I$89,5,0)</f>
        <v>#N/A</v>
      </c>
      <c r="BF140" s="14" t="e">
        <f t="shared" si="145"/>
        <v>#N/A</v>
      </c>
      <c r="BG140" s="22" t="e">
        <f t="shared" si="115"/>
        <v>#N/A</v>
      </c>
      <c r="BH140" s="62" t="e">
        <f t="shared" si="116"/>
        <v>#N/A</v>
      </c>
      <c r="BI140" s="62" t="e">
        <f ca="1">AVERAGE(OFFSET($BH$3,0,0,'Données projet'!$E$11+1,1))-AVERAGE(OFFSET($H$3,0,0,'Données projet'!$E$11+1,1))</f>
        <v>#N/A</v>
      </c>
      <c r="BJ140" s="62" t="e">
        <f t="shared" si="146"/>
        <v>#N/A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 t="e">
        <f>EXP(-LN(2)/35)*BP139+(1-EXP(-LN(2)/35))/(LN(2)/35)*BL140*BM140*VLOOKUP('Données projet'!$B$11,Paramètres!$A$1:$I$89,3,0)*0.475*44/12</f>
        <v>#N/A</v>
      </c>
      <c r="BQ140" s="23" t="e">
        <f>EXP(-LN(2)/25)*BQ139+(1-EXP(-LN(2)/25))/(LN(2)/25)*Calculateur!BL140*Calculateur!BN140*VLOOKUP('Données projet'!$B$11,Paramètres!$A$1:$I$89,3,0)*0.475*44/12</f>
        <v>#N/A</v>
      </c>
      <c r="BR140" s="23" t="e">
        <f>EXP(-LN(2)/2)*BR139+(1-EXP(-LN(2)/2))/(LN(2)/2)*BL140*BO140*VLOOKUP('Données projet'!$B$11,Paramètres!$A$1:$I$89,3,0)*0.475*44/12</f>
        <v>#N/A</v>
      </c>
      <c r="BS140" s="24" t="e">
        <f t="shared" si="117"/>
        <v>#N/A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0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0</v>
      </c>
      <c r="H141" s="70">
        <f t="shared" si="110"/>
        <v>256.66666666666669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-5.6843418860808015E-13</v>
      </c>
      <c r="O141" s="14">
        <f>N141*VLOOKUP('Données projet'!$B$9,Paramètres!$A$1:$I$89,3,0)*VLOOKUP('Données projet'!$B$9,Paramètres!$A$1:$I$89,5,0)</f>
        <v>-2.6602720026858149E-13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302.58171900450355</v>
      </c>
      <c r="T141" s="62">
        <f t="shared" si="142"/>
        <v>164.1450425611464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0</v>
      </c>
      <c r="AA141" s="23">
        <f>EXP(-LN(2)/25)*AA140+(1-EXP(-LN(2)/25))/(LN(2)/25)*Calculateur!V141*Calculateur!X141*VLOOKUP('Données projet'!$B$9,Paramètres!$A$1:$I$89,3,0)*0.475*44/12</f>
        <v>0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0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-5.6843418860808015E-14</v>
      </c>
      <c r="AJ141" s="14">
        <f>AI141*VLOOKUP('Données projet'!$B$10,Paramètres!$A$1:$I$89,3,0)*VLOOKUP('Données projet'!$B$10,Paramètres!$A$1:$I$89,5,0)</f>
        <v>-6.1186256061773749E-14</v>
      </c>
      <c r="AK141" s="14" t="e">
        <f t="shared" si="143"/>
        <v>#NUM!</v>
      </c>
      <c r="AL141" s="22" t="e">
        <f t="shared" si="112"/>
        <v>#NUM!</v>
      </c>
      <c r="AM141" s="62" t="e">
        <f t="shared" si="113"/>
        <v>#NUM!</v>
      </c>
      <c r="AN141" s="62">
        <f ca="1">AVERAGE(OFFSET($AM$3,0,0,'Données projet'!$E$10+1,1))-AVERAGE(OFFSET($H$3,0,0,'Données projet'!$E$10+1,1))</f>
        <v>327.4984716935208</v>
      </c>
      <c r="AO141" s="62">
        <f t="shared" si="144"/>
        <v>166.97658184507776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0</v>
      </c>
      <c r="AV141" s="23">
        <f>EXP(-LN(2)/25)*AV140+(1-EXP(-LN(2)/25))/(LN(2)/25)*Calculateur!AQ141*Calculateur!AS141*VLOOKUP('Données projet'!$B$10,Paramètres!$A$1:$I$89,3,0)*0.475*44/12</f>
        <v>0</v>
      </c>
      <c r="AW141" s="23">
        <f>EXP(-LN(2)/2)*AW140+(1-EXP(-LN(2)/2))/(LN(2)/2)*AQ141*AT141*VLOOKUP('Données projet'!$B$10,Paramètres!$A$1:$I$89,3,0)*0.475*44/12</f>
        <v>0</v>
      </c>
      <c r="AX141" s="23">
        <f t="shared" si="114"/>
        <v>0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0</v>
      </c>
      <c r="BE141" s="14" t="e">
        <f>BD141*VLOOKUP('Données projet'!$B$11,Paramètres!$A$1:$I$89,3,0)*VLOOKUP('Données projet'!$B$11,Paramètres!$A$1:$I$89,5,0)</f>
        <v>#N/A</v>
      </c>
      <c r="BF141" s="14" t="e">
        <f t="shared" si="145"/>
        <v>#N/A</v>
      </c>
      <c r="BG141" s="22" t="e">
        <f t="shared" si="115"/>
        <v>#N/A</v>
      </c>
      <c r="BH141" s="62" t="e">
        <f t="shared" si="116"/>
        <v>#N/A</v>
      </c>
      <c r="BI141" s="62" t="e">
        <f ca="1">AVERAGE(OFFSET($BH$3,0,0,'Données projet'!$E$11+1,1))-AVERAGE(OFFSET($H$3,0,0,'Données projet'!$E$11+1,1))</f>
        <v>#N/A</v>
      </c>
      <c r="BJ141" s="62" t="e">
        <f t="shared" si="146"/>
        <v>#N/A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 t="e">
        <f>EXP(-LN(2)/35)*BP140+(1-EXP(-LN(2)/35))/(LN(2)/35)*BL141*BM141*VLOOKUP('Données projet'!$B$11,Paramètres!$A$1:$I$89,3,0)*0.475*44/12</f>
        <v>#N/A</v>
      </c>
      <c r="BQ141" s="23" t="e">
        <f>EXP(-LN(2)/25)*BQ140+(1-EXP(-LN(2)/25))/(LN(2)/25)*Calculateur!BL141*Calculateur!BN141*VLOOKUP('Données projet'!$B$11,Paramètres!$A$1:$I$89,3,0)*0.475*44/12</f>
        <v>#N/A</v>
      </c>
      <c r="BR141" s="23" t="e">
        <f>EXP(-LN(2)/2)*BR140+(1-EXP(-LN(2)/2))/(LN(2)/2)*BL141*BO141*VLOOKUP('Données projet'!$B$11,Paramètres!$A$1:$I$89,3,0)*0.475*44/12</f>
        <v>#N/A</v>
      </c>
      <c r="BS141" s="24" t="e">
        <f t="shared" si="117"/>
        <v>#N/A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0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0</v>
      </c>
      <c r="H142" s="70">
        <f t="shared" si="110"/>
        <v>256.66666666666669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-5.6843418860808015E-13</v>
      </c>
      <c r="O142" s="14">
        <f>N142*VLOOKUP('Données projet'!$B$9,Paramètres!$A$1:$I$89,3,0)*VLOOKUP('Données projet'!$B$9,Paramètres!$A$1:$I$89,5,0)</f>
        <v>-2.6602720026858149E-13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302.58171900450355</v>
      </c>
      <c r="T142" s="62">
        <f t="shared" si="142"/>
        <v>164.1450425611464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0</v>
      </c>
      <c r="AA142" s="23">
        <f>EXP(-LN(2)/25)*AA141+(1-EXP(-LN(2)/25))/(LN(2)/25)*Calculateur!V142*Calculateur!X142*VLOOKUP('Données projet'!$B$9,Paramètres!$A$1:$I$89,3,0)*0.475*44/12</f>
        <v>0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0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-5.6843418860808015E-14</v>
      </c>
      <c r="AJ142" s="14">
        <f>AI142*VLOOKUP('Données projet'!$B$10,Paramètres!$A$1:$I$89,3,0)*VLOOKUP('Données projet'!$B$10,Paramètres!$A$1:$I$89,5,0)</f>
        <v>-6.1186256061773749E-14</v>
      </c>
      <c r="AK142" s="14" t="e">
        <f t="shared" si="143"/>
        <v>#NUM!</v>
      </c>
      <c r="AL142" s="22" t="e">
        <f t="shared" si="112"/>
        <v>#NUM!</v>
      </c>
      <c r="AM142" s="62" t="e">
        <f t="shared" si="113"/>
        <v>#NUM!</v>
      </c>
      <c r="AN142" s="62">
        <f ca="1">AVERAGE(OFFSET($AM$3,0,0,'Données projet'!$E$10+1,1))-AVERAGE(OFFSET($H$3,0,0,'Données projet'!$E$10+1,1))</f>
        <v>327.4984716935208</v>
      </c>
      <c r="AO142" s="62">
        <f t="shared" si="144"/>
        <v>166.97658184507776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0</v>
      </c>
      <c r="AV142" s="23">
        <f>EXP(-LN(2)/25)*AV141+(1-EXP(-LN(2)/25))/(LN(2)/25)*Calculateur!AQ142*Calculateur!AS142*VLOOKUP('Données projet'!$B$10,Paramètres!$A$1:$I$89,3,0)*0.475*44/12</f>
        <v>0</v>
      </c>
      <c r="AW142" s="23">
        <f>EXP(-LN(2)/2)*AW141+(1-EXP(-LN(2)/2))/(LN(2)/2)*AQ142*AT142*VLOOKUP('Données projet'!$B$10,Paramètres!$A$1:$I$89,3,0)*0.475*44/12</f>
        <v>0</v>
      </c>
      <c r="AX142" s="23">
        <f t="shared" si="114"/>
        <v>0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0</v>
      </c>
      <c r="BE142" s="14" t="e">
        <f>BD142*VLOOKUP('Données projet'!$B$11,Paramètres!$A$1:$I$89,3,0)*VLOOKUP('Données projet'!$B$11,Paramètres!$A$1:$I$89,5,0)</f>
        <v>#N/A</v>
      </c>
      <c r="BF142" s="14" t="e">
        <f t="shared" si="145"/>
        <v>#N/A</v>
      </c>
      <c r="BG142" s="22" t="e">
        <f t="shared" si="115"/>
        <v>#N/A</v>
      </c>
      <c r="BH142" s="62" t="e">
        <f t="shared" si="116"/>
        <v>#N/A</v>
      </c>
      <c r="BI142" s="62" t="e">
        <f ca="1">AVERAGE(OFFSET($BH$3,0,0,'Données projet'!$E$11+1,1))-AVERAGE(OFFSET($H$3,0,0,'Données projet'!$E$11+1,1))</f>
        <v>#N/A</v>
      </c>
      <c r="BJ142" s="62" t="e">
        <f t="shared" si="146"/>
        <v>#N/A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 t="e">
        <f>EXP(-LN(2)/35)*BP141+(1-EXP(-LN(2)/35))/(LN(2)/35)*BL142*BM142*VLOOKUP('Données projet'!$B$11,Paramètres!$A$1:$I$89,3,0)*0.475*44/12</f>
        <v>#N/A</v>
      </c>
      <c r="BQ142" s="23" t="e">
        <f>EXP(-LN(2)/25)*BQ141+(1-EXP(-LN(2)/25))/(LN(2)/25)*Calculateur!BL142*Calculateur!BN142*VLOOKUP('Données projet'!$B$11,Paramètres!$A$1:$I$89,3,0)*0.475*44/12</f>
        <v>#N/A</v>
      </c>
      <c r="BR142" s="23" t="e">
        <f>EXP(-LN(2)/2)*BR141+(1-EXP(-LN(2)/2))/(LN(2)/2)*BL142*BO142*VLOOKUP('Données projet'!$B$11,Paramètres!$A$1:$I$89,3,0)*0.475*44/12</f>
        <v>#N/A</v>
      </c>
      <c r="BS142" s="24" t="e">
        <f t="shared" si="117"/>
        <v>#N/A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0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0</v>
      </c>
      <c r="H143" s="70">
        <f t="shared" si="110"/>
        <v>256.66666666666669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-5.6843418860808015E-13</v>
      </c>
      <c r="O143" s="14">
        <f>N143*VLOOKUP('Données projet'!$B$9,Paramètres!$A$1:$I$89,3,0)*VLOOKUP('Données projet'!$B$9,Paramètres!$A$1:$I$89,5,0)</f>
        <v>-2.6602720026858149E-13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302.58171900450355</v>
      </c>
      <c r="T143" s="62">
        <f t="shared" si="142"/>
        <v>164.1450425611464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0</v>
      </c>
      <c r="AA143" s="23">
        <f>EXP(-LN(2)/25)*AA142+(1-EXP(-LN(2)/25))/(LN(2)/25)*Calculateur!V143*Calculateur!X143*VLOOKUP('Données projet'!$B$9,Paramètres!$A$1:$I$89,3,0)*0.475*44/12</f>
        <v>0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0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-5.6843418860808015E-14</v>
      </c>
      <c r="AJ143" s="14">
        <f>AI143*VLOOKUP('Données projet'!$B$10,Paramètres!$A$1:$I$89,3,0)*VLOOKUP('Données projet'!$B$10,Paramètres!$A$1:$I$89,5,0)</f>
        <v>-6.1186256061773749E-14</v>
      </c>
      <c r="AK143" s="14" t="e">
        <f t="shared" si="143"/>
        <v>#NUM!</v>
      </c>
      <c r="AL143" s="22" t="e">
        <f t="shared" si="112"/>
        <v>#NUM!</v>
      </c>
      <c r="AM143" s="62" t="e">
        <f t="shared" si="113"/>
        <v>#NUM!</v>
      </c>
      <c r="AN143" s="62">
        <f ca="1">AVERAGE(OFFSET($AM$3,0,0,'Données projet'!$E$10+1,1))-AVERAGE(OFFSET($H$3,0,0,'Données projet'!$E$10+1,1))</f>
        <v>327.4984716935208</v>
      </c>
      <c r="AO143" s="62">
        <f t="shared" si="144"/>
        <v>166.97658184507776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0</v>
      </c>
      <c r="AV143" s="23">
        <f>EXP(-LN(2)/25)*AV142+(1-EXP(-LN(2)/25))/(LN(2)/25)*Calculateur!AQ143*Calculateur!AS143*VLOOKUP('Données projet'!$B$10,Paramètres!$A$1:$I$89,3,0)*0.475*44/12</f>
        <v>0</v>
      </c>
      <c r="AW143" s="23">
        <f>EXP(-LN(2)/2)*AW142+(1-EXP(-LN(2)/2))/(LN(2)/2)*AQ143*AT143*VLOOKUP('Données projet'!$B$10,Paramètres!$A$1:$I$89,3,0)*0.475*44/12</f>
        <v>0</v>
      </c>
      <c r="AX143" s="23">
        <f t="shared" si="114"/>
        <v>0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0</v>
      </c>
      <c r="BE143" s="14" t="e">
        <f>BD143*VLOOKUP('Données projet'!$B$11,Paramètres!$A$1:$I$89,3,0)*VLOOKUP('Données projet'!$B$11,Paramètres!$A$1:$I$89,5,0)</f>
        <v>#N/A</v>
      </c>
      <c r="BF143" s="14" t="e">
        <f t="shared" si="145"/>
        <v>#N/A</v>
      </c>
      <c r="BG143" s="22" t="e">
        <f t="shared" si="115"/>
        <v>#N/A</v>
      </c>
      <c r="BH143" s="62" t="e">
        <f t="shared" si="116"/>
        <v>#N/A</v>
      </c>
      <c r="BI143" s="62" t="e">
        <f ca="1">AVERAGE(OFFSET($BH$3,0,0,'Données projet'!$E$11+1,1))-AVERAGE(OFFSET($H$3,0,0,'Données projet'!$E$11+1,1))</f>
        <v>#N/A</v>
      </c>
      <c r="BJ143" s="62" t="e">
        <f t="shared" si="146"/>
        <v>#N/A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 t="e">
        <f>EXP(-LN(2)/35)*BP142+(1-EXP(-LN(2)/35))/(LN(2)/35)*BL143*BM143*VLOOKUP('Données projet'!$B$11,Paramètres!$A$1:$I$89,3,0)*0.475*44/12</f>
        <v>#N/A</v>
      </c>
      <c r="BQ143" s="23" t="e">
        <f>EXP(-LN(2)/25)*BQ142+(1-EXP(-LN(2)/25))/(LN(2)/25)*Calculateur!BL143*Calculateur!BN143*VLOOKUP('Données projet'!$B$11,Paramètres!$A$1:$I$89,3,0)*0.475*44/12</f>
        <v>#N/A</v>
      </c>
      <c r="BR143" s="23" t="e">
        <f>EXP(-LN(2)/2)*BR142+(1-EXP(-LN(2)/2))/(LN(2)/2)*BL143*BO143*VLOOKUP('Données projet'!$B$11,Paramètres!$A$1:$I$89,3,0)*0.475*44/12</f>
        <v>#N/A</v>
      </c>
      <c r="BS143" s="24" t="e">
        <f t="shared" si="117"/>
        <v>#N/A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0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0</v>
      </c>
      <c r="H144" s="70">
        <f t="shared" si="110"/>
        <v>256.66666666666669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-5.6843418860808015E-13</v>
      </c>
      <c r="O144" s="14">
        <f>N144*VLOOKUP('Données projet'!$B$9,Paramètres!$A$1:$I$89,3,0)*VLOOKUP('Données projet'!$B$9,Paramètres!$A$1:$I$89,5,0)</f>
        <v>-2.6602720026858149E-13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302.58171900450355</v>
      </c>
      <c r="T144" s="62">
        <f t="shared" si="142"/>
        <v>164.1450425611464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0</v>
      </c>
      <c r="AA144" s="23">
        <f>EXP(-LN(2)/25)*AA143+(1-EXP(-LN(2)/25))/(LN(2)/25)*Calculateur!V144*Calculateur!X144*VLOOKUP('Données projet'!$B$9,Paramètres!$A$1:$I$89,3,0)*0.475*44/12</f>
        <v>0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0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-5.6843418860808015E-14</v>
      </c>
      <c r="AJ144" s="14">
        <f>AI144*VLOOKUP('Données projet'!$B$10,Paramètres!$A$1:$I$89,3,0)*VLOOKUP('Données projet'!$B$10,Paramètres!$A$1:$I$89,5,0)</f>
        <v>-6.1186256061773749E-14</v>
      </c>
      <c r="AK144" s="14" t="e">
        <f t="shared" si="143"/>
        <v>#NUM!</v>
      </c>
      <c r="AL144" s="22" t="e">
        <f t="shared" si="112"/>
        <v>#NUM!</v>
      </c>
      <c r="AM144" s="62" t="e">
        <f t="shared" si="113"/>
        <v>#NUM!</v>
      </c>
      <c r="AN144" s="62">
        <f ca="1">AVERAGE(OFFSET($AM$3,0,0,'Données projet'!$E$10+1,1))-AVERAGE(OFFSET($H$3,0,0,'Données projet'!$E$10+1,1))</f>
        <v>327.4984716935208</v>
      </c>
      <c r="AO144" s="62">
        <f t="shared" si="144"/>
        <v>166.97658184507776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0</v>
      </c>
      <c r="AV144" s="23">
        <f>EXP(-LN(2)/25)*AV143+(1-EXP(-LN(2)/25))/(LN(2)/25)*Calculateur!AQ144*Calculateur!AS144*VLOOKUP('Données projet'!$B$10,Paramètres!$A$1:$I$89,3,0)*0.475*44/12</f>
        <v>0</v>
      </c>
      <c r="AW144" s="23">
        <f>EXP(-LN(2)/2)*AW143+(1-EXP(-LN(2)/2))/(LN(2)/2)*AQ144*AT144*VLOOKUP('Données projet'!$B$10,Paramètres!$A$1:$I$89,3,0)*0.475*44/12</f>
        <v>0</v>
      </c>
      <c r="AX144" s="23">
        <f t="shared" si="114"/>
        <v>0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0</v>
      </c>
      <c r="BE144" s="14" t="e">
        <f>BD144*VLOOKUP('Données projet'!$B$11,Paramètres!$A$1:$I$89,3,0)*VLOOKUP('Données projet'!$B$11,Paramètres!$A$1:$I$89,5,0)</f>
        <v>#N/A</v>
      </c>
      <c r="BF144" s="14" t="e">
        <f t="shared" si="145"/>
        <v>#N/A</v>
      </c>
      <c r="BG144" s="22" t="e">
        <f t="shared" si="115"/>
        <v>#N/A</v>
      </c>
      <c r="BH144" s="62" t="e">
        <f t="shared" si="116"/>
        <v>#N/A</v>
      </c>
      <c r="BI144" s="62" t="e">
        <f ca="1">AVERAGE(OFFSET($BH$3,0,0,'Données projet'!$E$11+1,1))-AVERAGE(OFFSET($H$3,0,0,'Données projet'!$E$11+1,1))</f>
        <v>#N/A</v>
      </c>
      <c r="BJ144" s="62" t="e">
        <f t="shared" si="146"/>
        <v>#N/A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 t="e">
        <f>EXP(-LN(2)/35)*BP143+(1-EXP(-LN(2)/35))/(LN(2)/35)*BL144*BM144*VLOOKUP('Données projet'!$B$11,Paramètres!$A$1:$I$89,3,0)*0.475*44/12</f>
        <v>#N/A</v>
      </c>
      <c r="BQ144" s="23" t="e">
        <f>EXP(-LN(2)/25)*BQ143+(1-EXP(-LN(2)/25))/(LN(2)/25)*Calculateur!BL144*Calculateur!BN144*VLOOKUP('Données projet'!$B$11,Paramètres!$A$1:$I$89,3,0)*0.475*44/12</f>
        <v>#N/A</v>
      </c>
      <c r="BR144" s="23" t="e">
        <f>EXP(-LN(2)/2)*BR143+(1-EXP(-LN(2)/2))/(LN(2)/2)*BL144*BO144*VLOOKUP('Données projet'!$B$11,Paramètres!$A$1:$I$89,3,0)*0.475*44/12</f>
        <v>#N/A</v>
      </c>
      <c r="BS144" s="24" t="e">
        <f t="shared" si="117"/>
        <v>#N/A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0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0</v>
      </c>
      <c r="H145" s="70">
        <f t="shared" si="110"/>
        <v>256.66666666666669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-5.6843418860808015E-13</v>
      </c>
      <c r="O145" s="14">
        <f>N145*VLOOKUP('Données projet'!$B$9,Paramètres!$A$1:$I$89,3,0)*VLOOKUP('Données projet'!$B$9,Paramètres!$A$1:$I$89,5,0)</f>
        <v>-2.6602720026858149E-13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302.58171900450355</v>
      </c>
      <c r="T145" s="62">
        <f t="shared" si="142"/>
        <v>164.1450425611464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0</v>
      </c>
      <c r="AA145" s="23">
        <f>EXP(-LN(2)/25)*AA144+(1-EXP(-LN(2)/25))/(LN(2)/25)*Calculateur!V145*Calculateur!X145*VLOOKUP('Données projet'!$B$9,Paramètres!$A$1:$I$89,3,0)*0.475*44/12</f>
        <v>0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0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-5.6843418860808015E-14</v>
      </c>
      <c r="AJ145" s="14">
        <f>AI145*VLOOKUP('Données projet'!$B$10,Paramètres!$A$1:$I$89,3,0)*VLOOKUP('Données projet'!$B$10,Paramètres!$A$1:$I$89,5,0)</f>
        <v>-6.1186256061773749E-14</v>
      </c>
      <c r="AK145" s="14" t="e">
        <f t="shared" si="143"/>
        <v>#NUM!</v>
      </c>
      <c r="AL145" s="22" t="e">
        <f t="shared" si="112"/>
        <v>#NUM!</v>
      </c>
      <c r="AM145" s="62" t="e">
        <f t="shared" si="113"/>
        <v>#NUM!</v>
      </c>
      <c r="AN145" s="62">
        <f ca="1">AVERAGE(OFFSET($AM$3,0,0,'Données projet'!$E$10+1,1))-AVERAGE(OFFSET($H$3,0,0,'Données projet'!$E$10+1,1))</f>
        <v>327.4984716935208</v>
      </c>
      <c r="AO145" s="62">
        <f t="shared" si="144"/>
        <v>166.97658184507776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0</v>
      </c>
      <c r="AV145" s="23">
        <f>EXP(-LN(2)/25)*AV144+(1-EXP(-LN(2)/25))/(LN(2)/25)*Calculateur!AQ145*Calculateur!AS145*VLOOKUP('Données projet'!$B$10,Paramètres!$A$1:$I$89,3,0)*0.475*44/12</f>
        <v>0</v>
      </c>
      <c r="AW145" s="23">
        <f>EXP(-LN(2)/2)*AW144+(1-EXP(-LN(2)/2))/(LN(2)/2)*AQ145*AT145*VLOOKUP('Données projet'!$B$10,Paramètres!$A$1:$I$89,3,0)*0.475*44/12</f>
        <v>0</v>
      </c>
      <c r="AX145" s="23">
        <f t="shared" si="114"/>
        <v>0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0</v>
      </c>
      <c r="BE145" s="14" t="e">
        <f>BD145*VLOOKUP('Données projet'!$B$11,Paramètres!$A$1:$I$89,3,0)*VLOOKUP('Données projet'!$B$11,Paramètres!$A$1:$I$89,5,0)</f>
        <v>#N/A</v>
      </c>
      <c r="BF145" s="14" t="e">
        <f t="shared" si="145"/>
        <v>#N/A</v>
      </c>
      <c r="BG145" s="22" t="e">
        <f t="shared" si="115"/>
        <v>#N/A</v>
      </c>
      <c r="BH145" s="62" t="e">
        <f t="shared" si="116"/>
        <v>#N/A</v>
      </c>
      <c r="BI145" s="62" t="e">
        <f ca="1">AVERAGE(OFFSET($BH$3,0,0,'Données projet'!$E$11+1,1))-AVERAGE(OFFSET($H$3,0,0,'Données projet'!$E$11+1,1))</f>
        <v>#N/A</v>
      </c>
      <c r="BJ145" s="62" t="e">
        <f t="shared" si="146"/>
        <v>#N/A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 t="e">
        <f>EXP(-LN(2)/35)*BP144+(1-EXP(-LN(2)/35))/(LN(2)/35)*BL145*BM145*VLOOKUP('Données projet'!$B$11,Paramètres!$A$1:$I$89,3,0)*0.475*44/12</f>
        <v>#N/A</v>
      </c>
      <c r="BQ145" s="23" t="e">
        <f>EXP(-LN(2)/25)*BQ144+(1-EXP(-LN(2)/25))/(LN(2)/25)*Calculateur!BL145*Calculateur!BN145*VLOOKUP('Données projet'!$B$11,Paramètres!$A$1:$I$89,3,0)*0.475*44/12</f>
        <v>#N/A</v>
      </c>
      <c r="BR145" s="23" t="e">
        <f>EXP(-LN(2)/2)*BR144+(1-EXP(-LN(2)/2))/(LN(2)/2)*BL145*BO145*VLOOKUP('Données projet'!$B$11,Paramètres!$A$1:$I$89,3,0)*0.475*44/12</f>
        <v>#N/A</v>
      </c>
      <c r="BS145" s="24" t="e">
        <f t="shared" si="117"/>
        <v>#N/A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0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0</v>
      </c>
      <c r="H146" s="70">
        <f t="shared" si="110"/>
        <v>256.66666666666669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-5.6843418860808015E-13</v>
      </c>
      <c r="O146" s="14">
        <f>N146*VLOOKUP('Données projet'!$B$9,Paramètres!$A$1:$I$89,3,0)*VLOOKUP('Données projet'!$B$9,Paramètres!$A$1:$I$89,5,0)</f>
        <v>-2.6602720026858149E-13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302.58171900450355</v>
      </c>
      <c r="T146" s="62">
        <f t="shared" si="142"/>
        <v>164.1450425611464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0</v>
      </c>
      <c r="AA146" s="23">
        <f>EXP(-LN(2)/25)*AA145+(1-EXP(-LN(2)/25))/(LN(2)/25)*Calculateur!V146*Calculateur!X146*VLOOKUP('Données projet'!$B$9,Paramètres!$A$1:$I$89,3,0)*0.475*44/12</f>
        <v>0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0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-5.6843418860808015E-14</v>
      </c>
      <c r="AJ146" s="14">
        <f>AI146*VLOOKUP('Données projet'!$B$10,Paramètres!$A$1:$I$89,3,0)*VLOOKUP('Données projet'!$B$10,Paramètres!$A$1:$I$89,5,0)</f>
        <v>-6.1186256061773749E-14</v>
      </c>
      <c r="AK146" s="14" t="e">
        <f t="shared" si="143"/>
        <v>#NUM!</v>
      </c>
      <c r="AL146" s="22" t="e">
        <f t="shared" si="112"/>
        <v>#NUM!</v>
      </c>
      <c r="AM146" s="62" t="e">
        <f t="shared" si="113"/>
        <v>#NUM!</v>
      </c>
      <c r="AN146" s="62">
        <f ca="1">AVERAGE(OFFSET($AM$3,0,0,'Données projet'!$E$10+1,1))-AVERAGE(OFFSET($H$3,0,0,'Données projet'!$E$10+1,1))</f>
        <v>327.4984716935208</v>
      </c>
      <c r="AO146" s="62">
        <f t="shared" si="144"/>
        <v>166.97658184507776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0</v>
      </c>
      <c r="AV146" s="23">
        <f>EXP(-LN(2)/25)*AV145+(1-EXP(-LN(2)/25))/(LN(2)/25)*Calculateur!AQ146*Calculateur!AS146*VLOOKUP('Données projet'!$B$10,Paramètres!$A$1:$I$89,3,0)*0.475*44/12</f>
        <v>0</v>
      </c>
      <c r="AW146" s="23">
        <f>EXP(-LN(2)/2)*AW145+(1-EXP(-LN(2)/2))/(LN(2)/2)*AQ146*AT146*VLOOKUP('Données projet'!$B$10,Paramètres!$A$1:$I$89,3,0)*0.475*44/12</f>
        <v>0</v>
      </c>
      <c r="AX146" s="23">
        <f t="shared" si="114"/>
        <v>0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0</v>
      </c>
      <c r="BE146" s="14" t="e">
        <f>BD146*VLOOKUP('Données projet'!$B$11,Paramètres!$A$1:$I$89,3,0)*VLOOKUP('Données projet'!$B$11,Paramètres!$A$1:$I$89,5,0)</f>
        <v>#N/A</v>
      </c>
      <c r="BF146" s="14" t="e">
        <f t="shared" si="145"/>
        <v>#N/A</v>
      </c>
      <c r="BG146" s="22" t="e">
        <f t="shared" si="115"/>
        <v>#N/A</v>
      </c>
      <c r="BH146" s="62" t="e">
        <f t="shared" si="116"/>
        <v>#N/A</v>
      </c>
      <c r="BI146" s="62" t="e">
        <f ca="1">AVERAGE(OFFSET($BH$3,0,0,'Données projet'!$E$11+1,1))-AVERAGE(OFFSET($H$3,0,0,'Données projet'!$E$11+1,1))</f>
        <v>#N/A</v>
      </c>
      <c r="BJ146" s="62" t="e">
        <f t="shared" si="146"/>
        <v>#N/A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 t="e">
        <f>EXP(-LN(2)/35)*BP145+(1-EXP(-LN(2)/35))/(LN(2)/35)*BL146*BM146*VLOOKUP('Données projet'!$B$11,Paramètres!$A$1:$I$89,3,0)*0.475*44/12</f>
        <v>#N/A</v>
      </c>
      <c r="BQ146" s="23" t="e">
        <f>EXP(-LN(2)/25)*BQ145+(1-EXP(-LN(2)/25))/(LN(2)/25)*Calculateur!BL146*Calculateur!BN146*VLOOKUP('Données projet'!$B$11,Paramètres!$A$1:$I$89,3,0)*0.475*44/12</f>
        <v>#N/A</v>
      </c>
      <c r="BR146" s="23" t="e">
        <f>EXP(-LN(2)/2)*BR145+(1-EXP(-LN(2)/2))/(LN(2)/2)*BL146*BO146*VLOOKUP('Données projet'!$B$11,Paramètres!$A$1:$I$89,3,0)*0.475*44/12</f>
        <v>#N/A</v>
      </c>
      <c r="BS146" s="24" t="e">
        <f t="shared" si="117"/>
        <v>#N/A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0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0</v>
      </c>
      <c r="H147" s="70">
        <f t="shared" si="110"/>
        <v>256.66666666666669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-5.6843418860808015E-13</v>
      </c>
      <c r="O147" s="14">
        <f>N147*VLOOKUP('Données projet'!$B$9,Paramètres!$A$1:$I$89,3,0)*VLOOKUP('Données projet'!$B$9,Paramètres!$A$1:$I$89,5,0)</f>
        <v>-2.6602720026858149E-13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302.58171900450355</v>
      </c>
      <c r="T147" s="62">
        <f t="shared" si="142"/>
        <v>164.1450425611464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0</v>
      </c>
      <c r="AA147" s="23">
        <f>EXP(-LN(2)/25)*AA146+(1-EXP(-LN(2)/25))/(LN(2)/25)*Calculateur!V147*Calculateur!X147*VLOOKUP('Données projet'!$B$9,Paramètres!$A$1:$I$89,3,0)*0.475*44/12</f>
        <v>0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0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-5.6843418860808015E-14</v>
      </c>
      <c r="AJ147" s="14">
        <f>AI147*VLOOKUP('Données projet'!$B$10,Paramètres!$A$1:$I$89,3,0)*VLOOKUP('Données projet'!$B$10,Paramètres!$A$1:$I$89,5,0)</f>
        <v>-6.1186256061773749E-14</v>
      </c>
      <c r="AK147" s="14" t="e">
        <f t="shared" si="143"/>
        <v>#NUM!</v>
      </c>
      <c r="AL147" s="22" t="e">
        <f t="shared" si="112"/>
        <v>#NUM!</v>
      </c>
      <c r="AM147" s="62" t="e">
        <f t="shared" si="113"/>
        <v>#NUM!</v>
      </c>
      <c r="AN147" s="62">
        <f ca="1">AVERAGE(OFFSET($AM$3,0,0,'Données projet'!$E$10+1,1))-AVERAGE(OFFSET($H$3,0,0,'Données projet'!$E$10+1,1))</f>
        <v>327.4984716935208</v>
      </c>
      <c r="AO147" s="62">
        <f t="shared" si="144"/>
        <v>166.97658184507776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0</v>
      </c>
      <c r="AV147" s="23">
        <f>EXP(-LN(2)/25)*AV146+(1-EXP(-LN(2)/25))/(LN(2)/25)*Calculateur!AQ147*Calculateur!AS147*VLOOKUP('Données projet'!$B$10,Paramètres!$A$1:$I$89,3,0)*0.475*44/12</f>
        <v>0</v>
      </c>
      <c r="AW147" s="23">
        <f>EXP(-LN(2)/2)*AW146+(1-EXP(-LN(2)/2))/(LN(2)/2)*AQ147*AT147*VLOOKUP('Données projet'!$B$10,Paramètres!$A$1:$I$89,3,0)*0.475*44/12</f>
        <v>0</v>
      </c>
      <c r="AX147" s="23">
        <f t="shared" si="114"/>
        <v>0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0</v>
      </c>
      <c r="BE147" s="14" t="e">
        <f>BD147*VLOOKUP('Données projet'!$B$11,Paramètres!$A$1:$I$89,3,0)*VLOOKUP('Données projet'!$B$11,Paramètres!$A$1:$I$89,5,0)</f>
        <v>#N/A</v>
      </c>
      <c r="BF147" s="14" t="e">
        <f t="shared" si="145"/>
        <v>#N/A</v>
      </c>
      <c r="BG147" s="22" t="e">
        <f t="shared" si="115"/>
        <v>#N/A</v>
      </c>
      <c r="BH147" s="62" t="e">
        <f t="shared" si="116"/>
        <v>#N/A</v>
      </c>
      <c r="BI147" s="62" t="e">
        <f ca="1">AVERAGE(OFFSET($BH$3,0,0,'Données projet'!$E$11+1,1))-AVERAGE(OFFSET($H$3,0,0,'Données projet'!$E$11+1,1))</f>
        <v>#N/A</v>
      </c>
      <c r="BJ147" s="62" t="e">
        <f t="shared" si="146"/>
        <v>#N/A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 t="e">
        <f>EXP(-LN(2)/35)*BP146+(1-EXP(-LN(2)/35))/(LN(2)/35)*BL147*BM147*VLOOKUP('Données projet'!$B$11,Paramètres!$A$1:$I$89,3,0)*0.475*44/12</f>
        <v>#N/A</v>
      </c>
      <c r="BQ147" s="23" t="e">
        <f>EXP(-LN(2)/25)*BQ146+(1-EXP(-LN(2)/25))/(LN(2)/25)*Calculateur!BL147*Calculateur!BN147*VLOOKUP('Données projet'!$B$11,Paramètres!$A$1:$I$89,3,0)*0.475*44/12</f>
        <v>#N/A</v>
      </c>
      <c r="BR147" s="23" t="e">
        <f>EXP(-LN(2)/2)*BR146+(1-EXP(-LN(2)/2))/(LN(2)/2)*BL147*BO147*VLOOKUP('Données projet'!$B$11,Paramètres!$A$1:$I$89,3,0)*0.475*44/12</f>
        <v>#N/A</v>
      </c>
      <c r="BS147" s="24" t="e">
        <f t="shared" si="117"/>
        <v>#N/A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0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0</v>
      </c>
      <c r="H148" s="70">
        <f t="shared" si="110"/>
        <v>256.66666666666669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-5.6843418860808015E-13</v>
      </c>
      <c r="O148" s="14">
        <f>N148*VLOOKUP('Données projet'!$B$9,Paramètres!$A$1:$I$89,3,0)*VLOOKUP('Données projet'!$B$9,Paramètres!$A$1:$I$89,5,0)</f>
        <v>-2.6602720026858149E-13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302.58171900450355</v>
      </c>
      <c r="T148" s="62">
        <f t="shared" si="142"/>
        <v>164.1450425611464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0</v>
      </c>
      <c r="AA148" s="23">
        <f>EXP(-LN(2)/25)*AA147+(1-EXP(-LN(2)/25))/(LN(2)/25)*Calculateur!V148*Calculateur!X148*VLOOKUP('Données projet'!$B$9,Paramètres!$A$1:$I$89,3,0)*0.475*44/12</f>
        <v>0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0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-5.6843418860808015E-14</v>
      </c>
      <c r="AJ148" s="14">
        <f>AI148*VLOOKUP('Données projet'!$B$10,Paramètres!$A$1:$I$89,3,0)*VLOOKUP('Données projet'!$B$10,Paramètres!$A$1:$I$89,5,0)</f>
        <v>-6.1186256061773749E-14</v>
      </c>
      <c r="AK148" s="14" t="e">
        <f t="shared" si="143"/>
        <v>#NUM!</v>
      </c>
      <c r="AL148" s="22" t="e">
        <f t="shared" si="112"/>
        <v>#NUM!</v>
      </c>
      <c r="AM148" s="62" t="e">
        <f t="shared" si="113"/>
        <v>#NUM!</v>
      </c>
      <c r="AN148" s="62">
        <f ca="1">AVERAGE(OFFSET($AM$3,0,0,'Données projet'!$E$10+1,1))-AVERAGE(OFFSET($H$3,0,0,'Données projet'!$E$10+1,1))</f>
        <v>327.4984716935208</v>
      </c>
      <c r="AO148" s="62">
        <f t="shared" si="144"/>
        <v>166.97658184507776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0</v>
      </c>
      <c r="AV148" s="23">
        <f>EXP(-LN(2)/25)*AV147+(1-EXP(-LN(2)/25))/(LN(2)/25)*Calculateur!AQ148*Calculateur!AS148*VLOOKUP('Données projet'!$B$10,Paramètres!$A$1:$I$89,3,0)*0.475*44/12</f>
        <v>0</v>
      </c>
      <c r="AW148" s="23">
        <f>EXP(-LN(2)/2)*AW147+(1-EXP(-LN(2)/2))/(LN(2)/2)*AQ148*AT148*VLOOKUP('Données projet'!$B$10,Paramètres!$A$1:$I$89,3,0)*0.475*44/12</f>
        <v>0</v>
      </c>
      <c r="AX148" s="23">
        <f t="shared" si="114"/>
        <v>0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0</v>
      </c>
      <c r="BE148" s="14" t="e">
        <f>BD148*VLOOKUP('Données projet'!$B$11,Paramètres!$A$1:$I$89,3,0)*VLOOKUP('Données projet'!$B$11,Paramètres!$A$1:$I$89,5,0)</f>
        <v>#N/A</v>
      </c>
      <c r="BF148" s="14" t="e">
        <f t="shared" si="145"/>
        <v>#N/A</v>
      </c>
      <c r="BG148" s="22" t="e">
        <f t="shared" si="115"/>
        <v>#N/A</v>
      </c>
      <c r="BH148" s="62" t="e">
        <f t="shared" si="116"/>
        <v>#N/A</v>
      </c>
      <c r="BI148" s="62" t="e">
        <f ca="1">AVERAGE(OFFSET($BH$3,0,0,'Données projet'!$E$11+1,1))-AVERAGE(OFFSET($H$3,0,0,'Données projet'!$E$11+1,1))</f>
        <v>#N/A</v>
      </c>
      <c r="BJ148" s="62" t="e">
        <f t="shared" si="146"/>
        <v>#N/A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 t="e">
        <f>EXP(-LN(2)/35)*BP147+(1-EXP(-LN(2)/35))/(LN(2)/35)*BL148*BM148*VLOOKUP('Données projet'!$B$11,Paramètres!$A$1:$I$89,3,0)*0.475*44/12</f>
        <v>#N/A</v>
      </c>
      <c r="BQ148" s="23" t="e">
        <f>EXP(-LN(2)/25)*BQ147+(1-EXP(-LN(2)/25))/(LN(2)/25)*Calculateur!BL148*Calculateur!BN148*VLOOKUP('Données projet'!$B$11,Paramètres!$A$1:$I$89,3,0)*0.475*44/12</f>
        <v>#N/A</v>
      </c>
      <c r="BR148" s="23" t="e">
        <f>EXP(-LN(2)/2)*BR147+(1-EXP(-LN(2)/2))/(LN(2)/2)*BL148*BO148*VLOOKUP('Données projet'!$B$11,Paramètres!$A$1:$I$89,3,0)*0.475*44/12</f>
        <v>#N/A</v>
      </c>
      <c r="BS148" s="24" t="e">
        <f t="shared" si="117"/>
        <v>#N/A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0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0</v>
      </c>
      <c r="H149" s="70">
        <f t="shared" si="110"/>
        <v>256.66666666666669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-5.6843418860808015E-13</v>
      </c>
      <c r="O149" s="14">
        <f>N149*VLOOKUP('Données projet'!$B$9,Paramètres!$A$1:$I$89,3,0)*VLOOKUP('Données projet'!$B$9,Paramètres!$A$1:$I$89,5,0)</f>
        <v>-2.6602720026858149E-13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302.58171900450355</v>
      </c>
      <c r="T149" s="62">
        <f t="shared" si="142"/>
        <v>164.1450425611464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0</v>
      </c>
      <c r="AA149" s="23">
        <f>EXP(-LN(2)/25)*AA148+(1-EXP(-LN(2)/25))/(LN(2)/25)*Calculateur!V149*Calculateur!X149*VLOOKUP('Données projet'!$B$9,Paramètres!$A$1:$I$89,3,0)*0.475*44/12</f>
        <v>0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0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-5.6843418860808015E-14</v>
      </c>
      <c r="AJ149" s="14">
        <f>AI149*VLOOKUP('Données projet'!$B$10,Paramètres!$A$1:$I$89,3,0)*VLOOKUP('Données projet'!$B$10,Paramètres!$A$1:$I$89,5,0)</f>
        <v>-6.1186256061773749E-14</v>
      </c>
      <c r="AK149" s="14" t="e">
        <f t="shared" si="143"/>
        <v>#NUM!</v>
      </c>
      <c r="AL149" s="22" t="e">
        <f t="shared" si="112"/>
        <v>#NUM!</v>
      </c>
      <c r="AM149" s="62" t="e">
        <f t="shared" si="113"/>
        <v>#NUM!</v>
      </c>
      <c r="AN149" s="62">
        <f ca="1">AVERAGE(OFFSET($AM$3,0,0,'Données projet'!$E$10+1,1))-AVERAGE(OFFSET($H$3,0,0,'Données projet'!$E$10+1,1))</f>
        <v>327.4984716935208</v>
      </c>
      <c r="AO149" s="62">
        <f t="shared" si="144"/>
        <v>166.97658184507776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0</v>
      </c>
      <c r="AV149" s="23">
        <f>EXP(-LN(2)/25)*AV148+(1-EXP(-LN(2)/25))/(LN(2)/25)*Calculateur!AQ149*Calculateur!AS149*VLOOKUP('Données projet'!$B$10,Paramètres!$A$1:$I$89,3,0)*0.475*44/12</f>
        <v>0</v>
      </c>
      <c r="AW149" s="23">
        <f>EXP(-LN(2)/2)*AW148+(1-EXP(-LN(2)/2))/(LN(2)/2)*AQ149*AT149*VLOOKUP('Données projet'!$B$10,Paramètres!$A$1:$I$89,3,0)*0.475*44/12</f>
        <v>0</v>
      </c>
      <c r="AX149" s="23">
        <f t="shared" si="114"/>
        <v>0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0</v>
      </c>
      <c r="BE149" s="14" t="e">
        <f>BD149*VLOOKUP('Données projet'!$B$11,Paramètres!$A$1:$I$89,3,0)*VLOOKUP('Données projet'!$B$11,Paramètres!$A$1:$I$89,5,0)</f>
        <v>#N/A</v>
      </c>
      <c r="BF149" s="14" t="e">
        <f t="shared" si="145"/>
        <v>#N/A</v>
      </c>
      <c r="BG149" s="22" t="e">
        <f t="shared" si="115"/>
        <v>#N/A</v>
      </c>
      <c r="BH149" s="62" t="e">
        <f t="shared" si="116"/>
        <v>#N/A</v>
      </c>
      <c r="BI149" s="62" t="e">
        <f ca="1">AVERAGE(OFFSET($BH$3,0,0,'Données projet'!$E$11+1,1))-AVERAGE(OFFSET($H$3,0,0,'Données projet'!$E$11+1,1))</f>
        <v>#N/A</v>
      </c>
      <c r="BJ149" s="62" t="e">
        <f t="shared" si="146"/>
        <v>#N/A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 t="e">
        <f>EXP(-LN(2)/35)*BP148+(1-EXP(-LN(2)/35))/(LN(2)/35)*BL149*BM149*VLOOKUP('Données projet'!$B$11,Paramètres!$A$1:$I$89,3,0)*0.475*44/12</f>
        <v>#N/A</v>
      </c>
      <c r="BQ149" s="23" t="e">
        <f>EXP(-LN(2)/25)*BQ148+(1-EXP(-LN(2)/25))/(LN(2)/25)*Calculateur!BL149*Calculateur!BN149*VLOOKUP('Données projet'!$B$11,Paramètres!$A$1:$I$89,3,0)*0.475*44/12</f>
        <v>#N/A</v>
      </c>
      <c r="BR149" s="23" t="e">
        <f>EXP(-LN(2)/2)*BR148+(1-EXP(-LN(2)/2))/(LN(2)/2)*BL149*BO149*VLOOKUP('Données projet'!$B$11,Paramètres!$A$1:$I$89,3,0)*0.475*44/12</f>
        <v>#N/A</v>
      </c>
      <c r="BS149" s="24" t="e">
        <f t="shared" si="117"/>
        <v>#N/A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0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0</v>
      </c>
      <c r="H150" s="70">
        <f t="shared" si="110"/>
        <v>256.66666666666669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-5.6843418860808015E-13</v>
      </c>
      <c r="O150" s="14">
        <f>N150*VLOOKUP('Données projet'!$B$9,Paramètres!$A$1:$I$89,3,0)*VLOOKUP('Données projet'!$B$9,Paramètres!$A$1:$I$89,5,0)</f>
        <v>-2.6602720026858149E-13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302.58171900450355</v>
      </c>
      <c r="T150" s="62">
        <f t="shared" si="142"/>
        <v>164.1450425611464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0</v>
      </c>
      <c r="AA150" s="23">
        <f>EXP(-LN(2)/25)*AA149+(1-EXP(-LN(2)/25))/(LN(2)/25)*Calculateur!V150*Calculateur!X150*VLOOKUP('Données projet'!$B$9,Paramètres!$A$1:$I$89,3,0)*0.475*44/12</f>
        <v>0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0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-5.6843418860808015E-14</v>
      </c>
      <c r="AJ150" s="14">
        <f>AI150*VLOOKUP('Données projet'!$B$10,Paramètres!$A$1:$I$89,3,0)*VLOOKUP('Données projet'!$B$10,Paramètres!$A$1:$I$89,5,0)</f>
        <v>-6.1186256061773749E-14</v>
      </c>
      <c r="AK150" s="14" t="e">
        <f t="shared" si="143"/>
        <v>#NUM!</v>
      </c>
      <c r="AL150" s="22" t="e">
        <f t="shared" si="112"/>
        <v>#NUM!</v>
      </c>
      <c r="AM150" s="62" t="e">
        <f t="shared" si="113"/>
        <v>#NUM!</v>
      </c>
      <c r="AN150" s="62">
        <f ca="1">AVERAGE(OFFSET($AM$3,0,0,'Données projet'!$E$10+1,1))-AVERAGE(OFFSET($H$3,0,0,'Données projet'!$E$10+1,1))</f>
        <v>327.4984716935208</v>
      </c>
      <c r="AO150" s="62">
        <f t="shared" si="144"/>
        <v>166.97658184507776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0</v>
      </c>
      <c r="AV150" s="23">
        <f>EXP(-LN(2)/25)*AV149+(1-EXP(-LN(2)/25))/(LN(2)/25)*Calculateur!AQ150*Calculateur!AS150*VLOOKUP('Données projet'!$B$10,Paramètres!$A$1:$I$89,3,0)*0.475*44/12</f>
        <v>0</v>
      </c>
      <c r="AW150" s="23">
        <f>EXP(-LN(2)/2)*AW149+(1-EXP(-LN(2)/2))/(LN(2)/2)*AQ150*AT150*VLOOKUP('Données projet'!$B$10,Paramètres!$A$1:$I$89,3,0)*0.475*44/12</f>
        <v>0</v>
      </c>
      <c r="AX150" s="23">
        <f t="shared" si="114"/>
        <v>0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0</v>
      </c>
      <c r="BE150" s="14" t="e">
        <f>BD150*VLOOKUP('Données projet'!$B$11,Paramètres!$A$1:$I$89,3,0)*VLOOKUP('Données projet'!$B$11,Paramètres!$A$1:$I$89,5,0)</f>
        <v>#N/A</v>
      </c>
      <c r="BF150" s="14" t="e">
        <f t="shared" si="145"/>
        <v>#N/A</v>
      </c>
      <c r="BG150" s="22" t="e">
        <f t="shared" si="115"/>
        <v>#N/A</v>
      </c>
      <c r="BH150" s="62" t="e">
        <f t="shared" si="116"/>
        <v>#N/A</v>
      </c>
      <c r="BI150" s="62" t="e">
        <f ca="1">AVERAGE(OFFSET($BH$3,0,0,'Données projet'!$E$11+1,1))-AVERAGE(OFFSET($H$3,0,0,'Données projet'!$E$11+1,1))</f>
        <v>#N/A</v>
      </c>
      <c r="BJ150" s="62" t="e">
        <f t="shared" si="146"/>
        <v>#N/A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 t="e">
        <f>EXP(-LN(2)/35)*BP149+(1-EXP(-LN(2)/35))/(LN(2)/35)*BL150*BM150*VLOOKUP('Données projet'!$B$11,Paramètres!$A$1:$I$89,3,0)*0.475*44/12</f>
        <v>#N/A</v>
      </c>
      <c r="BQ150" s="23" t="e">
        <f>EXP(-LN(2)/25)*BQ149+(1-EXP(-LN(2)/25))/(LN(2)/25)*Calculateur!BL150*Calculateur!BN150*VLOOKUP('Données projet'!$B$11,Paramètres!$A$1:$I$89,3,0)*0.475*44/12</f>
        <v>#N/A</v>
      </c>
      <c r="BR150" s="23" t="e">
        <f>EXP(-LN(2)/2)*BR149+(1-EXP(-LN(2)/2))/(LN(2)/2)*BL150*BO150*VLOOKUP('Données projet'!$B$11,Paramètres!$A$1:$I$89,3,0)*0.475*44/12</f>
        <v>#N/A</v>
      </c>
      <c r="BS150" s="24" t="e">
        <f t="shared" si="117"/>
        <v>#N/A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0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0</v>
      </c>
      <c r="H151" s="70">
        <f t="shared" si="110"/>
        <v>256.66666666666669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-5.6843418860808015E-13</v>
      </c>
      <c r="O151" s="14">
        <f>N151*VLOOKUP('Données projet'!$B$9,Paramètres!$A$1:$I$89,3,0)*VLOOKUP('Données projet'!$B$9,Paramètres!$A$1:$I$89,5,0)</f>
        <v>-2.6602720026858149E-13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302.58171900450355</v>
      </c>
      <c r="T151" s="62">
        <f t="shared" si="142"/>
        <v>164.1450425611464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0</v>
      </c>
      <c r="AA151" s="23">
        <f>EXP(-LN(2)/25)*AA150+(1-EXP(-LN(2)/25))/(LN(2)/25)*Calculateur!V151*Calculateur!X151*VLOOKUP('Données projet'!$B$9,Paramètres!$A$1:$I$89,3,0)*0.475*44/12</f>
        <v>0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0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-5.6843418860808015E-14</v>
      </c>
      <c r="AJ151" s="14">
        <f>AI151*VLOOKUP('Données projet'!$B$10,Paramètres!$A$1:$I$89,3,0)*VLOOKUP('Données projet'!$B$10,Paramètres!$A$1:$I$89,5,0)</f>
        <v>-6.1186256061773749E-14</v>
      </c>
      <c r="AK151" s="14" t="e">
        <f t="shared" si="143"/>
        <v>#NUM!</v>
      </c>
      <c r="AL151" s="22" t="e">
        <f t="shared" si="112"/>
        <v>#NUM!</v>
      </c>
      <c r="AM151" s="62" t="e">
        <f t="shared" si="113"/>
        <v>#NUM!</v>
      </c>
      <c r="AN151" s="62">
        <f ca="1">AVERAGE(OFFSET($AM$3,0,0,'Données projet'!$E$10+1,1))-AVERAGE(OFFSET($H$3,0,0,'Données projet'!$E$10+1,1))</f>
        <v>327.4984716935208</v>
      </c>
      <c r="AO151" s="62">
        <f t="shared" si="144"/>
        <v>166.97658184507776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0</v>
      </c>
      <c r="AV151" s="23">
        <f>EXP(-LN(2)/25)*AV150+(1-EXP(-LN(2)/25))/(LN(2)/25)*Calculateur!AQ151*Calculateur!AS151*VLOOKUP('Données projet'!$B$10,Paramètres!$A$1:$I$89,3,0)*0.475*44/12</f>
        <v>0</v>
      </c>
      <c r="AW151" s="23">
        <f>EXP(-LN(2)/2)*AW150+(1-EXP(-LN(2)/2))/(LN(2)/2)*AQ151*AT151*VLOOKUP('Données projet'!$B$10,Paramètres!$A$1:$I$89,3,0)*0.475*44/12</f>
        <v>0</v>
      </c>
      <c r="AX151" s="23">
        <f t="shared" si="114"/>
        <v>0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0</v>
      </c>
      <c r="BE151" s="14" t="e">
        <f>BD151*VLOOKUP('Données projet'!$B$11,Paramètres!$A$1:$I$89,3,0)*VLOOKUP('Données projet'!$B$11,Paramètres!$A$1:$I$89,5,0)</f>
        <v>#N/A</v>
      </c>
      <c r="BF151" s="14" t="e">
        <f t="shared" si="145"/>
        <v>#N/A</v>
      </c>
      <c r="BG151" s="22" t="e">
        <f t="shared" si="115"/>
        <v>#N/A</v>
      </c>
      <c r="BH151" s="62" t="e">
        <f t="shared" si="116"/>
        <v>#N/A</v>
      </c>
      <c r="BI151" s="62" t="e">
        <f ca="1">AVERAGE(OFFSET($BH$3,0,0,'Données projet'!$E$11+1,1))-AVERAGE(OFFSET($H$3,0,0,'Données projet'!$E$11+1,1))</f>
        <v>#N/A</v>
      </c>
      <c r="BJ151" s="62" t="e">
        <f t="shared" si="146"/>
        <v>#N/A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 t="e">
        <f>EXP(-LN(2)/35)*BP150+(1-EXP(-LN(2)/35))/(LN(2)/35)*BL151*BM151*VLOOKUP('Données projet'!$B$11,Paramètres!$A$1:$I$89,3,0)*0.475*44/12</f>
        <v>#N/A</v>
      </c>
      <c r="BQ151" s="23" t="e">
        <f>EXP(-LN(2)/25)*BQ150+(1-EXP(-LN(2)/25))/(LN(2)/25)*Calculateur!BL151*Calculateur!BN151*VLOOKUP('Données projet'!$B$11,Paramètres!$A$1:$I$89,3,0)*0.475*44/12</f>
        <v>#N/A</v>
      </c>
      <c r="BR151" s="23" t="e">
        <f>EXP(-LN(2)/2)*BR150+(1-EXP(-LN(2)/2))/(LN(2)/2)*BL151*BO151*VLOOKUP('Données projet'!$B$11,Paramètres!$A$1:$I$89,3,0)*0.475*44/12</f>
        <v>#N/A</v>
      </c>
      <c r="BS151" s="24" t="e">
        <f t="shared" si="117"/>
        <v>#N/A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0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0</v>
      </c>
      <c r="H152" s="70">
        <f t="shared" si="110"/>
        <v>256.66666666666669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-5.6843418860808015E-13</v>
      </c>
      <c r="O152" s="14">
        <f>N152*VLOOKUP('Données projet'!$B$9,Paramètres!$A$1:$I$89,3,0)*VLOOKUP('Données projet'!$B$9,Paramètres!$A$1:$I$89,5,0)</f>
        <v>-2.6602720026858149E-13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302.58171900450355</v>
      </c>
      <c r="T152" s="62">
        <f t="shared" si="142"/>
        <v>164.1450425611464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0</v>
      </c>
      <c r="AA152" s="23">
        <f>EXP(-LN(2)/25)*AA151+(1-EXP(-LN(2)/25))/(LN(2)/25)*Calculateur!V152*Calculateur!X152*VLOOKUP('Données projet'!$B$9,Paramètres!$A$1:$I$89,3,0)*0.475*44/12</f>
        <v>0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0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-5.6843418860808015E-14</v>
      </c>
      <c r="AJ152" s="14">
        <f>AI152*VLOOKUP('Données projet'!$B$10,Paramètres!$A$1:$I$89,3,0)*VLOOKUP('Données projet'!$B$10,Paramètres!$A$1:$I$89,5,0)</f>
        <v>-6.1186256061773749E-14</v>
      </c>
      <c r="AK152" s="14" t="e">
        <f t="shared" si="143"/>
        <v>#NUM!</v>
      </c>
      <c r="AL152" s="22" t="e">
        <f t="shared" si="112"/>
        <v>#NUM!</v>
      </c>
      <c r="AM152" s="62" t="e">
        <f t="shared" si="113"/>
        <v>#NUM!</v>
      </c>
      <c r="AN152" s="62">
        <f ca="1">AVERAGE(OFFSET($AM$3,0,0,'Données projet'!$E$10+1,1))-AVERAGE(OFFSET($H$3,0,0,'Données projet'!$E$10+1,1))</f>
        <v>327.4984716935208</v>
      </c>
      <c r="AO152" s="62">
        <f t="shared" si="144"/>
        <v>166.97658184507776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0</v>
      </c>
      <c r="AV152" s="23">
        <f>EXP(-LN(2)/25)*AV151+(1-EXP(-LN(2)/25))/(LN(2)/25)*Calculateur!AQ152*Calculateur!AS152*VLOOKUP('Données projet'!$B$10,Paramètres!$A$1:$I$89,3,0)*0.475*44/12</f>
        <v>0</v>
      </c>
      <c r="AW152" s="23">
        <f>EXP(-LN(2)/2)*AW151+(1-EXP(-LN(2)/2))/(LN(2)/2)*AQ152*AT152*VLOOKUP('Données projet'!$B$10,Paramètres!$A$1:$I$89,3,0)*0.475*44/12</f>
        <v>0</v>
      </c>
      <c r="AX152" s="23">
        <f t="shared" si="114"/>
        <v>0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0</v>
      </c>
      <c r="BE152" s="14" t="e">
        <f>BD152*VLOOKUP('Données projet'!$B$11,Paramètres!$A$1:$I$89,3,0)*VLOOKUP('Données projet'!$B$11,Paramètres!$A$1:$I$89,5,0)</f>
        <v>#N/A</v>
      </c>
      <c r="BF152" s="14" t="e">
        <f t="shared" si="145"/>
        <v>#N/A</v>
      </c>
      <c r="BG152" s="22" t="e">
        <f t="shared" si="115"/>
        <v>#N/A</v>
      </c>
      <c r="BH152" s="62" t="e">
        <f t="shared" si="116"/>
        <v>#N/A</v>
      </c>
      <c r="BI152" s="62" t="e">
        <f ca="1">AVERAGE(OFFSET($BH$3,0,0,'Données projet'!$E$11+1,1))-AVERAGE(OFFSET($H$3,0,0,'Données projet'!$E$11+1,1))</f>
        <v>#N/A</v>
      </c>
      <c r="BJ152" s="62" t="e">
        <f t="shared" si="146"/>
        <v>#N/A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 t="e">
        <f>EXP(-LN(2)/35)*BP151+(1-EXP(-LN(2)/35))/(LN(2)/35)*BL152*BM152*VLOOKUP('Données projet'!$B$11,Paramètres!$A$1:$I$89,3,0)*0.475*44/12</f>
        <v>#N/A</v>
      </c>
      <c r="BQ152" s="23" t="e">
        <f>EXP(-LN(2)/25)*BQ151+(1-EXP(-LN(2)/25))/(LN(2)/25)*Calculateur!BL152*Calculateur!BN152*VLOOKUP('Données projet'!$B$11,Paramètres!$A$1:$I$89,3,0)*0.475*44/12</f>
        <v>#N/A</v>
      </c>
      <c r="BR152" s="23" t="e">
        <f>EXP(-LN(2)/2)*BR151+(1-EXP(-LN(2)/2))/(LN(2)/2)*BL152*BO152*VLOOKUP('Données projet'!$B$11,Paramètres!$A$1:$I$89,3,0)*0.475*44/12</f>
        <v>#N/A</v>
      </c>
      <c r="BS152" s="24" t="e">
        <f t="shared" si="117"/>
        <v>#N/A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0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0</v>
      </c>
      <c r="H153" s="70">
        <f t="shared" si="110"/>
        <v>256.66666666666669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-5.6843418860808015E-13</v>
      </c>
      <c r="O153" s="14">
        <f>N153*VLOOKUP('Données projet'!$B$9,Paramètres!$A$1:$I$89,3,0)*VLOOKUP('Données projet'!$B$9,Paramètres!$A$1:$I$89,5,0)</f>
        <v>-2.6602720026858149E-13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302.58171900450355</v>
      </c>
      <c r="T153" s="62">
        <f t="shared" si="142"/>
        <v>164.1450425611464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0</v>
      </c>
      <c r="AA153" s="23">
        <f>EXP(-LN(2)/25)*AA152+(1-EXP(-LN(2)/25))/(LN(2)/25)*Calculateur!V153*Calculateur!X153*VLOOKUP('Données projet'!$B$9,Paramètres!$A$1:$I$89,3,0)*0.475*44/12</f>
        <v>0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0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-5.6843418860808015E-14</v>
      </c>
      <c r="AJ153" s="14">
        <f>AI153*VLOOKUP('Données projet'!$B$10,Paramètres!$A$1:$I$89,3,0)*VLOOKUP('Données projet'!$B$10,Paramètres!$A$1:$I$89,5,0)</f>
        <v>-6.1186256061773749E-14</v>
      </c>
      <c r="AK153" s="14" t="e">
        <f t="shared" si="143"/>
        <v>#NUM!</v>
      </c>
      <c r="AL153" s="22" t="e">
        <f t="shared" si="112"/>
        <v>#NUM!</v>
      </c>
      <c r="AM153" s="62" t="e">
        <f t="shared" si="113"/>
        <v>#NUM!</v>
      </c>
      <c r="AN153" s="62">
        <f ca="1">AVERAGE(OFFSET($AM$3,0,0,'Données projet'!$E$10+1,1))-AVERAGE(OFFSET($H$3,0,0,'Données projet'!$E$10+1,1))</f>
        <v>327.4984716935208</v>
      </c>
      <c r="AO153" s="62">
        <f t="shared" si="144"/>
        <v>166.97658184507776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0</v>
      </c>
      <c r="AV153" s="23">
        <f>EXP(-LN(2)/25)*AV152+(1-EXP(-LN(2)/25))/(LN(2)/25)*Calculateur!AQ153*Calculateur!AS153*VLOOKUP('Données projet'!$B$10,Paramètres!$A$1:$I$89,3,0)*0.475*44/12</f>
        <v>0</v>
      </c>
      <c r="AW153" s="23">
        <f>EXP(-LN(2)/2)*AW152+(1-EXP(-LN(2)/2))/(LN(2)/2)*AQ153*AT153*VLOOKUP('Données projet'!$B$10,Paramètres!$A$1:$I$89,3,0)*0.475*44/12</f>
        <v>0</v>
      </c>
      <c r="AX153" s="23">
        <f t="shared" si="114"/>
        <v>0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0</v>
      </c>
      <c r="BE153" s="14" t="e">
        <f>BD153*VLOOKUP('Données projet'!$B$11,Paramètres!$A$1:$I$89,3,0)*VLOOKUP('Données projet'!$B$11,Paramètres!$A$1:$I$89,5,0)</f>
        <v>#N/A</v>
      </c>
      <c r="BF153" s="14" t="e">
        <f t="shared" si="145"/>
        <v>#N/A</v>
      </c>
      <c r="BG153" s="22" t="e">
        <f t="shared" si="115"/>
        <v>#N/A</v>
      </c>
      <c r="BH153" s="62" t="e">
        <f t="shared" si="116"/>
        <v>#N/A</v>
      </c>
      <c r="BI153" s="62" t="e">
        <f ca="1">AVERAGE(OFFSET($BH$3,0,0,'Données projet'!$E$11+1,1))-AVERAGE(OFFSET($H$3,0,0,'Données projet'!$E$11+1,1))</f>
        <v>#N/A</v>
      </c>
      <c r="BJ153" s="62" t="e">
        <f t="shared" si="146"/>
        <v>#N/A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 t="e">
        <f>EXP(-LN(2)/35)*BP152+(1-EXP(-LN(2)/35))/(LN(2)/35)*BL153*BM153*VLOOKUP('Données projet'!$B$11,Paramètres!$A$1:$I$89,3,0)*0.475*44/12</f>
        <v>#N/A</v>
      </c>
      <c r="BQ153" s="23" t="e">
        <f>EXP(-LN(2)/25)*BQ152+(1-EXP(-LN(2)/25))/(LN(2)/25)*Calculateur!BL153*Calculateur!BN153*VLOOKUP('Données projet'!$B$11,Paramètres!$A$1:$I$89,3,0)*0.475*44/12</f>
        <v>#N/A</v>
      </c>
      <c r="BR153" s="23" t="e">
        <f>EXP(-LN(2)/2)*BR152+(1-EXP(-LN(2)/2))/(LN(2)/2)*BL153*BO153*VLOOKUP('Données projet'!$B$11,Paramètres!$A$1:$I$89,3,0)*0.475*44/12</f>
        <v>#N/A</v>
      </c>
      <c r="BS153" s="24" t="e">
        <f t="shared" si="117"/>
        <v>#N/A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0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0</v>
      </c>
      <c r="H154" s="70">
        <f t="shared" si="110"/>
        <v>256.66666666666669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-5.6843418860808015E-13</v>
      </c>
      <c r="O154" s="14">
        <f>N154*VLOOKUP('Données projet'!$B$9,Paramètres!$A$1:$I$89,3,0)*VLOOKUP('Données projet'!$B$9,Paramètres!$A$1:$I$89,5,0)</f>
        <v>-2.6602720026858149E-13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302.58171900450355</v>
      </c>
      <c r="T154" s="62">
        <f t="shared" si="142"/>
        <v>164.1450425611464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0</v>
      </c>
      <c r="AA154" s="23">
        <f>EXP(-LN(2)/25)*AA153+(1-EXP(-LN(2)/25))/(LN(2)/25)*Calculateur!V154*Calculateur!X154*VLOOKUP('Données projet'!$B$9,Paramètres!$A$1:$I$89,3,0)*0.475*44/12</f>
        <v>0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0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-5.6843418860808015E-14</v>
      </c>
      <c r="AJ154" s="14">
        <f>AI154*VLOOKUP('Données projet'!$B$10,Paramètres!$A$1:$I$89,3,0)*VLOOKUP('Données projet'!$B$10,Paramètres!$A$1:$I$89,5,0)</f>
        <v>-6.1186256061773749E-14</v>
      </c>
      <c r="AK154" s="14" t="e">
        <f t="shared" ref="AK154:AK203" si="164">EXP(-1.0587+0.8836*LN(AJ154)+0.284)</f>
        <v>#NUM!</v>
      </c>
      <c r="AL154" s="22" t="e">
        <f t="shared" ref="AL154:AL203" si="165">(AJ154+AK154)*0.475*44/12</f>
        <v>#NUM!</v>
      </c>
      <c r="AM154" s="62" t="e">
        <f t="shared" si="113"/>
        <v>#NUM!</v>
      </c>
      <c r="AN154" s="62">
        <f ca="1">AVERAGE(OFFSET($AM$3,0,0,'Données projet'!$E$10+1,1))-AVERAGE(OFFSET($H$3,0,0,'Données projet'!$E$10+1,1))</f>
        <v>327.4984716935208</v>
      </c>
      <c r="AO154" s="62">
        <f t="shared" si="144"/>
        <v>166.97658184507776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0</v>
      </c>
      <c r="AV154" s="23">
        <f>EXP(-LN(2)/25)*AV153+(1-EXP(-LN(2)/25))/(LN(2)/25)*Calculateur!AQ154*Calculateur!AS154*VLOOKUP('Données projet'!$B$10,Paramètres!$A$1:$I$89,3,0)*0.475*44/12</f>
        <v>0</v>
      </c>
      <c r="AW154" s="23">
        <f>EXP(-LN(2)/2)*AW153+(1-EXP(-LN(2)/2))/(LN(2)/2)*AQ154*AT154*VLOOKUP('Données projet'!$B$10,Paramètres!$A$1:$I$89,3,0)*0.475*44/12</f>
        <v>0</v>
      </c>
      <c r="AX154" s="23">
        <f t="shared" ref="AX154:AX203" si="166">SUM(AU154:AW154)</f>
        <v>0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0</v>
      </c>
      <c r="BE154" s="14" t="e">
        <f>BD154*VLOOKUP('Données projet'!$B$11,Paramètres!$A$1:$I$89,3,0)*VLOOKUP('Données projet'!$B$11,Paramètres!$A$1:$I$89,5,0)</f>
        <v>#N/A</v>
      </c>
      <c r="BF154" s="14" t="e">
        <f t="shared" ref="BF154:BF203" si="167">EXP(-1.0587+0.8836*LN(BE154)+0.284)</f>
        <v>#N/A</v>
      </c>
      <c r="BG154" s="22" t="e">
        <f t="shared" ref="BG154:BG203" si="168">(BE154+BF154)*0.475*44/12</f>
        <v>#N/A</v>
      </c>
      <c r="BH154" s="62" t="e">
        <f t="shared" si="116"/>
        <v>#N/A</v>
      </c>
      <c r="BI154" s="62" t="e">
        <f ca="1">AVERAGE(OFFSET($BH$3,0,0,'Données projet'!$E$11+1,1))-AVERAGE(OFFSET($H$3,0,0,'Données projet'!$E$11+1,1))</f>
        <v>#N/A</v>
      </c>
      <c r="BJ154" s="62" t="e">
        <f t="shared" si="146"/>
        <v>#N/A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 t="e">
        <f>EXP(-LN(2)/35)*BP153+(1-EXP(-LN(2)/35))/(LN(2)/35)*BL154*BM154*VLOOKUP('Données projet'!$B$11,Paramètres!$A$1:$I$89,3,0)*0.475*44/12</f>
        <v>#N/A</v>
      </c>
      <c r="BQ154" s="23" t="e">
        <f>EXP(-LN(2)/25)*BQ153+(1-EXP(-LN(2)/25))/(LN(2)/25)*Calculateur!BL154*Calculateur!BN154*VLOOKUP('Données projet'!$B$11,Paramètres!$A$1:$I$89,3,0)*0.475*44/12</f>
        <v>#N/A</v>
      </c>
      <c r="BR154" s="23" t="e">
        <f>EXP(-LN(2)/2)*BR153+(1-EXP(-LN(2)/2))/(LN(2)/2)*BL154*BO154*VLOOKUP('Données projet'!$B$11,Paramètres!$A$1:$I$89,3,0)*0.475*44/12</f>
        <v>#N/A</v>
      </c>
      <c r="BS154" s="24" t="e">
        <f t="shared" ref="BS154:BS203" si="169">SUM(BP154:BR154)</f>
        <v>#N/A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0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0</v>
      </c>
      <c r="H155" s="70">
        <f t="shared" si="110"/>
        <v>256.66666666666669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-5.6843418860808015E-13</v>
      </c>
      <c r="O155" s="14">
        <f>N155*VLOOKUP('Données projet'!$B$9,Paramètres!$A$1:$I$89,3,0)*VLOOKUP('Données projet'!$B$9,Paramètres!$A$1:$I$89,5,0)</f>
        <v>-2.6602720026858149E-13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302.58171900450355</v>
      </c>
      <c r="T155" s="62">
        <f t="shared" si="142"/>
        <v>164.1450425611464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0</v>
      </c>
      <c r="AA155" s="23">
        <f>EXP(-LN(2)/25)*AA154+(1-EXP(-LN(2)/25))/(LN(2)/25)*Calculateur!V155*Calculateur!X155*VLOOKUP('Données projet'!$B$9,Paramètres!$A$1:$I$89,3,0)*0.475*44/12</f>
        <v>0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0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-5.6843418860808015E-14</v>
      </c>
      <c r="AJ155" s="14">
        <f>AI155*VLOOKUP('Données projet'!$B$10,Paramètres!$A$1:$I$89,3,0)*VLOOKUP('Données projet'!$B$10,Paramètres!$A$1:$I$89,5,0)</f>
        <v>-6.1186256061773749E-14</v>
      </c>
      <c r="AK155" s="14" t="e">
        <f t="shared" si="164"/>
        <v>#NUM!</v>
      </c>
      <c r="AL155" s="22" t="e">
        <f t="shared" si="165"/>
        <v>#NUM!</v>
      </c>
      <c r="AM155" s="62" t="e">
        <f t="shared" si="113"/>
        <v>#NUM!</v>
      </c>
      <c r="AN155" s="62">
        <f ca="1">AVERAGE(OFFSET($AM$3,0,0,'Données projet'!$E$10+1,1))-AVERAGE(OFFSET($H$3,0,0,'Données projet'!$E$10+1,1))</f>
        <v>327.4984716935208</v>
      </c>
      <c r="AO155" s="62">
        <f t="shared" si="144"/>
        <v>166.97658184507776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0</v>
      </c>
      <c r="AV155" s="23">
        <f>EXP(-LN(2)/25)*AV154+(1-EXP(-LN(2)/25))/(LN(2)/25)*Calculateur!AQ155*Calculateur!AS155*VLOOKUP('Données projet'!$B$10,Paramètres!$A$1:$I$89,3,0)*0.475*44/12</f>
        <v>0</v>
      </c>
      <c r="AW155" s="23">
        <f>EXP(-LN(2)/2)*AW154+(1-EXP(-LN(2)/2))/(LN(2)/2)*AQ155*AT155*VLOOKUP('Données projet'!$B$10,Paramètres!$A$1:$I$89,3,0)*0.475*44/12</f>
        <v>0</v>
      </c>
      <c r="AX155" s="23">
        <f t="shared" si="166"/>
        <v>0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0</v>
      </c>
      <c r="BE155" s="14" t="e">
        <f>BD155*VLOOKUP('Données projet'!$B$11,Paramètres!$A$1:$I$89,3,0)*VLOOKUP('Données projet'!$B$11,Paramètres!$A$1:$I$89,5,0)</f>
        <v>#N/A</v>
      </c>
      <c r="BF155" s="14" t="e">
        <f t="shared" si="167"/>
        <v>#N/A</v>
      </c>
      <c r="BG155" s="22" t="e">
        <f t="shared" si="168"/>
        <v>#N/A</v>
      </c>
      <c r="BH155" s="62" t="e">
        <f t="shared" si="116"/>
        <v>#N/A</v>
      </c>
      <c r="BI155" s="62" t="e">
        <f ca="1">AVERAGE(OFFSET($BH$3,0,0,'Données projet'!$E$11+1,1))-AVERAGE(OFFSET($H$3,0,0,'Données projet'!$E$11+1,1))</f>
        <v>#N/A</v>
      </c>
      <c r="BJ155" s="62" t="e">
        <f t="shared" si="146"/>
        <v>#N/A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 t="e">
        <f>EXP(-LN(2)/35)*BP154+(1-EXP(-LN(2)/35))/(LN(2)/35)*BL155*BM155*VLOOKUP('Données projet'!$B$11,Paramètres!$A$1:$I$89,3,0)*0.475*44/12</f>
        <v>#N/A</v>
      </c>
      <c r="BQ155" s="23" t="e">
        <f>EXP(-LN(2)/25)*BQ154+(1-EXP(-LN(2)/25))/(LN(2)/25)*Calculateur!BL155*Calculateur!BN155*VLOOKUP('Données projet'!$B$11,Paramètres!$A$1:$I$89,3,0)*0.475*44/12</f>
        <v>#N/A</v>
      </c>
      <c r="BR155" s="23" t="e">
        <f>EXP(-LN(2)/2)*BR154+(1-EXP(-LN(2)/2))/(LN(2)/2)*BL155*BO155*VLOOKUP('Données projet'!$B$11,Paramètres!$A$1:$I$89,3,0)*0.475*44/12</f>
        <v>#N/A</v>
      </c>
      <c r="BS155" s="24" t="e">
        <f t="shared" si="169"/>
        <v>#N/A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0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0</v>
      </c>
      <c r="H156" s="70">
        <f t="shared" si="110"/>
        <v>256.66666666666669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-5.6843418860808015E-13</v>
      </c>
      <c r="O156" s="14">
        <f>N156*VLOOKUP('Données projet'!$B$9,Paramètres!$A$1:$I$89,3,0)*VLOOKUP('Données projet'!$B$9,Paramètres!$A$1:$I$89,5,0)</f>
        <v>-2.6602720026858149E-13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302.58171900450355</v>
      </c>
      <c r="T156" s="62">
        <f t="shared" si="142"/>
        <v>164.1450425611464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0</v>
      </c>
      <c r="AA156" s="23">
        <f>EXP(-LN(2)/25)*AA155+(1-EXP(-LN(2)/25))/(LN(2)/25)*Calculateur!V156*Calculateur!X156*VLOOKUP('Données projet'!$B$9,Paramètres!$A$1:$I$89,3,0)*0.475*44/12</f>
        <v>0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0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-5.6843418860808015E-14</v>
      </c>
      <c r="AJ156" s="14">
        <f>AI156*VLOOKUP('Données projet'!$B$10,Paramètres!$A$1:$I$89,3,0)*VLOOKUP('Données projet'!$B$10,Paramètres!$A$1:$I$89,5,0)</f>
        <v>-6.1186256061773749E-14</v>
      </c>
      <c r="AK156" s="14" t="e">
        <f t="shared" si="164"/>
        <v>#NUM!</v>
      </c>
      <c r="AL156" s="22" t="e">
        <f t="shared" si="165"/>
        <v>#NUM!</v>
      </c>
      <c r="AM156" s="62" t="e">
        <f t="shared" si="113"/>
        <v>#NUM!</v>
      </c>
      <c r="AN156" s="62">
        <f ca="1">AVERAGE(OFFSET($AM$3,0,0,'Données projet'!$E$10+1,1))-AVERAGE(OFFSET($H$3,0,0,'Données projet'!$E$10+1,1))</f>
        <v>327.4984716935208</v>
      </c>
      <c r="AO156" s="62">
        <f t="shared" si="144"/>
        <v>166.97658184507776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0</v>
      </c>
      <c r="AV156" s="23">
        <f>EXP(-LN(2)/25)*AV155+(1-EXP(-LN(2)/25))/(LN(2)/25)*Calculateur!AQ156*Calculateur!AS156*VLOOKUP('Données projet'!$B$10,Paramètres!$A$1:$I$89,3,0)*0.475*44/12</f>
        <v>0</v>
      </c>
      <c r="AW156" s="23">
        <f>EXP(-LN(2)/2)*AW155+(1-EXP(-LN(2)/2))/(LN(2)/2)*AQ156*AT156*VLOOKUP('Données projet'!$B$10,Paramètres!$A$1:$I$89,3,0)*0.475*44/12</f>
        <v>0</v>
      </c>
      <c r="AX156" s="23">
        <f t="shared" si="166"/>
        <v>0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0</v>
      </c>
      <c r="BE156" s="14" t="e">
        <f>BD156*VLOOKUP('Données projet'!$B$11,Paramètres!$A$1:$I$89,3,0)*VLOOKUP('Données projet'!$B$11,Paramètres!$A$1:$I$89,5,0)</f>
        <v>#N/A</v>
      </c>
      <c r="BF156" s="14" t="e">
        <f t="shared" si="167"/>
        <v>#N/A</v>
      </c>
      <c r="BG156" s="22" t="e">
        <f t="shared" si="168"/>
        <v>#N/A</v>
      </c>
      <c r="BH156" s="62" t="e">
        <f t="shared" si="116"/>
        <v>#N/A</v>
      </c>
      <c r="BI156" s="62" t="e">
        <f ca="1">AVERAGE(OFFSET($BH$3,0,0,'Données projet'!$E$11+1,1))-AVERAGE(OFFSET($H$3,0,0,'Données projet'!$E$11+1,1))</f>
        <v>#N/A</v>
      </c>
      <c r="BJ156" s="62" t="e">
        <f t="shared" si="146"/>
        <v>#N/A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 t="e">
        <f>EXP(-LN(2)/35)*BP155+(1-EXP(-LN(2)/35))/(LN(2)/35)*BL156*BM156*VLOOKUP('Données projet'!$B$11,Paramètres!$A$1:$I$89,3,0)*0.475*44/12</f>
        <v>#N/A</v>
      </c>
      <c r="BQ156" s="23" t="e">
        <f>EXP(-LN(2)/25)*BQ155+(1-EXP(-LN(2)/25))/(LN(2)/25)*Calculateur!BL156*Calculateur!BN156*VLOOKUP('Données projet'!$B$11,Paramètres!$A$1:$I$89,3,0)*0.475*44/12</f>
        <v>#N/A</v>
      </c>
      <c r="BR156" s="23" t="e">
        <f>EXP(-LN(2)/2)*BR155+(1-EXP(-LN(2)/2))/(LN(2)/2)*BL156*BO156*VLOOKUP('Données projet'!$B$11,Paramètres!$A$1:$I$89,3,0)*0.475*44/12</f>
        <v>#N/A</v>
      </c>
      <c r="BS156" s="24" t="e">
        <f t="shared" si="169"/>
        <v>#N/A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0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0</v>
      </c>
      <c r="H157" s="70">
        <f t="shared" si="110"/>
        <v>256.66666666666669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-5.6843418860808015E-13</v>
      </c>
      <c r="O157" s="14">
        <f>N157*VLOOKUP('Données projet'!$B$9,Paramètres!$A$1:$I$89,3,0)*VLOOKUP('Données projet'!$B$9,Paramètres!$A$1:$I$89,5,0)</f>
        <v>-2.6602720026858149E-13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302.58171900450355</v>
      </c>
      <c r="T157" s="62">
        <f t="shared" si="142"/>
        <v>164.1450425611464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0</v>
      </c>
      <c r="AA157" s="23">
        <f>EXP(-LN(2)/25)*AA156+(1-EXP(-LN(2)/25))/(LN(2)/25)*Calculateur!V157*Calculateur!X157*VLOOKUP('Données projet'!$B$9,Paramètres!$A$1:$I$89,3,0)*0.475*44/12</f>
        <v>0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0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-5.6843418860808015E-14</v>
      </c>
      <c r="AJ157" s="14">
        <f>AI157*VLOOKUP('Données projet'!$B$10,Paramètres!$A$1:$I$89,3,0)*VLOOKUP('Données projet'!$B$10,Paramètres!$A$1:$I$89,5,0)</f>
        <v>-6.1186256061773749E-14</v>
      </c>
      <c r="AK157" s="14" t="e">
        <f t="shared" si="164"/>
        <v>#NUM!</v>
      </c>
      <c r="AL157" s="22" t="e">
        <f t="shared" si="165"/>
        <v>#NUM!</v>
      </c>
      <c r="AM157" s="62" t="e">
        <f t="shared" si="113"/>
        <v>#NUM!</v>
      </c>
      <c r="AN157" s="62">
        <f ca="1">AVERAGE(OFFSET($AM$3,0,0,'Données projet'!$E$10+1,1))-AVERAGE(OFFSET($H$3,0,0,'Données projet'!$E$10+1,1))</f>
        <v>327.4984716935208</v>
      </c>
      <c r="AO157" s="62">
        <f t="shared" si="144"/>
        <v>166.97658184507776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0</v>
      </c>
      <c r="AV157" s="23">
        <f>EXP(-LN(2)/25)*AV156+(1-EXP(-LN(2)/25))/(LN(2)/25)*Calculateur!AQ157*Calculateur!AS157*VLOOKUP('Données projet'!$B$10,Paramètres!$A$1:$I$89,3,0)*0.475*44/12</f>
        <v>0</v>
      </c>
      <c r="AW157" s="23">
        <f>EXP(-LN(2)/2)*AW156+(1-EXP(-LN(2)/2))/(LN(2)/2)*AQ157*AT157*VLOOKUP('Données projet'!$B$10,Paramètres!$A$1:$I$89,3,0)*0.475*44/12</f>
        <v>0</v>
      </c>
      <c r="AX157" s="23">
        <f t="shared" si="166"/>
        <v>0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0</v>
      </c>
      <c r="BE157" s="14" t="e">
        <f>BD157*VLOOKUP('Données projet'!$B$11,Paramètres!$A$1:$I$89,3,0)*VLOOKUP('Données projet'!$B$11,Paramètres!$A$1:$I$89,5,0)</f>
        <v>#N/A</v>
      </c>
      <c r="BF157" s="14" t="e">
        <f t="shared" si="167"/>
        <v>#N/A</v>
      </c>
      <c r="BG157" s="22" t="e">
        <f t="shared" si="168"/>
        <v>#N/A</v>
      </c>
      <c r="BH157" s="62" t="e">
        <f t="shared" si="116"/>
        <v>#N/A</v>
      </c>
      <c r="BI157" s="62" t="e">
        <f ca="1">AVERAGE(OFFSET($BH$3,0,0,'Données projet'!$E$11+1,1))-AVERAGE(OFFSET($H$3,0,0,'Données projet'!$E$11+1,1))</f>
        <v>#N/A</v>
      </c>
      <c r="BJ157" s="62" t="e">
        <f t="shared" si="146"/>
        <v>#N/A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 t="e">
        <f>EXP(-LN(2)/35)*BP156+(1-EXP(-LN(2)/35))/(LN(2)/35)*BL157*BM157*VLOOKUP('Données projet'!$B$11,Paramètres!$A$1:$I$89,3,0)*0.475*44/12</f>
        <v>#N/A</v>
      </c>
      <c r="BQ157" s="23" t="e">
        <f>EXP(-LN(2)/25)*BQ156+(1-EXP(-LN(2)/25))/(LN(2)/25)*Calculateur!BL157*Calculateur!BN157*VLOOKUP('Données projet'!$B$11,Paramètres!$A$1:$I$89,3,0)*0.475*44/12</f>
        <v>#N/A</v>
      </c>
      <c r="BR157" s="23" t="e">
        <f>EXP(-LN(2)/2)*BR156+(1-EXP(-LN(2)/2))/(LN(2)/2)*BL157*BO157*VLOOKUP('Données projet'!$B$11,Paramètres!$A$1:$I$89,3,0)*0.475*44/12</f>
        <v>#N/A</v>
      </c>
      <c r="BS157" s="24" t="e">
        <f t="shared" si="169"/>
        <v>#N/A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0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0</v>
      </c>
      <c r="H158" s="70">
        <f t="shared" si="110"/>
        <v>256.66666666666669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-5.6843418860808015E-13</v>
      </c>
      <c r="O158" s="14">
        <f>N158*VLOOKUP('Données projet'!$B$9,Paramètres!$A$1:$I$89,3,0)*VLOOKUP('Données projet'!$B$9,Paramètres!$A$1:$I$89,5,0)</f>
        <v>-2.6602720026858149E-13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302.58171900450355</v>
      </c>
      <c r="T158" s="62">
        <f t="shared" si="142"/>
        <v>164.1450425611464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0</v>
      </c>
      <c r="AA158" s="23">
        <f>EXP(-LN(2)/25)*AA157+(1-EXP(-LN(2)/25))/(LN(2)/25)*Calculateur!V158*Calculateur!X158*VLOOKUP('Données projet'!$B$9,Paramètres!$A$1:$I$89,3,0)*0.475*44/12</f>
        <v>0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0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-5.6843418860808015E-14</v>
      </c>
      <c r="AJ158" s="14">
        <f>AI158*VLOOKUP('Données projet'!$B$10,Paramètres!$A$1:$I$89,3,0)*VLOOKUP('Données projet'!$B$10,Paramètres!$A$1:$I$89,5,0)</f>
        <v>-6.1186256061773749E-14</v>
      </c>
      <c r="AK158" s="14" t="e">
        <f t="shared" si="164"/>
        <v>#NUM!</v>
      </c>
      <c r="AL158" s="22" t="e">
        <f t="shared" si="165"/>
        <v>#NUM!</v>
      </c>
      <c r="AM158" s="62" t="e">
        <f t="shared" si="113"/>
        <v>#NUM!</v>
      </c>
      <c r="AN158" s="62">
        <f ca="1">AVERAGE(OFFSET($AM$3,0,0,'Données projet'!$E$10+1,1))-AVERAGE(OFFSET($H$3,0,0,'Données projet'!$E$10+1,1))</f>
        <v>327.4984716935208</v>
      </c>
      <c r="AO158" s="62">
        <f t="shared" si="144"/>
        <v>166.97658184507776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0</v>
      </c>
      <c r="AV158" s="23">
        <f>EXP(-LN(2)/25)*AV157+(1-EXP(-LN(2)/25))/(LN(2)/25)*Calculateur!AQ158*Calculateur!AS158*VLOOKUP('Données projet'!$B$10,Paramètres!$A$1:$I$89,3,0)*0.475*44/12</f>
        <v>0</v>
      </c>
      <c r="AW158" s="23">
        <f>EXP(-LN(2)/2)*AW157+(1-EXP(-LN(2)/2))/(LN(2)/2)*AQ158*AT158*VLOOKUP('Données projet'!$B$10,Paramètres!$A$1:$I$89,3,0)*0.475*44/12</f>
        <v>0</v>
      </c>
      <c r="AX158" s="23">
        <f t="shared" si="166"/>
        <v>0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0</v>
      </c>
      <c r="BE158" s="14" t="e">
        <f>BD158*VLOOKUP('Données projet'!$B$11,Paramètres!$A$1:$I$89,3,0)*VLOOKUP('Données projet'!$B$11,Paramètres!$A$1:$I$89,5,0)</f>
        <v>#N/A</v>
      </c>
      <c r="BF158" s="14" t="e">
        <f t="shared" si="167"/>
        <v>#N/A</v>
      </c>
      <c r="BG158" s="22" t="e">
        <f t="shared" si="168"/>
        <v>#N/A</v>
      </c>
      <c r="BH158" s="62" t="e">
        <f t="shared" si="116"/>
        <v>#N/A</v>
      </c>
      <c r="BI158" s="62" t="e">
        <f ca="1">AVERAGE(OFFSET($BH$3,0,0,'Données projet'!$E$11+1,1))-AVERAGE(OFFSET($H$3,0,0,'Données projet'!$E$11+1,1))</f>
        <v>#N/A</v>
      </c>
      <c r="BJ158" s="62" t="e">
        <f t="shared" si="146"/>
        <v>#N/A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 t="e">
        <f>EXP(-LN(2)/35)*BP157+(1-EXP(-LN(2)/35))/(LN(2)/35)*BL158*BM158*VLOOKUP('Données projet'!$B$11,Paramètres!$A$1:$I$89,3,0)*0.475*44/12</f>
        <v>#N/A</v>
      </c>
      <c r="BQ158" s="23" t="e">
        <f>EXP(-LN(2)/25)*BQ157+(1-EXP(-LN(2)/25))/(LN(2)/25)*Calculateur!BL158*Calculateur!BN158*VLOOKUP('Données projet'!$B$11,Paramètres!$A$1:$I$89,3,0)*0.475*44/12</f>
        <v>#N/A</v>
      </c>
      <c r="BR158" s="23" t="e">
        <f>EXP(-LN(2)/2)*BR157+(1-EXP(-LN(2)/2))/(LN(2)/2)*BL158*BO158*VLOOKUP('Données projet'!$B$11,Paramètres!$A$1:$I$89,3,0)*0.475*44/12</f>
        <v>#N/A</v>
      </c>
      <c r="BS158" s="24" t="e">
        <f t="shared" si="169"/>
        <v>#N/A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0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0</v>
      </c>
      <c r="H159" s="70">
        <f t="shared" si="110"/>
        <v>256.66666666666669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-5.6843418860808015E-13</v>
      </c>
      <c r="O159" s="14">
        <f>N159*VLOOKUP('Données projet'!$B$9,Paramètres!$A$1:$I$89,3,0)*VLOOKUP('Données projet'!$B$9,Paramètres!$A$1:$I$89,5,0)</f>
        <v>-2.6602720026858149E-13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302.58171900450355</v>
      </c>
      <c r="T159" s="62">
        <f t="shared" si="142"/>
        <v>164.1450425611464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0</v>
      </c>
      <c r="AA159" s="23">
        <f>EXP(-LN(2)/25)*AA158+(1-EXP(-LN(2)/25))/(LN(2)/25)*Calculateur!V159*Calculateur!X159*VLOOKUP('Données projet'!$B$9,Paramètres!$A$1:$I$89,3,0)*0.475*44/12</f>
        <v>0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0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-5.6843418860808015E-14</v>
      </c>
      <c r="AJ159" s="14">
        <f>AI159*VLOOKUP('Données projet'!$B$10,Paramètres!$A$1:$I$89,3,0)*VLOOKUP('Données projet'!$B$10,Paramètres!$A$1:$I$89,5,0)</f>
        <v>-6.1186256061773749E-14</v>
      </c>
      <c r="AK159" s="14" t="e">
        <f t="shared" si="164"/>
        <v>#NUM!</v>
      </c>
      <c r="AL159" s="22" t="e">
        <f t="shared" si="165"/>
        <v>#NUM!</v>
      </c>
      <c r="AM159" s="62" t="e">
        <f t="shared" si="113"/>
        <v>#NUM!</v>
      </c>
      <c r="AN159" s="62">
        <f ca="1">AVERAGE(OFFSET($AM$3,0,0,'Données projet'!$E$10+1,1))-AVERAGE(OFFSET($H$3,0,0,'Données projet'!$E$10+1,1))</f>
        <v>327.4984716935208</v>
      </c>
      <c r="AO159" s="62">
        <f t="shared" si="144"/>
        <v>166.97658184507776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0</v>
      </c>
      <c r="AV159" s="23">
        <f>EXP(-LN(2)/25)*AV158+(1-EXP(-LN(2)/25))/(LN(2)/25)*Calculateur!AQ159*Calculateur!AS159*VLOOKUP('Données projet'!$B$10,Paramètres!$A$1:$I$89,3,0)*0.475*44/12</f>
        <v>0</v>
      </c>
      <c r="AW159" s="23">
        <f>EXP(-LN(2)/2)*AW158+(1-EXP(-LN(2)/2))/(LN(2)/2)*AQ159*AT159*VLOOKUP('Données projet'!$B$10,Paramètres!$A$1:$I$89,3,0)*0.475*44/12</f>
        <v>0</v>
      </c>
      <c r="AX159" s="23">
        <f t="shared" si="166"/>
        <v>0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0</v>
      </c>
      <c r="BE159" s="14" t="e">
        <f>BD159*VLOOKUP('Données projet'!$B$11,Paramètres!$A$1:$I$89,3,0)*VLOOKUP('Données projet'!$B$11,Paramètres!$A$1:$I$89,5,0)</f>
        <v>#N/A</v>
      </c>
      <c r="BF159" s="14" t="e">
        <f t="shared" si="167"/>
        <v>#N/A</v>
      </c>
      <c r="BG159" s="22" t="e">
        <f t="shared" si="168"/>
        <v>#N/A</v>
      </c>
      <c r="BH159" s="62" t="e">
        <f t="shared" si="116"/>
        <v>#N/A</v>
      </c>
      <c r="BI159" s="62" t="e">
        <f ca="1">AVERAGE(OFFSET($BH$3,0,0,'Données projet'!$E$11+1,1))-AVERAGE(OFFSET($H$3,0,0,'Données projet'!$E$11+1,1))</f>
        <v>#N/A</v>
      </c>
      <c r="BJ159" s="62" t="e">
        <f t="shared" si="146"/>
        <v>#N/A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 t="e">
        <f>EXP(-LN(2)/35)*BP158+(1-EXP(-LN(2)/35))/(LN(2)/35)*BL159*BM159*VLOOKUP('Données projet'!$B$11,Paramètres!$A$1:$I$89,3,0)*0.475*44/12</f>
        <v>#N/A</v>
      </c>
      <c r="BQ159" s="23" t="e">
        <f>EXP(-LN(2)/25)*BQ158+(1-EXP(-LN(2)/25))/(LN(2)/25)*Calculateur!BL159*Calculateur!BN159*VLOOKUP('Données projet'!$B$11,Paramètres!$A$1:$I$89,3,0)*0.475*44/12</f>
        <v>#N/A</v>
      </c>
      <c r="BR159" s="23" t="e">
        <f>EXP(-LN(2)/2)*BR158+(1-EXP(-LN(2)/2))/(LN(2)/2)*BL159*BO159*VLOOKUP('Données projet'!$B$11,Paramètres!$A$1:$I$89,3,0)*0.475*44/12</f>
        <v>#N/A</v>
      </c>
      <c r="BS159" s="24" t="e">
        <f t="shared" si="169"/>
        <v>#N/A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0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0</v>
      </c>
      <c r="H160" s="70">
        <f t="shared" si="110"/>
        <v>256.66666666666669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-5.6843418860808015E-13</v>
      </c>
      <c r="O160" s="14">
        <f>N160*VLOOKUP('Données projet'!$B$9,Paramètres!$A$1:$I$89,3,0)*VLOOKUP('Données projet'!$B$9,Paramètres!$A$1:$I$89,5,0)</f>
        <v>-2.6602720026858149E-13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302.58171900450355</v>
      </c>
      <c r="T160" s="62">
        <f t="shared" si="142"/>
        <v>164.1450425611464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0</v>
      </c>
      <c r="AA160" s="23">
        <f>EXP(-LN(2)/25)*AA159+(1-EXP(-LN(2)/25))/(LN(2)/25)*Calculateur!V160*Calculateur!X160*VLOOKUP('Données projet'!$B$9,Paramètres!$A$1:$I$89,3,0)*0.475*44/12</f>
        <v>0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0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-5.6843418860808015E-14</v>
      </c>
      <c r="AJ160" s="14">
        <f>AI160*VLOOKUP('Données projet'!$B$10,Paramètres!$A$1:$I$89,3,0)*VLOOKUP('Données projet'!$B$10,Paramètres!$A$1:$I$89,5,0)</f>
        <v>-6.1186256061773749E-14</v>
      </c>
      <c r="AK160" s="14" t="e">
        <f t="shared" si="164"/>
        <v>#NUM!</v>
      </c>
      <c r="AL160" s="22" t="e">
        <f t="shared" si="165"/>
        <v>#NUM!</v>
      </c>
      <c r="AM160" s="62" t="e">
        <f t="shared" si="113"/>
        <v>#NUM!</v>
      </c>
      <c r="AN160" s="62">
        <f ca="1">AVERAGE(OFFSET($AM$3,0,0,'Données projet'!$E$10+1,1))-AVERAGE(OFFSET($H$3,0,0,'Données projet'!$E$10+1,1))</f>
        <v>327.4984716935208</v>
      </c>
      <c r="AO160" s="62">
        <f t="shared" si="144"/>
        <v>166.97658184507776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0</v>
      </c>
      <c r="AV160" s="23">
        <f>EXP(-LN(2)/25)*AV159+(1-EXP(-LN(2)/25))/(LN(2)/25)*Calculateur!AQ160*Calculateur!AS160*VLOOKUP('Données projet'!$B$10,Paramètres!$A$1:$I$89,3,0)*0.475*44/12</f>
        <v>0</v>
      </c>
      <c r="AW160" s="23">
        <f>EXP(-LN(2)/2)*AW159+(1-EXP(-LN(2)/2))/(LN(2)/2)*AQ160*AT160*VLOOKUP('Données projet'!$B$10,Paramètres!$A$1:$I$89,3,0)*0.475*44/12</f>
        <v>0</v>
      </c>
      <c r="AX160" s="23">
        <f t="shared" si="166"/>
        <v>0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0</v>
      </c>
      <c r="BE160" s="14" t="e">
        <f>BD160*VLOOKUP('Données projet'!$B$11,Paramètres!$A$1:$I$89,3,0)*VLOOKUP('Données projet'!$B$11,Paramètres!$A$1:$I$89,5,0)</f>
        <v>#N/A</v>
      </c>
      <c r="BF160" s="14" t="e">
        <f t="shared" si="167"/>
        <v>#N/A</v>
      </c>
      <c r="BG160" s="22" t="e">
        <f t="shared" si="168"/>
        <v>#N/A</v>
      </c>
      <c r="BH160" s="62" t="e">
        <f t="shared" si="116"/>
        <v>#N/A</v>
      </c>
      <c r="BI160" s="62" t="e">
        <f ca="1">AVERAGE(OFFSET($BH$3,0,0,'Données projet'!$E$11+1,1))-AVERAGE(OFFSET($H$3,0,0,'Données projet'!$E$11+1,1))</f>
        <v>#N/A</v>
      </c>
      <c r="BJ160" s="62" t="e">
        <f t="shared" si="146"/>
        <v>#N/A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 t="e">
        <f>EXP(-LN(2)/35)*BP159+(1-EXP(-LN(2)/35))/(LN(2)/35)*BL160*BM160*VLOOKUP('Données projet'!$B$11,Paramètres!$A$1:$I$89,3,0)*0.475*44/12</f>
        <v>#N/A</v>
      </c>
      <c r="BQ160" s="23" t="e">
        <f>EXP(-LN(2)/25)*BQ159+(1-EXP(-LN(2)/25))/(LN(2)/25)*Calculateur!BL160*Calculateur!BN160*VLOOKUP('Données projet'!$B$11,Paramètres!$A$1:$I$89,3,0)*0.475*44/12</f>
        <v>#N/A</v>
      </c>
      <c r="BR160" s="23" t="e">
        <f>EXP(-LN(2)/2)*BR159+(1-EXP(-LN(2)/2))/(LN(2)/2)*BL160*BO160*VLOOKUP('Données projet'!$B$11,Paramètres!$A$1:$I$89,3,0)*0.475*44/12</f>
        <v>#N/A</v>
      </c>
      <c r="BS160" s="24" t="e">
        <f t="shared" si="169"/>
        <v>#N/A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0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0</v>
      </c>
      <c r="H161" s="70">
        <f t="shared" si="110"/>
        <v>256.66666666666669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-5.6843418860808015E-13</v>
      </c>
      <c r="O161" s="14">
        <f>N161*VLOOKUP('Données projet'!$B$9,Paramètres!$A$1:$I$89,3,0)*VLOOKUP('Données projet'!$B$9,Paramètres!$A$1:$I$89,5,0)</f>
        <v>-2.6602720026858149E-13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302.58171900450355</v>
      </c>
      <c r="T161" s="62">
        <f t="shared" si="142"/>
        <v>164.1450425611464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0</v>
      </c>
      <c r="AA161" s="23">
        <f>EXP(-LN(2)/25)*AA160+(1-EXP(-LN(2)/25))/(LN(2)/25)*Calculateur!V161*Calculateur!X161*VLOOKUP('Données projet'!$B$9,Paramètres!$A$1:$I$89,3,0)*0.475*44/12</f>
        <v>0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0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-5.6843418860808015E-14</v>
      </c>
      <c r="AJ161" s="14">
        <f>AI161*VLOOKUP('Données projet'!$B$10,Paramètres!$A$1:$I$89,3,0)*VLOOKUP('Données projet'!$B$10,Paramètres!$A$1:$I$89,5,0)</f>
        <v>-6.1186256061773749E-14</v>
      </c>
      <c r="AK161" s="14" t="e">
        <f t="shared" si="164"/>
        <v>#NUM!</v>
      </c>
      <c r="AL161" s="22" t="e">
        <f t="shared" si="165"/>
        <v>#NUM!</v>
      </c>
      <c r="AM161" s="62" t="e">
        <f t="shared" si="113"/>
        <v>#NUM!</v>
      </c>
      <c r="AN161" s="62">
        <f ca="1">AVERAGE(OFFSET($AM$3,0,0,'Données projet'!$E$10+1,1))-AVERAGE(OFFSET($H$3,0,0,'Données projet'!$E$10+1,1))</f>
        <v>327.4984716935208</v>
      </c>
      <c r="AO161" s="62">
        <f t="shared" si="144"/>
        <v>166.97658184507776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0</v>
      </c>
      <c r="AV161" s="23">
        <f>EXP(-LN(2)/25)*AV160+(1-EXP(-LN(2)/25))/(LN(2)/25)*Calculateur!AQ161*Calculateur!AS161*VLOOKUP('Données projet'!$B$10,Paramètres!$A$1:$I$89,3,0)*0.475*44/12</f>
        <v>0</v>
      </c>
      <c r="AW161" s="23">
        <f>EXP(-LN(2)/2)*AW160+(1-EXP(-LN(2)/2))/(LN(2)/2)*AQ161*AT161*VLOOKUP('Données projet'!$B$10,Paramètres!$A$1:$I$89,3,0)*0.475*44/12</f>
        <v>0</v>
      </c>
      <c r="AX161" s="23">
        <f t="shared" si="166"/>
        <v>0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0</v>
      </c>
      <c r="BE161" s="14" t="e">
        <f>BD161*VLOOKUP('Données projet'!$B$11,Paramètres!$A$1:$I$89,3,0)*VLOOKUP('Données projet'!$B$11,Paramètres!$A$1:$I$89,5,0)</f>
        <v>#N/A</v>
      </c>
      <c r="BF161" s="14" t="e">
        <f t="shared" si="167"/>
        <v>#N/A</v>
      </c>
      <c r="BG161" s="22" t="e">
        <f t="shared" si="168"/>
        <v>#N/A</v>
      </c>
      <c r="BH161" s="62" t="e">
        <f t="shared" si="116"/>
        <v>#N/A</v>
      </c>
      <c r="BI161" s="62" t="e">
        <f ca="1">AVERAGE(OFFSET($BH$3,0,0,'Données projet'!$E$11+1,1))-AVERAGE(OFFSET($H$3,0,0,'Données projet'!$E$11+1,1))</f>
        <v>#N/A</v>
      </c>
      <c r="BJ161" s="62" t="e">
        <f t="shared" si="146"/>
        <v>#N/A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 t="e">
        <f>EXP(-LN(2)/35)*BP160+(1-EXP(-LN(2)/35))/(LN(2)/35)*BL161*BM161*VLOOKUP('Données projet'!$B$11,Paramètres!$A$1:$I$89,3,0)*0.475*44/12</f>
        <v>#N/A</v>
      </c>
      <c r="BQ161" s="23" t="e">
        <f>EXP(-LN(2)/25)*BQ160+(1-EXP(-LN(2)/25))/(LN(2)/25)*Calculateur!BL161*Calculateur!BN161*VLOOKUP('Données projet'!$B$11,Paramètres!$A$1:$I$89,3,0)*0.475*44/12</f>
        <v>#N/A</v>
      </c>
      <c r="BR161" s="23" t="e">
        <f>EXP(-LN(2)/2)*BR160+(1-EXP(-LN(2)/2))/(LN(2)/2)*BL161*BO161*VLOOKUP('Données projet'!$B$11,Paramètres!$A$1:$I$89,3,0)*0.475*44/12</f>
        <v>#N/A</v>
      </c>
      <c r="BS161" s="24" t="e">
        <f t="shared" si="169"/>
        <v>#N/A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0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0</v>
      </c>
      <c r="H162" s="70">
        <f t="shared" si="110"/>
        <v>256.66666666666669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-5.6843418860808015E-13</v>
      </c>
      <c r="O162" s="14">
        <f>N162*VLOOKUP('Données projet'!$B$9,Paramètres!$A$1:$I$89,3,0)*VLOOKUP('Données projet'!$B$9,Paramètres!$A$1:$I$89,5,0)</f>
        <v>-2.6602720026858149E-13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302.58171900450355</v>
      </c>
      <c r="T162" s="62">
        <f t="shared" si="142"/>
        <v>164.1450425611464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0</v>
      </c>
      <c r="AA162" s="23">
        <f>EXP(-LN(2)/25)*AA161+(1-EXP(-LN(2)/25))/(LN(2)/25)*Calculateur!V162*Calculateur!X162*VLOOKUP('Données projet'!$B$9,Paramètres!$A$1:$I$89,3,0)*0.475*44/12</f>
        <v>0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0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-5.6843418860808015E-14</v>
      </c>
      <c r="AJ162" s="14">
        <f>AI162*VLOOKUP('Données projet'!$B$10,Paramètres!$A$1:$I$89,3,0)*VLOOKUP('Données projet'!$B$10,Paramètres!$A$1:$I$89,5,0)</f>
        <v>-6.1186256061773749E-14</v>
      </c>
      <c r="AK162" s="14" t="e">
        <f t="shared" si="164"/>
        <v>#NUM!</v>
      </c>
      <c r="AL162" s="22" t="e">
        <f t="shared" si="165"/>
        <v>#NUM!</v>
      </c>
      <c r="AM162" s="62" t="e">
        <f t="shared" si="113"/>
        <v>#NUM!</v>
      </c>
      <c r="AN162" s="62">
        <f ca="1">AVERAGE(OFFSET($AM$3,0,0,'Données projet'!$E$10+1,1))-AVERAGE(OFFSET($H$3,0,0,'Données projet'!$E$10+1,1))</f>
        <v>327.4984716935208</v>
      </c>
      <c r="AO162" s="62">
        <f t="shared" si="144"/>
        <v>166.97658184507776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0</v>
      </c>
      <c r="AV162" s="23">
        <f>EXP(-LN(2)/25)*AV161+(1-EXP(-LN(2)/25))/(LN(2)/25)*Calculateur!AQ162*Calculateur!AS162*VLOOKUP('Données projet'!$B$10,Paramètres!$A$1:$I$89,3,0)*0.475*44/12</f>
        <v>0</v>
      </c>
      <c r="AW162" s="23">
        <f>EXP(-LN(2)/2)*AW161+(1-EXP(-LN(2)/2))/(LN(2)/2)*AQ162*AT162*VLOOKUP('Données projet'!$B$10,Paramètres!$A$1:$I$89,3,0)*0.475*44/12</f>
        <v>0</v>
      </c>
      <c r="AX162" s="23">
        <f t="shared" si="166"/>
        <v>0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0</v>
      </c>
      <c r="BE162" s="14" t="e">
        <f>BD162*VLOOKUP('Données projet'!$B$11,Paramètres!$A$1:$I$89,3,0)*VLOOKUP('Données projet'!$B$11,Paramètres!$A$1:$I$89,5,0)</f>
        <v>#N/A</v>
      </c>
      <c r="BF162" s="14" t="e">
        <f t="shared" si="167"/>
        <v>#N/A</v>
      </c>
      <c r="BG162" s="22" t="e">
        <f t="shared" si="168"/>
        <v>#N/A</v>
      </c>
      <c r="BH162" s="62" t="e">
        <f t="shared" si="116"/>
        <v>#N/A</v>
      </c>
      <c r="BI162" s="62" t="e">
        <f ca="1">AVERAGE(OFFSET($BH$3,0,0,'Données projet'!$E$11+1,1))-AVERAGE(OFFSET($H$3,0,0,'Données projet'!$E$11+1,1))</f>
        <v>#N/A</v>
      </c>
      <c r="BJ162" s="62" t="e">
        <f t="shared" si="146"/>
        <v>#N/A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 t="e">
        <f>EXP(-LN(2)/35)*BP161+(1-EXP(-LN(2)/35))/(LN(2)/35)*BL162*BM162*VLOOKUP('Données projet'!$B$11,Paramètres!$A$1:$I$89,3,0)*0.475*44/12</f>
        <v>#N/A</v>
      </c>
      <c r="BQ162" s="23" t="e">
        <f>EXP(-LN(2)/25)*BQ161+(1-EXP(-LN(2)/25))/(LN(2)/25)*Calculateur!BL162*Calculateur!BN162*VLOOKUP('Données projet'!$B$11,Paramètres!$A$1:$I$89,3,0)*0.475*44/12</f>
        <v>#N/A</v>
      </c>
      <c r="BR162" s="23" t="e">
        <f>EXP(-LN(2)/2)*BR161+(1-EXP(-LN(2)/2))/(LN(2)/2)*BL162*BO162*VLOOKUP('Données projet'!$B$11,Paramètres!$A$1:$I$89,3,0)*0.475*44/12</f>
        <v>#N/A</v>
      </c>
      <c r="BS162" s="24" t="e">
        <f t="shared" si="169"/>
        <v>#N/A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0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0</v>
      </c>
      <c r="H163" s="70">
        <f t="shared" si="110"/>
        <v>256.66666666666669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-5.6843418860808015E-13</v>
      </c>
      <c r="O163" s="14">
        <f>N163*VLOOKUP('Données projet'!$B$9,Paramètres!$A$1:$I$89,3,0)*VLOOKUP('Données projet'!$B$9,Paramètres!$A$1:$I$89,5,0)</f>
        <v>-2.6602720026858149E-13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302.58171900450355</v>
      </c>
      <c r="T163" s="62">
        <f t="shared" si="142"/>
        <v>164.1450425611464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0</v>
      </c>
      <c r="AA163" s="23">
        <f>EXP(-LN(2)/25)*AA162+(1-EXP(-LN(2)/25))/(LN(2)/25)*Calculateur!V163*Calculateur!X163*VLOOKUP('Données projet'!$B$9,Paramètres!$A$1:$I$89,3,0)*0.475*44/12</f>
        <v>0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0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-5.6843418860808015E-14</v>
      </c>
      <c r="AJ163" s="14">
        <f>AI163*VLOOKUP('Données projet'!$B$10,Paramètres!$A$1:$I$89,3,0)*VLOOKUP('Données projet'!$B$10,Paramètres!$A$1:$I$89,5,0)</f>
        <v>-6.1186256061773749E-14</v>
      </c>
      <c r="AK163" s="14" t="e">
        <f t="shared" si="164"/>
        <v>#NUM!</v>
      </c>
      <c r="AL163" s="22" t="e">
        <f t="shared" si="165"/>
        <v>#NUM!</v>
      </c>
      <c r="AM163" s="62" t="e">
        <f t="shared" si="113"/>
        <v>#NUM!</v>
      </c>
      <c r="AN163" s="62">
        <f ca="1">AVERAGE(OFFSET($AM$3,0,0,'Données projet'!$E$10+1,1))-AVERAGE(OFFSET($H$3,0,0,'Données projet'!$E$10+1,1))</f>
        <v>327.4984716935208</v>
      </c>
      <c r="AO163" s="62">
        <f t="shared" si="144"/>
        <v>166.97658184507776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0</v>
      </c>
      <c r="AV163" s="23">
        <f>EXP(-LN(2)/25)*AV162+(1-EXP(-LN(2)/25))/(LN(2)/25)*Calculateur!AQ163*Calculateur!AS163*VLOOKUP('Données projet'!$B$10,Paramètres!$A$1:$I$89,3,0)*0.475*44/12</f>
        <v>0</v>
      </c>
      <c r="AW163" s="23">
        <f>EXP(-LN(2)/2)*AW162+(1-EXP(-LN(2)/2))/(LN(2)/2)*AQ163*AT163*VLOOKUP('Données projet'!$B$10,Paramètres!$A$1:$I$89,3,0)*0.475*44/12</f>
        <v>0</v>
      </c>
      <c r="AX163" s="23">
        <f t="shared" si="166"/>
        <v>0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0</v>
      </c>
      <c r="BE163" s="14" t="e">
        <f>BD163*VLOOKUP('Données projet'!$B$11,Paramètres!$A$1:$I$89,3,0)*VLOOKUP('Données projet'!$B$11,Paramètres!$A$1:$I$89,5,0)</f>
        <v>#N/A</v>
      </c>
      <c r="BF163" s="14" t="e">
        <f t="shared" si="167"/>
        <v>#N/A</v>
      </c>
      <c r="BG163" s="22" t="e">
        <f t="shared" si="168"/>
        <v>#N/A</v>
      </c>
      <c r="BH163" s="62" t="e">
        <f t="shared" si="116"/>
        <v>#N/A</v>
      </c>
      <c r="BI163" s="62" t="e">
        <f ca="1">AVERAGE(OFFSET($BH$3,0,0,'Données projet'!$E$11+1,1))-AVERAGE(OFFSET($H$3,0,0,'Données projet'!$E$11+1,1))</f>
        <v>#N/A</v>
      </c>
      <c r="BJ163" s="62" t="e">
        <f t="shared" si="146"/>
        <v>#N/A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 t="e">
        <f>EXP(-LN(2)/35)*BP162+(1-EXP(-LN(2)/35))/(LN(2)/35)*BL163*BM163*VLOOKUP('Données projet'!$B$11,Paramètres!$A$1:$I$89,3,0)*0.475*44/12</f>
        <v>#N/A</v>
      </c>
      <c r="BQ163" s="23" t="e">
        <f>EXP(-LN(2)/25)*BQ162+(1-EXP(-LN(2)/25))/(LN(2)/25)*Calculateur!BL163*Calculateur!BN163*VLOOKUP('Données projet'!$B$11,Paramètres!$A$1:$I$89,3,0)*0.475*44/12</f>
        <v>#N/A</v>
      </c>
      <c r="BR163" s="23" t="e">
        <f>EXP(-LN(2)/2)*BR162+(1-EXP(-LN(2)/2))/(LN(2)/2)*BL163*BO163*VLOOKUP('Données projet'!$B$11,Paramètres!$A$1:$I$89,3,0)*0.475*44/12</f>
        <v>#N/A</v>
      </c>
      <c r="BS163" s="24" t="e">
        <f t="shared" si="169"/>
        <v>#N/A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0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0</v>
      </c>
      <c r="H164" s="70">
        <f t="shared" si="110"/>
        <v>256.66666666666669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-5.6843418860808015E-13</v>
      </c>
      <c r="O164" s="14">
        <f>N164*VLOOKUP('Données projet'!$B$9,Paramètres!$A$1:$I$89,3,0)*VLOOKUP('Données projet'!$B$9,Paramètres!$A$1:$I$89,5,0)</f>
        <v>-2.6602720026858149E-13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302.58171900450355</v>
      </c>
      <c r="T164" s="62">
        <f t="shared" si="142"/>
        <v>164.1450425611464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0</v>
      </c>
      <c r="AA164" s="23">
        <f>EXP(-LN(2)/25)*AA163+(1-EXP(-LN(2)/25))/(LN(2)/25)*Calculateur!V164*Calculateur!X164*VLOOKUP('Données projet'!$B$9,Paramètres!$A$1:$I$89,3,0)*0.475*44/12</f>
        <v>0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0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-5.6843418860808015E-14</v>
      </c>
      <c r="AJ164" s="14">
        <f>AI164*VLOOKUP('Données projet'!$B$10,Paramètres!$A$1:$I$89,3,0)*VLOOKUP('Données projet'!$B$10,Paramètres!$A$1:$I$89,5,0)</f>
        <v>-6.1186256061773749E-14</v>
      </c>
      <c r="AK164" s="14" t="e">
        <f t="shared" si="164"/>
        <v>#NUM!</v>
      </c>
      <c r="AL164" s="22" t="e">
        <f t="shared" si="165"/>
        <v>#NUM!</v>
      </c>
      <c r="AM164" s="62" t="e">
        <f t="shared" si="113"/>
        <v>#NUM!</v>
      </c>
      <c r="AN164" s="62">
        <f ca="1">AVERAGE(OFFSET($AM$3,0,0,'Données projet'!$E$10+1,1))-AVERAGE(OFFSET($H$3,0,0,'Données projet'!$E$10+1,1))</f>
        <v>327.4984716935208</v>
      </c>
      <c r="AO164" s="62">
        <f t="shared" si="144"/>
        <v>166.97658184507776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0</v>
      </c>
      <c r="AV164" s="23">
        <f>EXP(-LN(2)/25)*AV163+(1-EXP(-LN(2)/25))/(LN(2)/25)*Calculateur!AQ164*Calculateur!AS164*VLOOKUP('Données projet'!$B$10,Paramètres!$A$1:$I$89,3,0)*0.475*44/12</f>
        <v>0</v>
      </c>
      <c r="AW164" s="23">
        <f>EXP(-LN(2)/2)*AW163+(1-EXP(-LN(2)/2))/(LN(2)/2)*AQ164*AT164*VLOOKUP('Données projet'!$B$10,Paramètres!$A$1:$I$89,3,0)*0.475*44/12</f>
        <v>0</v>
      </c>
      <c r="AX164" s="23">
        <f t="shared" si="166"/>
        <v>0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0</v>
      </c>
      <c r="BE164" s="14" t="e">
        <f>BD164*VLOOKUP('Données projet'!$B$11,Paramètres!$A$1:$I$89,3,0)*VLOOKUP('Données projet'!$B$11,Paramètres!$A$1:$I$89,5,0)</f>
        <v>#N/A</v>
      </c>
      <c r="BF164" s="14" t="e">
        <f t="shared" si="167"/>
        <v>#N/A</v>
      </c>
      <c r="BG164" s="22" t="e">
        <f t="shared" si="168"/>
        <v>#N/A</v>
      </c>
      <c r="BH164" s="62" t="e">
        <f t="shared" si="116"/>
        <v>#N/A</v>
      </c>
      <c r="BI164" s="62" t="e">
        <f ca="1">AVERAGE(OFFSET($BH$3,0,0,'Données projet'!$E$11+1,1))-AVERAGE(OFFSET($H$3,0,0,'Données projet'!$E$11+1,1))</f>
        <v>#N/A</v>
      </c>
      <c r="BJ164" s="62" t="e">
        <f t="shared" si="146"/>
        <v>#N/A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 t="e">
        <f>EXP(-LN(2)/35)*BP163+(1-EXP(-LN(2)/35))/(LN(2)/35)*BL164*BM164*VLOOKUP('Données projet'!$B$11,Paramètres!$A$1:$I$89,3,0)*0.475*44/12</f>
        <v>#N/A</v>
      </c>
      <c r="BQ164" s="23" t="e">
        <f>EXP(-LN(2)/25)*BQ163+(1-EXP(-LN(2)/25))/(LN(2)/25)*Calculateur!BL164*Calculateur!BN164*VLOOKUP('Données projet'!$B$11,Paramètres!$A$1:$I$89,3,0)*0.475*44/12</f>
        <v>#N/A</v>
      </c>
      <c r="BR164" s="23" t="e">
        <f>EXP(-LN(2)/2)*BR163+(1-EXP(-LN(2)/2))/(LN(2)/2)*BL164*BO164*VLOOKUP('Données projet'!$B$11,Paramètres!$A$1:$I$89,3,0)*0.475*44/12</f>
        <v>#N/A</v>
      </c>
      <c r="BS164" s="24" t="e">
        <f t="shared" si="169"/>
        <v>#N/A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0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0</v>
      </c>
      <c r="H165" s="70">
        <f t="shared" si="110"/>
        <v>256.66666666666669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-5.6843418860808015E-13</v>
      </c>
      <c r="O165" s="14">
        <f>N165*VLOOKUP('Données projet'!$B$9,Paramètres!$A$1:$I$89,3,0)*VLOOKUP('Données projet'!$B$9,Paramètres!$A$1:$I$89,5,0)</f>
        <v>-2.6602720026858149E-13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302.58171900450355</v>
      </c>
      <c r="T165" s="62">
        <f t="shared" si="142"/>
        <v>164.1450425611464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0</v>
      </c>
      <c r="AA165" s="23">
        <f>EXP(-LN(2)/25)*AA164+(1-EXP(-LN(2)/25))/(LN(2)/25)*Calculateur!V165*Calculateur!X165*VLOOKUP('Données projet'!$B$9,Paramètres!$A$1:$I$89,3,0)*0.475*44/12</f>
        <v>0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0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-5.6843418860808015E-14</v>
      </c>
      <c r="AJ165" s="14">
        <f>AI165*VLOOKUP('Données projet'!$B$10,Paramètres!$A$1:$I$89,3,0)*VLOOKUP('Données projet'!$B$10,Paramètres!$A$1:$I$89,5,0)</f>
        <v>-6.1186256061773749E-14</v>
      </c>
      <c r="AK165" s="14" t="e">
        <f t="shared" si="164"/>
        <v>#NUM!</v>
      </c>
      <c r="AL165" s="22" t="e">
        <f t="shared" si="165"/>
        <v>#NUM!</v>
      </c>
      <c r="AM165" s="62" t="e">
        <f t="shared" si="113"/>
        <v>#NUM!</v>
      </c>
      <c r="AN165" s="62">
        <f ca="1">AVERAGE(OFFSET($AM$3,0,0,'Données projet'!$E$10+1,1))-AVERAGE(OFFSET($H$3,0,0,'Données projet'!$E$10+1,1))</f>
        <v>327.4984716935208</v>
      </c>
      <c r="AO165" s="62">
        <f t="shared" si="144"/>
        <v>166.97658184507776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0</v>
      </c>
      <c r="AV165" s="23">
        <f>EXP(-LN(2)/25)*AV164+(1-EXP(-LN(2)/25))/(LN(2)/25)*Calculateur!AQ165*Calculateur!AS165*VLOOKUP('Données projet'!$B$10,Paramètres!$A$1:$I$89,3,0)*0.475*44/12</f>
        <v>0</v>
      </c>
      <c r="AW165" s="23">
        <f>EXP(-LN(2)/2)*AW164+(1-EXP(-LN(2)/2))/(LN(2)/2)*AQ165*AT165*VLOOKUP('Données projet'!$B$10,Paramètres!$A$1:$I$89,3,0)*0.475*44/12</f>
        <v>0</v>
      </c>
      <c r="AX165" s="23">
        <f t="shared" si="166"/>
        <v>0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0</v>
      </c>
      <c r="BE165" s="14" t="e">
        <f>BD165*VLOOKUP('Données projet'!$B$11,Paramètres!$A$1:$I$89,3,0)*VLOOKUP('Données projet'!$B$11,Paramètres!$A$1:$I$89,5,0)</f>
        <v>#N/A</v>
      </c>
      <c r="BF165" s="14" t="e">
        <f t="shared" si="167"/>
        <v>#N/A</v>
      </c>
      <c r="BG165" s="22" t="e">
        <f t="shared" si="168"/>
        <v>#N/A</v>
      </c>
      <c r="BH165" s="62" t="e">
        <f t="shared" si="116"/>
        <v>#N/A</v>
      </c>
      <c r="BI165" s="62" t="e">
        <f ca="1">AVERAGE(OFFSET($BH$3,0,0,'Données projet'!$E$11+1,1))-AVERAGE(OFFSET($H$3,0,0,'Données projet'!$E$11+1,1))</f>
        <v>#N/A</v>
      </c>
      <c r="BJ165" s="62" t="e">
        <f t="shared" si="146"/>
        <v>#N/A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 t="e">
        <f>EXP(-LN(2)/35)*BP164+(1-EXP(-LN(2)/35))/(LN(2)/35)*BL165*BM165*VLOOKUP('Données projet'!$B$11,Paramètres!$A$1:$I$89,3,0)*0.475*44/12</f>
        <v>#N/A</v>
      </c>
      <c r="BQ165" s="23" t="e">
        <f>EXP(-LN(2)/25)*BQ164+(1-EXP(-LN(2)/25))/(LN(2)/25)*Calculateur!BL165*Calculateur!BN165*VLOOKUP('Données projet'!$B$11,Paramètres!$A$1:$I$89,3,0)*0.475*44/12</f>
        <v>#N/A</v>
      </c>
      <c r="BR165" s="23" t="e">
        <f>EXP(-LN(2)/2)*BR164+(1-EXP(-LN(2)/2))/(LN(2)/2)*BL165*BO165*VLOOKUP('Données projet'!$B$11,Paramètres!$A$1:$I$89,3,0)*0.475*44/12</f>
        <v>#N/A</v>
      </c>
      <c r="BS165" s="24" t="e">
        <f t="shared" si="169"/>
        <v>#N/A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0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0</v>
      </c>
      <c r="H166" s="70">
        <f t="shared" si="110"/>
        <v>256.66666666666669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-5.6843418860808015E-13</v>
      </c>
      <c r="O166" s="14">
        <f>N166*VLOOKUP('Données projet'!$B$9,Paramètres!$A$1:$I$89,3,0)*VLOOKUP('Données projet'!$B$9,Paramètres!$A$1:$I$89,5,0)</f>
        <v>-2.6602720026858149E-13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302.58171900450355</v>
      </c>
      <c r="T166" s="62">
        <f t="shared" si="142"/>
        <v>164.1450425611464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0</v>
      </c>
      <c r="AA166" s="23">
        <f>EXP(-LN(2)/25)*AA165+(1-EXP(-LN(2)/25))/(LN(2)/25)*Calculateur!V166*Calculateur!X166*VLOOKUP('Données projet'!$B$9,Paramètres!$A$1:$I$89,3,0)*0.475*44/12</f>
        <v>0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0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-5.6843418860808015E-14</v>
      </c>
      <c r="AJ166" s="14">
        <f>AI166*VLOOKUP('Données projet'!$B$10,Paramètres!$A$1:$I$89,3,0)*VLOOKUP('Données projet'!$B$10,Paramètres!$A$1:$I$89,5,0)</f>
        <v>-6.1186256061773749E-14</v>
      </c>
      <c r="AK166" s="14" t="e">
        <f t="shared" si="164"/>
        <v>#NUM!</v>
      </c>
      <c r="AL166" s="22" t="e">
        <f t="shared" si="165"/>
        <v>#NUM!</v>
      </c>
      <c r="AM166" s="62" t="e">
        <f t="shared" si="113"/>
        <v>#NUM!</v>
      </c>
      <c r="AN166" s="62">
        <f ca="1">AVERAGE(OFFSET($AM$3,0,0,'Données projet'!$E$10+1,1))-AVERAGE(OFFSET($H$3,0,0,'Données projet'!$E$10+1,1))</f>
        <v>327.4984716935208</v>
      </c>
      <c r="AO166" s="62">
        <f t="shared" si="144"/>
        <v>166.97658184507776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0</v>
      </c>
      <c r="AV166" s="23">
        <f>EXP(-LN(2)/25)*AV165+(1-EXP(-LN(2)/25))/(LN(2)/25)*Calculateur!AQ166*Calculateur!AS166*VLOOKUP('Données projet'!$B$10,Paramètres!$A$1:$I$89,3,0)*0.475*44/12</f>
        <v>0</v>
      </c>
      <c r="AW166" s="23">
        <f>EXP(-LN(2)/2)*AW165+(1-EXP(-LN(2)/2))/(LN(2)/2)*AQ166*AT166*VLOOKUP('Données projet'!$B$10,Paramètres!$A$1:$I$89,3,0)*0.475*44/12</f>
        <v>0</v>
      </c>
      <c r="AX166" s="23">
        <f t="shared" si="166"/>
        <v>0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0</v>
      </c>
      <c r="BE166" s="14" t="e">
        <f>BD166*VLOOKUP('Données projet'!$B$11,Paramètres!$A$1:$I$89,3,0)*VLOOKUP('Données projet'!$B$11,Paramètres!$A$1:$I$89,5,0)</f>
        <v>#N/A</v>
      </c>
      <c r="BF166" s="14" t="e">
        <f t="shared" si="167"/>
        <v>#N/A</v>
      </c>
      <c r="BG166" s="22" t="e">
        <f t="shared" si="168"/>
        <v>#N/A</v>
      </c>
      <c r="BH166" s="62" t="e">
        <f t="shared" si="116"/>
        <v>#N/A</v>
      </c>
      <c r="BI166" s="62" t="e">
        <f ca="1">AVERAGE(OFFSET($BH$3,0,0,'Données projet'!$E$11+1,1))-AVERAGE(OFFSET($H$3,0,0,'Données projet'!$E$11+1,1))</f>
        <v>#N/A</v>
      </c>
      <c r="BJ166" s="62" t="e">
        <f t="shared" si="146"/>
        <v>#N/A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 t="e">
        <f>EXP(-LN(2)/35)*BP165+(1-EXP(-LN(2)/35))/(LN(2)/35)*BL166*BM166*VLOOKUP('Données projet'!$B$11,Paramètres!$A$1:$I$89,3,0)*0.475*44/12</f>
        <v>#N/A</v>
      </c>
      <c r="BQ166" s="23" t="e">
        <f>EXP(-LN(2)/25)*BQ165+(1-EXP(-LN(2)/25))/(LN(2)/25)*Calculateur!BL166*Calculateur!BN166*VLOOKUP('Données projet'!$B$11,Paramètres!$A$1:$I$89,3,0)*0.475*44/12</f>
        <v>#N/A</v>
      </c>
      <c r="BR166" s="23" t="e">
        <f>EXP(-LN(2)/2)*BR165+(1-EXP(-LN(2)/2))/(LN(2)/2)*BL166*BO166*VLOOKUP('Données projet'!$B$11,Paramètres!$A$1:$I$89,3,0)*0.475*44/12</f>
        <v>#N/A</v>
      </c>
      <c r="BS166" s="24" t="e">
        <f t="shared" si="169"/>
        <v>#N/A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0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0</v>
      </c>
      <c r="H167" s="70">
        <f t="shared" si="110"/>
        <v>256.66666666666669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-5.6843418860808015E-13</v>
      </c>
      <c r="O167" s="14">
        <f>N167*VLOOKUP('Données projet'!$B$9,Paramètres!$A$1:$I$89,3,0)*VLOOKUP('Données projet'!$B$9,Paramètres!$A$1:$I$89,5,0)</f>
        <v>-2.6602720026858149E-13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302.58171900450355</v>
      </c>
      <c r="T167" s="62">
        <f t="shared" si="142"/>
        <v>164.1450425611464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0</v>
      </c>
      <c r="AA167" s="23">
        <f>EXP(-LN(2)/25)*AA166+(1-EXP(-LN(2)/25))/(LN(2)/25)*Calculateur!V167*Calculateur!X167*VLOOKUP('Données projet'!$B$9,Paramètres!$A$1:$I$89,3,0)*0.475*44/12</f>
        <v>0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0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-5.6843418860808015E-14</v>
      </c>
      <c r="AJ167" s="14">
        <f>AI167*VLOOKUP('Données projet'!$B$10,Paramètres!$A$1:$I$89,3,0)*VLOOKUP('Données projet'!$B$10,Paramètres!$A$1:$I$89,5,0)</f>
        <v>-6.1186256061773749E-14</v>
      </c>
      <c r="AK167" s="14" t="e">
        <f t="shared" si="164"/>
        <v>#NUM!</v>
      </c>
      <c r="AL167" s="22" t="e">
        <f t="shared" si="165"/>
        <v>#NUM!</v>
      </c>
      <c r="AM167" s="62" t="e">
        <f t="shared" si="113"/>
        <v>#NUM!</v>
      </c>
      <c r="AN167" s="62">
        <f ca="1">AVERAGE(OFFSET($AM$3,0,0,'Données projet'!$E$10+1,1))-AVERAGE(OFFSET($H$3,0,0,'Données projet'!$E$10+1,1))</f>
        <v>327.4984716935208</v>
      </c>
      <c r="AO167" s="62">
        <f t="shared" si="144"/>
        <v>166.97658184507776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0</v>
      </c>
      <c r="AV167" s="23">
        <f>EXP(-LN(2)/25)*AV166+(1-EXP(-LN(2)/25))/(LN(2)/25)*Calculateur!AQ167*Calculateur!AS167*VLOOKUP('Données projet'!$B$10,Paramètres!$A$1:$I$89,3,0)*0.475*44/12</f>
        <v>0</v>
      </c>
      <c r="AW167" s="23">
        <f>EXP(-LN(2)/2)*AW166+(1-EXP(-LN(2)/2))/(LN(2)/2)*AQ167*AT167*VLOOKUP('Données projet'!$B$10,Paramètres!$A$1:$I$89,3,0)*0.475*44/12</f>
        <v>0</v>
      </c>
      <c r="AX167" s="23">
        <f t="shared" si="166"/>
        <v>0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0</v>
      </c>
      <c r="BE167" s="14" t="e">
        <f>BD167*VLOOKUP('Données projet'!$B$11,Paramètres!$A$1:$I$89,3,0)*VLOOKUP('Données projet'!$B$11,Paramètres!$A$1:$I$89,5,0)</f>
        <v>#N/A</v>
      </c>
      <c r="BF167" s="14" t="e">
        <f t="shared" si="167"/>
        <v>#N/A</v>
      </c>
      <c r="BG167" s="22" t="e">
        <f t="shared" si="168"/>
        <v>#N/A</v>
      </c>
      <c r="BH167" s="62" t="e">
        <f t="shared" si="116"/>
        <v>#N/A</v>
      </c>
      <c r="BI167" s="62" t="e">
        <f ca="1">AVERAGE(OFFSET($BH$3,0,0,'Données projet'!$E$11+1,1))-AVERAGE(OFFSET($H$3,0,0,'Données projet'!$E$11+1,1))</f>
        <v>#N/A</v>
      </c>
      <c r="BJ167" s="62" t="e">
        <f t="shared" si="146"/>
        <v>#N/A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 t="e">
        <f>EXP(-LN(2)/35)*BP166+(1-EXP(-LN(2)/35))/(LN(2)/35)*BL167*BM167*VLOOKUP('Données projet'!$B$11,Paramètres!$A$1:$I$89,3,0)*0.475*44/12</f>
        <v>#N/A</v>
      </c>
      <c r="BQ167" s="23" t="e">
        <f>EXP(-LN(2)/25)*BQ166+(1-EXP(-LN(2)/25))/(LN(2)/25)*Calculateur!BL167*Calculateur!BN167*VLOOKUP('Données projet'!$B$11,Paramètres!$A$1:$I$89,3,0)*0.475*44/12</f>
        <v>#N/A</v>
      </c>
      <c r="BR167" s="23" t="e">
        <f>EXP(-LN(2)/2)*BR166+(1-EXP(-LN(2)/2))/(LN(2)/2)*BL167*BO167*VLOOKUP('Données projet'!$B$11,Paramètres!$A$1:$I$89,3,0)*0.475*44/12</f>
        <v>#N/A</v>
      </c>
      <c r="BS167" s="24" t="e">
        <f t="shared" si="169"/>
        <v>#N/A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0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0</v>
      </c>
      <c r="H168" s="70">
        <f t="shared" si="110"/>
        <v>256.66666666666669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-5.6843418860808015E-13</v>
      </c>
      <c r="O168" s="14">
        <f>N168*VLOOKUP('Données projet'!$B$9,Paramètres!$A$1:$I$89,3,0)*VLOOKUP('Données projet'!$B$9,Paramètres!$A$1:$I$89,5,0)</f>
        <v>-2.6602720026858149E-13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302.58171900450355</v>
      </c>
      <c r="T168" s="62">
        <f t="shared" si="142"/>
        <v>164.1450425611464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0</v>
      </c>
      <c r="AA168" s="23">
        <f>EXP(-LN(2)/25)*AA167+(1-EXP(-LN(2)/25))/(LN(2)/25)*Calculateur!V168*Calculateur!X168*VLOOKUP('Données projet'!$B$9,Paramètres!$A$1:$I$89,3,0)*0.475*44/12</f>
        <v>0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0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-5.6843418860808015E-14</v>
      </c>
      <c r="AJ168" s="14">
        <f>AI168*VLOOKUP('Données projet'!$B$10,Paramètres!$A$1:$I$89,3,0)*VLOOKUP('Données projet'!$B$10,Paramètres!$A$1:$I$89,5,0)</f>
        <v>-6.1186256061773749E-14</v>
      </c>
      <c r="AK168" s="14" t="e">
        <f t="shared" si="164"/>
        <v>#NUM!</v>
      </c>
      <c r="AL168" s="22" t="e">
        <f t="shared" si="165"/>
        <v>#NUM!</v>
      </c>
      <c r="AM168" s="62" t="e">
        <f t="shared" si="113"/>
        <v>#NUM!</v>
      </c>
      <c r="AN168" s="62">
        <f ca="1">AVERAGE(OFFSET($AM$3,0,0,'Données projet'!$E$10+1,1))-AVERAGE(OFFSET($H$3,0,0,'Données projet'!$E$10+1,1))</f>
        <v>327.4984716935208</v>
      </c>
      <c r="AO168" s="62">
        <f t="shared" si="144"/>
        <v>166.97658184507776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0</v>
      </c>
      <c r="AV168" s="23">
        <f>EXP(-LN(2)/25)*AV167+(1-EXP(-LN(2)/25))/(LN(2)/25)*Calculateur!AQ168*Calculateur!AS168*VLOOKUP('Données projet'!$B$10,Paramètres!$A$1:$I$89,3,0)*0.475*44/12</f>
        <v>0</v>
      </c>
      <c r="AW168" s="23">
        <f>EXP(-LN(2)/2)*AW167+(1-EXP(-LN(2)/2))/(LN(2)/2)*AQ168*AT168*VLOOKUP('Données projet'!$B$10,Paramètres!$A$1:$I$89,3,0)*0.475*44/12</f>
        <v>0</v>
      </c>
      <c r="AX168" s="23">
        <f t="shared" si="166"/>
        <v>0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0</v>
      </c>
      <c r="BE168" s="14" t="e">
        <f>BD168*VLOOKUP('Données projet'!$B$11,Paramètres!$A$1:$I$89,3,0)*VLOOKUP('Données projet'!$B$11,Paramètres!$A$1:$I$89,5,0)</f>
        <v>#N/A</v>
      </c>
      <c r="BF168" s="14" t="e">
        <f t="shared" si="167"/>
        <v>#N/A</v>
      </c>
      <c r="BG168" s="22" t="e">
        <f t="shared" si="168"/>
        <v>#N/A</v>
      </c>
      <c r="BH168" s="62" t="e">
        <f t="shared" si="116"/>
        <v>#N/A</v>
      </c>
      <c r="BI168" s="62" t="e">
        <f ca="1">AVERAGE(OFFSET($BH$3,0,0,'Données projet'!$E$11+1,1))-AVERAGE(OFFSET($H$3,0,0,'Données projet'!$E$11+1,1))</f>
        <v>#N/A</v>
      </c>
      <c r="BJ168" s="62" t="e">
        <f t="shared" si="146"/>
        <v>#N/A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 t="e">
        <f>EXP(-LN(2)/35)*BP167+(1-EXP(-LN(2)/35))/(LN(2)/35)*BL168*BM168*VLOOKUP('Données projet'!$B$11,Paramètres!$A$1:$I$89,3,0)*0.475*44/12</f>
        <v>#N/A</v>
      </c>
      <c r="BQ168" s="23" t="e">
        <f>EXP(-LN(2)/25)*BQ167+(1-EXP(-LN(2)/25))/(LN(2)/25)*Calculateur!BL168*Calculateur!BN168*VLOOKUP('Données projet'!$B$11,Paramètres!$A$1:$I$89,3,0)*0.475*44/12</f>
        <v>#N/A</v>
      </c>
      <c r="BR168" s="23" t="e">
        <f>EXP(-LN(2)/2)*BR167+(1-EXP(-LN(2)/2))/(LN(2)/2)*BL168*BO168*VLOOKUP('Données projet'!$B$11,Paramètres!$A$1:$I$89,3,0)*0.475*44/12</f>
        <v>#N/A</v>
      </c>
      <c r="BS168" s="24" t="e">
        <f t="shared" si="169"/>
        <v>#N/A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0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0</v>
      </c>
      <c r="H169" s="70">
        <f t="shared" si="110"/>
        <v>256.66666666666669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-5.6843418860808015E-13</v>
      </c>
      <c r="O169" s="14">
        <f>N169*VLOOKUP('Données projet'!$B$9,Paramètres!$A$1:$I$89,3,0)*VLOOKUP('Données projet'!$B$9,Paramètres!$A$1:$I$89,5,0)</f>
        <v>-2.6602720026858149E-13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302.58171900450355</v>
      </c>
      <c r="T169" s="62">
        <f t="shared" si="142"/>
        <v>164.1450425611464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0</v>
      </c>
      <c r="AA169" s="23">
        <f>EXP(-LN(2)/25)*AA168+(1-EXP(-LN(2)/25))/(LN(2)/25)*Calculateur!V169*Calculateur!X169*VLOOKUP('Données projet'!$B$9,Paramètres!$A$1:$I$89,3,0)*0.475*44/12</f>
        <v>0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0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-5.6843418860808015E-14</v>
      </c>
      <c r="AJ169" s="14">
        <f>AI169*VLOOKUP('Données projet'!$B$10,Paramètres!$A$1:$I$89,3,0)*VLOOKUP('Données projet'!$B$10,Paramètres!$A$1:$I$89,5,0)</f>
        <v>-6.1186256061773749E-14</v>
      </c>
      <c r="AK169" s="14" t="e">
        <f t="shared" si="164"/>
        <v>#NUM!</v>
      </c>
      <c r="AL169" s="22" t="e">
        <f t="shared" si="165"/>
        <v>#NUM!</v>
      </c>
      <c r="AM169" s="62" t="e">
        <f t="shared" si="113"/>
        <v>#NUM!</v>
      </c>
      <c r="AN169" s="62">
        <f ca="1">AVERAGE(OFFSET($AM$3,0,0,'Données projet'!$E$10+1,1))-AVERAGE(OFFSET($H$3,0,0,'Données projet'!$E$10+1,1))</f>
        <v>327.4984716935208</v>
      </c>
      <c r="AO169" s="62">
        <f t="shared" si="144"/>
        <v>166.97658184507776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0</v>
      </c>
      <c r="AV169" s="23">
        <f>EXP(-LN(2)/25)*AV168+(1-EXP(-LN(2)/25))/(LN(2)/25)*Calculateur!AQ169*Calculateur!AS169*VLOOKUP('Données projet'!$B$10,Paramètres!$A$1:$I$89,3,0)*0.475*44/12</f>
        <v>0</v>
      </c>
      <c r="AW169" s="23">
        <f>EXP(-LN(2)/2)*AW168+(1-EXP(-LN(2)/2))/(LN(2)/2)*AQ169*AT169*VLOOKUP('Données projet'!$B$10,Paramètres!$A$1:$I$89,3,0)*0.475*44/12</f>
        <v>0</v>
      </c>
      <c r="AX169" s="23">
        <f t="shared" si="166"/>
        <v>0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0</v>
      </c>
      <c r="BE169" s="14" t="e">
        <f>BD169*VLOOKUP('Données projet'!$B$11,Paramètres!$A$1:$I$89,3,0)*VLOOKUP('Données projet'!$B$11,Paramètres!$A$1:$I$89,5,0)</f>
        <v>#N/A</v>
      </c>
      <c r="BF169" s="14" t="e">
        <f t="shared" si="167"/>
        <v>#N/A</v>
      </c>
      <c r="BG169" s="22" t="e">
        <f t="shared" si="168"/>
        <v>#N/A</v>
      </c>
      <c r="BH169" s="62" t="e">
        <f t="shared" si="116"/>
        <v>#N/A</v>
      </c>
      <c r="BI169" s="62" t="e">
        <f ca="1">AVERAGE(OFFSET($BH$3,0,0,'Données projet'!$E$11+1,1))-AVERAGE(OFFSET($H$3,0,0,'Données projet'!$E$11+1,1))</f>
        <v>#N/A</v>
      </c>
      <c r="BJ169" s="62" t="e">
        <f t="shared" si="146"/>
        <v>#N/A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 t="e">
        <f>EXP(-LN(2)/35)*BP168+(1-EXP(-LN(2)/35))/(LN(2)/35)*BL169*BM169*VLOOKUP('Données projet'!$B$11,Paramètres!$A$1:$I$89,3,0)*0.475*44/12</f>
        <v>#N/A</v>
      </c>
      <c r="BQ169" s="23" t="e">
        <f>EXP(-LN(2)/25)*BQ168+(1-EXP(-LN(2)/25))/(LN(2)/25)*Calculateur!BL169*Calculateur!BN169*VLOOKUP('Données projet'!$B$11,Paramètres!$A$1:$I$89,3,0)*0.475*44/12</f>
        <v>#N/A</v>
      </c>
      <c r="BR169" s="23" t="e">
        <f>EXP(-LN(2)/2)*BR168+(1-EXP(-LN(2)/2))/(LN(2)/2)*BL169*BO169*VLOOKUP('Données projet'!$B$11,Paramètres!$A$1:$I$89,3,0)*0.475*44/12</f>
        <v>#N/A</v>
      </c>
      <c r="BS169" s="24" t="e">
        <f t="shared" si="169"/>
        <v>#N/A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0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0</v>
      </c>
      <c r="H170" s="70">
        <f t="shared" si="110"/>
        <v>256.66666666666669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-5.6843418860808015E-13</v>
      </c>
      <c r="O170" s="14">
        <f>N170*VLOOKUP('Données projet'!$B$9,Paramètres!$A$1:$I$89,3,0)*VLOOKUP('Données projet'!$B$9,Paramètres!$A$1:$I$89,5,0)</f>
        <v>-2.6602720026858149E-13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302.58171900450355</v>
      </c>
      <c r="T170" s="62">
        <f t="shared" si="142"/>
        <v>164.1450425611464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0</v>
      </c>
      <c r="AA170" s="23">
        <f>EXP(-LN(2)/25)*AA169+(1-EXP(-LN(2)/25))/(LN(2)/25)*Calculateur!V170*Calculateur!X170*VLOOKUP('Données projet'!$B$9,Paramètres!$A$1:$I$89,3,0)*0.475*44/12</f>
        <v>0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0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-5.6843418860808015E-14</v>
      </c>
      <c r="AJ170" s="14">
        <f>AI170*VLOOKUP('Données projet'!$B$10,Paramètres!$A$1:$I$89,3,0)*VLOOKUP('Données projet'!$B$10,Paramètres!$A$1:$I$89,5,0)</f>
        <v>-6.1186256061773749E-14</v>
      </c>
      <c r="AK170" s="14" t="e">
        <f t="shared" si="164"/>
        <v>#NUM!</v>
      </c>
      <c r="AL170" s="22" t="e">
        <f t="shared" si="165"/>
        <v>#NUM!</v>
      </c>
      <c r="AM170" s="62" t="e">
        <f t="shared" si="113"/>
        <v>#NUM!</v>
      </c>
      <c r="AN170" s="62">
        <f ca="1">AVERAGE(OFFSET($AM$3,0,0,'Données projet'!$E$10+1,1))-AVERAGE(OFFSET($H$3,0,0,'Données projet'!$E$10+1,1))</f>
        <v>327.4984716935208</v>
      </c>
      <c r="AO170" s="62">
        <f t="shared" si="144"/>
        <v>166.97658184507776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0</v>
      </c>
      <c r="AV170" s="23">
        <f>EXP(-LN(2)/25)*AV169+(1-EXP(-LN(2)/25))/(LN(2)/25)*Calculateur!AQ170*Calculateur!AS170*VLOOKUP('Données projet'!$B$10,Paramètres!$A$1:$I$89,3,0)*0.475*44/12</f>
        <v>0</v>
      </c>
      <c r="AW170" s="23">
        <f>EXP(-LN(2)/2)*AW169+(1-EXP(-LN(2)/2))/(LN(2)/2)*AQ170*AT170*VLOOKUP('Données projet'!$B$10,Paramètres!$A$1:$I$89,3,0)*0.475*44/12</f>
        <v>0</v>
      </c>
      <c r="AX170" s="23">
        <f t="shared" si="166"/>
        <v>0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0</v>
      </c>
      <c r="BE170" s="14" t="e">
        <f>BD170*VLOOKUP('Données projet'!$B$11,Paramètres!$A$1:$I$89,3,0)*VLOOKUP('Données projet'!$B$11,Paramètres!$A$1:$I$89,5,0)</f>
        <v>#N/A</v>
      </c>
      <c r="BF170" s="14" t="e">
        <f t="shared" si="167"/>
        <v>#N/A</v>
      </c>
      <c r="BG170" s="22" t="e">
        <f t="shared" si="168"/>
        <v>#N/A</v>
      </c>
      <c r="BH170" s="62" t="e">
        <f t="shared" si="116"/>
        <v>#N/A</v>
      </c>
      <c r="BI170" s="62" t="e">
        <f ca="1">AVERAGE(OFFSET($BH$3,0,0,'Données projet'!$E$11+1,1))-AVERAGE(OFFSET($H$3,0,0,'Données projet'!$E$11+1,1))</f>
        <v>#N/A</v>
      </c>
      <c r="BJ170" s="62" t="e">
        <f t="shared" si="146"/>
        <v>#N/A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 t="e">
        <f>EXP(-LN(2)/35)*BP169+(1-EXP(-LN(2)/35))/(LN(2)/35)*BL170*BM170*VLOOKUP('Données projet'!$B$11,Paramètres!$A$1:$I$89,3,0)*0.475*44/12</f>
        <v>#N/A</v>
      </c>
      <c r="BQ170" s="23" t="e">
        <f>EXP(-LN(2)/25)*BQ169+(1-EXP(-LN(2)/25))/(LN(2)/25)*Calculateur!BL170*Calculateur!BN170*VLOOKUP('Données projet'!$B$11,Paramètres!$A$1:$I$89,3,0)*0.475*44/12</f>
        <v>#N/A</v>
      </c>
      <c r="BR170" s="23" t="e">
        <f>EXP(-LN(2)/2)*BR169+(1-EXP(-LN(2)/2))/(LN(2)/2)*BL170*BO170*VLOOKUP('Données projet'!$B$11,Paramètres!$A$1:$I$89,3,0)*0.475*44/12</f>
        <v>#N/A</v>
      </c>
      <c r="BS170" s="24" t="e">
        <f t="shared" si="169"/>
        <v>#N/A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0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0</v>
      </c>
      <c r="H171" s="70">
        <f t="shared" si="110"/>
        <v>256.66666666666669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-5.6843418860808015E-13</v>
      </c>
      <c r="O171" s="14">
        <f>N171*VLOOKUP('Données projet'!$B$9,Paramètres!$A$1:$I$89,3,0)*VLOOKUP('Données projet'!$B$9,Paramètres!$A$1:$I$89,5,0)</f>
        <v>-2.6602720026858149E-13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302.58171900450355</v>
      </c>
      <c r="T171" s="62">
        <f t="shared" si="142"/>
        <v>164.1450425611464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0</v>
      </c>
      <c r="AA171" s="23">
        <f>EXP(-LN(2)/25)*AA170+(1-EXP(-LN(2)/25))/(LN(2)/25)*Calculateur!V171*Calculateur!X171*VLOOKUP('Données projet'!$B$9,Paramètres!$A$1:$I$89,3,0)*0.475*44/12</f>
        <v>0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0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-5.6843418860808015E-14</v>
      </c>
      <c r="AJ171" s="14">
        <f>AI171*VLOOKUP('Données projet'!$B$10,Paramètres!$A$1:$I$89,3,0)*VLOOKUP('Données projet'!$B$10,Paramètres!$A$1:$I$89,5,0)</f>
        <v>-6.1186256061773749E-14</v>
      </c>
      <c r="AK171" s="14" t="e">
        <f t="shared" si="164"/>
        <v>#NUM!</v>
      </c>
      <c r="AL171" s="22" t="e">
        <f t="shared" si="165"/>
        <v>#NUM!</v>
      </c>
      <c r="AM171" s="62" t="e">
        <f t="shared" si="113"/>
        <v>#NUM!</v>
      </c>
      <c r="AN171" s="62">
        <f ca="1">AVERAGE(OFFSET($AM$3,0,0,'Données projet'!$E$10+1,1))-AVERAGE(OFFSET($H$3,0,0,'Données projet'!$E$10+1,1))</f>
        <v>327.4984716935208</v>
      </c>
      <c r="AO171" s="62">
        <f t="shared" si="144"/>
        <v>166.97658184507776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0</v>
      </c>
      <c r="AV171" s="23">
        <f>EXP(-LN(2)/25)*AV170+(1-EXP(-LN(2)/25))/(LN(2)/25)*Calculateur!AQ171*Calculateur!AS171*VLOOKUP('Données projet'!$B$10,Paramètres!$A$1:$I$89,3,0)*0.475*44/12</f>
        <v>0</v>
      </c>
      <c r="AW171" s="23">
        <f>EXP(-LN(2)/2)*AW170+(1-EXP(-LN(2)/2))/(LN(2)/2)*AQ171*AT171*VLOOKUP('Données projet'!$B$10,Paramètres!$A$1:$I$89,3,0)*0.475*44/12</f>
        <v>0</v>
      </c>
      <c r="AX171" s="23">
        <f t="shared" si="166"/>
        <v>0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0</v>
      </c>
      <c r="BE171" s="14" t="e">
        <f>BD171*VLOOKUP('Données projet'!$B$11,Paramètres!$A$1:$I$89,3,0)*VLOOKUP('Données projet'!$B$11,Paramètres!$A$1:$I$89,5,0)</f>
        <v>#N/A</v>
      </c>
      <c r="BF171" s="14" t="e">
        <f t="shared" si="167"/>
        <v>#N/A</v>
      </c>
      <c r="BG171" s="22" t="e">
        <f t="shared" si="168"/>
        <v>#N/A</v>
      </c>
      <c r="BH171" s="62" t="e">
        <f t="shared" si="116"/>
        <v>#N/A</v>
      </c>
      <c r="BI171" s="62" t="e">
        <f ca="1">AVERAGE(OFFSET($BH$3,0,0,'Données projet'!$E$11+1,1))-AVERAGE(OFFSET($H$3,0,0,'Données projet'!$E$11+1,1))</f>
        <v>#N/A</v>
      </c>
      <c r="BJ171" s="62" t="e">
        <f t="shared" si="146"/>
        <v>#N/A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 t="e">
        <f>EXP(-LN(2)/35)*BP170+(1-EXP(-LN(2)/35))/(LN(2)/35)*BL171*BM171*VLOOKUP('Données projet'!$B$11,Paramètres!$A$1:$I$89,3,0)*0.475*44/12</f>
        <v>#N/A</v>
      </c>
      <c r="BQ171" s="23" t="e">
        <f>EXP(-LN(2)/25)*BQ170+(1-EXP(-LN(2)/25))/(LN(2)/25)*Calculateur!BL171*Calculateur!BN171*VLOOKUP('Données projet'!$B$11,Paramètres!$A$1:$I$89,3,0)*0.475*44/12</f>
        <v>#N/A</v>
      </c>
      <c r="BR171" s="23" t="e">
        <f>EXP(-LN(2)/2)*BR170+(1-EXP(-LN(2)/2))/(LN(2)/2)*BL171*BO171*VLOOKUP('Données projet'!$B$11,Paramètres!$A$1:$I$89,3,0)*0.475*44/12</f>
        <v>#N/A</v>
      </c>
      <c r="BS171" s="24" t="e">
        <f t="shared" si="169"/>
        <v>#N/A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0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0</v>
      </c>
      <c r="H172" s="70">
        <f t="shared" si="110"/>
        <v>256.66666666666669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-5.6843418860808015E-13</v>
      </c>
      <c r="O172" s="14">
        <f>N172*VLOOKUP('Données projet'!$B$9,Paramètres!$A$1:$I$89,3,0)*VLOOKUP('Données projet'!$B$9,Paramètres!$A$1:$I$89,5,0)</f>
        <v>-2.6602720026858149E-13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302.58171900450355</v>
      </c>
      <c r="T172" s="62">
        <f t="shared" si="142"/>
        <v>164.1450425611464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0</v>
      </c>
      <c r="AA172" s="23">
        <f>EXP(-LN(2)/25)*AA171+(1-EXP(-LN(2)/25))/(LN(2)/25)*Calculateur!V172*Calculateur!X172*VLOOKUP('Données projet'!$B$9,Paramètres!$A$1:$I$89,3,0)*0.475*44/12</f>
        <v>0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0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-5.6843418860808015E-14</v>
      </c>
      <c r="AJ172" s="14">
        <f>AI172*VLOOKUP('Données projet'!$B$10,Paramètres!$A$1:$I$89,3,0)*VLOOKUP('Données projet'!$B$10,Paramètres!$A$1:$I$89,5,0)</f>
        <v>-6.1186256061773749E-14</v>
      </c>
      <c r="AK172" s="14" t="e">
        <f t="shared" si="164"/>
        <v>#NUM!</v>
      </c>
      <c r="AL172" s="22" t="e">
        <f t="shared" si="165"/>
        <v>#NUM!</v>
      </c>
      <c r="AM172" s="62" t="e">
        <f t="shared" si="113"/>
        <v>#NUM!</v>
      </c>
      <c r="AN172" s="62">
        <f ca="1">AVERAGE(OFFSET($AM$3,0,0,'Données projet'!$E$10+1,1))-AVERAGE(OFFSET($H$3,0,0,'Données projet'!$E$10+1,1))</f>
        <v>327.4984716935208</v>
      </c>
      <c r="AO172" s="62">
        <f t="shared" si="144"/>
        <v>166.97658184507776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0</v>
      </c>
      <c r="AV172" s="23">
        <f>EXP(-LN(2)/25)*AV171+(1-EXP(-LN(2)/25))/(LN(2)/25)*Calculateur!AQ172*Calculateur!AS172*VLOOKUP('Données projet'!$B$10,Paramètres!$A$1:$I$89,3,0)*0.475*44/12</f>
        <v>0</v>
      </c>
      <c r="AW172" s="23">
        <f>EXP(-LN(2)/2)*AW171+(1-EXP(-LN(2)/2))/(LN(2)/2)*AQ172*AT172*VLOOKUP('Données projet'!$B$10,Paramètres!$A$1:$I$89,3,0)*0.475*44/12</f>
        <v>0</v>
      </c>
      <c r="AX172" s="23">
        <f t="shared" si="166"/>
        <v>0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0</v>
      </c>
      <c r="BE172" s="14" t="e">
        <f>BD172*VLOOKUP('Données projet'!$B$11,Paramètres!$A$1:$I$89,3,0)*VLOOKUP('Données projet'!$B$11,Paramètres!$A$1:$I$89,5,0)</f>
        <v>#N/A</v>
      </c>
      <c r="BF172" s="14" t="e">
        <f t="shared" si="167"/>
        <v>#N/A</v>
      </c>
      <c r="BG172" s="22" t="e">
        <f t="shared" si="168"/>
        <v>#N/A</v>
      </c>
      <c r="BH172" s="62" t="e">
        <f t="shared" si="116"/>
        <v>#N/A</v>
      </c>
      <c r="BI172" s="62" t="e">
        <f ca="1">AVERAGE(OFFSET($BH$3,0,0,'Données projet'!$E$11+1,1))-AVERAGE(OFFSET($H$3,0,0,'Données projet'!$E$11+1,1))</f>
        <v>#N/A</v>
      </c>
      <c r="BJ172" s="62" t="e">
        <f t="shared" si="146"/>
        <v>#N/A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 t="e">
        <f>EXP(-LN(2)/35)*BP171+(1-EXP(-LN(2)/35))/(LN(2)/35)*BL172*BM172*VLOOKUP('Données projet'!$B$11,Paramètres!$A$1:$I$89,3,0)*0.475*44/12</f>
        <v>#N/A</v>
      </c>
      <c r="BQ172" s="23" t="e">
        <f>EXP(-LN(2)/25)*BQ171+(1-EXP(-LN(2)/25))/(LN(2)/25)*Calculateur!BL172*Calculateur!BN172*VLOOKUP('Données projet'!$B$11,Paramètres!$A$1:$I$89,3,0)*0.475*44/12</f>
        <v>#N/A</v>
      </c>
      <c r="BR172" s="23" t="e">
        <f>EXP(-LN(2)/2)*BR171+(1-EXP(-LN(2)/2))/(LN(2)/2)*BL172*BO172*VLOOKUP('Données projet'!$B$11,Paramètres!$A$1:$I$89,3,0)*0.475*44/12</f>
        <v>#N/A</v>
      </c>
      <c r="BS172" s="24" t="e">
        <f t="shared" si="169"/>
        <v>#N/A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0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0</v>
      </c>
      <c r="H173" s="70">
        <f t="shared" si="110"/>
        <v>256.66666666666669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-5.6843418860808015E-13</v>
      </c>
      <c r="O173" s="14">
        <f>N173*VLOOKUP('Données projet'!$B$9,Paramètres!$A$1:$I$89,3,0)*VLOOKUP('Données projet'!$B$9,Paramètres!$A$1:$I$89,5,0)</f>
        <v>-2.6602720026858149E-13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302.58171900450355</v>
      </c>
      <c r="T173" s="62">
        <f t="shared" si="142"/>
        <v>164.1450425611464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0</v>
      </c>
      <c r="AA173" s="23">
        <f>EXP(-LN(2)/25)*AA172+(1-EXP(-LN(2)/25))/(LN(2)/25)*Calculateur!V173*Calculateur!X173*VLOOKUP('Données projet'!$B$9,Paramètres!$A$1:$I$89,3,0)*0.475*44/12</f>
        <v>0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0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-5.6843418860808015E-14</v>
      </c>
      <c r="AJ173" s="14">
        <f>AI173*VLOOKUP('Données projet'!$B$10,Paramètres!$A$1:$I$89,3,0)*VLOOKUP('Données projet'!$B$10,Paramètres!$A$1:$I$89,5,0)</f>
        <v>-6.1186256061773749E-14</v>
      </c>
      <c r="AK173" s="14" t="e">
        <f t="shared" si="164"/>
        <v>#NUM!</v>
      </c>
      <c r="AL173" s="22" t="e">
        <f t="shared" si="165"/>
        <v>#NUM!</v>
      </c>
      <c r="AM173" s="62" t="e">
        <f t="shared" si="113"/>
        <v>#NUM!</v>
      </c>
      <c r="AN173" s="62">
        <f ca="1">AVERAGE(OFFSET($AM$3,0,0,'Données projet'!$E$10+1,1))-AVERAGE(OFFSET($H$3,0,0,'Données projet'!$E$10+1,1))</f>
        <v>327.4984716935208</v>
      </c>
      <c r="AO173" s="62">
        <f t="shared" si="144"/>
        <v>166.97658184507776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0</v>
      </c>
      <c r="AV173" s="23">
        <f>EXP(-LN(2)/25)*AV172+(1-EXP(-LN(2)/25))/(LN(2)/25)*Calculateur!AQ173*Calculateur!AS173*VLOOKUP('Données projet'!$B$10,Paramètres!$A$1:$I$89,3,0)*0.475*44/12</f>
        <v>0</v>
      </c>
      <c r="AW173" s="23">
        <f>EXP(-LN(2)/2)*AW172+(1-EXP(-LN(2)/2))/(LN(2)/2)*AQ173*AT173*VLOOKUP('Données projet'!$B$10,Paramètres!$A$1:$I$89,3,0)*0.475*44/12</f>
        <v>0</v>
      </c>
      <c r="AX173" s="23">
        <f t="shared" si="166"/>
        <v>0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0</v>
      </c>
      <c r="BE173" s="14" t="e">
        <f>BD173*VLOOKUP('Données projet'!$B$11,Paramètres!$A$1:$I$89,3,0)*VLOOKUP('Données projet'!$B$11,Paramètres!$A$1:$I$89,5,0)</f>
        <v>#N/A</v>
      </c>
      <c r="BF173" s="14" t="e">
        <f t="shared" si="167"/>
        <v>#N/A</v>
      </c>
      <c r="BG173" s="22" t="e">
        <f t="shared" si="168"/>
        <v>#N/A</v>
      </c>
      <c r="BH173" s="62" t="e">
        <f t="shared" si="116"/>
        <v>#N/A</v>
      </c>
      <c r="BI173" s="62" t="e">
        <f ca="1">AVERAGE(OFFSET($BH$3,0,0,'Données projet'!$E$11+1,1))-AVERAGE(OFFSET($H$3,0,0,'Données projet'!$E$11+1,1))</f>
        <v>#N/A</v>
      </c>
      <c r="BJ173" s="62" t="e">
        <f t="shared" si="146"/>
        <v>#N/A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 t="e">
        <f>EXP(-LN(2)/35)*BP172+(1-EXP(-LN(2)/35))/(LN(2)/35)*BL173*BM173*VLOOKUP('Données projet'!$B$11,Paramètres!$A$1:$I$89,3,0)*0.475*44/12</f>
        <v>#N/A</v>
      </c>
      <c r="BQ173" s="23" t="e">
        <f>EXP(-LN(2)/25)*BQ172+(1-EXP(-LN(2)/25))/(LN(2)/25)*Calculateur!BL173*Calculateur!BN173*VLOOKUP('Données projet'!$B$11,Paramètres!$A$1:$I$89,3,0)*0.475*44/12</f>
        <v>#N/A</v>
      </c>
      <c r="BR173" s="23" t="e">
        <f>EXP(-LN(2)/2)*BR172+(1-EXP(-LN(2)/2))/(LN(2)/2)*BL173*BO173*VLOOKUP('Données projet'!$B$11,Paramètres!$A$1:$I$89,3,0)*0.475*44/12</f>
        <v>#N/A</v>
      </c>
      <c r="BS173" s="24" t="e">
        <f t="shared" si="169"/>
        <v>#N/A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0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0</v>
      </c>
      <c r="H174" s="70">
        <f t="shared" si="110"/>
        <v>256.66666666666669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-5.6843418860808015E-13</v>
      </c>
      <c r="O174" s="14">
        <f>N174*VLOOKUP('Données projet'!$B$9,Paramètres!$A$1:$I$89,3,0)*VLOOKUP('Données projet'!$B$9,Paramètres!$A$1:$I$89,5,0)</f>
        <v>-2.6602720026858149E-13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302.58171900450355</v>
      </c>
      <c r="T174" s="62">
        <f t="shared" si="142"/>
        <v>164.1450425611464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0</v>
      </c>
      <c r="AA174" s="23">
        <f>EXP(-LN(2)/25)*AA173+(1-EXP(-LN(2)/25))/(LN(2)/25)*Calculateur!V174*Calculateur!X174*VLOOKUP('Données projet'!$B$9,Paramètres!$A$1:$I$89,3,0)*0.475*44/12</f>
        <v>0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0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-5.6843418860808015E-14</v>
      </c>
      <c r="AJ174" s="14">
        <f>AI174*VLOOKUP('Données projet'!$B$10,Paramètres!$A$1:$I$89,3,0)*VLOOKUP('Données projet'!$B$10,Paramètres!$A$1:$I$89,5,0)</f>
        <v>-6.1186256061773749E-14</v>
      </c>
      <c r="AK174" s="14" t="e">
        <f t="shared" si="164"/>
        <v>#NUM!</v>
      </c>
      <c r="AL174" s="22" t="e">
        <f t="shared" si="165"/>
        <v>#NUM!</v>
      </c>
      <c r="AM174" s="62" t="e">
        <f t="shared" si="113"/>
        <v>#NUM!</v>
      </c>
      <c r="AN174" s="62">
        <f ca="1">AVERAGE(OFFSET($AM$3,0,0,'Données projet'!$E$10+1,1))-AVERAGE(OFFSET($H$3,0,0,'Données projet'!$E$10+1,1))</f>
        <v>327.4984716935208</v>
      </c>
      <c r="AO174" s="62">
        <f t="shared" si="144"/>
        <v>166.97658184507776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0</v>
      </c>
      <c r="AV174" s="23">
        <f>EXP(-LN(2)/25)*AV173+(1-EXP(-LN(2)/25))/(LN(2)/25)*Calculateur!AQ174*Calculateur!AS174*VLOOKUP('Données projet'!$B$10,Paramètres!$A$1:$I$89,3,0)*0.475*44/12</f>
        <v>0</v>
      </c>
      <c r="AW174" s="23">
        <f>EXP(-LN(2)/2)*AW173+(1-EXP(-LN(2)/2))/(LN(2)/2)*AQ174*AT174*VLOOKUP('Données projet'!$B$10,Paramètres!$A$1:$I$89,3,0)*0.475*44/12</f>
        <v>0</v>
      </c>
      <c r="AX174" s="23">
        <f t="shared" si="166"/>
        <v>0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0</v>
      </c>
      <c r="BE174" s="14" t="e">
        <f>BD174*VLOOKUP('Données projet'!$B$11,Paramètres!$A$1:$I$89,3,0)*VLOOKUP('Données projet'!$B$11,Paramètres!$A$1:$I$89,5,0)</f>
        <v>#N/A</v>
      </c>
      <c r="BF174" s="14" t="e">
        <f t="shared" si="167"/>
        <v>#N/A</v>
      </c>
      <c r="BG174" s="22" t="e">
        <f t="shared" si="168"/>
        <v>#N/A</v>
      </c>
      <c r="BH174" s="62" t="e">
        <f t="shared" si="116"/>
        <v>#N/A</v>
      </c>
      <c r="BI174" s="62" t="e">
        <f ca="1">AVERAGE(OFFSET($BH$3,0,0,'Données projet'!$E$11+1,1))-AVERAGE(OFFSET($H$3,0,0,'Données projet'!$E$11+1,1))</f>
        <v>#N/A</v>
      </c>
      <c r="BJ174" s="62" t="e">
        <f t="shared" si="146"/>
        <v>#N/A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 t="e">
        <f>EXP(-LN(2)/35)*BP173+(1-EXP(-LN(2)/35))/(LN(2)/35)*BL174*BM174*VLOOKUP('Données projet'!$B$11,Paramètres!$A$1:$I$89,3,0)*0.475*44/12</f>
        <v>#N/A</v>
      </c>
      <c r="BQ174" s="23" t="e">
        <f>EXP(-LN(2)/25)*BQ173+(1-EXP(-LN(2)/25))/(LN(2)/25)*Calculateur!BL174*Calculateur!BN174*VLOOKUP('Données projet'!$B$11,Paramètres!$A$1:$I$89,3,0)*0.475*44/12</f>
        <v>#N/A</v>
      </c>
      <c r="BR174" s="23" t="e">
        <f>EXP(-LN(2)/2)*BR173+(1-EXP(-LN(2)/2))/(LN(2)/2)*BL174*BO174*VLOOKUP('Données projet'!$B$11,Paramètres!$A$1:$I$89,3,0)*0.475*44/12</f>
        <v>#N/A</v>
      </c>
      <c r="BS174" s="24" t="e">
        <f t="shared" si="169"/>
        <v>#N/A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0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0</v>
      </c>
      <c r="H175" s="70">
        <f t="shared" si="110"/>
        <v>256.66666666666669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-5.6843418860808015E-13</v>
      </c>
      <c r="O175" s="14">
        <f>N175*VLOOKUP('Données projet'!$B$9,Paramètres!$A$1:$I$89,3,0)*VLOOKUP('Données projet'!$B$9,Paramètres!$A$1:$I$89,5,0)</f>
        <v>-2.6602720026858149E-13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302.58171900450355</v>
      </c>
      <c r="T175" s="62">
        <f t="shared" si="142"/>
        <v>164.1450425611464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0</v>
      </c>
      <c r="AA175" s="23">
        <f>EXP(-LN(2)/25)*AA174+(1-EXP(-LN(2)/25))/(LN(2)/25)*Calculateur!V175*Calculateur!X175*VLOOKUP('Données projet'!$B$9,Paramètres!$A$1:$I$89,3,0)*0.475*44/12</f>
        <v>0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0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-5.6843418860808015E-14</v>
      </c>
      <c r="AJ175" s="14">
        <f>AI175*VLOOKUP('Données projet'!$B$10,Paramètres!$A$1:$I$89,3,0)*VLOOKUP('Données projet'!$B$10,Paramètres!$A$1:$I$89,5,0)</f>
        <v>-6.1186256061773749E-14</v>
      </c>
      <c r="AK175" s="14" t="e">
        <f t="shared" si="164"/>
        <v>#NUM!</v>
      </c>
      <c r="AL175" s="22" t="e">
        <f t="shared" si="165"/>
        <v>#NUM!</v>
      </c>
      <c r="AM175" s="62" t="e">
        <f t="shared" si="113"/>
        <v>#NUM!</v>
      </c>
      <c r="AN175" s="62">
        <f ca="1">AVERAGE(OFFSET($AM$3,0,0,'Données projet'!$E$10+1,1))-AVERAGE(OFFSET($H$3,0,0,'Données projet'!$E$10+1,1))</f>
        <v>327.4984716935208</v>
      </c>
      <c r="AO175" s="62">
        <f t="shared" si="144"/>
        <v>166.97658184507776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0</v>
      </c>
      <c r="AV175" s="23">
        <f>EXP(-LN(2)/25)*AV174+(1-EXP(-LN(2)/25))/(LN(2)/25)*Calculateur!AQ175*Calculateur!AS175*VLOOKUP('Données projet'!$B$10,Paramètres!$A$1:$I$89,3,0)*0.475*44/12</f>
        <v>0</v>
      </c>
      <c r="AW175" s="23">
        <f>EXP(-LN(2)/2)*AW174+(1-EXP(-LN(2)/2))/(LN(2)/2)*AQ175*AT175*VLOOKUP('Données projet'!$B$10,Paramètres!$A$1:$I$89,3,0)*0.475*44/12</f>
        <v>0</v>
      </c>
      <c r="AX175" s="23">
        <f t="shared" si="166"/>
        <v>0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0</v>
      </c>
      <c r="BE175" s="14" t="e">
        <f>BD175*VLOOKUP('Données projet'!$B$11,Paramètres!$A$1:$I$89,3,0)*VLOOKUP('Données projet'!$B$11,Paramètres!$A$1:$I$89,5,0)</f>
        <v>#N/A</v>
      </c>
      <c r="BF175" s="14" t="e">
        <f t="shared" si="167"/>
        <v>#N/A</v>
      </c>
      <c r="BG175" s="22" t="e">
        <f t="shared" si="168"/>
        <v>#N/A</v>
      </c>
      <c r="BH175" s="62" t="e">
        <f t="shared" si="116"/>
        <v>#N/A</v>
      </c>
      <c r="BI175" s="62" t="e">
        <f ca="1">AVERAGE(OFFSET($BH$3,0,0,'Données projet'!$E$11+1,1))-AVERAGE(OFFSET($H$3,0,0,'Données projet'!$E$11+1,1))</f>
        <v>#N/A</v>
      </c>
      <c r="BJ175" s="62" t="e">
        <f t="shared" si="146"/>
        <v>#N/A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 t="e">
        <f>EXP(-LN(2)/35)*BP174+(1-EXP(-LN(2)/35))/(LN(2)/35)*BL175*BM175*VLOOKUP('Données projet'!$B$11,Paramètres!$A$1:$I$89,3,0)*0.475*44/12</f>
        <v>#N/A</v>
      </c>
      <c r="BQ175" s="23" t="e">
        <f>EXP(-LN(2)/25)*BQ174+(1-EXP(-LN(2)/25))/(LN(2)/25)*Calculateur!BL175*Calculateur!BN175*VLOOKUP('Données projet'!$B$11,Paramètres!$A$1:$I$89,3,0)*0.475*44/12</f>
        <v>#N/A</v>
      </c>
      <c r="BR175" s="23" t="e">
        <f>EXP(-LN(2)/2)*BR174+(1-EXP(-LN(2)/2))/(LN(2)/2)*BL175*BO175*VLOOKUP('Données projet'!$B$11,Paramètres!$A$1:$I$89,3,0)*0.475*44/12</f>
        <v>#N/A</v>
      </c>
      <c r="BS175" s="24" t="e">
        <f t="shared" si="169"/>
        <v>#N/A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0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0</v>
      </c>
      <c r="H176" s="70">
        <f t="shared" si="110"/>
        <v>256.66666666666669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-5.6843418860808015E-13</v>
      </c>
      <c r="O176" s="14">
        <f>N176*VLOOKUP('Données projet'!$B$9,Paramètres!$A$1:$I$89,3,0)*VLOOKUP('Données projet'!$B$9,Paramètres!$A$1:$I$89,5,0)</f>
        <v>-2.6602720026858149E-13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302.58171900450355</v>
      </c>
      <c r="T176" s="62">
        <f t="shared" si="142"/>
        <v>164.1450425611464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0</v>
      </c>
      <c r="AA176" s="23">
        <f>EXP(-LN(2)/25)*AA175+(1-EXP(-LN(2)/25))/(LN(2)/25)*Calculateur!V176*Calculateur!X176*VLOOKUP('Données projet'!$B$9,Paramètres!$A$1:$I$89,3,0)*0.475*44/12</f>
        <v>0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0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-5.6843418860808015E-14</v>
      </c>
      <c r="AJ176" s="14">
        <f>AI176*VLOOKUP('Données projet'!$B$10,Paramètres!$A$1:$I$89,3,0)*VLOOKUP('Données projet'!$B$10,Paramètres!$A$1:$I$89,5,0)</f>
        <v>-6.1186256061773749E-14</v>
      </c>
      <c r="AK176" s="14" t="e">
        <f t="shared" si="164"/>
        <v>#NUM!</v>
      </c>
      <c r="AL176" s="22" t="e">
        <f t="shared" si="165"/>
        <v>#NUM!</v>
      </c>
      <c r="AM176" s="62" t="e">
        <f t="shared" si="113"/>
        <v>#NUM!</v>
      </c>
      <c r="AN176" s="62">
        <f ca="1">AVERAGE(OFFSET($AM$3,0,0,'Données projet'!$E$10+1,1))-AVERAGE(OFFSET($H$3,0,0,'Données projet'!$E$10+1,1))</f>
        <v>327.4984716935208</v>
      </c>
      <c r="AO176" s="62">
        <f t="shared" si="144"/>
        <v>166.97658184507776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0</v>
      </c>
      <c r="AV176" s="23">
        <f>EXP(-LN(2)/25)*AV175+(1-EXP(-LN(2)/25))/(LN(2)/25)*Calculateur!AQ176*Calculateur!AS176*VLOOKUP('Données projet'!$B$10,Paramètres!$A$1:$I$89,3,0)*0.475*44/12</f>
        <v>0</v>
      </c>
      <c r="AW176" s="23">
        <f>EXP(-LN(2)/2)*AW175+(1-EXP(-LN(2)/2))/(LN(2)/2)*AQ176*AT176*VLOOKUP('Données projet'!$B$10,Paramètres!$A$1:$I$89,3,0)*0.475*44/12</f>
        <v>0</v>
      </c>
      <c r="AX176" s="23">
        <f t="shared" si="166"/>
        <v>0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0</v>
      </c>
      <c r="BE176" s="14" t="e">
        <f>BD176*VLOOKUP('Données projet'!$B$11,Paramètres!$A$1:$I$89,3,0)*VLOOKUP('Données projet'!$B$11,Paramètres!$A$1:$I$89,5,0)</f>
        <v>#N/A</v>
      </c>
      <c r="BF176" s="14" t="e">
        <f t="shared" si="167"/>
        <v>#N/A</v>
      </c>
      <c r="BG176" s="22" t="e">
        <f t="shared" si="168"/>
        <v>#N/A</v>
      </c>
      <c r="BH176" s="62" t="e">
        <f t="shared" si="116"/>
        <v>#N/A</v>
      </c>
      <c r="BI176" s="62" t="e">
        <f ca="1">AVERAGE(OFFSET($BH$3,0,0,'Données projet'!$E$11+1,1))-AVERAGE(OFFSET($H$3,0,0,'Données projet'!$E$11+1,1))</f>
        <v>#N/A</v>
      </c>
      <c r="BJ176" s="62" t="e">
        <f t="shared" si="146"/>
        <v>#N/A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 t="e">
        <f>EXP(-LN(2)/35)*BP175+(1-EXP(-LN(2)/35))/(LN(2)/35)*BL176*BM176*VLOOKUP('Données projet'!$B$11,Paramètres!$A$1:$I$89,3,0)*0.475*44/12</f>
        <v>#N/A</v>
      </c>
      <c r="BQ176" s="23" t="e">
        <f>EXP(-LN(2)/25)*BQ175+(1-EXP(-LN(2)/25))/(LN(2)/25)*Calculateur!BL176*Calculateur!BN176*VLOOKUP('Données projet'!$B$11,Paramètres!$A$1:$I$89,3,0)*0.475*44/12</f>
        <v>#N/A</v>
      </c>
      <c r="BR176" s="23" t="e">
        <f>EXP(-LN(2)/2)*BR175+(1-EXP(-LN(2)/2))/(LN(2)/2)*BL176*BO176*VLOOKUP('Données projet'!$B$11,Paramètres!$A$1:$I$89,3,0)*0.475*44/12</f>
        <v>#N/A</v>
      </c>
      <c r="BS176" s="24" t="e">
        <f t="shared" si="169"/>
        <v>#N/A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0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0</v>
      </c>
      <c r="H177" s="70">
        <f t="shared" si="110"/>
        <v>256.66666666666669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-5.6843418860808015E-13</v>
      </c>
      <c r="O177" s="14">
        <f>N177*VLOOKUP('Données projet'!$B$9,Paramètres!$A$1:$I$89,3,0)*VLOOKUP('Données projet'!$B$9,Paramètres!$A$1:$I$89,5,0)</f>
        <v>-2.6602720026858149E-13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302.58171900450355</v>
      </c>
      <c r="T177" s="62">
        <f t="shared" si="142"/>
        <v>164.1450425611464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0</v>
      </c>
      <c r="AA177" s="23">
        <f>EXP(-LN(2)/25)*AA176+(1-EXP(-LN(2)/25))/(LN(2)/25)*Calculateur!V177*Calculateur!X177*VLOOKUP('Données projet'!$B$9,Paramètres!$A$1:$I$89,3,0)*0.475*44/12</f>
        <v>0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0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-5.6843418860808015E-14</v>
      </c>
      <c r="AJ177" s="14">
        <f>AI177*VLOOKUP('Données projet'!$B$10,Paramètres!$A$1:$I$89,3,0)*VLOOKUP('Données projet'!$B$10,Paramètres!$A$1:$I$89,5,0)</f>
        <v>-6.1186256061773749E-14</v>
      </c>
      <c r="AK177" s="14" t="e">
        <f t="shared" si="164"/>
        <v>#NUM!</v>
      </c>
      <c r="AL177" s="22" t="e">
        <f t="shared" si="165"/>
        <v>#NUM!</v>
      </c>
      <c r="AM177" s="62" t="e">
        <f t="shared" si="113"/>
        <v>#NUM!</v>
      </c>
      <c r="AN177" s="62">
        <f ca="1">AVERAGE(OFFSET($AM$3,0,0,'Données projet'!$E$10+1,1))-AVERAGE(OFFSET($H$3,0,0,'Données projet'!$E$10+1,1))</f>
        <v>327.4984716935208</v>
      </c>
      <c r="AO177" s="62">
        <f t="shared" si="144"/>
        <v>166.97658184507776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0</v>
      </c>
      <c r="AV177" s="23">
        <f>EXP(-LN(2)/25)*AV176+(1-EXP(-LN(2)/25))/(LN(2)/25)*Calculateur!AQ177*Calculateur!AS177*VLOOKUP('Données projet'!$B$10,Paramètres!$A$1:$I$89,3,0)*0.475*44/12</f>
        <v>0</v>
      </c>
      <c r="AW177" s="23">
        <f>EXP(-LN(2)/2)*AW176+(1-EXP(-LN(2)/2))/(LN(2)/2)*AQ177*AT177*VLOOKUP('Données projet'!$B$10,Paramètres!$A$1:$I$89,3,0)*0.475*44/12</f>
        <v>0</v>
      </c>
      <c r="AX177" s="23">
        <f t="shared" si="166"/>
        <v>0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0</v>
      </c>
      <c r="BE177" s="14" t="e">
        <f>BD177*VLOOKUP('Données projet'!$B$11,Paramètres!$A$1:$I$89,3,0)*VLOOKUP('Données projet'!$B$11,Paramètres!$A$1:$I$89,5,0)</f>
        <v>#N/A</v>
      </c>
      <c r="BF177" s="14" t="e">
        <f t="shared" si="167"/>
        <v>#N/A</v>
      </c>
      <c r="BG177" s="22" t="e">
        <f t="shared" si="168"/>
        <v>#N/A</v>
      </c>
      <c r="BH177" s="62" t="e">
        <f t="shared" si="116"/>
        <v>#N/A</v>
      </c>
      <c r="BI177" s="62" t="e">
        <f ca="1">AVERAGE(OFFSET($BH$3,0,0,'Données projet'!$E$11+1,1))-AVERAGE(OFFSET($H$3,0,0,'Données projet'!$E$11+1,1))</f>
        <v>#N/A</v>
      </c>
      <c r="BJ177" s="62" t="e">
        <f t="shared" si="146"/>
        <v>#N/A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 t="e">
        <f>EXP(-LN(2)/35)*BP176+(1-EXP(-LN(2)/35))/(LN(2)/35)*BL177*BM177*VLOOKUP('Données projet'!$B$11,Paramètres!$A$1:$I$89,3,0)*0.475*44/12</f>
        <v>#N/A</v>
      </c>
      <c r="BQ177" s="23" t="e">
        <f>EXP(-LN(2)/25)*BQ176+(1-EXP(-LN(2)/25))/(LN(2)/25)*Calculateur!BL177*Calculateur!BN177*VLOOKUP('Données projet'!$B$11,Paramètres!$A$1:$I$89,3,0)*0.475*44/12</f>
        <v>#N/A</v>
      </c>
      <c r="BR177" s="23" t="e">
        <f>EXP(-LN(2)/2)*BR176+(1-EXP(-LN(2)/2))/(LN(2)/2)*BL177*BO177*VLOOKUP('Données projet'!$B$11,Paramètres!$A$1:$I$89,3,0)*0.475*44/12</f>
        <v>#N/A</v>
      </c>
      <c r="BS177" s="24" t="e">
        <f t="shared" si="169"/>
        <v>#N/A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0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0</v>
      </c>
      <c r="H178" s="70">
        <f t="shared" si="110"/>
        <v>256.66666666666669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-5.6843418860808015E-13</v>
      </c>
      <c r="O178" s="14">
        <f>N178*VLOOKUP('Données projet'!$B$9,Paramètres!$A$1:$I$89,3,0)*VLOOKUP('Données projet'!$B$9,Paramètres!$A$1:$I$89,5,0)</f>
        <v>-2.6602720026858149E-13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302.58171900450355</v>
      </c>
      <c r="T178" s="62">
        <f t="shared" si="142"/>
        <v>164.1450425611464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0</v>
      </c>
      <c r="AA178" s="23">
        <f>EXP(-LN(2)/25)*AA177+(1-EXP(-LN(2)/25))/(LN(2)/25)*Calculateur!V178*Calculateur!X178*VLOOKUP('Données projet'!$B$9,Paramètres!$A$1:$I$89,3,0)*0.475*44/12</f>
        <v>0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0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-5.6843418860808015E-14</v>
      </c>
      <c r="AJ178" s="14">
        <f>AI178*VLOOKUP('Données projet'!$B$10,Paramètres!$A$1:$I$89,3,0)*VLOOKUP('Données projet'!$B$10,Paramètres!$A$1:$I$89,5,0)</f>
        <v>-6.1186256061773749E-14</v>
      </c>
      <c r="AK178" s="14" t="e">
        <f t="shared" si="164"/>
        <v>#NUM!</v>
      </c>
      <c r="AL178" s="22" t="e">
        <f t="shared" si="165"/>
        <v>#NUM!</v>
      </c>
      <c r="AM178" s="62" t="e">
        <f t="shared" si="113"/>
        <v>#NUM!</v>
      </c>
      <c r="AN178" s="62">
        <f ca="1">AVERAGE(OFFSET($AM$3,0,0,'Données projet'!$E$10+1,1))-AVERAGE(OFFSET($H$3,0,0,'Données projet'!$E$10+1,1))</f>
        <v>327.4984716935208</v>
      </c>
      <c r="AO178" s="62">
        <f t="shared" si="144"/>
        <v>166.97658184507776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0</v>
      </c>
      <c r="AV178" s="23">
        <f>EXP(-LN(2)/25)*AV177+(1-EXP(-LN(2)/25))/(LN(2)/25)*Calculateur!AQ178*Calculateur!AS178*VLOOKUP('Données projet'!$B$10,Paramètres!$A$1:$I$89,3,0)*0.475*44/12</f>
        <v>0</v>
      </c>
      <c r="AW178" s="23">
        <f>EXP(-LN(2)/2)*AW177+(1-EXP(-LN(2)/2))/(LN(2)/2)*AQ178*AT178*VLOOKUP('Données projet'!$B$10,Paramètres!$A$1:$I$89,3,0)*0.475*44/12</f>
        <v>0</v>
      </c>
      <c r="AX178" s="23">
        <f t="shared" si="166"/>
        <v>0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0</v>
      </c>
      <c r="BE178" s="14" t="e">
        <f>BD178*VLOOKUP('Données projet'!$B$11,Paramètres!$A$1:$I$89,3,0)*VLOOKUP('Données projet'!$B$11,Paramètres!$A$1:$I$89,5,0)</f>
        <v>#N/A</v>
      </c>
      <c r="BF178" s="14" t="e">
        <f t="shared" si="167"/>
        <v>#N/A</v>
      </c>
      <c r="BG178" s="22" t="e">
        <f t="shared" si="168"/>
        <v>#N/A</v>
      </c>
      <c r="BH178" s="62" t="e">
        <f t="shared" si="116"/>
        <v>#N/A</v>
      </c>
      <c r="BI178" s="62" t="e">
        <f ca="1">AVERAGE(OFFSET($BH$3,0,0,'Données projet'!$E$11+1,1))-AVERAGE(OFFSET($H$3,0,0,'Données projet'!$E$11+1,1))</f>
        <v>#N/A</v>
      </c>
      <c r="BJ178" s="62" t="e">
        <f t="shared" si="146"/>
        <v>#N/A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 t="e">
        <f>EXP(-LN(2)/35)*BP177+(1-EXP(-LN(2)/35))/(LN(2)/35)*BL178*BM178*VLOOKUP('Données projet'!$B$11,Paramètres!$A$1:$I$89,3,0)*0.475*44/12</f>
        <v>#N/A</v>
      </c>
      <c r="BQ178" s="23" t="e">
        <f>EXP(-LN(2)/25)*BQ177+(1-EXP(-LN(2)/25))/(LN(2)/25)*Calculateur!BL178*Calculateur!BN178*VLOOKUP('Données projet'!$B$11,Paramètres!$A$1:$I$89,3,0)*0.475*44/12</f>
        <v>#N/A</v>
      </c>
      <c r="BR178" s="23" t="e">
        <f>EXP(-LN(2)/2)*BR177+(1-EXP(-LN(2)/2))/(LN(2)/2)*BL178*BO178*VLOOKUP('Données projet'!$B$11,Paramètres!$A$1:$I$89,3,0)*0.475*44/12</f>
        <v>#N/A</v>
      </c>
      <c r="BS178" s="24" t="e">
        <f t="shared" si="169"/>
        <v>#N/A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0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0</v>
      </c>
      <c r="H179" s="70">
        <f t="shared" si="110"/>
        <v>256.66666666666669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-5.6843418860808015E-13</v>
      </c>
      <c r="O179" s="14">
        <f>N179*VLOOKUP('Données projet'!$B$9,Paramètres!$A$1:$I$89,3,0)*VLOOKUP('Données projet'!$B$9,Paramètres!$A$1:$I$89,5,0)</f>
        <v>-2.6602720026858149E-13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302.58171900450355</v>
      </c>
      <c r="T179" s="62">
        <f t="shared" si="142"/>
        <v>164.1450425611464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0</v>
      </c>
      <c r="AA179" s="23">
        <f>EXP(-LN(2)/25)*AA178+(1-EXP(-LN(2)/25))/(LN(2)/25)*Calculateur!V179*Calculateur!X179*VLOOKUP('Données projet'!$B$9,Paramètres!$A$1:$I$89,3,0)*0.475*44/12</f>
        <v>0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0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-5.6843418860808015E-14</v>
      </c>
      <c r="AJ179" s="14">
        <f>AI179*VLOOKUP('Données projet'!$B$10,Paramètres!$A$1:$I$89,3,0)*VLOOKUP('Données projet'!$B$10,Paramètres!$A$1:$I$89,5,0)</f>
        <v>-6.1186256061773749E-14</v>
      </c>
      <c r="AK179" s="14" t="e">
        <f t="shared" si="164"/>
        <v>#NUM!</v>
      </c>
      <c r="AL179" s="22" t="e">
        <f t="shared" si="165"/>
        <v>#NUM!</v>
      </c>
      <c r="AM179" s="62" t="e">
        <f t="shared" si="113"/>
        <v>#NUM!</v>
      </c>
      <c r="AN179" s="62">
        <f ca="1">AVERAGE(OFFSET($AM$3,0,0,'Données projet'!$E$10+1,1))-AVERAGE(OFFSET($H$3,0,0,'Données projet'!$E$10+1,1))</f>
        <v>327.4984716935208</v>
      </c>
      <c r="AO179" s="62">
        <f t="shared" si="144"/>
        <v>166.97658184507776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0</v>
      </c>
      <c r="AV179" s="23">
        <f>EXP(-LN(2)/25)*AV178+(1-EXP(-LN(2)/25))/(LN(2)/25)*Calculateur!AQ179*Calculateur!AS179*VLOOKUP('Données projet'!$B$10,Paramètres!$A$1:$I$89,3,0)*0.475*44/12</f>
        <v>0</v>
      </c>
      <c r="AW179" s="23">
        <f>EXP(-LN(2)/2)*AW178+(1-EXP(-LN(2)/2))/(LN(2)/2)*AQ179*AT179*VLOOKUP('Données projet'!$B$10,Paramètres!$A$1:$I$89,3,0)*0.475*44/12</f>
        <v>0</v>
      </c>
      <c r="AX179" s="23">
        <f t="shared" si="166"/>
        <v>0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0</v>
      </c>
      <c r="BE179" s="14" t="e">
        <f>BD179*VLOOKUP('Données projet'!$B$11,Paramètres!$A$1:$I$89,3,0)*VLOOKUP('Données projet'!$B$11,Paramètres!$A$1:$I$89,5,0)</f>
        <v>#N/A</v>
      </c>
      <c r="BF179" s="14" t="e">
        <f t="shared" si="167"/>
        <v>#N/A</v>
      </c>
      <c r="BG179" s="22" t="e">
        <f t="shared" si="168"/>
        <v>#N/A</v>
      </c>
      <c r="BH179" s="62" t="e">
        <f t="shared" si="116"/>
        <v>#N/A</v>
      </c>
      <c r="BI179" s="62" t="e">
        <f ca="1">AVERAGE(OFFSET($BH$3,0,0,'Données projet'!$E$11+1,1))-AVERAGE(OFFSET($H$3,0,0,'Données projet'!$E$11+1,1))</f>
        <v>#N/A</v>
      </c>
      <c r="BJ179" s="62" t="e">
        <f t="shared" si="146"/>
        <v>#N/A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 t="e">
        <f>EXP(-LN(2)/35)*BP178+(1-EXP(-LN(2)/35))/(LN(2)/35)*BL179*BM179*VLOOKUP('Données projet'!$B$11,Paramètres!$A$1:$I$89,3,0)*0.475*44/12</f>
        <v>#N/A</v>
      </c>
      <c r="BQ179" s="23" t="e">
        <f>EXP(-LN(2)/25)*BQ178+(1-EXP(-LN(2)/25))/(LN(2)/25)*Calculateur!BL179*Calculateur!BN179*VLOOKUP('Données projet'!$B$11,Paramètres!$A$1:$I$89,3,0)*0.475*44/12</f>
        <v>#N/A</v>
      </c>
      <c r="BR179" s="23" t="e">
        <f>EXP(-LN(2)/2)*BR178+(1-EXP(-LN(2)/2))/(LN(2)/2)*BL179*BO179*VLOOKUP('Données projet'!$B$11,Paramètres!$A$1:$I$89,3,0)*0.475*44/12</f>
        <v>#N/A</v>
      </c>
      <c r="BS179" s="24" t="e">
        <f t="shared" si="169"/>
        <v>#N/A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0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0</v>
      </c>
      <c r="H180" s="70">
        <f t="shared" si="110"/>
        <v>256.66666666666669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-5.6843418860808015E-13</v>
      </c>
      <c r="O180" s="14">
        <f>N180*VLOOKUP('Données projet'!$B$9,Paramètres!$A$1:$I$89,3,0)*VLOOKUP('Données projet'!$B$9,Paramètres!$A$1:$I$89,5,0)</f>
        <v>-2.6602720026858149E-13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302.58171900450355</v>
      </c>
      <c r="T180" s="62">
        <f t="shared" si="142"/>
        <v>164.1450425611464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0</v>
      </c>
      <c r="AA180" s="23">
        <f>EXP(-LN(2)/25)*AA179+(1-EXP(-LN(2)/25))/(LN(2)/25)*Calculateur!V180*Calculateur!X180*VLOOKUP('Données projet'!$B$9,Paramètres!$A$1:$I$89,3,0)*0.475*44/12</f>
        <v>0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0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-5.6843418860808015E-14</v>
      </c>
      <c r="AJ180" s="14">
        <f>AI180*VLOOKUP('Données projet'!$B$10,Paramètres!$A$1:$I$89,3,0)*VLOOKUP('Données projet'!$B$10,Paramètres!$A$1:$I$89,5,0)</f>
        <v>-6.1186256061773749E-14</v>
      </c>
      <c r="AK180" s="14" t="e">
        <f t="shared" si="164"/>
        <v>#NUM!</v>
      </c>
      <c r="AL180" s="22" t="e">
        <f t="shared" si="165"/>
        <v>#NUM!</v>
      </c>
      <c r="AM180" s="62" t="e">
        <f t="shared" si="113"/>
        <v>#NUM!</v>
      </c>
      <c r="AN180" s="62">
        <f ca="1">AVERAGE(OFFSET($AM$3,0,0,'Données projet'!$E$10+1,1))-AVERAGE(OFFSET($H$3,0,0,'Données projet'!$E$10+1,1))</f>
        <v>327.4984716935208</v>
      </c>
      <c r="AO180" s="62">
        <f t="shared" si="144"/>
        <v>166.97658184507776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0</v>
      </c>
      <c r="AV180" s="23">
        <f>EXP(-LN(2)/25)*AV179+(1-EXP(-LN(2)/25))/(LN(2)/25)*Calculateur!AQ180*Calculateur!AS180*VLOOKUP('Données projet'!$B$10,Paramètres!$A$1:$I$89,3,0)*0.475*44/12</f>
        <v>0</v>
      </c>
      <c r="AW180" s="23">
        <f>EXP(-LN(2)/2)*AW179+(1-EXP(-LN(2)/2))/(LN(2)/2)*AQ180*AT180*VLOOKUP('Données projet'!$B$10,Paramètres!$A$1:$I$89,3,0)*0.475*44/12</f>
        <v>0</v>
      </c>
      <c r="AX180" s="23">
        <f t="shared" si="166"/>
        <v>0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0</v>
      </c>
      <c r="BE180" s="14" t="e">
        <f>BD180*VLOOKUP('Données projet'!$B$11,Paramètres!$A$1:$I$89,3,0)*VLOOKUP('Données projet'!$B$11,Paramètres!$A$1:$I$89,5,0)</f>
        <v>#N/A</v>
      </c>
      <c r="BF180" s="14" t="e">
        <f t="shared" si="167"/>
        <v>#N/A</v>
      </c>
      <c r="BG180" s="22" t="e">
        <f t="shared" si="168"/>
        <v>#N/A</v>
      </c>
      <c r="BH180" s="62" t="e">
        <f t="shared" si="116"/>
        <v>#N/A</v>
      </c>
      <c r="BI180" s="62" t="e">
        <f ca="1">AVERAGE(OFFSET($BH$3,0,0,'Données projet'!$E$11+1,1))-AVERAGE(OFFSET($H$3,0,0,'Données projet'!$E$11+1,1))</f>
        <v>#N/A</v>
      </c>
      <c r="BJ180" s="62" t="e">
        <f t="shared" si="146"/>
        <v>#N/A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 t="e">
        <f>EXP(-LN(2)/35)*BP179+(1-EXP(-LN(2)/35))/(LN(2)/35)*BL180*BM180*VLOOKUP('Données projet'!$B$11,Paramètres!$A$1:$I$89,3,0)*0.475*44/12</f>
        <v>#N/A</v>
      </c>
      <c r="BQ180" s="23" t="e">
        <f>EXP(-LN(2)/25)*BQ179+(1-EXP(-LN(2)/25))/(LN(2)/25)*Calculateur!BL180*Calculateur!BN180*VLOOKUP('Données projet'!$B$11,Paramètres!$A$1:$I$89,3,0)*0.475*44/12</f>
        <v>#N/A</v>
      </c>
      <c r="BR180" s="23" t="e">
        <f>EXP(-LN(2)/2)*BR179+(1-EXP(-LN(2)/2))/(LN(2)/2)*BL180*BO180*VLOOKUP('Données projet'!$B$11,Paramètres!$A$1:$I$89,3,0)*0.475*44/12</f>
        <v>#N/A</v>
      </c>
      <c r="BS180" s="24" t="e">
        <f t="shared" si="169"/>
        <v>#N/A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0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0</v>
      </c>
      <c r="H181" s="70">
        <f t="shared" si="110"/>
        <v>256.66666666666669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-5.6843418860808015E-13</v>
      </c>
      <c r="O181" s="14">
        <f>N181*VLOOKUP('Données projet'!$B$9,Paramètres!$A$1:$I$89,3,0)*VLOOKUP('Données projet'!$B$9,Paramètres!$A$1:$I$89,5,0)</f>
        <v>-2.6602720026858149E-13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302.58171900450355</v>
      </c>
      <c r="T181" s="62">
        <f t="shared" si="142"/>
        <v>164.1450425611464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0</v>
      </c>
      <c r="AA181" s="23">
        <f>EXP(-LN(2)/25)*AA180+(1-EXP(-LN(2)/25))/(LN(2)/25)*Calculateur!V181*Calculateur!X181*VLOOKUP('Données projet'!$B$9,Paramètres!$A$1:$I$89,3,0)*0.475*44/12</f>
        <v>0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0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-5.6843418860808015E-14</v>
      </c>
      <c r="AJ181" s="14">
        <f>AI181*VLOOKUP('Données projet'!$B$10,Paramètres!$A$1:$I$89,3,0)*VLOOKUP('Données projet'!$B$10,Paramètres!$A$1:$I$89,5,0)</f>
        <v>-6.1186256061773749E-14</v>
      </c>
      <c r="AK181" s="14" t="e">
        <f t="shared" si="164"/>
        <v>#NUM!</v>
      </c>
      <c r="AL181" s="22" t="e">
        <f t="shared" si="165"/>
        <v>#NUM!</v>
      </c>
      <c r="AM181" s="62" t="e">
        <f t="shared" si="113"/>
        <v>#NUM!</v>
      </c>
      <c r="AN181" s="62">
        <f ca="1">AVERAGE(OFFSET($AM$3,0,0,'Données projet'!$E$10+1,1))-AVERAGE(OFFSET($H$3,0,0,'Données projet'!$E$10+1,1))</f>
        <v>327.4984716935208</v>
      </c>
      <c r="AO181" s="62">
        <f t="shared" si="144"/>
        <v>166.97658184507776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0</v>
      </c>
      <c r="AV181" s="23">
        <f>EXP(-LN(2)/25)*AV180+(1-EXP(-LN(2)/25))/(LN(2)/25)*Calculateur!AQ181*Calculateur!AS181*VLOOKUP('Données projet'!$B$10,Paramètres!$A$1:$I$89,3,0)*0.475*44/12</f>
        <v>0</v>
      </c>
      <c r="AW181" s="23">
        <f>EXP(-LN(2)/2)*AW180+(1-EXP(-LN(2)/2))/(LN(2)/2)*AQ181*AT181*VLOOKUP('Données projet'!$B$10,Paramètres!$A$1:$I$89,3,0)*0.475*44/12</f>
        <v>0</v>
      </c>
      <c r="AX181" s="23">
        <f t="shared" si="166"/>
        <v>0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0</v>
      </c>
      <c r="BE181" s="14" t="e">
        <f>BD181*VLOOKUP('Données projet'!$B$11,Paramètres!$A$1:$I$89,3,0)*VLOOKUP('Données projet'!$B$11,Paramètres!$A$1:$I$89,5,0)</f>
        <v>#N/A</v>
      </c>
      <c r="BF181" s="14" t="e">
        <f t="shared" si="167"/>
        <v>#N/A</v>
      </c>
      <c r="BG181" s="22" t="e">
        <f t="shared" si="168"/>
        <v>#N/A</v>
      </c>
      <c r="BH181" s="62" t="e">
        <f t="shared" si="116"/>
        <v>#N/A</v>
      </c>
      <c r="BI181" s="62" t="e">
        <f ca="1">AVERAGE(OFFSET($BH$3,0,0,'Données projet'!$E$11+1,1))-AVERAGE(OFFSET($H$3,0,0,'Données projet'!$E$11+1,1))</f>
        <v>#N/A</v>
      </c>
      <c r="BJ181" s="62" t="e">
        <f t="shared" si="146"/>
        <v>#N/A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 t="e">
        <f>EXP(-LN(2)/35)*BP180+(1-EXP(-LN(2)/35))/(LN(2)/35)*BL181*BM181*VLOOKUP('Données projet'!$B$11,Paramètres!$A$1:$I$89,3,0)*0.475*44/12</f>
        <v>#N/A</v>
      </c>
      <c r="BQ181" s="23" t="e">
        <f>EXP(-LN(2)/25)*BQ180+(1-EXP(-LN(2)/25))/(LN(2)/25)*Calculateur!BL181*Calculateur!BN181*VLOOKUP('Données projet'!$B$11,Paramètres!$A$1:$I$89,3,0)*0.475*44/12</f>
        <v>#N/A</v>
      </c>
      <c r="BR181" s="23" t="e">
        <f>EXP(-LN(2)/2)*BR180+(1-EXP(-LN(2)/2))/(LN(2)/2)*BL181*BO181*VLOOKUP('Données projet'!$B$11,Paramètres!$A$1:$I$89,3,0)*0.475*44/12</f>
        <v>#N/A</v>
      </c>
      <c r="BS181" s="24" t="e">
        <f t="shared" si="169"/>
        <v>#N/A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0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0</v>
      </c>
      <c r="H182" s="70">
        <f t="shared" si="110"/>
        <v>256.66666666666669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-5.6843418860808015E-13</v>
      </c>
      <c r="O182" s="14">
        <f>N182*VLOOKUP('Données projet'!$B$9,Paramètres!$A$1:$I$89,3,0)*VLOOKUP('Données projet'!$B$9,Paramètres!$A$1:$I$89,5,0)</f>
        <v>-2.6602720026858149E-13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302.58171900450355</v>
      </c>
      <c r="T182" s="62">
        <f t="shared" si="142"/>
        <v>164.1450425611464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0</v>
      </c>
      <c r="AA182" s="23">
        <f>EXP(-LN(2)/25)*AA181+(1-EXP(-LN(2)/25))/(LN(2)/25)*Calculateur!V182*Calculateur!X182*VLOOKUP('Données projet'!$B$9,Paramètres!$A$1:$I$89,3,0)*0.475*44/12</f>
        <v>0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0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-5.6843418860808015E-14</v>
      </c>
      <c r="AJ182" s="14">
        <f>AI182*VLOOKUP('Données projet'!$B$10,Paramètres!$A$1:$I$89,3,0)*VLOOKUP('Données projet'!$B$10,Paramètres!$A$1:$I$89,5,0)</f>
        <v>-6.1186256061773749E-14</v>
      </c>
      <c r="AK182" s="14" t="e">
        <f t="shared" si="164"/>
        <v>#NUM!</v>
      </c>
      <c r="AL182" s="22" t="e">
        <f t="shared" si="165"/>
        <v>#NUM!</v>
      </c>
      <c r="AM182" s="62" t="e">
        <f t="shared" si="113"/>
        <v>#NUM!</v>
      </c>
      <c r="AN182" s="62">
        <f ca="1">AVERAGE(OFFSET($AM$3,0,0,'Données projet'!$E$10+1,1))-AVERAGE(OFFSET($H$3,0,0,'Données projet'!$E$10+1,1))</f>
        <v>327.4984716935208</v>
      </c>
      <c r="AO182" s="62">
        <f t="shared" si="144"/>
        <v>166.97658184507776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0</v>
      </c>
      <c r="AV182" s="23">
        <f>EXP(-LN(2)/25)*AV181+(1-EXP(-LN(2)/25))/(LN(2)/25)*Calculateur!AQ182*Calculateur!AS182*VLOOKUP('Données projet'!$B$10,Paramètres!$A$1:$I$89,3,0)*0.475*44/12</f>
        <v>0</v>
      </c>
      <c r="AW182" s="23">
        <f>EXP(-LN(2)/2)*AW181+(1-EXP(-LN(2)/2))/(LN(2)/2)*AQ182*AT182*VLOOKUP('Données projet'!$B$10,Paramètres!$A$1:$I$89,3,0)*0.475*44/12</f>
        <v>0</v>
      </c>
      <c r="AX182" s="23">
        <f t="shared" si="166"/>
        <v>0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0</v>
      </c>
      <c r="BE182" s="14" t="e">
        <f>BD182*VLOOKUP('Données projet'!$B$11,Paramètres!$A$1:$I$89,3,0)*VLOOKUP('Données projet'!$B$11,Paramètres!$A$1:$I$89,5,0)</f>
        <v>#N/A</v>
      </c>
      <c r="BF182" s="14" t="e">
        <f t="shared" si="167"/>
        <v>#N/A</v>
      </c>
      <c r="BG182" s="22" t="e">
        <f t="shared" si="168"/>
        <v>#N/A</v>
      </c>
      <c r="BH182" s="62" t="e">
        <f t="shared" si="116"/>
        <v>#N/A</v>
      </c>
      <c r="BI182" s="62" t="e">
        <f ca="1">AVERAGE(OFFSET($BH$3,0,0,'Données projet'!$E$11+1,1))-AVERAGE(OFFSET($H$3,0,0,'Données projet'!$E$11+1,1))</f>
        <v>#N/A</v>
      </c>
      <c r="BJ182" s="62" t="e">
        <f t="shared" si="146"/>
        <v>#N/A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 t="e">
        <f>EXP(-LN(2)/35)*BP181+(1-EXP(-LN(2)/35))/(LN(2)/35)*BL182*BM182*VLOOKUP('Données projet'!$B$11,Paramètres!$A$1:$I$89,3,0)*0.475*44/12</f>
        <v>#N/A</v>
      </c>
      <c r="BQ182" s="23" t="e">
        <f>EXP(-LN(2)/25)*BQ181+(1-EXP(-LN(2)/25))/(LN(2)/25)*Calculateur!BL182*Calculateur!BN182*VLOOKUP('Données projet'!$B$11,Paramètres!$A$1:$I$89,3,0)*0.475*44/12</f>
        <v>#N/A</v>
      </c>
      <c r="BR182" s="23" t="e">
        <f>EXP(-LN(2)/2)*BR181+(1-EXP(-LN(2)/2))/(LN(2)/2)*BL182*BO182*VLOOKUP('Données projet'!$B$11,Paramètres!$A$1:$I$89,3,0)*0.475*44/12</f>
        <v>#N/A</v>
      </c>
      <c r="BS182" s="24" t="e">
        <f t="shared" si="169"/>
        <v>#N/A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0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0</v>
      </c>
      <c r="H183" s="70">
        <f t="shared" si="110"/>
        <v>256.66666666666669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-5.6843418860808015E-13</v>
      </c>
      <c r="O183" s="14">
        <f>N183*VLOOKUP('Données projet'!$B$9,Paramètres!$A$1:$I$89,3,0)*VLOOKUP('Données projet'!$B$9,Paramètres!$A$1:$I$89,5,0)</f>
        <v>-2.6602720026858149E-13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302.58171900450355</v>
      </c>
      <c r="T183" s="62">
        <f t="shared" si="142"/>
        <v>164.1450425611464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0</v>
      </c>
      <c r="AA183" s="23">
        <f>EXP(-LN(2)/25)*AA182+(1-EXP(-LN(2)/25))/(LN(2)/25)*Calculateur!V183*Calculateur!X183*VLOOKUP('Données projet'!$B$9,Paramètres!$A$1:$I$89,3,0)*0.475*44/12</f>
        <v>0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0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-5.6843418860808015E-14</v>
      </c>
      <c r="AJ183" s="14">
        <f>AI183*VLOOKUP('Données projet'!$B$10,Paramètres!$A$1:$I$89,3,0)*VLOOKUP('Données projet'!$B$10,Paramètres!$A$1:$I$89,5,0)</f>
        <v>-6.1186256061773749E-14</v>
      </c>
      <c r="AK183" s="14" t="e">
        <f t="shared" si="164"/>
        <v>#NUM!</v>
      </c>
      <c r="AL183" s="22" t="e">
        <f t="shared" si="165"/>
        <v>#NUM!</v>
      </c>
      <c r="AM183" s="62" t="e">
        <f t="shared" si="113"/>
        <v>#NUM!</v>
      </c>
      <c r="AN183" s="62">
        <f ca="1">AVERAGE(OFFSET($AM$3,0,0,'Données projet'!$E$10+1,1))-AVERAGE(OFFSET($H$3,0,0,'Données projet'!$E$10+1,1))</f>
        <v>327.4984716935208</v>
      </c>
      <c r="AO183" s="62">
        <f t="shared" si="144"/>
        <v>166.97658184507776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0</v>
      </c>
      <c r="AV183" s="23">
        <f>EXP(-LN(2)/25)*AV182+(1-EXP(-LN(2)/25))/(LN(2)/25)*Calculateur!AQ183*Calculateur!AS183*VLOOKUP('Données projet'!$B$10,Paramètres!$A$1:$I$89,3,0)*0.475*44/12</f>
        <v>0</v>
      </c>
      <c r="AW183" s="23">
        <f>EXP(-LN(2)/2)*AW182+(1-EXP(-LN(2)/2))/(LN(2)/2)*AQ183*AT183*VLOOKUP('Données projet'!$B$10,Paramètres!$A$1:$I$89,3,0)*0.475*44/12</f>
        <v>0</v>
      </c>
      <c r="AX183" s="23">
        <f t="shared" si="166"/>
        <v>0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0</v>
      </c>
      <c r="BE183" s="14" t="e">
        <f>BD183*VLOOKUP('Données projet'!$B$11,Paramètres!$A$1:$I$89,3,0)*VLOOKUP('Données projet'!$B$11,Paramètres!$A$1:$I$89,5,0)</f>
        <v>#N/A</v>
      </c>
      <c r="BF183" s="14" t="e">
        <f t="shared" si="167"/>
        <v>#N/A</v>
      </c>
      <c r="BG183" s="22" t="e">
        <f t="shared" si="168"/>
        <v>#N/A</v>
      </c>
      <c r="BH183" s="62" t="e">
        <f t="shared" si="116"/>
        <v>#N/A</v>
      </c>
      <c r="BI183" s="62" t="e">
        <f ca="1">AVERAGE(OFFSET($BH$3,0,0,'Données projet'!$E$11+1,1))-AVERAGE(OFFSET($H$3,0,0,'Données projet'!$E$11+1,1))</f>
        <v>#N/A</v>
      </c>
      <c r="BJ183" s="62" t="e">
        <f t="shared" si="146"/>
        <v>#N/A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 t="e">
        <f>EXP(-LN(2)/35)*BP182+(1-EXP(-LN(2)/35))/(LN(2)/35)*BL183*BM183*VLOOKUP('Données projet'!$B$11,Paramètres!$A$1:$I$89,3,0)*0.475*44/12</f>
        <v>#N/A</v>
      </c>
      <c r="BQ183" s="23" t="e">
        <f>EXP(-LN(2)/25)*BQ182+(1-EXP(-LN(2)/25))/(LN(2)/25)*Calculateur!BL183*Calculateur!BN183*VLOOKUP('Données projet'!$B$11,Paramètres!$A$1:$I$89,3,0)*0.475*44/12</f>
        <v>#N/A</v>
      </c>
      <c r="BR183" s="23" t="e">
        <f>EXP(-LN(2)/2)*BR182+(1-EXP(-LN(2)/2))/(LN(2)/2)*BL183*BO183*VLOOKUP('Données projet'!$B$11,Paramètres!$A$1:$I$89,3,0)*0.475*44/12</f>
        <v>#N/A</v>
      </c>
      <c r="BS183" s="24" t="e">
        <f t="shared" si="169"/>
        <v>#N/A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0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0</v>
      </c>
      <c r="H184" s="70">
        <f t="shared" si="110"/>
        <v>256.66666666666669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-5.6843418860808015E-13</v>
      </c>
      <c r="O184" s="14">
        <f>N184*VLOOKUP('Données projet'!$B$9,Paramètres!$A$1:$I$89,3,0)*VLOOKUP('Données projet'!$B$9,Paramètres!$A$1:$I$89,5,0)</f>
        <v>-2.6602720026858149E-13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302.58171900450355</v>
      </c>
      <c r="T184" s="62">
        <f t="shared" si="142"/>
        <v>164.1450425611464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0</v>
      </c>
      <c r="AA184" s="23">
        <f>EXP(-LN(2)/25)*AA183+(1-EXP(-LN(2)/25))/(LN(2)/25)*Calculateur!V184*Calculateur!X184*VLOOKUP('Données projet'!$B$9,Paramètres!$A$1:$I$89,3,0)*0.475*44/12</f>
        <v>0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0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-5.6843418860808015E-14</v>
      </c>
      <c r="AJ184" s="14">
        <f>AI184*VLOOKUP('Données projet'!$B$10,Paramètres!$A$1:$I$89,3,0)*VLOOKUP('Données projet'!$B$10,Paramètres!$A$1:$I$89,5,0)</f>
        <v>-6.1186256061773749E-14</v>
      </c>
      <c r="AK184" s="14" t="e">
        <f t="shared" si="164"/>
        <v>#NUM!</v>
      </c>
      <c r="AL184" s="22" t="e">
        <f t="shared" si="165"/>
        <v>#NUM!</v>
      </c>
      <c r="AM184" s="62" t="e">
        <f t="shared" si="113"/>
        <v>#NUM!</v>
      </c>
      <c r="AN184" s="62">
        <f ca="1">AVERAGE(OFFSET($AM$3,0,0,'Données projet'!$E$10+1,1))-AVERAGE(OFFSET($H$3,0,0,'Données projet'!$E$10+1,1))</f>
        <v>327.4984716935208</v>
      </c>
      <c r="AO184" s="62">
        <f t="shared" si="144"/>
        <v>166.97658184507776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0</v>
      </c>
      <c r="AV184" s="23">
        <f>EXP(-LN(2)/25)*AV183+(1-EXP(-LN(2)/25))/(LN(2)/25)*Calculateur!AQ184*Calculateur!AS184*VLOOKUP('Données projet'!$B$10,Paramètres!$A$1:$I$89,3,0)*0.475*44/12</f>
        <v>0</v>
      </c>
      <c r="AW184" s="23">
        <f>EXP(-LN(2)/2)*AW183+(1-EXP(-LN(2)/2))/(LN(2)/2)*AQ184*AT184*VLOOKUP('Données projet'!$B$10,Paramètres!$A$1:$I$89,3,0)*0.475*44/12</f>
        <v>0</v>
      </c>
      <c r="AX184" s="23">
        <f t="shared" si="166"/>
        <v>0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0</v>
      </c>
      <c r="BE184" s="14" t="e">
        <f>BD184*VLOOKUP('Données projet'!$B$11,Paramètres!$A$1:$I$89,3,0)*VLOOKUP('Données projet'!$B$11,Paramètres!$A$1:$I$89,5,0)</f>
        <v>#N/A</v>
      </c>
      <c r="BF184" s="14" t="e">
        <f t="shared" si="167"/>
        <v>#N/A</v>
      </c>
      <c r="BG184" s="22" t="e">
        <f t="shared" si="168"/>
        <v>#N/A</v>
      </c>
      <c r="BH184" s="62" t="e">
        <f t="shared" si="116"/>
        <v>#N/A</v>
      </c>
      <c r="BI184" s="62" t="e">
        <f ca="1">AVERAGE(OFFSET($BH$3,0,0,'Données projet'!$E$11+1,1))-AVERAGE(OFFSET($H$3,0,0,'Données projet'!$E$11+1,1))</f>
        <v>#N/A</v>
      </c>
      <c r="BJ184" s="62" t="e">
        <f t="shared" si="146"/>
        <v>#N/A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 t="e">
        <f>EXP(-LN(2)/35)*BP183+(1-EXP(-LN(2)/35))/(LN(2)/35)*BL184*BM184*VLOOKUP('Données projet'!$B$11,Paramètres!$A$1:$I$89,3,0)*0.475*44/12</f>
        <v>#N/A</v>
      </c>
      <c r="BQ184" s="23" t="e">
        <f>EXP(-LN(2)/25)*BQ183+(1-EXP(-LN(2)/25))/(LN(2)/25)*Calculateur!BL184*Calculateur!BN184*VLOOKUP('Données projet'!$B$11,Paramètres!$A$1:$I$89,3,0)*0.475*44/12</f>
        <v>#N/A</v>
      </c>
      <c r="BR184" s="23" t="e">
        <f>EXP(-LN(2)/2)*BR183+(1-EXP(-LN(2)/2))/(LN(2)/2)*BL184*BO184*VLOOKUP('Données projet'!$B$11,Paramètres!$A$1:$I$89,3,0)*0.475*44/12</f>
        <v>#N/A</v>
      </c>
      <c r="BS184" s="24" t="e">
        <f t="shared" si="169"/>
        <v>#N/A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0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0</v>
      </c>
      <c r="H185" s="70">
        <f t="shared" si="110"/>
        <v>256.66666666666669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-5.6843418860808015E-13</v>
      </c>
      <c r="O185" s="14">
        <f>N185*VLOOKUP('Données projet'!$B$9,Paramètres!$A$1:$I$89,3,0)*VLOOKUP('Données projet'!$B$9,Paramètres!$A$1:$I$89,5,0)</f>
        <v>-2.6602720026858149E-13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302.58171900450355</v>
      </c>
      <c r="T185" s="62">
        <f t="shared" si="142"/>
        <v>164.1450425611464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0</v>
      </c>
      <c r="AA185" s="23">
        <f>EXP(-LN(2)/25)*AA184+(1-EXP(-LN(2)/25))/(LN(2)/25)*Calculateur!V185*Calculateur!X185*VLOOKUP('Données projet'!$B$9,Paramètres!$A$1:$I$89,3,0)*0.475*44/12</f>
        <v>0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0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-5.6843418860808015E-14</v>
      </c>
      <c r="AJ185" s="14">
        <f>AI185*VLOOKUP('Données projet'!$B$10,Paramètres!$A$1:$I$89,3,0)*VLOOKUP('Données projet'!$B$10,Paramètres!$A$1:$I$89,5,0)</f>
        <v>-6.1186256061773749E-14</v>
      </c>
      <c r="AK185" s="14" t="e">
        <f t="shared" si="164"/>
        <v>#NUM!</v>
      </c>
      <c r="AL185" s="22" t="e">
        <f t="shared" si="165"/>
        <v>#NUM!</v>
      </c>
      <c r="AM185" s="62" t="e">
        <f t="shared" si="113"/>
        <v>#NUM!</v>
      </c>
      <c r="AN185" s="62">
        <f ca="1">AVERAGE(OFFSET($AM$3,0,0,'Données projet'!$E$10+1,1))-AVERAGE(OFFSET($H$3,0,0,'Données projet'!$E$10+1,1))</f>
        <v>327.4984716935208</v>
      </c>
      <c r="AO185" s="62">
        <f t="shared" si="144"/>
        <v>166.97658184507776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0</v>
      </c>
      <c r="AV185" s="23">
        <f>EXP(-LN(2)/25)*AV184+(1-EXP(-LN(2)/25))/(LN(2)/25)*Calculateur!AQ185*Calculateur!AS185*VLOOKUP('Données projet'!$B$10,Paramètres!$A$1:$I$89,3,0)*0.475*44/12</f>
        <v>0</v>
      </c>
      <c r="AW185" s="23">
        <f>EXP(-LN(2)/2)*AW184+(1-EXP(-LN(2)/2))/(LN(2)/2)*AQ185*AT185*VLOOKUP('Données projet'!$B$10,Paramètres!$A$1:$I$89,3,0)*0.475*44/12</f>
        <v>0</v>
      </c>
      <c r="AX185" s="23">
        <f t="shared" si="166"/>
        <v>0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0</v>
      </c>
      <c r="BE185" s="14" t="e">
        <f>BD185*VLOOKUP('Données projet'!$B$11,Paramètres!$A$1:$I$89,3,0)*VLOOKUP('Données projet'!$B$11,Paramètres!$A$1:$I$89,5,0)</f>
        <v>#N/A</v>
      </c>
      <c r="BF185" s="14" t="e">
        <f t="shared" si="167"/>
        <v>#N/A</v>
      </c>
      <c r="BG185" s="22" t="e">
        <f t="shared" si="168"/>
        <v>#N/A</v>
      </c>
      <c r="BH185" s="62" t="e">
        <f t="shared" si="116"/>
        <v>#N/A</v>
      </c>
      <c r="BI185" s="62" t="e">
        <f ca="1">AVERAGE(OFFSET($BH$3,0,0,'Données projet'!$E$11+1,1))-AVERAGE(OFFSET($H$3,0,0,'Données projet'!$E$11+1,1))</f>
        <v>#N/A</v>
      </c>
      <c r="BJ185" s="62" t="e">
        <f t="shared" si="146"/>
        <v>#N/A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 t="e">
        <f>EXP(-LN(2)/35)*BP184+(1-EXP(-LN(2)/35))/(LN(2)/35)*BL185*BM185*VLOOKUP('Données projet'!$B$11,Paramètres!$A$1:$I$89,3,0)*0.475*44/12</f>
        <v>#N/A</v>
      </c>
      <c r="BQ185" s="23" t="e">
        <f>EXP(-LN(2)/25)*BQ184+(1-EXP(-LN(2)/25))/(LN(2)/25)*Calculateur!BL185*Calculateur!BN185*VLOOKUP('Données projet'!$B$11,Paramètres!$A$1:$I$89,3,0)*0.475*44/12</f>
        <v>#N/A</v>
      </c>
      <c r="BR185" s="23" t="e">
        <f>EXP(-LN(2)/2)*BR184+(1-EXP(-LN(2)/2))/(LN(2)/2)*BL185*BO185*VLOOKUP('Données projet'!$B$11,Paramètres!$A$1:$I$89,3,0)*0.475*44/12</f>
        <v>#N/A</v>
      </c>
      <c r="BS185" s="24" t="e">
        <f t="shared" si="169"/>
        <v>#N/A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0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0</v>
      </c>
      <c r="H186" s="70">
        <f t="shared" si="110"/>
        <v>256.66666666666669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-5.6843418860808015E-13</v>
      </c>
      <c r="O186" s="14">
        <f>N186*VLOOKUP('Données projet'!$B$9,Paramètres!$A$1:$I$89,3,0)*VLOOKUP('Données projet'!$B$9,Paramètres!$A$1:$I$89,5,0)</f>
        <v>-2.6602720026858149E-13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302.58171900450355</v>
      </c>
      <c r="T186" s="62">
        <f t="shared" si="142"/>
        <v>164.1450425611464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0</v>
      </c>
      <c r="AA186" s="23">
        <f>EXP(-LN(2)/25)*AA185+(1-EXP(-LN(2)/25))/(LN(2)/25)*Calculateur!V186*Calculateur!X186*VLOOKUP('Données projet'!$B$9,Paramètres!$A$1:$I$89,3,0)*0.475*44/12</f>
        <v>0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0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-5.6843418860808015E-14</v>
      </c>
      <c r="AJ186" s="14">
        <f>AI186*VLOOKUP('Données projet'!$B$10,Paramètres!$A$1:$I$89,3,0)*VLOOKUP('Données projet'!$B$10,Paramètres!$A$1:$I$89,5,0)</f>
        <v>-6.1186256061773749E-14</v>
      </c>
      <c r="AK186" s="14" t="e">
        <f t="shared" si="164"/>
        <v>#NUM!</v>
      </c>
      <c r="AL186" s="22" t="e">
        <f t="shared" si="165"/>
        <v>#NUM!</v>
      </c>
      <c r="AM186" s="62" t="e">
        <f t="shared" si="113"/>
        <v>#NUM!</v>
      </c>
      <c r="AN186" s="62">
        <f ca="1">AVERAGE(OFFSET($AM$3,0,0,'Données projet'!$E$10+1,1))-AVERAGE(OFFSET($H$3,0,0,'Données projet'!$E$10+1,1))</f>
        <v>327.4984716935208</v>
      </c>
      <c r="AO186" s="62">
        <f t="shared" si="144"/>
        <v>166.97658184507776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0</v>
      </c>
      <c r="AV186" s="23">
        <f>EXP(-LN(2)/25)*AV185+(1-EXP(-LN(2)/25))/(LN(2)/25)*Calculateur!AQ186*Calculateur!AS186*VLOOKUP('Données projet'!$B$10,Paramètres!$A$1:$I$89,3,0)*0.475*44/12</f>
        <v>0</v>
      </c>
      <c r="AW186" s="23">
        <f>EXP(-LN(2)/2)*AW185+(1-EXP(-LN(2)/2))/(LN(2)/2)*AQ186*AT186*VLOOKUP('Données projet'!$B$10,Paramètres!$A$1:$I$89,3,0)*0.475*44/12</f>
        <v>0</v>
      </c>
      <c r="AX186" s="23">
        <f t="shared" si="166"/>
        <v>0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0</v>
      </c>
      <c r="BE186" s="14" t="e">
        <f>BD186*VLOOKUP('Données projet'!$B$11,Paramètres!$A$1:$I$89,3,0)*VLOOKUP('Données projet'!$B$11,Paramètres!$A$1:$I$89,5,0)</f>
        <v>#N/A</v>
      </c>
      <c r="BF186" s="14" t="e">
        <f t="shared" si="167"/>
        <v>#N/A</v>
      </c>
      <c r="BG186" s="22" t="e">
        <f t="shared" si="168"/>
        <v>#N/A</v>
      </c>
      <c r="BH186" s="62" t="e">
        <f t="shared" si="116"/>
        <v>#N/A</v>
      </c>
      <c r="BI186" s="62" t="e">
        <f ca="1">AVERAGE(OFFSET($BH$3,0,0,'Données projet'!$E$11+1,1))-AVERAGE(OFFSET($H$3,0,0,'Données projet'!$E$11+1,1))</f>
        <v>#N/A</v>
      </c>
      <c r="BJ186" s="62" t="e">
        <f t="shared" si="146"/>
        <v>#N/A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 t="e">
        <f>EXP(-LN(2)/35)*BP185+(1-EXP(-LN(2)/35))/(LN(2)/35)*BL186*BM186*VLOOKUP('Données projet'!$B$11,Paramètres!$A$1:$I$89,3,0)*0.475*44/12</f>
        <v>#N/A</v>
      </c>
      <c r="BQ186" s="23" t="e">
        <f>EXP(-LN(2)/25)*BQ185+(1-EXP(-LN(2)/25))/(LN(2)/25)*Calculateur!BL186*Calculateur!BN186*VLOOKUP('Données projet'!$B$11,Paramètres!$A$1:$I$89,3,0)*0.475*44/12</f>
        <v>#N/A</v>
      </c>
      <c r="BR186" s="23" t="e">
        <f>EXP(-LN(2)/2)*BR185+(1-EXP(-LN(2)/2))/(LN(2)/2)*BL186*BO186*VLOOKUP('Données projet'!$B$11,Paramètres!$A$1:$I$89,3,0)*0.475*44/12</f>
        <v>#N/A</v>
      </c>
      <c r="BS186" s="24" t="e">
        <f t="shared" si="169"/>
        <v>#N/A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0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0</v>
      </c>
      <c r="H187" s="70">
        <f t="shared" si="110"/>
        <v>256.66666666666669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-5.6843418860808015E-13</v>
      </c>
      <c r="O187" s="14">
        <f>N187*VLOOKUP('Données projet'!$B$9,Paramètres!$A$1:$I$89,3,0)*VLOOKUP('Données projet'!$B$9,Paramètres!$A$1:$I$89,5,0)</f>
        <v>-2.6602720026858149E-13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302.58171900450355</v>
      </c>
      <c r="T187" s="62">
        <f t="shared" si="142"/>
        <v>164.1450425611464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0</v>
      </c>
      <c r="AA187" s="23">
        <f>EXP(-LN(2)/25)*AA186+(1-EXP(-LN(2)/25))/(LN(2)/25)*Calculateur!V187*Calculateur!X187*VLOOKUP('Données projet'!$B$9,Paramètres!$A$1:$I$89,3,0)*0.475*44/12</f>
        <v>0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0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-5.6843418860808015E-14</v>
      </c>
      <c r="AJ187" s="14">
        <f>AI187*VLOOKUP('Données projet'!$B$10,Paramètres!$A$1:$I$89,3,0)*VLOOKUP('Données projet'!$B$10,Paramètres!$A$1:$I$89,5,0)</f>
        <v>-6.1186256061773749E-14</v>
      </c>
      <c r="AK187" s="14" t="e">
        <f t="shared" si="164"/>
        <v>#NUM!</v>
      </c>
      <c r="AL187" s="22" t="e">
        <f t="shared" si="165"/>
        <v>#NUM!</v>
      </c>
      <c r="AM187" s="62" t="e">
        <f t="shared" si="113"/>
        <v>#NUM!</v>
      </c>
      <c r="AN187" s="62">
        <f ca="1">AVERAGE(OFFSET($AM$3,0,0,'Données projet'!$E$10+1,1))-AVERAGE(OFFSET($H$3,0,0,'Données projet'!$E$10+1,1))</f>
        <v>327.4984716935208</v>
      </c>
      <c r="AO187" s="62">
        <f t="shared" si="144"/>
        <v>166.97658184507776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0</v>
      </c>
      <c r="AV187" s="23">
        <f>EXP(-LN(2)/25)*AV186+(1-EXP(-LN(2)/25))/(LN(2)/25)*Calculateur!AQ187*Calculateur!AS187*VLOOKUP('Données projet'!$B$10,Paramètres!$A$1:$I$89,3,0)*0.475*44/12</f>
        <v>0</v>
      </c>
      <c r="AW187" s="23">
        <f>EXP(-LN(2)/2)*AW186+(1-EXP(-LN(2)/2))/(LN(2)/2)*AQ187*AT187*VLOOKUP('Données projet'!$B$10,Paramètres!$A$1:$I$89,3,0)*0.475*44/12</f>
        <v>0</v>
      </c>
      <c r="AX187" s="23">
        <f t="shared" si="166"/>
        <v>0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0</v>
      </c>
      <c r="BE187" s="14" t="e">
        <f>BD187*VLOOKUP('Données projet'!$B$11,Paramètres!$A$1:$I$89,3,0)*VLOOKUP('Données projet'!$B$11,Paramètres!$A$1:$I$89,5,0)</f>
        <v>#N/A</v>
      </c>
      <c r="BF187" s="14" t="e">
        <f t="shared" si="167"/>
        <v>#N/A</v>
      </c>
      <c r="BG187" s="22" t="e">
        <f t="shared" si="168"/>
        <v>#N/A</v>
      </c>
      <c r="BH187" s="62" t="e">
        <f t="shared" si="116"/>
        <v>#N/A</v>
      </c>
      <c r="BI187" s="62" t="e">
        <f ca="1">AVERAGE(OFFSET($BH$3,0,0,'Données projet'!$E$11+1,1))-AVERAGE(OFFSET($H$3,0,0,'Données projet'!$E$11+1,1))</f>
        <v>#N/A</v>
      </c>
      <c r="BJ187" s="62" t="e">
        <f t="shared" si="146"/>
        <v>#N/A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 t="e">
        <f>EXP(-LN(2)/35)*BP186+(1-EXP(-LN(2)/35))/(LN(2)/35)*BL187*BM187*VLOOKUP('Données projet'!$B$11,Paramètres!$A$1:$I$89,3,0)*0.475*44/12</f>
        <v>#N/A</v>
      </c>
      <c r="BQ187" s="23" t="e">
        <f>EXP(-LN(2)/25)*BQ186+(1-EXP(-LN(2)/25))/(LN(2)/25)*Calculateur!BL187*Calculateur!BN187*VLOOKUP('Données projet'!$B$11,Paramètres!$A$1:$I$89,3,0)*0.475*44/12</f>
        <v>#N/A</v>
      </c>
      <c r="BR187" s="23" t="e">
        <f>EXP(-LN(2)/2)*BR186+(1-EXP(-LN(2)/2))/(LN(2)/2)*BL187*BO187*VLOOKUP('Données projet'!$B$11,Paramètres!$A$1:$I$89,3,0)*0.475*44/12</f>
        <v>#N/A</v>
      </c>
      <c r="BS187" s="24" t="e">
        <f t="shared" si="169"/>
        <v>#N/A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0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0</v>
      </c>
      <c r="H188" s="70">
        <f t="shared" si="110"/>
        <v>256.66666666666669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-5.6843418860808015E-13</v>
      </c>
      <c r="O188" s="14">
        <f>N188*VLOOKUP('Données projet'!$B$9,Paramètres!$A$1:$I$89,3,0)*VLOOKUP('Données projet'!$B$9,Paramètres!$A$1:$I$89,5,0)</f>
        <v>-2.6602720026858149E-13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302.58171900450355</v>
      </c>
      <c r="T188" s="62">
        <f t="shared" si="142"/>
        <v>164.1450425611464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0</v>
      </c>
      <c r="AA188" s="23">
        <f>EXP(-LN(2)/25)*AA187+(1-EXP(-LN(2)/25))/(LN(2)/25)*Calculateur!V188*Calculateur!X188*VLOOKUP('Données projet'!$B$9,Paramètres!$A$1:$I$89,3,0)*0.475*44/12</f>
        <v>0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0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-5.6843418860808015E-14</v>
      </c>
      <c r="AJ188" s="14">
        <f>AI188*VLOOKUP('Données projet'!$B$10,Paramètres!$A$1:$I$89,3,0)*VLOOKUP('Données projet'!$B$10,Paramètres!$A$1:$I$89,5,0)</f>
        <v>-6.1186256061773749E-14</v>
      </c>
      <c r="AK188" s="14" t="e">
        <f t="shared" si="164"/>
        <v>#NUM!</v>
      </c>
      <c r="AL188" s="22" t="e">
        <f t="shared" si="165"/>
        <v>#NUM!</v>
      </c>
      <c r="AM188" s="62" t="e">
        <f t="shared" si="113"/>
        <v>#NUM!</v>
      </c>
      <c r="AN188" s="62">
        <f ca="1">AVERAGE(OFFSET($AM$3,0,0,'Données projet'!$E$10+1,1))-AVERAGE(OFFSET($H$3,0,0,'Données projet'!$E$10+1,1))</f>
        <v>327.4984716935208</v>
      </c>
      <c r="AO188" s="62">
        <f t="shared" si="144"/>
        <v>166.97658184507776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0</v>
      </c>
      <c r="AV188" s="23">
        <f>EXP(-LN(2)/25)*AV187+(1-EXP(-LN(2)/25))/(LN(2)/25)*Calculateur!AQ188*Calculateur!AS188*VLOOKUP('Données projet'!$B$10,Paramètres!$A$1:$I$89,3,0)*0.475*44/12</f>
        <v>0</v>
      </c>
      <c r="AW188" s="23">
        <f>EXP(-LN(2)/2)*AW187+(1-EXP(-LN(2)/2))/(LN(2)/2)*AQ188*AT188*VLOOKUP('Données projet'!$B$10,Paramètres!$A$1:$I$89,3,0)*0.475*44/12</f>
        <v>0</v>
      </c>
      <c r="AX188" s="23">
        <f t="shared" si="166"/>
        <v>0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0</v>
      </c>
      <c r="BE188" s="14" t="e">
        <f>BD188*VLOOKUP('Données projet'!$B$11,Paramètres!$A$1:$I$89,3,0)*VLOOKUP('Données projet'!$B$11,Paramètres!$A$1:$I$89,5,0)</f>
        <v>#N/A</v>
      </c>
      <c r="BF188" s="14" t="e">
        <f t="shared" si="167"/>
        <v>#N/A</v>
      </c>
      <c r="BG188" s="22" t="e">
        <f t="shared" si="168"/>
        <v>#N/A</v>
      </c>
      <c r="BH188" s="62" t="e">
        <f t="shared" si="116"/>
        <v>#N/A</v>
      </c>
      <c r="BI188" s="62" t="e">
        <f ca="1">AVERAGE(OFFSET($BH$3,0,0,'Données projet'!$E$11+1,1))-AVERAGE(OFFSET($H$3,0,0,'Données projet'!$E$11+1,1))</f>
        <v>#N/A</v>
      </c>
      <c r="BJ188" s="62" t="e">
        <f t="shared" si="146"/>
        <v>#N/A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 t="e">
        <f>EXP(-LN(2)/35)*BP187+(1-EXP(-LN(2)/35))/(LN(2)/35)*BL188*BM188*VLOOKUP('Données projet'!$B$11,Paramètres!$A$1:$I$89,3,0)*0.475*44/12</f>
        <v>#N/A</v>
      </c>
      <c r="BQ188" s="23" t="e">
        <f>EXP(-LN(2)/25)*BQ187+(1-EXP(-LN(2)/25))/(LN(2)/25)*Calculateur!BL188*Calculateur!BN188*VLOOKUP('Données projet'!$B$11,Paramètres!$A$1:$I$89,3,0)*0.475*44/12</f>
        <v>#N/A</v>
      </c>
      <c r="BR188" s="23" t="e">
        <f>EXP(-LN(2)/2)*BR187+(1-EXP(-LN(2)/2))/(LN(2)/2)*BL188*BO188*VLOOKUP('Données projet'!$B$11,Paramètres!$A$1:$I$89,3,0)*0.475*44/12</f>
        <v>#N/A</v>
      </c>
      <c r="BS188" s="24" t="e">
        <f t="shared" si="169"/>
        <v>#N/A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0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0</v>
      </c>
      <c r="H189" s="70">
        <f t="shared" si="110"/>
        <v>256.66666666666669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-5.6843418860808015E-13</v>
      </c>
      <c r="O189" s="14">
        <f>N189*VLOOKUP('Données projet'!$B$9,Paramètres!$A$1:$I$89,3,0)*VLOOKUP('Données projet'!$B$9,Paramètres!$A$1:$I$89,5,0)</f>
        <v>-2.6602720026858149E-13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302.58171900450355</v>
      </c>
      <c r="T189" s="62">
        <f t="shared" si="142"/>
        <v>164.1450425611464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0</v>
      </c>
      <c r="AA189" s="23">
        <f>EXP(-LN(2)/25)*AA188+(1-EXP(-LN(2)/25))/(LN(2)/25)*Calculateur!V189*Calculateur!X189*VLOOKUP('Données projet'!$B$9,Paramètres!$A$1:$I$89,3,0)*0.475*44/12</f>
        <v>0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0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-5.6843418860808015E-14</v>
      </c>
      <c r="AJ189" s="14">
        <f>AI189*VLOOKUP('Données projet'!$B$10,Paramètres!$A$1:$I$89,3,0)*VLOOKUP('Données projet'!$B$10,Paramètres!$A$1:$I$89,5,0)</f>
        <v>-6.1186256061773749E-14</v>
      </c>
      <c r="AK189" s="14" t="e">
        <f t="shared" si="164"/>
        <v>#NUM!</v>
      </c>
      <c r="AL189" s="22" t="e">
        <f t="shared" si="165"/>
        <v>#NUM!</v>
      </c>
      <c r="AM189" s="62" t="e">
        <f t="shared" si="113"/>
        <v>#NUM!</v>
      </c>
      <c r="AN189" s="62">
        <f ca="1">AVERAGE(OFFSET($AM$3,0,0,'Données projet'!$E$10+1,1))-AVERAGE(OFFSET($H$3,0,0,'Données projet'!$E$10+1,1))</f>
        <v>327.4984716935208</v>
      </c>
      <c r="AO189" s="62">
        <f t="shared" si="144"/>
        <v>166.97658184507776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0</v>
      </c>
      <c r="AV189" s="23">
        <f>EXP(-LN(2)/25)*AV188+(1-EXP(-LN(2)/25))/(LN(2)/25)*Calculateur!AQ189*Calculateur!AS189*VLOOKUP('Données projet'!$B$10,Paramètres!$A$1:$I$89,3,0)*0.475*44/12</f>
        <v>0</v>
      </c>
      <c r="AW189" s="23">
        <f>EXP(-LN(2)/2)*AW188+(1-EXP(-LN(2)/2))/(LN(2)/2)*AQ189*AT189*VLOOKUP('Données projet'!$B$10,Paramètres!$A$1:$I$89,3,0)*0.475*44/12</f>
        <v>0</v>
      </c>
      <c r="AX189" s="23">
        <f t="shared" si="166"/>
        <v>0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0</v>
      </c>
      <c r="BE189" s="14" t="e">
        <f>BD189*VLOOKUP('Données projet'!$B$11,Paramètres!$A$1:$I$89,3,0)*VLOOKUP('Données projet'!$B$11,Paramètres!$A$1:$I$89,5,0)</f>
        <v>#N/A</v>
      </c>
      <c r="BF189" s="14" t="e">
        <f t="shared" si="167"/>
        <v>#N/A</v>
      </c>
      <c r="BG189" s="22" t="e">
        <f t="shared" si="168"/>
        <v>#N/A</v>
      </c>
      <c r="BH189" s="62" t="e">
        <f t="shared" si="116"/>
        <v>#N/A</v>
      </c>
      <c r="BI189" s="62" t="e">
        <f ca="1">AVERAGE(OFFSET($BH$3,0,0,'Données projet'!$E$11+1,1))-AVERAGE(OFFSET($H$3,0,0,'Données projet'!$E$11+1,1))</f>
        <v>#N/A</v>
      </c>
      <c r="BJ189" s="62" t="e">
        <f t="shared" si="146"/>
        <v>#N/A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 t="e">
        <f>EXP(-LN(2)/35)*BP188+(1-EXP(-LN(2)/35))/(LN(2)/35)*BL189*BM189*VLOOKUP('Données projet'!$B$11,Paramètres!$A$1:$I$89,3,0)*0.475*44/12</f>
        <v>#N/A</v>
      </c>
      <c r="BQ189" s="23" t="e">
        <f>EXP(-LN(2)/25)*BQ188+(1-EXP(-LN(2)/25))/(LN(2)/25)*Calculateur!BL189*Calculateur!BN189*VLOOKUP('Données projet'!$B$11,Paramètres!$A$1:$I$89,3,0)*0.475*44/12</f>
        <v>#N/A</v>
      </c>
      <c r="BR189" s="23" t="e">
        <f>EXP(-LN(2)/2)*BR188+(1-EXP(-LN(2)/2))/(LN(2)/2)*BL189*BO189*VLOOKUP('Données projet'!$B$11,Paramètres!$A$1:$I$89,3,0)*0.475*44/12</f>
        <v>#N/A</v>
      </c>
      <c r="BS189" s="24" t="e">
        <f t="shared" si="169"/>
        <v>#N/A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0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0</v>
      </c>
      <c r="H190" s="70">
        <f t="shared" si="110"/>
        <v>256.66666666666669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-5.6843418860808015E-13</v>
      </c>
      <c r="O190" s="14">
        <f>N190*VLOOKUP('Données projet'!$B$9,Paramètres!$A$1:$I$89,3,0)*VLOOKUP('Données projet'!$B$9,Paramètres!$A$1:$I$89,5,0)</f>
        <v>-2.6602720026858149E-13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302.58171900450355</v>
      </c>
      <c r="T190" s="62">
        <f t="shared" si="142"/>
        <v>164.1450425611464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0</v>
      </c>
      <c r="AA190" s="23">
        <f>EXP(-LN(2)/25)*AA189+(1-EXP(-LN(2)/25))/(LN(2)/25)*Calculateur!V190*Calculateur!X190*VLOOKUP('Données projet'!$B$9,Paramètres!$A$1:$I$89,3,0)*0.475*44/12</f>
        <v>0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0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-5.6843418860808015E-14</v>
      </c>
      <c r="AJ190" s="14">
        <f>AI190*VLOOKUP('Données projet'!$B$10,Paramètres!$A$1:$I$89,3,0)*VLOOKUP('Données projet'!$B$10,Paramètres!$A$1:$I$89,5,0)</f>
        <v>-6.1186256061773749E-14</v>
      </c>
      <c r="AK190" s="14" t="e">
        <f t="shared" si="164"/>
        <v>#NUM!</v>
      </c>
      <c r="AL190" s="22" t="e">
        <f t="shared" si="165"/>
        <v>#NUM!</v>
      </c>
      <c r="AM190" s="62" t="e">
        <f t="shared" si="113"/>
        <v>#NUM!</v>
      </c>
      <c r="AN190" s="62">
        <f ca="1">AVERAGE(OFFSET($AM$3,0,0,'Données projet'!$E$10+1,1))-AVERAGE(OFFSET($H$3,0,0,'Données projet'!$E$10+1,1))</f>
        <v>327.4984716935208</v>
      </c>
      <c r="AO190" s="62">
        <f t="shared" si="144"/>
        <v>166.97658184507776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0</v>
      </c>
      <c r="AV190" s="23">
        <f>EXP(-LN(2)/25)*AV189+(1-EXP(-LN(2)/25))/(LN(2)/25)*Calculateur!AQ190*Calculateur!AS190*VLOOKUP('Données projet'!$B$10,Paramètres!$A$1:$I$89,3,0)*0.475*44/12</f>
        <v>0</v>
      </c>
      <c r="AW190" s="23">
        <f>EXP(-LN(2)/2)*AW189+(1-EXP(-LN(2)/2))/(LN(2)/2)*AQ190*AT190*VLOOKUP('Données projet'!$B$10,Paramètres!$A$1:$I$89,3,0)*0.475*44/12</f>
        <v>0</v>
      </c>
      <c r="AX190" s="23">
        <f t="shared" si="166"/>
        <v>0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0</v>
      </c>
      <c r="BE190" s="14" t="e">
        <f>BD190*VLOOKUP('Données projet'!$B$11,Paramètres!$A$1:$I$89,3,0)*VLOOKUP('Données projet'!$B$11,Paramètres!$A$1:$I$89,5,0)</f>
        <v>#N/A</v>
      </c>
      <c r="BF190" s="14" t="e">
        <f t="shared" si="167"/>
        <v>#N/A</v>
      </c>
      <c r="BG190" s="22" t="e">
        <f t="shared" si="168"/>
        <v>#N/A</v>
      </c>
      <c r="BH190" s="62" t="e">
        <f t="shared" si="116"/>
        <v>#N/A</v>
      </c>
      <c r="BI190" s="62" t="e">
        <f ca="1">AVERAGE(OFFSET($BH$3,0,0,'Données projet'!$E$11+1,1))-AVERAGE(OFFSET($H$3,0,0,'Données projet'!$E$11+1,1))</f>
        <v>#N/A</v>
      </c>
      <c r="BJ190" s="62" t="e">
        <f t="shared" si="146"/>
        <v>#N/A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 t="e">
        <f>EXP(-LN(2)/35)*BP189+(1-EXP(-LN(2)/35))/(LN(2)/35)*BL190*BM190*VLOOKUP('Données projet'!$B$11,Paramètres!$A$1:$I$89,3,0)*0.475*44/12</f>
        <v>#N/A</v>
      </c>
      <c r="BQ190" s="23" t="e">
        <f>EXP(-LN(2)/25)*BQ189+(1-EXP(-LN(2)/25))/(LN(2)/25)*Calculateur!BL190*Calculateur!BN190*VLOOKUP('Données projet'!$B$11,Paramètres!$A$1:$I$89,3,0)*0.475*44/12</f>
        <v>#N/A</v>
      </c>
      <c r="BR190" s="23" t="e">
        <f>EXP(-LN(2)/2)*BR189+(1-EXP(-LN(2)/2))/(LN(2)/2)*BL190*BO190*VLOOKUP('Données projet'!$B$11,Paramètres!$A$1:$I$89,3,0)*0.475*44/12</f>
        <v>#N/A</v>
      </c>
      <c r="BS190" s="24" t="e">
        <f t="shared" si="169"/>
        <v>#N/A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0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0</v>
      </c>
      <c r="H191" s="70">
        <f t="shared" si="110"/>
        <v>256.66666666666669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-5.6843418860808015E-13</v>
      </c>
      <c r="O191" s="14">
        <f>N191*VLOOKUP('Données projet'!$B$9,Paramètres!$A$1:$I$89,3,0)*VLOOKUP('Données projet'!$B$9,Paramètres!$A$1:$I$89,5,0)</f>
        <v>-2.6602720026858149E-13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302.58171900450355</v>
      </c>
      <c r="T191" s="62">
        <f t="shared" si="142"/>
        <v>164.1450425611464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0</v>
      </c>
      <c r="AA191" s="23">
        <f>EXP(-LN(2)/25)*AA190+(1-EXP(-LN(2)/25))/(LN(2)/25)*Calculateur!V191*Calculateur!X191*VLOOKUP('Données projet'!$B$9,Paramètres!$A$1:$I$89,3,0)*0.475*44/12</f>
        <v>0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0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-5.6843418860808015E-14</v>
      </c>
      <c r="AJ191" s="14">
        <f>AI191*VLOOKUP('Données projet'!$B$10,Paramètres!$A$1:$I$89,3,0)*VLOOKUP('Données projet'!$B$10,Paramètres!$A$1:$I$89,5,0)</f>
        <v>-6.1186256061773749E-14</v>
      </c>
      <c r="AK191" s="14" t="e">
        <f t="shared" si="164"/>
        <v>#NUM!</v>
      </c>
      <c r="AL191" s="22" t="e">
        <f t="shared" si="165"/>
        <v>#NUM!</v>
      </c>
      <c r="AM191" s="62" t="e">
        <f t="shared" si="113"/>
        <v>#NUM!</v>
      </c>
      <c r="AN191" s="62">
        <f ca="1">AVERAGE(OFFSET($AM$3,0,0,'Données projet'!$E$10+1,1))-AVERAGE(OFFSET($H$3,0,0,'Données projet'!$E$10+1,1))</f>
        <v>327.4984716935208</v>
      </c>
      <c r="AO191" s="62">
        <f t="shared" si="144"/>
        <v>166.97658184507776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0</v>
      </c>
      <c r="AV191" s="23">
        <f>EXP(-LN(2)/25)*AV190+(1-EXP(-LN(2)/25))/(LN(2)/25)*Calculateur!AQ191*Calculateur!AS191*VLOOKUP('Données projet'!$B$10,Paramètres!$A$1:$I$89,3,0)*0.475*44/12</f>
        <v>0</v>
      </c>
      <c r="AW191" s="23">
        <f>EXP(-LN(2)/2)*AW190+(1-EXP(-LN(2)/2))/(LN(2)/2)*AQ191*AT191*VLOOKUP('Données projet'!$B$10,Paramètres!$A$1:$I$89,3,0)*0.475*44/12</f>
        <v>0</v>
      </c>
      <c r="AX191" s="23">
        <f t="shared" si="166"/>
        <v>0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0</v>
      </c>
      <c r="BE191" s="14" t="e">
        <f>BD191*VLOOKUP('Données projet'!$B$11,Paramètres!$A$1:$I$89,3,0)*VLOOKUP('Données projet'!$B$11,Paramètres!$A$1:$I$89,5,0)</f>
        <v>#N/A</v>
      </c>
      <c r="BF191" s="14" t="e">
        <f t="shared" si="167"/>
        <v>#N/A</v>
      </c>
      <c r="BG191" s="22" t="e">
        <f t="shared" si="168"/>
        <v>#N/A</v>
      </c>
      <c r="BH191" s="62" t="e">
        <f t="shared" si="116"/>
        <v>#N/A</v>
      </c>
      <c r="BI191" s="62" t="e">
        <f ca="1">AVERAGE(OFFSET($BH$3,0,0,'Données projet'!$E$11+1,1))-AVERAGE(OFFSET($H$3,0,0,'Données projet'!$E$11+1,1))</f>
        <v>#N/A</v>
      </c>
      <c r="BJ191" s="62" t="e">
        <f t="shared" si="146"/>
        <v>#N/A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 t="e">
        <f>EXP(-LN(2)/35)*BP190+(1-EXP(-LN(2)/35))/(LN(2)/35)*BL191*BM191*VLOOKUP('Données projet'!$B$11,Paramètres!$A$1:$I$89,3,0)*0.475*44/12</f>
        <v>#N/A</v>
      </c>
      <c r="BQ191" s="23" t="e">
        <f>EXP(-LN(2)/25)*BQ190+(1-EXP(-LN(2)/25))/(LN(2)/25)*Calculateur!BL191*Calculateur!BN191*VLOOKUP('Données projet'!$B$11,Paramètres!$A$1:$I$89,3,0)*0.475*44/12</f>
        <v>#N/A</v>
      </c>
      <c r="BR191" s="23" t="e">
        <f>EXP(-LN(2)/2)*BR190+(1-EXP(-LN(2)/2))/(LN(2)/2)*BL191*BO191*VLOOKUP('Données projet'!$B$11,Paramètres!$A$1:$I$89,3,0)*0.475*44/12</f>
        <v>#N/A</v>
      </c>
      <c r="BS191" s="24" t="e">
        <f t="shared" si="169"/>
        <v>#N/A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0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0</v>
      </c>
      <c r="H192" s="70">
        <f t="shared" si="110"/>
        <v>256.66666666666669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-5.6843418860808015E-13</v>
      </c>
      <c r="O192" s="14">
        <f>N192*VLOOKUP('Données projet'!$B$9,Paramètres!$A$1:$I$89,3,0)*VLOOKUP('Données projet'!$B$9,Paramètres!$A$1:$I$89,5,0)</f>
        <v>-2.6602720026858149E-13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302.58171900450355</v>
      </c>
      <c r="T192" s="62">
        <f t="shared" si="142"/>
        <v>164.1450425611464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0</v>
      </c>
      <c r="AA192" s="23">
        <f>EXP(-LN(2)/25)*AA191+(1-EXP(-LN(2)/25))/(LN(2)/25)*Calculateur!V192*Calculateur!X192*VLOOKUP('Données projet'!$B$9,Paramètres!$A$1:$I$89,3,0)*0.475*44/12</f>
        <v>0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0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-5.6843418860808015E-14</v>
      </c>
      <c r="AJ192" s="14">
        <f>AI192*VLOOKUP('Données projet'!$B$10,Paramètres!$A$1:$I$89,3,0)*VLOOKUP('Données projet'!$B$10,Paramètres!$A$1:$I$89,5,0)</f>
        <v>-6.1186256061773749E-14</v>
      </c>
      <c r="AK192" s="14" t="e">
        <f t="shared" si="164"/>
        <v>#NUM!</v>
      </c>
      <c r="AL192" s="22" t="e">
        <f t="shared" si="165"/>
        <v>#NUM!</v>
      </c>
      <c r="AM192" s="62" t="e">
        <f t="shared" si="113"/>
        <v>#NUM!</v>
      </c>
      <c r="AN192" s="62">
        <f ca="1">AVERAGE(OFFSET($AM$3,0,0,'Données projet'!$E$10+1,1))-AVERAGE(OFFSET($H$3,0,0,'Données projet'!$E$10+1,1))</f>
        <v>327.4984716935208</v>
      </c>
      <c r="AO192" s="62">
        <f t="shared" si="144"/>
        <v>166.97658184507776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0</v>
      </c>
      <c r="AV192" s="23">
        <f>EXP(-LN(2)/25)*AV191+(1-EXP(-LN(2)/25))/(LN(2)/25)*Calculateur!AQ192*Calculateur!AS192*VLOOKUP('Données projet'!$B$10,Paramètres!$A$1:$I$89,3,0)*0.475*44/12</f>
        <v>0</v>
      </c>
      <c r="AW192" s="23">
        <f>EXP(-LN(2)/2)*AW191+(1-EXP(-LN(2)/2))/(LN(2)/2)*AQ192*AT192*VLOOKUP('Données projet'!$B$10,Paramètres!$A$1:$I$89,3,0)*0.475*44/12</f>
        <v>0</v>
      </c>
      <c r="AX192" s="23">
        <f t="shared" si="166"/>
        <v>0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0</v>
      </c>
      <c r="BE192" s="14" t="e">
        <f>BD192*VLOOKUP('Données projet'!$B$11,Paramètres!$A$1:$I$89,3,0)*VLOOKUP('Données projet'!$B$11,Paramètres!$A$1:$I$89,5,0)</f>
        <v>#N/A</v>
      </c>
      <c r="BF192" s="14" t="e">
        <f t="shared" si="167"/>
        <v>#N/A</v>
      </c>
      <c r="BG192" s="22" t="e">
        <f t="shared" si="168"/>
        <v>#N/A</v>
      </c>
      <c r="BH192" s="62" t="e">
        <f t="shared" si="116"/>
        <v>#N/A</v>
      </c>
      <c r="BI192" s="62" t="e">
        <f ca="1">AVERAGE(OFFSET($BH$3,0,0,'Données projet'!$E$11+1,1))-AVERAGE(OFFSET($H$3,0,0,'Données projet'!$E$11+1,1))</f>
        <v>#N/A</v>
      </c>
      <c r="BJ192" s="62" t="e">
        <f t="shared" si="146"/>
        <v>#N/A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 t="e">
        <f>EXP(-LN(2)/35)*BP191+(1-EXP(-LN(2)/35))/(LN(2)/35)*BL192*BM192*VLOOKUP('Données projet'!$B$11,Paramètres!$A$1:$I$89,3,0)*0.475*44/12</f>
        <v>#N/A</v>
      </c>
      <c r="BQ192" s="23" t="e">
        <f>EXP(-LN(2)/25)*BQ191+(1-EXP(-LN(2)/25))/(LN(2)/25)*Calculateur!BL192*Calculateur!BN192*VLOOKUP('Données projet'!$B$11,Paramètres!$A$1:$I$89,3,0)*0.475*44/12</f>
        <v>#N/A</v>
      </c>
      <c r="BR192" s="23" t="e">
        <f>EXP(-LN(2)/2)*BR191+(1-EXP(-LN(2)/2))/(LN(2)/2)*BL192*BO192*VLOOKUP('Données projet'!$B$11,Paramètres!$A$1:$I$89,3,0)*0.475*44/12</f>
        <v>#N/A</v>
      </c>
      <c r="BS192" s="24" t="e">
        <f t="shared" si="169"/>
        <v>#N/A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0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0</v>
      </c>
      <c r="H193" s="70">
        <f t="shared" si="110"/>
        <v>256.66666666666669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-5.6843418860808015E-13</v>
      </c>
      <c r="O193" s="14">
        <f>N193*VLOOKUP('Données projet'!$B$9,Paramètres!$A$1:$I$89,3,0)*VLOOKUP('Données projet'!$B$9,Paramètres!$A$1:$I$89,5,0)</f>
        <v>-2.6602720026858149E-13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302.58171900450355</v>
      </c>
      <c r="T193" s="62">
        <f t="shared" si="142"/>
        <v>164.1450425611464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0</v>
      </c>
      <c r="AA193" s="23">
        <f>EXP(-LN(2)/25)*AA192+(1-EXP(-LN(2)/25))/(LN(2)/25)*Calculateur!V193*Calculateur!X193*VLOOKUP('Données projet'!$B$9,Paramètres!$A$1:$I$89,3,0)*0.475*44/12</f>
        <v>0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0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-5.6843418860808015E-14</v>
      </c>
      <c r="AJ193" s="14">
        <f>AI193*VLOOKUP('Données projet'!$B$10,Paramètres!$A$1:$I$89,3,0)*VLOOKUP('Données projet'!$B$10,Paramètres!$A$1:$I$89,5,0)</f>
        <v>-6.1186256061773749E-14</v>
      </c>
      <c r="AK193" s="14" t="e">
        <f t="shared" si="164"/>
        <v>#NUM!</v>
      </c>
      <c r="AL193" s="22" t="e">
        <f t="shared" si="165"/>
        <v>#NUM!</v>
      </c>
      <c r="AM193" s="62" t="e">
        <f t="shared" si="113"/>
        <v>#NUM!</v>
      </c>
      <c r="AN193" s="62">
        <f ca="1">AVERAGE(OFFSET($AM$3,0,0,'Données projet'!$E$10+1,1))-AVERAGE(OFFSET($H$3,0,0,'Données projet'!$E$10+1,1))</f>
        <v>327.4984716935208</v>
      </c>
      <c r="AO193" s="62">
        <f t="shared" si="144"/>
        <v>166.97658184507776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0</v>
      </c>
      <c r="AV193" s="23">
        <f>EXP(-LN(2)/25)*AV192+(1-EXP(-LN(2)/25))/(LN(2)/25)*Calculateur!AQ193*Calculateur!AS193*VLOOKUP('Données projet'!$B$10,Paramètres!$A$1:$I$89,3,0)*0.475*44/12</f>
        <v>0</v>
      </c>
      <c r="AW193" s="23">
        <f>EXP(-LN(2)/2)*AW192+(1-EXP(-LN(2)/2))/(LN(2)/2)*AQ193*AT193*VLOOKUP('Données projet'!$B$10,Paramètres!$A$1:$I$89,3,0)*0.475*44/12</f>
        <v>0</v>
      </c>
      <c r="AX193" s="23">
        <f t="shared" si="166"/>
        <v>0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0</v>
      </c>
      <c r="BE193" s="14" t="e">
        <f>BD193*VLOOKUP('Données projet'!$B$11,Paramètres!$A$1:$I$89,3,0)*VLOOKUP('Données projet'!$B$11,Paramètres!$A$1:$I$89,5,0)</f>
        <v>#N/A</v>
      </c>
      <c r="BF193" s="14" t="e">
        <f t="shared" si="167"/>
        <v>#N/A</v>
      </c>
      <c r="BG193" s="22" t="e">
        <f t="shared" si="168"/>
        <v>#N/A</v>
      </c>
      <c r="BH193" s="62" t="e">
        <f t="shared" si="116"/>
        <v>#N/A</v>
      </c>
      <c r="BI193" s="62" t="e">
        <f ca="1">AVERAGE(OFFSET($BH$3,0,0,'Données projet'!$E$11+1,1))-AVERAGE(OFFSET($H$3,0,0,'Données projet'!$E$11+1,1))</f>
        <v>#N/A</v>
      </c>
      <c r="BJ193" s="62" t="e">
        <f t="shared" si="146"/>
        <v>#N/A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 t="e">
        <f>EXP(-LN(2)/35)*BP192+(1-EXP(-LN(2)/35))/(LN(2)/35)*BL193*BM193*VLOOKUP('Données projet'!$B$11,Paramètres!$A$1:$I$89,3,0)*0.475*44/12</f>
        <v>#N/A</v>
      </c>
      <c r="BQ193" s="23" t="e">
        <f>EXP(-LN(2)/25)*BQ192+(1-EXP(-LN(2)/25))/(LN(2)/25)*Calculateur!BL193*Calculateur!BN193*VLOOKUP('Données projet'!$B$11,Paramètres!$A$1:$I$89,3,0)*0.475*44/12</f>
        <v>#N/A</v>
      </c>
      <c r="BR193" s="23" t="e">
        <f>EXP(-LN(2)/2)*BR192+(1-EXP(-LN(2)/2))/(LN(2)/2)*BL193*BO193*VLOOKUP('Données projet'!$B$11,Paramètres!$A$1:$I$89,3,0)*0.475*44/12</f>
        <v>#N/A</v>
      </c>
      <c r="BS193" s="24" t="e">
        <f t="shared" si="169"/>
        <v>#N/A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0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0</v>
      </c>
      <c r="H194" s="70">
        <f t="shared" si="110"/>
        <v>256.66666666666669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-5.6843418860808015E-13</v>
      </c>
      <c r="O194" s="14">
        <f>N194*VLOOKUP('Données projet'!$B$9,Paramètres!$A$1:$I$89,3,0)*VLOOKUP('Données projet'!$B$9,Paramètres!$A$1:$I$89,5,0)</f>
        <v>-2.6602720026858149E-13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302.58171900450355</v>
      </c>
      <c r="T194" s="62">
        <f t="shared" si="142"/>
        <v>164.1450425611464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0</v>
      </c>
      <c r="AA194" s="23">
        <f>EXP(-LN(2)/25)*AA193+(1-EXP(-LN(2)/25))/(LN(2)/25)*Calculateur!V194*Calculateur!X194*VLOOKUP('Données projet'!$B$9,Paramètres!$A$1:$I$89,3,0)*0.475*44/12</f>
        <v>0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0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-5.6843418860808015E-14</v>
      </c>
      <c r="AJ194" s="14">
        <f>AI194*VLOOKUP('Données projet'!$B$10,Paramètres!$A$1:$I$89,3,0)*VLOOKUP('Données projet'!$B$10,Paramètres!$A$1:$I$89,5,0)</f>
        <v>-6.1186256061773749E-14</v>
      </c>
      <c r="AK194" s="14" t="e">
        <f t="shared" si="164"/>
        <v>#NUM!</v>
      </c>
      <c r="AL194" s="22" t="e">
        <f t="shared" si="165"/>
        <v>#NUM!</v>
      </c>
      <c r="AM194" s="62" t="e">
        <f t="shared" si="113"/>
        <v>#NUM!</v>
      </c>
      <c r="AN194" s="62">
        <f ca="1">AVERAGE(OFFSET($AM$3,0,0,'Données projet'!$E$10+1,1))-AVERAGE(OFFSET($H$3,0,0,'Données projet'!$E$10+1,1))</f>
        <v>327.4984716935208</v>
      </c>
      <c r="AO194" s="62">
        <f t="shared" si="144"/>
        <v>166.97658184507776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0</v>
      </c>
      <c r="AV194" s="23">
        <f>EXP(-LN(2)/25)*AV193+(1-EXP(-LN(2)/25))/(LN(2)/25)*Calculateur!AQ194*Calculateur!AS194*VLOOKUP('Données projet'!$B$10,Paramètres!$A$1:$I$89,3,0)*0.475*44/12</f>
        <v>0</v>
      </c>
      <c r="AW194" s="23">
        <f>EXP(-LN(2)/2)*AW193+(1-EXP(-LN(2)/2))/(LN(2)/2)*AQ194*AT194*VLOOKUP('Données projet'!$B$10,Paramètres!$A$1:$I$89,3,0)*0.475*44/12</f>
        <v>0</v>
      </c>
      <c r="AX194" s="23">
        <f t="shared" si="166"/>
        <v>0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0</v>
      </c>
      <c r="BE194" s="14" t="e">
        <f>BD194*VLOOKUP('Données projet'!$B$11,Paramètres!$A$1:$I$89,3,0)*VLOOKUP('Données projet'!$B$11,Paramètres!$A$1:$I$89,5,0)</f>
        <v>#N/A</v>
      </c>
      <c r="BF194" s="14" t="e">
        <f t="shared" si="167"/>
        <v>#N/A</v>
      </c>
      <c r="BG194" s="22" t="e">
        <f t="shared" si="168"/>
        <v>#N/A</v>
      </c>
      <c r="BH194" s="62" t="e">
        <f t="shared" si="116"/>
        <v>#N/A</v>
      </c>
      <c r="BI194" s="62" t="e">
        <f ca="1">AVERAGE(OFFSET($BH$3,0,0,'Données projet'!$E$11+1,1))-AVERAGE(OFFSET($H$3,0,0,'Données projet'!$E$11+1,1))</f>
        <v>#N/A</v>
      </c>
      <c r="BJ194" s="62" t="e">
        <f t="shared" si="146"/>
        <v>#N/A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 t="e">
        <f>EXP(-LN(2)/35)*BP193+(1-EXP(-LN(2)/35))/(LN(2)/35)*BL194*BM194*VLOOKUP('Données projet'!$B$11,Paramètres!$A$1:$I$89,3,0)*0.475*44/12</f>
        <v>#N/A</v>
      </c>
      <c r="BQ194" s="23" t="e">
        <f>EXP(-LN(2)/25)*BQ193+(1-EXP(-LN(2)/25))/(LN(2)/25)*Calculateur!BL194*Calculateur!BN194*VLOOKUP('Données projet'!$B$11,Paramètres!$A$1:$I$89,3,0)*0.475*44/12</f>
        <v>#N/A</v>
      </c>
      <c r="BR194" s="23" t="e">
        <f>EXP(-LN(2)/2)*BR193+(1-EXP(-LN(2)/2))/(LN(2)/2)*BL194*BO194*VLOOKUP('Données projet'!$B$11,Paramètres!$A$1:$I$89,3,0)*0.475*44/12</f>
        <v>#N/A</v>
      </c>
      <c r="BS194" s="24" t="e">
        <f t="shared" si="169"/>
        <v>#N/A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0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0</v>
      </c>
      <c r="H195" s="70">
        <f t="shared" si="110"/>
        <v>256.66666666666669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-5.6843418860808015E-13</v>
      </c>
      <c r="O195" s="14">
        <f>N195*VLOOKUP('Données projet'!$B$9,Paramètres!$A$1:$I$89,3,0)*VLOOKUP('Données projet'!$B$9,Paramètres!$A$1:$I$89,5,0)</f>
        <v>-2.6602720026858149E-13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302.58171900450355</v>
      </c>
      <c r="T195" s="62">
        <f t="shared" si="142"/>
        <v>164.1450425611464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0</v>
      </c>
      <c r="AA195" s="23">
        <f>EXP(-LN(2)/25)*AA194+(1-EXP(-LN(2)/25))/(LN(2)/25)*Calculateur!V195*Calculateur!X195*VLOOKUP('Données projet'!$B$9,Paramètres!$A$1:$I$89,3,0)*0.475*44/12</f>
        <v>0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0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-5.6843418860808015E-14</v>
      </c>
      <c r="AJ195" s="14">
        <f>AI195*VLOOKUP('Données projet'!$B$10,Paramètres!$A$1:$I$89,3,0)*VLOOKUP('Données projet'!$B$10,Paramètres!$A$1:$I$89,5,0)</f>
        <v>-6.1186256061773749E-14</v>
      </c>
      <c r="AK195" s="14" t="e">
        <f t="shared" si="164"/>
        <v>#NUM!</v>
      </c>
      <c r="AL195" s="22" t="e">
        <f t="shared" si="165"/>
        <v>#NUM!</v>
      </c>
      <c r="AM195" s="62" t="e">
        <f t="shared" si="113"/>
        <v>#NUM!</v>
      </c>
      <c r="AN195" s="62">
        <f ca="1">AVERAGE(OFFSET($AM$3,0,0,'Données projet'!$E$10+1,1))-AVERAGE(OFFSET($H$3,0,0,'Données projet'!$E$10+1,1))</f>
        <v>327.4984716935208</v>
      </c>
      <c r="AO195" s="62">
        <f t="shared" si="144"/>
        <v>166.97658184507776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0</v>
      </c>
      <c r="AV195" s="23">
        <f>EXP(-LN(2)/25)*AV194+(1-EXP(-LN(2)/25))/(LN(2)/25)*Calculateur!AQ195*Calculateur!AS195*VLOOKUP('Données projet'!$B$10,Paramètres!$A$1:$I$89,3,0)*0.475*44/12</f>
        <v>0</v>
      </c>
      <c r="AW195" s="23">
        <f>EXP(-LN(2)/2)*AW194+(1-EXP(-LN(2)/2))/(LN(2)/2)*AQ195*AT195*VLOOKUP('Données projet'!$B$10,Paramètres!$A$1:$I$89,3,0)*0.475*44/12</f>
        <v>0</v>
      </c>
      <c r="AX195" s="23">
        <f t="shared" si="166"/>
        <v>0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0</v>
      </c>
      <c r="BE195" s="14" t="e">
        <f>BD195*VLOOKUP('Données projet'!$B$11,Paramètres!$A$1:$I$89,3,0)*VLOOKUP('Données projet'!$B$11,Paramètres!$A$1:$I$89,5,0)</f>
        <v>#N/A</v>
      </c>
      <c r="BF195" s="14" t="e">
        <f t="shared" si="167"/>
        <v>#N/A</v>
      </c>
      <c r="BG195" s="22" t="e">
        <f t="shared" si="168"/>
        <v>#N/A</v>
      </c>
      <c r="BH195" s="62" t="e">
        <f t="shared" si="116"/>
        <v>#N/A</v>
      </c>
      <c r="BI195" s="62" t="e">
        <f ca="1">AVERAGE(OFFSET($BH$3,0,0,'Données projet'!$E$11+1,1))-AVERAGE(OFFSET($H$3,0,0,'Données projet'!$E$11+1,1))</f>
        <v>#N/A</v>
      </c>
      <c r="BJ195" s="62" t="e">
        <f t="shared" si="146"/>
        <v>#N/A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 t="e">
        <f>EXP(-LN(2)/35)*BP194+(1-EXP(-LN(2)/35))/(LN(2)/35)*BL195*BM195*VLOOKUP('Données projet'!$B$11,Paramètres!$A$1:$I$89,3,0)*0.475*44/12</f>
        <v>#N/A</v>
      </c>
      <c r="BQ195" s="23" t="e">
        <f>EXP(-LN(2)/25)*BQ194+(1-EXP(-LN(2)/25))/(LN(2)/25)*Calculateur!BL195*Calculateur!BN195*VLOOKUP('Données projet'!$B$11,Paramètres!$A$1:$I$89,3,0)*0.475*44/12</f>
        <v>#N/A</v>
      </c>
      <c r="BR195" s="23" t="e">
        <f>EXP(-LN(2)/2)*BR194+(1-EXP(-LN(2)/2))/(LN(2)/2)*BL195*BO195*VLOOKUP('Données projet'!$B$11,Paramètres!$A$1:$I$89,3,0)*0.475*44/12</f>
        <v>#N/A</v>
      </c>
      <c r="BS195" s="24" t="e">
        <f t="shared" si="169"/>
        <v>#N/A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0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0</v>
      </c>
      <c r="H196" s="70">
        <f t="shared" ref="H196:H203" si="192">(B196+E196+F196)*44/12+(C196+D196)*0.475*44/12</f>
        <v>256.66666666666669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-5.6843418860808015E-13</v>
      </c>
      <c r="O196" s="14">
        <f>N196*VLOOKUP('Données projet'!$B$9,Paramètres!$A$1:$I$89,3,0)*VLOOKUP('Données projet'!$B$9,Paramètres!$A$1:$I$89,5,0)</f>
        <v>-2.6602720026858149E-13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302.58171900450355</v>
      </c>
      <c r="T196" s="62">
        <f t="shared" si="142"/>
        <v>164.1450425611464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0</v>
      </c>
      <c r="AA196" s="23">
        <f>EXP(-LN(2)/25)*AA195+(1-EXP(-LN(2)/25))/(LN(2)/25)*Calculateur!V196*Calculateur!X196*VLOOKUP('Données projet'!$B$9,Paramètres!$A$1:$I$89,3,0)*0.475*44/12</f>
        <v>0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0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-5.6843418860808015E-14</v>
      </c>
      <c r="AJ196" s="14">
        <f>AI196*VLOOKUP('Données projet'!$B$10,Paramètres!$A$1:$I$89,3,0)*VLOOKUP('Données projet'!$B$10,Paramètres!$A$1:$I$89,5,0)</f>
        <v>-6.1186256061773749E-14</v>
      </c>
      <c r="AK196" s="14" t="e">
        <f t="shared" si="164"/>
        <v>#NUM!</v>
      </c>
      <c r="AL196" s="22" t="e">
        <f t="shared" si="165"/>
        <v>#NUM!</v>
      </c>
      <c r="AM196" s="62" t="e">
        <f t="shared" ref="AM196:AM203" si="193">AL196+(AD196+AE196)*44/12</f>
        <v>#NUM!</v>
      </c>
      <c r="AN196" s="62">
        <f ca="1">AVERAGE(OFFSET($AM$3,0,0,'Données projet'!$E$10+1,1))-AVERAGE(OFFSET($H$3,0,0,'Données projet'!$E$10+1,1))</f>
        <v>327.4984716935208</v>
      </c>
      <c r="AO196" s="62">
        <f t="shared" si="144"/>
        <v>166.97658184507776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0</v>
      </c>
      <c r="AV196" s="23">
        <f>EXP(-LN(2)/25)*AV195+(1-EXP(-LN(2)/25))/(LN(2)/25)*Calculateur!AQ196*Calculateur!AS196*VLOOKUP('Données projet'!$B$10,Paramètres!$A$1:$I$89,3,0)*0.475*44/12</f>
        <v>0</v>
      </c>
      <c r="AW196" s="23">
        <f>EXP(-LN(2)/2)*AW195+(1-EXP(-LN(2)/2))/(LN(2)/2)*AQ196*AT196*VLOOKUP('Données projet'!$B$10,Paramètres!$A$1:$I$89,3,0)*0.475*44/12</f>
        <v>0</v>
      </c>
      <c r="AX196" s="23">
        <f t="shared" si="166"/>
        <v>0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0</v>
      </c>
      <c r="BE196" s="14" t="e">
        <f>BD196*VLOOKUP('Données projet'!$B$11,Paramètres!$A$1:$I$89,3,0)*VLOOKUP('Données projet'!$B$11,Paramètres!$A$1:$I$89,5,0)</f>
        <v>#N/A</v>
      </c>
      <c r="BF196" s="14" t="e">
        <f t="shared" si="167"/>
        <v>#N/A</v>
      </c>
      <c r="BG196" s="22" t="e">
        <f t="shared" si="168"/>
        <v>#N/A</v>
      </c>
      <c r="BH196" s="62" t="e">
        <f t="shared" ref="BH196:BH203" si="194">BG196+(AY196+AZ196)*44/12</f>
        <v>#N/A</v>
      </c>
      <c r="BI196" s="62" t="e">
        <f ca="1">AVERAGE(OFFSET($BH$3,0,0,'Données projet'!$E$11+1,1))-AVERAGE(OFFSET($H$3,0,0,'Données projet'!$E$11+1,1))</f>
        <v>#N/A</v>
      </c>
      <c r="BJ196" s="62" t="e">
        <f t="shared" si="146"/>
        <v>#N/A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 t="e">
        <f>EXP(-LN(2)/35)*BP195+(1-EXP(-LN(2)/35))/(LN(2)/35)*BL196*BM196*VLOOKUP('Données projet'!$B$11,Paramètres!$A$1:$I$89,3,0)*0.475*44/12</f>
        <v>#N/A</v>
      </c>
      <c r="BQ196" s="23" t="e">
        <f>EXP(-LN(2)/25)*BQ195+(1-EXP(-LN(2)/25))/(LN(2)/25)*Calculateur!BL196*Calculateur!BN196*VLOOKUP('Données projet'!$B$11,Paramètres!$A$1:$I$89,3,0)*0.475*44/12</f>
        <v>#N/A</v>
      </c>
      <c r="BR196" s="23" t="e">
        <f>EXP(-LN(2)/2)*BR195+(1-EXP(-LN(2)/2))/(LN(2)/2)*BL196*BO196*VLOOKUP('Données projet'!$B$11,Paramètres!$A$1:$I$89,3,0)*0.475*44/12</f>
        <v>#N/A</v>
      </c>
      <c r="BS196" s="24" t="e">
        <f t="shared" si="169"/>
        <v>#N/A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0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0</v>
      </c>
      <c r="H197" s="70">
        <f t="shared" si="192"/>
        <v>256.66666666666669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-5.6843418860808015E-13</v>
      </c>
      <c r="O197" s="14">
        <f>N197*VLOOKUP('Données projet'!$B$9,Paramètres!$A$1:$I$89,3,0)*VLOOKUP('Données projet'!$B$9,Paramètres!$A$1:$I$89,5,0)</f>
        <v>-2.6602720026858149E-13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302.58171900450355</v>
      </c>
      <c r="T197" s="62">
        <f t="shared" ref="T197:T203" si="204">$T$3</f>
        <v>164.1450425611464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0</v>
      </c>
      <c r="AA197" s="23">
        <f>EXP(-LN(2)/25)*AA196+(1-EXP(-LN(2)/25))/(LN(2)/25)*Calculateur!V197*Calculateur!X197*VLOOKUP('Données projet'!$B$9,Paramètres!$A$1:$I$89,3,0)*0.475*44/12</f>
        <v>0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0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-5.6843418860808015E-14</v>
      </c>
      <c r="AJ197" s="14">
        <f>AI197*VLOOKUP('Données projet'!$B$10,Paramètres!$A$1:$I$89,3,0)*VLOOKUP('Données projet'!$B$10,Paramètres!$A$1:$I$89,5,0)</f>
        <v>-6.1186256061773749E-14</v>
      </c>
      <c r="AK197" s="14" t="e">
        <f t="shared" si="164"/>
        <v>#NUM!</v>
      </c>
      <c r="AL197" s="22" t="e">
        <f t="shared" si="165"/>
        <v>#NUM!</v>
      </c>
      <c r="AM197" s="62" t="e">
        <f t="shared" si="193"/>
        <v>#NUM!</v>
      </c>
      <c r="AN197" s="62">
        <f ca="1">AVERAGE(OFFSET($AM$3,0,0,'Données projet'!$E$10+1,1))-AVERAGE(OFFSET($H$3,0,0,'Données projet'!$E$10+1,1))</f>
        <v>327.4984716935208</v>
      </c>
      <c r="AO197" s="62">
        <f t="shared" ref="AO197:AO203" si="205">$AO$3</f>
        <v>166.97658184507776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0</v>
      </c>
      <c r="AV197" s="23">
        <f>EXP(-LN(2)/25)*AV196+(1-EXP(-LN(2)/25))/(LN(2)/25)*Calculateur!AQ197*Calculateur!AS197*VLOOKUP('Données projet'!$B$10,Paramètres!$A$1:$I$89,3,0)*0.475*44/12</f>
        <v>0</v>
      </c>
      <c r="AW197" s="23">
        <f>EXP(-LN(2)/2)*AW196+(1-EXP(-LN(2)/2))/(LN(2)/2)*AQ197*AT197*VLOOKUP('Données projet'!$B$10,Paramètres!$A$1:$I$89,3,0)*0.475*44/12</f>
        <v>0</v>
      </c>
      <c r="AX197" s="23">
        <f t="shared" si="166"/>
        <v>0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0</v>
      </c>
      <c r="BE197" s="14" t="e">
        <f>BD197*VLOOKUP('Données projet'!$B$11,Paramètres!$A$1:$I$89,3,0)*VLOOKUP('Données projet'!$B$11,Paramètres!$A$1:$I$89,5,0)</f>
        <v>#N/A</v>
      </c>
      <c r="BF197" s="14" t="e">
        <f t="shared" si="167"/>
        <v>#N/A</v>
      </c>
      <c r="BG197" s="22" t="e">
        <f t="shared" si="168"/>
        <v>#N/A</v>
      </c>
      <c r="BH197" s="62" t="e">
        <f t="shared" si="194"/>
        <v>#N/A</v>
      </c>
      <c r="BI197" s="62" t="e">
        <f ca="1">AVERAGE(OFFSET($BH$3,0,0,'Données projet'!$E$11+1,1))-AVERAGE(OFFSET($H$3,0,0,'Données projet'!$E$11+1,1))</f>
        <v>#N/A</v>
      </c>
      <c r="BJ197" s="62" t="e">
        <f t="shared" ref="BJ197:BJ203" si="206">$BJ$3</f>
        <v>#N/A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 t="e">
        <f>EXP(-LN(2)/35)*BP196+(1-EXP(-LN(2)/35))/(LN(2)/35)*BL197*BM197*VLOOKUP('Données projet'!$B$11,Paramètres!$A$1:$I$89,3,0)*0.475*44/12</f>
        <v>#N/A</v>
      </c>
      <c r="BQ197" s="23" t="e">
        <f>EXP(-LN(2)/25)*BQ196+(1-EXP(-LN(2)/25))/(LN(2)/25)*Calculateur!BL197*Calculateur!BN197*VLOOKUP('Données projet'!$B$11,Paramètres!$A$1:$I$89,3,0)*0.475*44/12</f>
        <v>#N/A</v>
      </c>
      <c r="BR197" s="23" t="e">
        <f>EXP(-LN(2)/2)*BR196+(1-EXP(-LN(2)/2))/(LN(2)/2)*BL197*BO197*VLOOKUP('Données projet'!$B$11,Paramètres!$A$1:$I$89,3,0)*0.475*44/12</f>
        <v>#N/A</v>
      </c>
      <c r="BS197" s="24" t="e">
        <f t="shared" si="169"/>
        <v>#N/A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0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0</v>
      </c>
      <c r="H198" s="70">
        <f t="shared" si="192"/>
        <v>256.66666666666669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-5.6843418860808015E-13</v>
      </c>
      <c r="O198" s="14">
        <f>N198*VLOOKUP('Données projet'!$B$9,Paramètres!$A$1:$I$89,3,0)*VLOOKUP('Données projet'!$B$9,Paramètres!$A$1:$I$89,5,0)</f>
        <v>-2.6602720026858149E-13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302.58171900450355</v>
      </c>
      <c r="T198" s="62">
        <f t="shared" si="204"/>
        <v>164.1450425611464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0</v>
      </c>
      <c r="AA198" s="23">
        <f>EXP(-LN(2)/25)*AA197+(1-EXP(-LN(2)/25))/(LN(2)/25)*Calculateur!V198*Calculateur!X198*VLOOKUP('Données projet'!$B$9,Paramètres!$A$1:$I$89,3,0)*0.475*44/12</f>
        <v>0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0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-5.6843418860808015E-14</v>
      </c>
      <c r="AJ198" s="14">
        <f>AI198*VLOOKUP('Données projet'!$B$10,Paramètres!$A$1:$I$89,3,0)*VLOOKUP('Données projet'!$B$10,Paramètres!$A$1:$I$89,5,0)</f>
        <v>-6.1186256061773749E-14</v>
      </c>
      <c r="AK198" s="14" t="e">
        <f t="shared" si="164"/>
        <v>#NUM!</v>
      </c>
      <c r="AL198" s="22" t="e">
        <f t="shared" si="165"/>
        <v>#NUM!</v>
      </c>
      <c r="AM198" s="62" t="e">
        <f t="shared" si="193"/>
        <v>#NUM!</v>
      </c>
      <c r="AN198" s="62">
        <f ca="1">AVERAGE(OFFSET($AM$3,0,0,'Données projet'!$E$10+1,1))-AVERAGE(OFFSET($H$3,0,0,'Données projet'!$E$10+1,1))</f>
        <v>327.4984716935208</v>
      </c>
      <c r="AO198" s="62">
        <f t="shared" si="205"/>
        <v>166.97658184507776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0</v>
      </c>
      <c r="AV198" s="23">
        <f>EXP(-LN(2)/25)*AV197+(1-EXP(-LN(2)/25))/(LN(2)/25)*Calculateur!AQ198*Calculateur!AS198*VLOOKUP('Données projet'!$B$10,Paramètres!$A$1:$I$89,3,0)*0.475*44/12</f>
        <v>0</v>
      </c>
      <c r="AW198" s="23">
        <f>EXP(-LN(2)/2)*AW197+(1-EXP(-LN(2)/2))/(LN(2)/2)*AQ198*AT198*VLOOKUP('Données projet'!$B$10,Paramètres!$A$1:$I$89,3,0)*0.475*44/12</f>
        <v>0</v>
      </c>
      <c r="AX198" s="23">
        <f t="shared" si="166"/>
        <v>0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0</v>
      </c>
      <c r="BE198" s="14" t="e">
        <f>BD198*VLOOKUP('Données projet'!$B$11,Paramètres!$A$1:$I$89,3,0)*VLOOKUP('Données projet'!$B$11,Paramètres!$A$1:$I$89,5,0)</f>
        <v>#N/A</v>
      </c>
      <c r="BF198" s="14" t="e">
        <f t="shared" si="167"/>
        <v>#N/A</v>
      </c>
      <c r="BG198" s="22" t="e">
        <f t="shared" si="168"/>
        <v>#N/A</v>
      </c>
      <c r="BH198" s="62" t="e">
        <f t="shared" si="194"/>
        <v>#N/A</v>
      </c>
      <c r="BI198" s="62" t="e">
        <f ca="1">AVERAGE(OFFSET($BH$3,0,0,'Données projet'!$E$11+1,1))-AVERAGE(OFFSET($H$3,0,0,'Données projet'!$E$11+1,1))</f>
        <v>#N/A</v>
      </c>
      <c r="BJ198" s="62" t="e">
        <f t="shared" si="206"/>
        <v>#N/A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 t="e">
        <f>EXP(-LN(2)/35)*BP197+(1-EXP(-LN(2)/35))/(LN(2)/35)*BL198*BM198*VLOOKUP('Données projet'!$B$11,Paramètres!$A$1:$I$89,3,0)*0.475*44/12</f>
        <v>#N/A</v>
      </c>
      <c r="BQ198" s="23" t="e">
        <f>EXP(-LN(2)/25)*BQ197+(1-EXP(-LN(2)/25))/(LN(2)/25)*Calculateur!BL198*Calculateur!BN198*VLOOKUP('Données projet'!$B$11,Paramètres!$A$1:$I$89,3,0)*0.475*44/12</f>
        <v>#N/A</v>
      </c>
      <c r="BR198" s="23" t="e">
        <f>EXP(-LN(2)/2)*BR197+(1-EXP(-LN(2)/2))/(LN(2)/2)*BL198*BO198*VLOOKUP('Données projet'!$B$11,Paramètres!$A$1:$I$89,3,0)*0.475*44/12</f>
        <v>#N/A</v>
      </c>
      <c r="BS198" s="24" t="e">
        <f t="shared" si="169"/>
        <v>#N/A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0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0</v>
      </c>
      <c r="H199" s="70">
        <f t="shared" si="192"/>
        <v>256.66666666666669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-5.6843418860808015E-13</v>
      </c>
      <c r="O199" s="14">
        <f>N199*VLOOKUP('Données projet'!$B$9,Paramètres!$A$1:$I$89,3,0)*VLOOKUP('Données projet'!$B$9,Paramètres!$A$1:$I$89,5,0)</f>
        <v>-2.6602720026858149E-13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302.58171900450355</v>
      </c>
      <c r="T199" s="62">
        <f t="shared" si="204"/>
        <v>164.1450425611464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0</v>
      </c>
      <c r="AA199" s="23">
        <f>EXP(-LN(2)/25)*AA198+(1-EXP(-LN(2)/25))/(LN(2)/25)*Calculateur!V199*Calculateur!X199*VLOOKUP('Données projet'!$B$9,Paramètres!$A$1:$I$89,3,0)*0.475*44/12</f>
        <v>0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0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-5.6843418860808015E-14</v>
      </c>
      <c r="AJ199" s="14">
        <f>AI199*VLOOKUP('Données projet'!$B$10,Paramètres!$A$1:$I$89,3,0)*VLOOKUP('Données projet'!$B$10,Paramètres!$A$1:$I$89,5,0)</f>
        <v>-6.1186256061773749E-14</v>
      </c>
      <c r="AK199" s="14" t="e">
        <f t="shared" si="164"/>
        <v>#NUM!</v>
      </c>
      <c r="AL199" s="22" t="e">
        <f t="shared" si="165"/>
        <v>#NUM!</v>
      </c>
      <c r="AM199" s="62" t="e">
        <f t="shared" si="193"/>
        <v>#NUM!</v>
      </c>
      <c r="AN199" s="62">
        <f ca="1">AVERAGE(OFFSET($AM$3,0,0,'Données projet'!$E$10+1,1))-AVERAGE(OFFSET($H$3,0,0,'Données projet'!$E$10+1,1))</f>
        <v>327.4984716935208</v>
      </c>
      <c r="AO199" s="62">
        <f t="shared" si="205"/>
        <v>166.97658184507776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0</v>
      </c>
      <c r="AV199" s="23">
        <f>EXP(-LN(2)/25)*AV198+(1-EXP(-LN(2)/25))/(LN(2)/25)*Calculateur!AQ199*Calculateur!AS199*VLOOKUP('Données projet'!$B$10,Paramètres!$A$1:$I$89,3,0)*0.475*44/12</f>
        <v>0</v>
      </c>
      <c r="AW199" s="23">
        <f>EXP(-LN(2)/2)*AW198+(1-EXP(-LN(2)/2))/(LN(2)/2)*AQ199*AT199*VLOOKUP('Données projet'!$B$10,Paramètres!$A$1:$I$89,3,0)*0.475*44/12</f>
        <v>0</v>
      </c>
      <c r="AX199" s="23">
        <f t="shared" si="166"/>
        <v>0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0</v>
      </c>
      <c r="BE199" s="14" t="e">
        <f>BD199*VLOOKUP('Données projet'!$B$11,Paramètres!$A$1:$I$89,3,0)*VLOOKUP('Données projet'!$B$11,Paramètres!$A$1:$I$89,5,0)</f>
        <v>#N/A</v>
      </c>
      <c r="BF199" s="14" t="e">
        <f t="shared" si="167"/>
        <v>#N/A</v>
      </c>
      <c r="BG199" s="22" t="e">
        <f t="shared" si="168"/>
        <v>#N/A</v>
      </c>
      <c r="BH199" s="62" t="e">
        <f t="shared" si="194"/>
        <v>#N/A</v>
      </c>
      <c r="BI199" s="62" t="e">
        <f ca="1">AVERAGE(OFFSET($BH$3,0,0,'Données projet'!$E$11+1,1))-AVERAGE(OFFSET($H$3,0,0,'Données projet'!$E$11+1,1))</f>
        <v>#N/A</v>
      </c>
      <c r="BJ199" s="62" t="e">
        <f t="shared" si="206"/>
        <v>#N/A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 t="e">
        <f>EXP(-LN(2)/35)*BP198+(1-EXP(-LN(2)/35))/(LN(2)/35)*BL199*BM199*VLOOKUP('Données projet'!$B$11,Paramètres!$A$1:$I$89,3,0)*0.475*44/12</f>
        <v>#N/A</v>
      </c>
      <c r="BQ199" s="23" t="e">
        <f>EXP(-LN(2)/25)*BQ198+(1-EXP(-LN(2)/25))/(LN(2)/25)*Calculateur!BL199*Calculateur!BN199*VLOOKUP('Données projet'!$B$11,Paramètres!$A$1:$I$89,3,0)*0.475*44/12</f>
        <v>#N/A</v>
      </c>
      <c r="BR199" s="23" t="e">
        <f>EXP(-LN(2)/2)*BR198+(1-EXP(-LN(2)/2))/(LN(2)/2)*BL199*BO199*VLOOKUP('Données projet'!$B$11,Paramètres!$A$1:$I$89,3,0)*0.475*44/12</f>
        <v>#N/A</v>
      </c>
      <c r="BS199" s="24" t="e">
        <f t="shared" si="169"/>
        <v>#N/A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0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0</v>
      </c>
      <c r="H200" s="70">
        <f t="shared" si="192"/>
        <v>256.66666666666669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-5.6843418860808015E-13</v>
      </c>
      <c r="O200" s="14">
        <f>N200*VLOOKUP('Données projet'!$B$9,Paramètres!$A$1:$I$89,3,0)*VLOOKUP('Données projet'!$B$9,Paramètres!$A$1:$I$89,5,0)</f>
        <v>-2.6602720026858149E-13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302.58171900450355</v>
      </c>
      <c r="T200" s="62">
        <f t="shared" si="204"/>
        <v>164.1450425611464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0</v>
      </c>
      <c r="AA200" s="23">
        <f>EXP(-LN(2)/25)*AA199+(1-EXP(-LN(2)/25))/(LN(2)/25)*Calculateur!V200*Calculateur!X200*VLOOKUP('Données projet'!$B$9,Paramètres!$A$1:$I$89,3,0)*0.475*44/12</f>
        <v>0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0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-5.6843418860808015E-14</v>
      </c>
      <c r="AJ200" s="14">
        <f>AI200*VLOOKUP('Données projet'!$B$10,Paramètres!$A$1:$I$89,3,0)*VLOOKUP('Données projet'!$B$10,Paramètres!$A$1:$I$89,5,0)</f>
        <v>-6.1186256061773749E-14</v>
      </c>
      <c r="AK200" s="14" t="e">
        <f t="shared" si="164"/>
        <v>#NUM!</v>
      </c>
      <c r="AL200" s="22" t="e">
        <f t="shared" si="165"/>
        <v>#NUM!</v>
      </c>
      <c r="AM200" s="62" t="e">
        <f t="shared" si="193"/>
        <v>#NUM!</v>
      </c>
      <c r="AN200" s="62">
        <f ca="1">AVERAGE(OFFSET($AM$3,0,0,'Données projet'!$E$10+1,1))-AVERAGE(OFFSET($H$3,0,0,'Données projet'!$E$10+1,1))</f>
        <v>327.4984716935208</v>
      </c>
      <c r="AO200" s="62">
        <f t="shared" si="205"/>
        <v>166.97658184507776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0</v>
      </c>
      <c r="AV200" s="23">
        <f>EXP(-LN(2)/25)*AV199+(1-EXP(-LN(2)/25))/(LN(2)/25)*Calculateur!AQ200*Calculateur!AS200*VLOOKUP('Données projet'!$B$10,Paramètres!$A$1:$I$89,3,0)*0.475*44/12</f>
        <v>0</v>
      </c>
      <c r="AW200" s="23">
        <f>EXP(-LN(2)/2)*AW199+(1-EXP(-LN(2)/2))/(LN(2)/2)*AQ200*AT200*VLOOKUP('Données projet'!$B$10,Paramètres!$A$1:$I$89,3,0)*0.475*44/12</f>
        <v>0</v>
      </c>
      <c r="AX200" s="23">
        <f t="shared" si="166"/>
        <v>0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0</v>
      </c>
      <c r="BE200" s="14" t="e">
        <f>BD200*VLOOKUP('Données projet'!$B$11,Paramètres!$A$1:$I$89,3,0)*VLOOKUP('Données projet'!$B$11,Paramètres!$A$1:$I$89,5,0)</f>
        <v>#N/A</v>
      </c>
      <c r="BF200" s="14" t="e">
        <f t="shared" si="167"/>
        <v>#N/A</v>
      </c>
      <c r="BG200" s="22" t="e">
        <f t="shared" si="168"/>
        <v>#N/A</v>
      </c>
      <c r="BH200" s="62" t="e">
        <f t="shared" si="194"/>
        <v>#N/A</v>
      </c>
      <c r="BI200" s="62" t="e">
        <f ca="1">AVERAGE(OFFSET($BH$3,0,0,'Données projet'!$E$11+1,1))-AVERAGE(OFFSET($H$3,0,0,'Données projet'!$E$11+1,1))</f>
        <v>#N/A</v>
      </c>
      <c r="BJ200" s="62" t="e">
        <f t="shared" si="206"/>
        <v>#N/A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 t="e">
        <f>EXP(-LN(2)/35)*BP199+(1-EXP(-LN(2)/35))/(LN(2)/35)*BL200*BM200*VLOOKUP('Données projet'!$B$11,Paramètres!$A$1:$I$89,3,0)*0.475*44/12</f>
        <v>#N/A</v>
      </c>
      <c r="BQ200" s="23" t="e">
        <f>EXP(-LN(2)/25)*BQ199+(1-EXP(-LN(2)/25))/(LN(2)/25)*Calculateur!BL200*Calculateur!BN200*VLOOKUP('Données projet'!$B$11,Paramètres!$A$1:$I$89,3,0)*0.475*44/12</f>
        <v>#N/A</v>
      </c>
      <c r="BR200" s="23" t="e">
        <f>EXP(-LN(2)/2)*BR199+(1-EXP(-LN(2)/2))/(LN(2)/2)*BL200*BO200*VLOOKUP('Données projet'!$B$11,Paramètres!$A$1:$I$89,3,0)*0.475*44/12</f>
        <v>#N/A</v>
      </c>
      <c r="BS200" s="24" t="e">
        <f t="shared" si="169"/>
        <v>#N/A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0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0</v>
      </c>
      <c r="H201" s="70">
        <f t="shared" si="192"/>
        <v>256.66666666666669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-5.6843418860808015E-13</v>
      </c>
      <c r="O201" s="14">
        <f>N201*VLOOKUP('Données projet'!$B$9,Paramètres!$A$1:$I$89,3,0)*VLOOKUP('Données projet'!$B$9,Paramètres!$A$1:$I$89,5,0)</f>
        <v>-2.6602720026858149E-13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302.58171900450355</v>
      </c>
      <c r="T201" s="62">
        <f t="shared" si="204"/>
        <v>164.1450425611464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0</v>
      </c>
      <c r="AA201" s="23">
        <f>EXP(-LN(2)/25)*AA200+(1-EXP(-LN(2)/25))/(LN(2)/25)*Calculateur!V201*Calculateur!X201*VLOOKUP('Données projet'!$B$9,Paramètres!$A$1:$I$89,3,0)*0.475*44/12</f>
        <v>0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0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-5.6843418860808015E-14</v>
      </c>
      <c r="AJ201" s="14">
        <f>AI201*VLOOKUP('Données projet'!$B$10,Paramètres!$A$1:$I$89,3,0)*VLOOKUP('Données projet'!$B$10,Paramètres!$A$1:$I$89,5,0)</f>
        <v>-6.1186256061773749E-14</v>
      </c>
      <c r="AK201" s="14" t="e">
        <f t="shared" si="164"/>
        <v>#NUM!</v>
      </c>
      <c r="AL201" s="22" t="e">
        <f t="shared" si="165"/>
        <v>#NUM!</v>
      </c>
      <c r="AM201" s="62" t="e">
        <f t="shared" si="193"/>
        <v>#NUM!</v>
      </c>
      <c r="AN201" s="62">
        <f ca="1">AVERAGE(OFFSET($AM$3,0,0,'Données projet'!$E$10+1,1))-AVERAGE(OFFSET($H$3,0,0,'Données projet'!$E$10+1,1))</f>
        <v>327.4984716935208</v>
      </c>
      <c r="AO201" s="62">
        <f t="shared" si="205"/>
        <v>166.97658184507776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0</v>
      </c>
      <c r="AV201" s="23">
        <f>EXP(-LN(2)/25)*AV200+(1-EXP(-LN(2)/25))/(LN(2)/25)*Calculateur!AQ201*Calculateur!AS201*VLOOKUP('Données projet'!$B$10,Paramètres!$A$1:$I$89,3,0)*0.475*44/12</f>
        <v>0</v>
      </c>
      <c r="AW201" s="23">
        <f>EXP(-LN(2)/2)*AW200+(1-EXP(-LN(2)/2))/(LN(2)/2)*AQ201*AT201*VLOOKUP('Données projet'!$B$10,Paramètres!$A$1:$I$89,3,0)*0.475*44/12</f>
        <v>0</v>
      </c>
      <c r="AX201" s="23">
        <f t="shared" si="166"/>
        <v>0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0</v>
      </c>
      <c r="BE201" s="14" t="e">
        <f>BD201*VLOOKUP('Données projet'!$B$11,Paramètres!$A$1:$I$89,3,0)*VLOOKUP('Données projet'!$B$11,Paramètres!$A$1:$I$89,5,0)</f>
        <v>#N/A</v>
      </c>
      <c r="BF201" s="14" t="e">
        <f t="shared" si="167"/>
        <v>#N/A</v>
      </c>
      <c r="BG201" s="22" t="e">
        <f t="shared" si="168"/>
        <v>#N/A</v>
      </c>
      <c r="BH201" s="62" t="e">
        <f t="shared" si="194"/>
        <v>#N/A</v>
      </c>
      <c r="BI201" s="62" t="e">
        <f ca="1">AVERAGE(OFFSET($BH$3,0,0,'Données projet'!$E$11+1,1))-AVERAGE(OFFSET($H$3,0,0,'Données projet'!$E$11+1,1))</f>
        <v>#N/A</v>
      </c>
      <c r="BJ201" s="62" t="e">
        <f t="shared" si="206"/>
        <v>#N/A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 t="e">
        <f>EXP(-LN(2)/35)*BP200+(1-EXP(-LN(2)/35))/(LN(2)/35)*BL201*BM201*VLOOKUP('Données projet'!$B$11,Paramètres!$A$1:$I$89,3,0)*0.475*44/12</f>
        <v>#N/A</v>
      </c>
      <c r="BQ201" s="23" t="e">
        <f>EXP(-LN(2)/25)*BQ200+(1-EXP(-LN(2)/25))/(LN(2)/25)*Calculateur!BL201*Calculateur!BN201*VLOOKUP('Données projet'!$B$11,Paramètres!$A$1:$I$89,3,0)*0.475*44/12</f>
        <v>#N/A</v>
      </c>
      <c r="BR201" s="23" t="e">
        <f>EXP(-LN(2)/2)*BR200+(1-EXP(-LN(2)/2))/(LN(2)/2)*BL201*BO201*VLOOKUP('Données projet'!$B$11,Paramètres!$A$1:$I$89,3,0)*0.475*44/12</f>
        <v>#N/A</v>
      </c>
      <c r="BS201" s="24" t="e">
        <f t="shared" si="169"/>
        <v>#N/A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0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0</v>
      </c>
      <c r="H202" s="70">
        <f t="shared" si="192"/>
        <v>256.66666666666669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-5.6843418860808015E-13</v>
      </c>
      <c r="O202" s="14">
        <f>N202*VLOOKUP('Données projet'!$B$9,Paramètres!$A$1:$I$89,3,0)*VLOOKUP('Données projet'!$B$9,Paramètres!$A$1:$I$89,5,0)</f>
        <v>-2.6602720026858149E-13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302.58171900450355</v>
      </c>
      <c r="T202" s="62">
        <f t="shared" si="204"/>
        <v>164.1450425611464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0</v>
      </c>
      <c r="AA202" s="23">
        <f>EXP(-LN(2)/25)*AA201+(1-EXP(-LN(2)/25))/(LN(2)/25)*Calculateur!V202*Calculateur!X202*VLOOKUP('Données projet'!$B$9,Paramètres!$A$1:$I$89,3,0)*0.475*44/12</f>
        <v>0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0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-5.6843418860808015E-14</v>
      </c>
      <c r="AJ202" s="14">
        <f>AI202*VLOOKUP('Données projet'!$B$10,Paramètres!$A$1:$I$89,3,0)*VLOOKUP('Données projet'!$B$10,Paramètres!$A$1:$I$89,5,0)</f>
        <v>-6.1186256061773749E-14</v>
      </c>
      <c r="AK202" s="14" t="e">
        <f t="shared" si="164"/>
        <v>#NUM!</v>
      </c>
      <c r="AL202" s="22" t="e">
        <f t="shared" si="165"/>
        <v>#NUM!</v>
      </c>
      <c r="AM202" s="62" t="e">
        <f t="shared" si="193"/>
        <v>#NUM!</v>
      </c>
      <c r="AN202" s="62">
        <f ca="1">AVERAGE(OFFSET($AM$3,0,0,'Données projet'!$E$10+1,1))-AVERAGE(OFFSET($H$3,0,0,'Données projet'!$E$10+1,1))</f>
        <v>327.4984716935208</v>
      </c>
      <c r="AO202" s="62">
        <f t="shared" si="205"/>
        <v>166.97658184507776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0</v>
      </c>
      <c r="AV202" s="23">
        <f>EXP(-LN(2)/25)*AV201+(1-EXP(-LN(2)/25))/(LN(2)/25)*Calculateur!AQ202*Calculateur!AS202*VLOOKUP('Données projet'!$B$10,Paramètres!$A$1:$I$89,3,0)*0.475*44/12</f>
        <v>0</v>
      </c>
      <c r="AW202" s="23">
        <f>EXP(-LN(2)/2)*AW201+(1-EXP(-LN(2)/2))/(LN(2)/2)*AQ202*AT202*VLOOKUP('Données projet'!$B$10,Paramètres!$A$1:$I$89,3,0)*0.475*44/12</f>
        <v>0</v>
      </c>
      <c r="AX202" s="23">
        <f t="shared" si="166"/>
        <v>0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0</v>
      </c>
      <c r="BE202" s="14" t="e">
        <f>BD202*VLOOKUP('Données projet'!$B$11,Paramètres!$A$1:$I$89,3,0)*VLOOKUP('Données projet'!$B$11,Paramètres!$A$1:$I$89,5,0)</f>
        <v>#N/A</v>
      </c>
      <c r="BF202" s="14" t="e">
        <f t="shared" si="167"/>
        <v>#N/A</v>
      </c>
      <c r="BG202" s="22" t="e">
        <f t="shared" si="168"/>
        <v>#N/A</v>
      </c>
      <c r="BH202" s="62" t="e">
        <f t="shared" si="194"/>
        <v>#N/A</v>
      </c>
      <c r="BI202" s="62" t="e">
        <f ca="1">AVERAGE(OFFSET($BH$3,0,0,'Données projet'!$E$11+1,1))-AVERAGE(OFFSET($H$3,0,0,'Données projet'!$E$11+1,1))</f>
        <v>#N/A</v>
      </c>
      <c r="BJ202" s="62" t="e">
        <f t="shared" si="206"/>
        <v>#N/A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 t="e">
        <f>EXP(-LN(2)/35)*BP201+(1-EXP(-LN(2)/35))/(LN(2)/35)*BL202*BM202*VLOOKUP('Données projet'!$B$11,Paramètres!$A$1:$I$89,3,0)*0.475*44/12</f>
        <v>#N/A</v>
      </c>
      <c r="BQ202" s="23" t="e">
        <f>EXP(-LN(2)/25)*BQ201+(1-EXP(-LN(2)/25))/(LN(2)/25)*Calculateur!BL202*Calculateur!BN202*VLOOKUP('Données projet'!$B$11,Paramètres!$A$1:$I$89,3,0)*0.475*44/12</f>
        <v>#N/A</v>
      </c>
      <c r="BR202" s="23" t="e">
        <f>EXP(-LN(2)/2)*BR201+(1-EXP(-LN(2)/2))/(LN(2)/2)*BL202*BO202*VLOOKUP('Données projet'!$B$11,Paramètres!$A$1:$I$89,3,0)*0.475*44/12</f>
        <v>#N/A</v>
      </c>
      <c r="BS202" s="24" t="e">
        <f t="shared" si="169"/>
        <v>#N/A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0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0</v>
      </c>
      <c r="H203" s="70">
        <f t="shared" si="192"/>
        <v>256.66666666666669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-5.6843418860808015E-13</v>
      </c>
      <c r="O203" s="14">
        <f>N203*VLOOKUP('Données projet'!$B$9,Paramètres!$A$1:$I$89,3,0)*VLOOKUP('Données projet'!$B$9,Paramètres!$A$1:$I$89,5,0)</f>
        <v>-2.6602720026858149E-13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302.58171900450355</v>
      </c>
      <c r="T203" s="62">
        <f t="shared" si="204"/>
        <v>164.1450425611464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0</v>
      </c>
      <c r="AA203" s="23">
        <f>EXP(-LN(2)/25)*AA202+(1-EXP(-LN(2)/25))/(LN(2)/25)*Calculateur!V203*Calculateur!X203*VLOOKUP('Données projet'!$B$9,Paramètres!$A$1:$I$89,3,0)*0.475*44/12</f>
        <v>0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0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-5.6843418860808015E-14</v>
      </c>
      <c r="AJ203" s="14">
        <f>AI203*VLOOKUP('Données projet'!$B$10,Paramètres!$A$1:$I$89,3,0)*VLOOKUP('Données projet'!$B$10,Paramètres!$A$1:$I$89,5,0)</f>
        <v>-6.1186256061773749E-14</v>
      </c>
      <c r="AK203" s="14" t="e">
        <f t="shared" si="164"/>
        <v>#NUM!</v>
      </c>
      <c r="AL203" s="22" t="e">
        <f t="shared" si="165"/>
        <v>#NUM!</v>
      </c>
      <c r="AM203" s="62" t="e">
        <f t="shared" si="193"/>
        <v>#NUM!</v>
      </c>
      <c r="AN203" s="62">
        <f ca="1">AVERAGE(OFFSET($AM$3,0,0,'Données projet'!$E$10+1,1))-AVERAGE(OFFSET($H$3,0,0,'Données projet'!$E$10+1,1))</f>
        <v>327.4984716935208</v>
      </c>
      <c r="AO203" s="62">
        <f t="shared" si="205"/>
        <v>166.97658184507776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0</v>
      </c>
      <c r="AV203" s="23">
        <f>EXP(-LN(2)/25)*AV202+(1-EXP(-LN(2)/25))/(LN(2)/25)*Calculateur!AQ203*Calculateur!AS203*VLOOKUP('Données projet'!$B$10,Paramètres!$A$1:$I$89,3,0)*0.475*44/12</f>
        <v>0</v>
      </c>
      <c r="AW203" s="23">
        <f>EXP(-LN(2)/2)*AW202+(1-EXP(-LN(2)/2))/(LN(2)/2)*AQ203*AT203*VLOOKUP('Données projet'!$B$10,Paramètres!$A$1:$I$89,3,0)*0.475*44/12</f>
        <v>0</v>
      </c>
      <c r="AX203" s="23">
        <f t="shared" si="166"/>
        <v>0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0</v>
      </c>
      <c r="BE203" s="14" t="e">
        <f>BD203*VLOOKUP('Données projet'!$B$11,Paramètres!$A$1:$I$89,3,0)*VLOOKUP('Données projet'!$B$11,Paramètres!$A$1:$I$89,5,0)</f>
        <v>#N/A</v>
      </c>
      <c r="BF203" s="14" t="e">
        <f t="shared" si="167"/>
        <v>#N/A</v>
      </c>
      <c r="BG203" s="22" t="e">
        <f t="shared" si="168"/>
        <v>#N/A</v>
      </c>
      <c r="BH203" s="62" t="e">
        <f t="shared" si="194"/>
        <v>#N/A</v>
      </c>
      <c r="BI203" s="62" t="e">
        <f ca="1">AVERAGE(OFFSET($BH$3,0,0,'Données projet'!$E$11+1,1))-AVERAGE(OFFSET($H$3,0,0,'Données projet'!$E$11+1,1))</f>
        <v>#N/A</v>
      </c>
      <c r="BJ203" s="62" t="e">
        <f t="shared" si="206"/>
        <v>#N/A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 t="e">
        <f>EXP(-LN(2)/35)*BP202+(1-EXP(-LN(2)/35))/(LN(2)/35)*BL203*BM203*VLOOKUP('Données projet'!$B$11,Paramètres!$A$1:$I$89,3,0)*0.475*44/12</f>
        <v>#N/A</v>
      </c>
      <c r="BQ203" s="23" t="e">
        <f>EXP(-LN(2)/25)*BQ202+(1-EXP(-LN(2)/25))/(LN(2)/25)*Calculateur!BL203*Calculateur!BN203*VLOOKUP('Données projet'!$B$11,Paramètres!$A$1:$I$89,3,0)*0.475*44/12</f>
        <v>#N/A</v>
      </c>
      <c r="BR203" s="23" t="e">
        <f>EXP(-LN(2)/2)*BR202+(1-EXP(-LN(2)/2))/(LN(2)/2)*BL203*BO203*VLOOKUP('Données projet'!$B$11,Paramètres!$A$1:$I$89,3,0)*0.475*44/12</f>
        <v>#N/A</v>
      </c>
      <c r="BS203" s="24" t="e">
        <f t="shared" si="169"/>
        <v>#N/A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1.1734849744378069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1.1457367676485573</v>
      </c>
      <c r="BA205" s="88" t="e">
        <f>EXP(LN('Données projet'!B88)/'Données projet'!A88)</f>
        <v>#NUM!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26" sqref="I26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Cèdre de l'Atlas</v>
      </c>
      <c r="B6" s="155">
        <f>'Données projet'!D9</f>
        <v>0.77</v>
      </c>
      <c r="C6" s="156">
        <f ca="1">IF(OR('Données projet'!B9="",'Données projet'!C9="",'Données projet'!C9=0%),0,Calculateur!S3)</f>
        <v>302.58171900450355</v>
      </c>
      <c r="D6" s="156">
        <f>IF(OR('Données projet'!B9="",'Données projet'!C9="",'Données projet'!C9=0%),0,Calculateur!T3)</f>
        <v>164.1450425611464</v>
      </c>
      <c r="E6" s="156">
        <f ca="1">MIN(C6,D6)</f>
        <v>164.1450425611464</v>
      </c>
      <c r="F6" s="156">
        <f ca="1">E6*B6</f>
        <v>126.39168277208273</v>
      </c>
      <c r="G6" s="156">
        <f ca="1">F6*(100%-'Données projet'!$C$24)*(100%-'Données projet'!$C$25)*(100%-'Données projet'!$C$26)*(100%-'Données projet'!$C$27)</f>
        <v>108.06488877013074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108.06488877013074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Cormier</v>
      </c>
      <c r="B7" s="163">
        <f>'Données projet'!D10</f>
        <v>0.33</v>
      </c>
      <c r="C7" s="156">
        <f ca="1">IF(OR('Données projet'!B10="",'Données projet'!C10="",'Données projet'!C10=0%),0,Calculateur!AN3)</f>
        <v>327.4984716935208</v>
      </c>
      <c r="D7" s="156">
        <f>IF(OR('Données projet'!B10="",'Données projet'!C10="",'Données projet'!C10=0%),0,Calculateur!AO3)</f>
        <v>166.97658184507776</v>
      </c>
      <c r="E7" s="156">
        <f t="shared" ref="E7:E15" ca="1" si="0">MIN(C7,D7)</f>
        <v>166.97658184507776</v>
      </c>
      <c r="F7" s="156">
        <f t="shared" ref="F7:F15" ca="1" si="1">E7*B7</f>
        <v>55.102272008875666</v>
      </c>
      <c r="G7" s="156">
        <f ca="1">F7*(100%-'Données projet'!$C$24)*(100%-'Données projet'!$C$25)*(100%-'Données projet'!$C$26)*(100%-'Données projet'!$C$27)</f>
        <v>47.112442567588694</v>
      </c>
      <c r="H7" s="164">
        <f>IF(OR('Données projet'!B10="",'Données projet'!C10="",'Données projet'!C10=0%),0,AVERAGE(Calculateur!$AX$3:$AX$33)*B7)</f>
        <v>0</v>
      </c>
      <c r="I7" s="158">
        <f>H7*(100%-'Données projet'!$C$24)*(100%-'Données projet'!$C$25)*(100%-'Données projet'!$C$26)*(100%-'Données projet'!$C$27)</f>
        <v>0</v>
      </c>
      <c r="J7" s="159">
        <f>IF(OR('Données projet'!B10="",'Données projet'!C10="",'Données projet'!C10=0%),0,SUM(Calculateur!$AQ$3:$AQ$33)*VLOOKUP('Données projet'!$B$10,Paramètres!$A$1:$I$89,9,0)*B7)</f>
        <v>0</v>
      </c>
      <c r="K7" s="160">
        <f>J7*(100%-'Données projet'!$C$24)*(100%-'Données projet'!$C$25)*(100%-'Données projet'!$C$26)*(100%-'Données projet'!$C$27)</f>
        <v>0</v>
      </c>
      <c r="L7" s="161">
        <f t="shared" ref="L7:L15" ca="1" si="2">G7+I7+K7</f>
        <v>47.112442567588694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/>
      </c>
      <c r="B8" s="163">
        <f>'Données projet'!D11</f>
        <v>0</v>
      </c>
      <c r="C8" s="156">
        <f>IF(OR('Données projet'!B11="",'Données projet'!C11="",'Données projet'!C11=0%),0,Calculateur!BI3)</f>
        <v>0</v>
      </c>
      <c r="D8" s="156">
        <f>IF(OR('Données projet'!B11="",'Données projet'!C11="",'Données projet'!C11=0%),0,Calculateur!BJ3)</f>
        <v>0</v>
      </c>
      <c r="E8" s="156">
        <f t="shared" si="0"/>
        <v>0</v>
      </c>
      <c r="F8" s="156">
        <f t="shared" si="1"/>
        <v>0</v>
      </c>
      <c r="G8" s="156">
        <f>F8*(100%-'Données projet'!$C$24)*(100%-'Données projet'!$C$25)*(100%-'Données projet'!$C$26)*(100%-'Données projet'!$C$27)</f>
        <v>0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0</v>
      </c>
      <c r="K8" s="160">
        <f>J8*(100%-'Données projet'!$C$24)*(100%-'Données projet'!$C$25)*(100%-'Données projet'!$C$26)*(100%-'Données projet'!$C$27)</f>
        <v>0</v>
      </c>
      <c r="L8" s="161">
        <f t="shared" si="2"/>
        <v>0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181.4939547809584</v>
      </c>
      <c r="G16" s="175">
        <f t="shared" ca="1" si="3"/>
        <v>155.17733133771944</v>
      </c>
      <c r="H16" s="176">
        <f t="shared" si="3"/>
        <v>0</v>
      </c>
      <c r="I16" s="176">
        <f t="shared" si="3"/>
        <v>0</v>
      </c>
      <c r="J16" s="177">
        <f t="shared" si="3"/>
        <v>0</v>
      </c>
      <c r="K16" s="177">
        <f t="shared" si="3"/>
        <v>0</v>
      </c>
      <c r="L16" s="178">
        <f t="shared" ca="1" si="3"/>
        <v>155.17733133771944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Cèdre de l'Atlas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Cormier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/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E1" zoomScale="90" zoomScaleNormal="90" workbookViewId="0">
      <selection activeCell="I19" sqref="I19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Cèdre de l'Atlas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865.2391200866914</v>
      </c>
      <c r="U10" s="190">
        <f>'Données projet'!D9</f>
        <v>0.77</v>
      </c>
      <c r="V10" s="189">
        <f>U10*T10</f>
        <v>666.23412246675241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Cormier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357.28582471426063</v>
      </c>
      <c r="U11" s="190">
        <f>'Données projet'!D10</f>
        <v>0.33</v>
      </c>
      <c r="V11" s="189">
        <f t="shared" ref="V11" si="0">U11*T11</f>
        <v>117.90432215570601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/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90">
        <f>'Données projet'!D11</f>
        <v>0</v>
      </c>
      <c r="V12" s="189">
        <f t="shared" ref="V12:V19" si="1">U12*T12</f>
        <v>0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Cèdre de l'Atlas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7516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/>
      <c r="D21" s="211" t="s">
        <v>132</v>
      </c>
      <c r="E21" s="206"/>
      <c r="F21" s="261"/>
      <c r="H21" s="203">
        <v>1</v>
      </c>
      <c r="I21" s="204">
        <v>680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/>
      <c r="D22" s="211" t="s">
        <v>132</v>
      </c>
      <c r="E22" s="206"/>
      <c r="F22" s="261"/>
      <c r="H22" s="203">
        <v>2</v>
      </c>
      <c r="I22" s="204">
        <v>680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30</v>
      </c>
      <c r="B23" s="193">
        <f>'Données projet'!D36</f>
        <v>0</v>
      </c>
      <c r="C23" s="206">
        <v>0</v>
      </c>
      <c r="D23" s="194">
        <f>B23*C23</f>
        <v>0</v>
      </c>
      <c r="E23" s="206"/>
      <c r="F23" s="261"/>
      <c r="H23" s="203">
        <v>3</v>
      </c>
      <c r="I23" s="204">
        <v>680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-9539.6868924203864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40</v>
      </c>
      <c r="B24" s="193">
        <f>'Données projet'!D37</f>
        <v>0</v>
      </c>
      <c r="C24" s="206">
        <v>0</v>
      </c>
      <c r="D24" s="194">
        <f t="shared" ref="D24:D42" si="2">B24*C24</f>
        <v>0</v>
      </c>
      <c r="E24" s="206"/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51</v>
      </c>
      <c r="B25" s="193">
        <f>'Données projet'!D38</f>
        <v>171.3</v>
      </c>
      <c r="C25" s="206">
        <v>15</v>
      </c>
      <c r="D25" s="194">
        <f t="shared" si="2"/>
        <v>2569.5</v>
      </c>
      <c r="E25" s="206"/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0</v>
      </c>
      <c r="Q25" s="265"/>
      <c r="R25" s="25"/>
      <c r="S25" s="198" t="s">
        <v>266</v>
      </c>
      <c r="T25" s="336">
        <f ca="1">T23-T24</f>
        <v>-9539.6868924203864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53</v>
      </c>
      <c r="B26" s="193">
        <f>'Données projet'!D39</f>
        <v>0</v>
      </c>
      <c r="C26" s="206">
        <v>0</v>
      </c>
      <c r="D26" s="194">
        <f t="shared" si="2"/>
        <v>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61</v>
      </c>
      <c r="B27" s="193">
        <f>'Données projet'!D40</f>
        <v>100.2</v>
      </c>
      <c r="C27" s="206">
        <v>25</v>
      </c>
      <c r="D27" s="194">
        <f t="shared" si="2"/>
        <v>2505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62</v>
      </c>
      <c r="B28" s="193">
        <f>'Données projet'!D41</f>
        <v>0</v>
      </c>
      <c r="C28" s="206">
        <v>0</v>
      </c>
      <c r="D28" s="194">
        <f t="shared" si="2"/>
        <v>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73</v>
      </c>
      <c r="B29" s="193">
        <f>'Données projet'!D42</f>
        <v>102.1</v>
      </c>
      <c r="C29" s="206">
        <v>30</v>
      </c>
      <c r="D29" s="194">
        <f t="shared" si="2"/>
        <v>3063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74</v>
      </c>
      <c r="B30" s="193">
        <f>'Données projet'!D43</f>
        <v>0</v>
      </c>
      <c r="C30" s="206">
        <v>0</v>
      </c>
      <c r="D30" s="194">
        <f t="shared" si="2"/>
        <v>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0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84</v>
      </c>
      <c r="B31" s="193">
        <f>'Données projet'!D44</f>
        <v>0</v>
      </c>
      <c r="C31" s="206"/>
      <c r="D31" s="194">
        <f t="shared" si="2"/>
        <v>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85</v>
      </c>
      <c r="B32" s="193">
        <f>'Données projet'!D45</f>
        <v>94.69</v>
      </c>
      <c r="C32" s="206">
        <v>35</v>
      </c>
      <c r="D32" s="194">
        <f t="shared" si="2"/>
        <v>3314.15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86</v>
      </c>
      <c r="B33" s="193">
        <f>'Données projet'!D46</f>
        <v>0</v>
      </c>
      <c r="C33" s="206"/>
      <c r="D33" s="194">
        <f t="shared" si="2"/>
        <v>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97</v>
      </c>
      <c r="B34" s="193">
        <f>'Données projet'!D47</f>
        <v>89.6</v>
      </c>
      <c r="C34" s="206">
        <v>40</v>
      </c>
      <c r="D34" s="194">
        <f t="shared" si="2"/>
        <v>3584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0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98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0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108</v>
      </c>
      <c r="B36" s="193">
        <f>'Données projet'!D49</f>
        <v>0</v>
      </c>
      <c r="C36" s="206">
        <v>0</v>
      </c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0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109</v>
      </c>
      <c r="B37" s="193">
        <f>'Données projet'!D50</f>
        <v>91.09</v>
      </c>
      <c r="C37" s="206">
        <v>50</v>
      </c>
      <c r="D37" s="194">
        <f t="shared" si="2"/>
        <v>4554.5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0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110</v>
      </c>
      <c r="B38" s="193">
        <f>'Données projet'!D51</f>
        <v>0</v>
      </c>
      <c r="C38" s="206">
        <v>0</v>
      </c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0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120</v>
      </c>
      <c r="B39" s="193">
        <f>'Données projet'!D52</f>
        <v>0</v>
      </c>
      <c r="C39" s="206">
        <v>0</v>
      </c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0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121</v>
      </c>
      <c r="B40" s="193">
        <f>'Données projet'!D53</f>
        <v>233.54</v>
      </c>
      <c r="C40" s="206">
        <v>60</v>
      </c>
      <c r="D40" s="194">
        <f t="shared" si="2"/>
        <v>14012.4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0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122</v>
      </c>
      <c r="B41" s="193">
        <f>'Données projet'!D54</f>
        <v>0</v>
      </c>
      <c r="C41" s="206">
        <v>0</v>
      </c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0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131</v>
      </c>
      <c r="B42" s="193">
        <f>'Données projet'!D55</f>
        <v>294.08999999999997</v>
      </c>
      <c r="C42" s="206">
        <v>70</v>
      </c>
      <c r="D42" s="194">
        <f t="shared" si="2"/>
        <v>20586.3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0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0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0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Cormier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0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0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0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0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0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0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0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0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/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0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25</v>
      </c>
      <c r="B54" s="193">
        <f>'Données projet'!D62</f>
        <v>0</v>
      </c>
      <c r="C54" s="204">
        <v>0</v>
      </c>
      <c r="D54" s="191">
        <f>B54*C54</f>
        <v>0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0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0</v>
      </c>
      <c r="C55" s="204">
        <v>0</v>
      </c>
      <c r="D55" s="191">
        <f t="shared" ref="D55:D73" si="4">B55*C55</f>
        <v>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0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35</v>
      </c>
      <c r="B56" s="193">
        <f>'Données projet'!D64</f>
        <v>13</v>
      </c>
      <c r="C56" s="204">
        <v>10</v>
      </c>
      <c r="D56" s="191">
        <f t="shared" si="4"/>
        <v>130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0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40</v>
      </c>
      <c r="B57" s="193">
        <f>'Données projet'!D65</f>
        <v>14</v>
      </c>
      <c r="C57" s="204">
        <v>10</v>
      </c>
      <c r="D57" s="191">
        <f t="shared" si="4"/>
        <v>140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0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45</v>
      </c>
      <c r="B58" s="193">
        <f>'Données projet'!D66</f>
        <v>14</v>
      </c>
      <c r="C58" s="204">
        <v>20</v>
      </c>
      <c r="D58" s="191">
        <f t="shared" si="4"/>
        <v>280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0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50</v>
      </c>
      <c r="B59" s="193">
        <f>'Données projet'!D67</f>
        <v>14</v>
      </c>
      <c r="C59" s="204">
        <v>20</v>
      </c>
      <c r="D59" s="191">
        <f t="shared" si="4"/>
        <v>280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0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55</v>
      </c>
      <c r="B60" s="193">
        <f>'Données projet'!D68</f>
        <v>14</v>
      </c>
      <c r="C60" s="204">
        <v>20</v>
      </c>
      <c r="D60" s="191">
        <f t="shared" si="4"/>
        <v>280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0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60</v>
      </c>
      <c r="B61" s="193">
        <f>'Données projet'!D69</f>
        <v>14</v>
      </c>
      <c r="C61" s="204">
        <v>20</v>
      </c>
      <c r="D61" s="191">
        <f t="shared" si="4"/>
        <v>280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0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65</v>
      </c>
      <c r="B62" s="193">
        <f>'Données projet'!D70</f>
        <v>14</v>
      </c>
      <c r="C62" s="204">
        <v>30</v>
      </c>
      <c r="D62" s="191">
        <f t="shared" si="4"/>
        <v>420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0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70</v>
      </c>
      <c r="B63" s="193">
        <f>'Données projet'!D71</f>
        <v>14</v>
      </c>
      <c r="C63" s="204">
        <v>30</v>
      </c>
      <c r="D63" s="191">
        <f t="shared" si="4"/>
        <v>420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0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75</v>
      </c>
      <c r="B64" s="193">
        <f>'Données projet'!D72</f>
        <v>14</v>
      </c>
      <c r="C64" s="204">
        <v>30</v>
      </c>
      <c r="D64" s="191">
        <f t="shared" si="4"/>
        <v>420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0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80</v>
      </c>
      <c r="B65" s="193">
        <f>'Données projet'!D73</f>
        <v>14</v>
      </c>
      <c r="C65" s="204">
        <v>30</v>
      </c>
      <c r="D65" s="191">
        <f t="shared" si="4"/>
        <v>420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0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85</v>
      </c>
      <c r="B66" s="193">
        <f>'Données projet'!D74</f>
        <v>14</v>
      </c>
      <c r="C66" s="204">
        <v>30</v>
      </c>
      <c r="D66" s="191">
        <f t="shared" si="4"/>
        <v>420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0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90</v>
      </c>
      <c r="B67" s="193">
        <f>'Données projet'!D75</f>
        <v>14</v>
      </c>
      <c r="C67" s="204">
        <v>40</v>
      </c>
      <c r="D67" s="191">
        <f t="shared" si="4"/>
        <v>560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0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95</v>
      </c>
      <c r="B68" s="193">
        <f>'Données projet'!D76</f>
        <v>14</v>
      </c>
      <c r="C68" s="204">
        <v>40</v>
      </c>
      <c r="D68" s="191">
        <f t="shared" si="4"/>
        <v>560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0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100</v>
      </c>
      <c r="B69" s="193">
        <f>'Données projet'!D77</f>
        <v>13</v>
      </c>
      <c r="C69" s="204">
        <v>40</v>
      </c>
      <c r="D69" s="191">
        <f t="shared" si="4"/>
        <v>520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0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105</v>
      </c>
      <c r="B70" s="193">
        <f>'Données projet'!D78</f>
        <v>13</v>
      </c>
      <c r="C70" s="204">
        <v>50</v>
      </c>
      <c r="D70" s="191">
        <f t="shared" si="4"/>
        <v>650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0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110</v>
      </c>
      <c r="B71" s="193">
        <f>'Données projet'!D79</f>
        <v>13</v>
      </c>
      <c r="C71" s="204">
        <v>50</v>
      </c>
      <c r="D71" s="191">
        <f t="shared" si="4"/>
        <v>650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0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115</v>
      </c>
      <c r="B72" s="193">
        <f>'Données projet'!D80</f>
        <v>13</v>
      </c>
      <c r="C72" s="204">
        <v>60</v>
      </c>
      <c r="D72" s="191">
        <f t="shared" si="4"/>
        <v>780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0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120</v>
      </c>
      <c r="B73" s="193">
        <f>'Données projet'!D81</f>
        <v>222</v>
      </c>
      <c r="C73" s="204">
        <v>60</v>
      </c>
      <c r="D73" s="191">
        <f t="shared" si="4"/>
        <v>13320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0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0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0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/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0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0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0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0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0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0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0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0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/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0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0</v>
      </c>
      <c r="B85" s="193">
        <f>'Données projet'!D88</f>
        <v>0</v>
      </c>
      <c r="C85" s="204"/>
      <c r="D85" s="191">
        <f>B85*C85</f>
        <v>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0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0</v>
      </c>
      <c r="B86" s="193">
        <f>'Données projet'!D89</f>
        <v>0</v>
      </c>
      <c r="C86" s="204"/>
      <c r="D86" s="191">
        <f t="shared" ref="D86:D104" si="6">B86*C86</f>
        <v>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0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0</v>
      </c>
      <c r="B87" s="193">
        <f>'Données projet'!D90</f>
        <v>0</v>
      </c>
      <c r="C87" s="204"/>
      <c r="D87" s="191">
        <f t="shared" si="6"/>
        <v>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0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0</v>
      </c>
      <c r="B88" s="193">
        <f>'Données projet'!D91</f>
        <v>0</v>
      </c>
      <c r="C88" s="204"/>
      <c r="D88" s="191">
        <f t="shared" si="6"/>
        <v>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0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0</v>
      </c>
      <c r="B89" s="193">
        <f>'Données projet'!D92</f>
        <v>0</v>
      </c>
      <c r="C89" s="204"/>
      <c r="D89" s="191">
        <f t="shared" si="6"/>
        <v>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0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0</v>
      </c>
      <c r="B90" s="193">
        <f>'Données projet'!D93</f>
        <v>0</v>
      </c>
      <c r="C90" s="204"/>
      <c r="D90" s="191">
        <f t="shared" si="6"/>
        <v>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0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0</v>
      </c>
      <c r="B91" s="193">
        <f>'Données projet'!D94</f>
        <v>0</v>
      </c>
      <c r="C91" s="204"/>
      <c r="D91" s="191">
        <f t="shared" si="6"/>
        <v>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0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0</v>
      </c>
      <c r="B92" s="193">
        <f>'Données projet'!D95</f>
        <v>0</v>
      </c>
      <c r="C92" s="204"/>
      <c r="D92" s="191">
        <f t="shared" si="6"/>
        <v>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0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0</v>
      </c>
      <c r="B93" s="193">
        <f>'Données projet'!D96</f>
        <v>0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0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>
        <f>IF(O93+1&lt;=MIN('Données projet'!$E$9:$E$18),O93+1,"STOP")</f>
        <v>61</v>
      </c>
      <c r="P94" s="197">
        <f t="shared" si="5"/>
        <v>0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>
        <f>IF(O94+1&lt;=MIN('Données projet'!$E$9:$E$18),O94+1,"STOP")</f>
        <v>62</v>
      </c>
      <c r="P95" s="197">
        <f t="shared" si="5"/>
        <v>0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>
        <f>IF(O95+1&lt;=MIN('Données projet'!$E$9:$E$18),O95+1,"STOP")</f>
        <v>63</v>
      </c>
      <c r="P96" s="197">
        <f t="shared" si="5"/>
        <v>0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>
        <f>IF(O96+1&lt;=MIN('Données projet'!$E$9:$E$18),O96+1,"STOP")</f>
        <v>64</v>
      </c>
      <c r="P97" s="197">
        <f t="shared" ref="P97:P128" si="7">$P$25/(1+$M$4)^O97</f>
        <v>0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>
        <f>IF(O97+1&lt;=MIN('Données projet'!$E$9:$E$18),O97+1,"STOP")</f>
        <v>65</v>
      </c>
      <c r="P98" s="197">
        <f t="shared" si="7"/>
        <v>0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>
        <f>IF(O98+1&lt;=MIN('Données projet'!$E$9:$E$18),O98+1,"STOP")</f>
        <v>66</v>
      </c>
      <c r="P99" s="197">
        <f t="shared" si="7"/>
        <v>0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>
        <f>IF(O99+1&lt;=MIN('Données projet'!$E$9:$E$18),O99+1,"STOP")</f>
        <v>67</v>
      </c>
      <c r="P100" s="197">
        <f t="shared" si="7"/>
        <v>0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>
        <f>IF(O100+1&lt;=MIN('Données projet'!$E$9:$E$18),O100+1,"STOP")</f>
        <v>68</v>
      </c>
      <c r="P101" s="197">
        <f t="shared" si="7"/>
        <v>0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>
        <f>IF(O101+1&lt;=MIN('Données projet'!$E$9:$E$18),O101+1,"STOP")</f>
        <v>69</v>
      </c>
      <c r="P102" s="197">
        <f t="shared" si="7"/>
        <v>0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>
        <f>IF(O102+1&lt;=MIN('Données projet'!$E$9:$E$18),O102+1,"STOP")</f>
        <v>70</v>
      </c>
      <c r="P103" s="197">
        <f t="shared" si="7"/>
        <v>0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>
        <f>IF(O103+1&lt;=MIN('Données projet'!$E$9:$E$18),O103+1,"STOP")</f>
        <v>71</v>
      </c>
      <c r="P104" s="197">
        <f t="shared" si="7"/>
        <v>0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>
        <f>IF(O104+1&lt;=MIN('Données projet'!$E$9:$E$18),O104+1,"STOP")</f>
        <v>72</v>
      </c>
      <c r="P105" s="197">
        <f t="shared" si="7"/>
        <v>0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>
        <f>IF(O105+1&lt;=MIN('Données projet'!$E$9:$E$18),O105+1,"STOP")</f>
        <v>73</v>
      </c>
      <c r="P106" s="197">
        <f t="shared" si="7"/>
        <v>0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>
        <f>IF(O106+1&lt;=MIN('Données projet'!$E$9:$E$18),O106+1,"STOP")</f>
        <v>74</v>
      </c>
      <c r="P107" s="197">
        <f t="shared" si="7"/>
        <v>0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>
        <f>IF(O107+1&lt;=MIN('Données projet'!$E$9:$E$18),O107+1,"STOP")</f>
        <v>75</v>
      </c>
      <c r="P108" s="197">
        <f t="shared" si="7"/>
        <v>0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>
        <f>IF(O108+1&lt;=MIN('Données projet'!$E$9:$E$18),O108+1,"STOP")</f>
        <v>76</v>
      </c>
      <c r="P109" s="197">
        <f t="shared" si="7"/>
        <v>0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>
        <f>IF(O109+1&lt;=MIN('Données projet'!$E$9:$E$18),O109+1,"STOP")</f>
        <v>77</v>
      </c>
      <c r="P110" s="197">
        <f t="shared" si="7"/>
        <v>0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>
        <f>IF(O110+1&lt;=MIN('Données projet'!$E$9:$E$18),O110+1,"STOP")</f>
        <v>78</v>
      </c>
      <c r="P111" s="197">
        <f t="shared" si="7"/>
        <v>0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>
        <f>IF(O111+1&lt;=MIN('Données projet'!$E$9:$E$18),O111+1,"STOP")</f>
        <v>79</v>
      </c>
      <c r="P112" s="197">
        <f t="shared" si="7"/>
        <v>0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>
        <f>IF(O112+1&lt;=MIN('Données projet'!$E$9:$E$18),O112+1,"STOP")</f>
        <v>80</v>
      </c>
      <c r="P113" s="197">
        <f t="shared" si="7"/>
        <v>0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>
        <f>IF(O113+1&lt;=MIN('Données projet'!$E$9:$E$18),O113+1,"STOP")</f>
        <v>81</v>
      </c>
      <c r="P114" s="197">
        <f t="shared" si="7"/>
        <v>0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>
        <f>IF(O114+1&lt;=MIN('Données projet'!$E$9:$E$18),O114+1,"STOP")</f>
        <v>82</v>
      </c>
      <c r="P115" s="197">
        <f t="shared" si="7"/>
        <v>0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>
        <f>IF(O115+1&lt;=MIN('Données projet'!$E$9:$E$18),O115+1,"STOP")</f>
        <v>83</v>
      </c>
      <c r="P116" s="197">
        <f t="shared" si="7"/>
        <v>0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>
        <f>IF(O116+1&lt;=MIN('Données projet'!$E$9:$E$18),O116+1,"STOP")</f>
        <v>84</v>
      </c>
      <c r="P117" s="197">
        <f t="shared" si="7"/>
        <v>0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>
        <f>IF(O117+1&lt;=MIN('Données projet'!$E$9:$E$18),O117+1,"STOP")</f>
        <v>85</v>
      </c>
      <c r="P118" s="197">
        <f t="shared" si="7"/>
        <v>0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>
        <f>IF(O118+1&lt;=MIN('Données projet'!$E$9:$E$18),O118+1,"STOP")</f>
        <v>86</v>
      </c>
      <c r="P119" s="197">
        <f t="shared" si="7"/>
        <v>0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>
        <f>IF(O119+1&lt;=MIN('Données projet'!$E$9:$E$18),O119+1,"STOP")</f>
        <v>87</v>
      </c>
      <c r="P120" s="197">
        <f t="shared" si="7"/>
        <v>0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>
        <f>IF(O120+1&lt;=MIN('Données projet'!$E$9:$E$18),O120+1,"STOP")</f>
        <v>88</v>
      </c>
      <c r="P121" s="197">
        <f t="shared" si="7"/>
        <v>0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>
        <f>IF(O121+1&lt;=MIN('Données projet'!$E$9:$E$18),O121+1,"STOP")</f>
        <v>89</v>
      </c>
      <c r="P122" s="197">
        <f t="shared" si="7"/>
        <v>0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>
        <f>IF(O122+1&lt;=MIN('Données projet'!$E$9:$E$18),O122+1,"STOP")</f>
        <v>90</v>
      </c>
      <c r="P123" s="197">
        <f t="shared" si="7"/>
        <v>0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>
        <f>IF(O123+1&lt;=MIN('Données projet'!$E$9:$E$18),O123+1,"STOP")</f>
        <v>91</v>
      </c>
      <c r="P124" s="197">
        <f t="shared" si="7"/>
        <v>0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>
        <f>IF(O124+1&lt;=MIN('Données projet'!$E$9:$E$18),O124+1,"STOP")</f>
        <v>92</v>
      </c>
      <c r="P125" s="197">
        <f t="shared" si="7"/>
        <v>0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>
        <f>IF(O125+1&lt;=MIN('Données projet'!$E$9:$E$18),O125+1,"STOP")</f>
        <v>93</v>
      </c>
      <c r="P126" s="197">
        <f t="shared" si="7"/>
        <v>0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>
        <f>IF(O126+1&lt;=MIN('Données projet'!$E$9:$E$18),O126+1,"STOP")</f>
        <v>94</v>
      </c>
      <c r="P127" s="197">
        <f t="shared" si="7"/>
        <v>0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>
        <f>IF(O127+1&lt;=MIN('Données projet'!$E$9:$E$18),O127+1,"STOP")</f>
        <v>95</v>
      </c>
      <c r="P128" s="197">
        <f t="shared" si="7"/>
        <v>0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>
        <f>IF(O128+1&lt;=MIN('Données projet'!$E$9:$E$18),O128+1,"STOP")</f>
        <v>96</v>
      </c>
      <c r="P129" s="197">
        <f t="shared" ref="P129:P132" si="9">$P$25/(1+$M$4)^O129</f>
        <v>0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>
        <f>IF(O129+1&lt;=MIN('Données projet'!$E$9:$E$18),O129+1,"STOP")</f>
        <v>97</v>
      </c>
      <c r="P130" s="197">
        <f t="shared" si="9"/>
        <v>0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>
        <f>IF(O130+1&lt;=MIN('Données projet'!$E$9:$E$18),O130+1,"STOP")</f>
        <v>98</v>
      </c>
      <c r="P131" s="197">
        <f t="shared" si="9"/>
        <v>0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>
        <f>IF(O131+1&lt;=MIN('Données projet'!$E$9:$E$18),O131+1,"STOP")</f>
        <v>99</v>
      </c>
      <c r="P132" s="197">
        <f t="shared" si="9"/>
        <v>0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BELLE Nastasia</cp:lastModifiedBy>
  <dcterms:created xsi:type="dcterms:W3CDTF">2021-02-01T08:22:39Z</dcterms:created>
  <dcterms:modified xsi:type="dcterms:W3CDTF">2025-07-25T06:55:40Z</dcterms:modified>
</cp:coreProperties>
</file>